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https://worldhealthorg-my.sharepoint.com/personal/panlilioj_who_int/Documents/covid19_vaccination_analysis/data/input/"/>
    </mc:Choice>
  </mc:AlternateContent>
  <xr:revisionPtr revIDLastSave="0" documentId="14_{4C3EE0B1-9305-4624-B147-A76234B42D7A}" xr6:coauthVersionLast="47" xr6:coauthVersionMax="47" xr10:uidLastSave="{00000000-0000-0000-0000-000000000000}"/>
  <bookViews>
    <workbookView xWindow="-98" yWindow="-98" windowWidth="21795" windowHeight="13875" firstSheet="4" activeTab="4" xr2:uid="{09ECBDA5-35BF-4F6F-83FF-9832054A69E9}"/>
  </bookViews>
  <sheets>
    <sheet name="INTRO" sheetId="1" r:id="rId1"/>
    <sheet name="Utilities" sheetId="5" r:id="rId2"/>
    <sheet name="Tracking &gt;&gt;" sheetId="8" r:id="rId3"/>
    <sheet name="Overview" sheetId="7" r:id="rId4"/>
    <sheet name="Funding tracker" sheetId="4" r:id="rId5"/>
    <sheet name="Other actions identified" sheetId="10" r:id="rId6"/>
    <sheet name="Extract &gt;&gt;" sheetId="14" r:id="rId7"/>
    <sheet name="Slides making" sheetId="13" r:id="rId8"/>
    <sheet name="Sources &gt;&gt;" sheetId="9" r:id="rId9"/>
    <sheet name="SCM &amp; DO contact list" sheetId="6" r:id="rId10"/>
  </sheets>
  <definedNames>
    <definedName name="_xlnm._FilterDatabase" localSheetId="9" hidden="1">'SCM &amp; DO contact list'!$A$1:$G$161</definedName>
  </definedNames>
  <calcPr calcId="191029"/>
  <pivotCaches>
    <pivotCache cacheId="3"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4" l="1"/>
  <c r="D6" i="4"/>
  <c r="E6" i="4"/>
  <c r="R6" i="4"/>
  <c r="T6" i="4"/>
  <c r="W6" i="4"/>
  <c r="AA6" i="4"/>
  <c r="AC6" i="4" s="1"/>
  <c r="AB6" i="4"/>
  <c r="AD6" i="4"/>
  <c r="Z6" i="4" s="1" a="1"/>
  <c r="Z6" i="4" s="1"/>
  <c r="AF6" i="4"/>
  <c r="AG6" i="4"/>
  <c r="A7" i="4"/>
  <c r="D7" i="4"/>
  <c r="E7" i="4"/>
  <c r="R7" i="4"/>
  <c r="W7" i="4"/>
  <c r="AA7" i="4"/>
  <c r="AC7" i="4" s="1"/>
  <c r="AB7" i="4"/>
  <c r="AD7" i="4"/>
  <c r="Z7" i="4" s="1" a="1"/>
  <c r="Z7" i="4" s="1"/>
  <c r="AF7" i="4"/>
  <c r="AG7" i="4"/>
  <c r="A20" i="4"/>
  <c r="D20" i="4"/>
  <c r="E20" i="4"/>
  <c r="R20" i="4"/>
  <c r="T20" i="4"/>
  <c r="W20" i="4"/>
  <c r="AA20" i="4"/>
  <c r="AC20" i="4" s="1"/>
  <c r="AB20" i="4"/>
  <c r="AD20" i="4"/>
  <c r="Z20" i="4" s="1" a="1"/>
  <c r="Z20" i="4" s="1"/>
  <c r="AK20" i="4" s="1"/>
  <c r="AE20" i="4"/>
  <c r="AF20" i="4"/>
  <c r="AG20" i="4"/>
  <c r="AG9" i="4"/>
  <c r="AF9" i="4"/>
  <c r="AD9" i="4"/>
  <c r="Z9" i="4" s="1" a="1"/>
  <c r="Z9" i="4" s="1"/>
  <c r="AB9" i="4"/>
  <c r="AA9" i="4"/>
  <c r="AC9" i="4" s="1"/>
  <c r="W9" i="4"/>
  <c r="R9" i="4"/>
  <c r="E9" i="4"/>
  <c r="D9" i="4"/>
  <c r="A9" i="4"/>
  <c r="A17" i="4"/>
  <c r="AG17" i="4"/>
  <c r="AF17" i="4"/>
  <c r="AD17" i="4"/>
  <c r="Z17" i="4" s="1" a="1"/>
  <c r="Z17" i="4" s="1"/>
  <c r="AB17" i="4"/>
  <c r="AA17" i="4"/>
  <c r="AC17" i="4" s="1"/>
  <c r="W17" i="4"/>
  <c r="R17" i="4"/>
  <c r="E17" i="4"/>
  <c r="D17" i="4"/>
  <c r="AK6" i="4" l="1"/>
  <c r="AK7" i="4"/>
  <c r="AK9" i="4"/>
  <c r="AK17" i="4"/>
  <c r="T36" i="4" l="1"/>
  <c r="A34" i="4"/>
  <c r="D34" i="4"/>
  <c r="E34" i="4"/>
  <c r="R34" i="4"/>
  <c r="T34" i="4"/>
  <c r="W34" i="4"/>
  <c r="AA34" i="4"/>
  <c r="AC34" i="4" s="1"/>
  <c r="AB34" i="4"/>
  <c r="AD34" i="4"/>
  <c r="Z34" i="4" s="1" a="1"/>
  <c r="Z34" i="4" s="1"/>
  <c r="AF34" i="4"/>
  <c r="AG34" i="4"/>
  <c r="AG5" i="4"/>
  <c r="AF5" i="4"/>
  <c r="AD5" i="4"/>
  <c r="Z5" i="4" s="1" a="1"/>
  <c r="Z5" i="4" s="1"/>
  <c r="AB5" i="4"/>
  <c r="AA5" i="4"/>
  <c r="AC5" i="4" s="1"/>
  <c r="W5" i="4"/>
  <c r="R5" i="4"/>
  <c r="E5" i="4"/>
  <c r="D5" i="4"/>
  <c r="A5" i="4"/>
  <c r="AK34" i="4" l="1"/>
  <c r="AK5" i="4"/>
  <c r="H30" i="4" l="1"/>
  <c r="AG29" i="4"/>
  <c r="AF29" i="4"/>
  <c r="AD29" i="4"/>
  <c r="Z29" i="4" s="1" a="1"/>
  <c r="Z29" i="4" s="1"/>
  <c r="AB29" i="4"/>
  <c r="AA29" i="4"/>
  <c r="AC29" i="4" s="1"/>
  <c r="W29" i="4"/>
  <c r="T29" i="4"/>
  <c r="R29" i="4"/>
  <c r="E29" i="4"/>
  <c r="D29" i="4"/>
  <c r="A29" i="4"/>
  <c r="AK29" i="4" l="1"/>
  <c r="AG38" i="4" l="1"/>
  <c r="AF38" i="4"/>
  <c r="AD38" i="4"/>
  <c r="Z38" i="4" s="1" a="1"/>
  <c r="Z38" i="4" s="1"/>
  <c r="AB38" i="4"/>
  <c r="AA38" i="4"/>
  <c r="AC38" i="4" s="1"/>
  <c r="W38" i="4"/>
  <c r="R38" i="4"/>
  <c r="E38" i="4"/>
  <c r="D38" i="4"/>
  <c r="A38" i="4"/>
  <c r="AG37" i="4"/>
  <c r="AF37" i="4"/>
  <c r="AD37" i="4"/>
  <c r="Z37" i="4" s="1" a="1"/>
  <c r="Z37" i="4" s="1"/>
  <c r="AB37" i="4"/>
  <c r="AA37" i="4"/>
  <c r="AC37" i="4" s="1"/>
  <c r="W37" i="4"/>
  <c r="R37" i="4"/>
  <c r="E37" i="4"/>
  <c r="D37" i="4"/>
  <c r="A37" i="4"/>
  <c r="R28" i="4"/>
  <c r="A28" i="4"/>
  <c r="D28" i="4"/>
  <c r="E28" i="4"/>
  <c r="T28" i="4"/>
  <c r="W28" i="4"/>
  <c r="AA28" i="4"/>
  <c r="AC28" i="4" s="1"/>
  <c r="AB28" i="4"/>
  <c r="AD28" i="4"/>
  <c r="Z28" i="4" s="1" a="1"/>
  <c r="Z28" i="4" s="1"/>
  <c r="AK28" i="4" s="1"/>
  <c r="AF28" i="4"/>
  <c r="AG28" i="4"/>
  <c r="AG27" i="4"/>
  <c r="AF27" i="4"/>
  <c r="AD27" i="4"/>
  <c r="Z27" i="4" s="1" a="1"/>
  <c r="Z27" i="4" s="1"/>
  <c r="AB27" i="4"/>
  <c r="AA27" i="4"/>
  <c r="AC27" i="4" s="1"/>
  <c r="W27" i="4"/>
  <c r="T27" i="4"/>
  <c r="R27" i="4"/>
  <c r="E27" i="4"/>
  <c r="D27" i="4"/>
  <c r="A27" i="4"/>
  <c r="AK38" i="4" l="1"/>
  <c r="AK37" i="4"/>
  <c r="AK27" i="4"/>
  <c r="N18" i="4" l="1"/>
  <c r="AG26" i="4"/>
  <c r="AF26" i="4"/>
  <c r="AD26" i="4"/>
  <c r="Z26" i="4" s="1" a="1"/>
  <c r="Z26" i="4" s="1"/>
  <c r="AB26" i="4"/>
  <c r="AA26" i="4"/>
  <c r="AC26" i="4" s="1"/>
  <c r="W26" i="4"/>
  <c r="T26" i="4"/>
  <c r="R26" i="4"/>
  <c r="E26" i="4"/>
  <c r="D26" i="4"/>
  <c r="A26" i="4"/>
  <c r="A2" i="4"/>
  <c r="D2" i="4"/>
  <c r="E2" i="4"/>
  <c r="R2" i="4"/>
  <c r="W2" i="4"/>
  <c r="AA2" i="4"/>
  <c r="AC2" i="4" s="1"/>
  <c r="AB2" i="4"/>
  <c r="AD2" i="4"/>
  <c r="AF2" i="4"/>
  <c r="AG2" i="4"/>
  <c r="A11" i="4"/>
  <c r="D11" i="4"/>
  <c r="E11" i="4"/>
  <c r="R11" i="4"/>
  <c r="T11" i="4"/>
  <c r="W11" i="4"/>
  <c r="AA11" i="4"/>
  <c r="AC11" i="4" s="1"/>
  <c r="AB11" i="4"/>
  <c r="AD11" i="4"/>
  <c r="Z11" i="4" s="1" a="1"/>
  <c r="Z11" i="4" s="1"/>
  <c r="AF11" i="4"/>
  <c r="AG11" i="4"/>
  <c r="A35" i="4"/>
  <c r="D35" i="4"/>
  <c r="E35" i="4"/>
  <c r="R35" i="4"/>
  <c r="T35" i="4"/>
  <c r="W35" i="4"/>
  <c r="AA35" i="4"/>
  <c r="AC35" i="4" s="1"/>
  <c r="AB35" i="4"/>
  <c r="AD35" i="4"/>
  <c r="Z35" i="4" s="1" a="1"/>
  <c r="Z35" i="4" s="1"/>
  <c r="AF35" i="4"/>
  <c r="AG35" i="4"/>
  <c r="A32" i="4"/>
  <c r="D32" i="4"/>
  <c r="E32" i="4"/>
  <c r="R32" i="4"/>
  <c r="T32" i="4"/>
  <c r="W32" i="4"/>
  <c r="AA32" i="4"/>
  <c r="AC32" i="4" s="1"/>
  <c r="AB32" i="4"/>
  <c r="AD32" i="4"/>
  <c r="Z32" i="4" s="1" a="1"/>
  <c r="Z32" i="4" s="1"/>
  <c r="AF32" i="4"/>
  <c r="AG32" i="4"/>
  <c r="A13" i="4"/>
  <c r="D13" i="4"/>
  <c r="E13" i="4"/>
  <c r="R13" i="4"/>
  <c r="W13" i="4"/>
  <c r="AA13" i="4"/>
  <c r="AC13" i="4" s="1"/>
  <c r="AB13" i="4"/>
  <c r="AD13" i="4"/>
  <c r="Z13" i="4" s="1" a="1"/>
  <c r="Z13" i="4" s="1"/>
  <c r="AE13" i="4"/>
  <c r="AF13" i="4"/>
  <c r="AG13" i="4"/>
  <c r="AE15" i="4"/>
  <c r="AE22" i="4"/>
  <c r="AE41" i="4"/>
  <c r="AE10" i="4"/>
  <c r="AE14" i="4"/>
  <c r="AE21" i="4"/>
  <c r="AE40" i="4"/>
  <c r="AE39" i="4"/>
  <c r="AE16" i="4"/>
  <c r="AE8" i="4"/>
  <c r="AE33" i="4"/>
  <c r="AE36" i="4"/>
  <c r="AG18" i="4"/>
  <c r="AG19" i="4"/>
  <c r="AG12" i="4"/>
  <c r="AG23" i="4"/>
  <c r="AG24" i="4"/>
  <c r="AG25" i="4"/>
  <c r="AG42" i="4"/>
  <c r="AG31" i="4"/>
  <c r="AG30" i="4"/>
  <c r="AG4" i="4"/>
  <c r="AG3" i="4"/>
  <c r="AG15" i="4"/>
  <c r="AG22" i="4"/>
  <c r="AG41" i="4"/>
  <c r="AG10" i="4"/>
  <c r="AG14" i="4"/>
  <c r="AG21" i="4"/>
  <c r="AG40" i="4"/>
  <c r="AG39" i="4"/>
  <c r="AG16" i="4"/>
  <c r="AG8" i="4"/>
  <c r="AG33" i="4"/>
  <c r="AG36" i="4"/>
  <c r="AE30" i="4"/>
  <c r="AE31" i="4"/>
  <c r="AE42" i="4"/>
  <c r="AF19" i="4"/>
  <c r="AF12" i="4"/>
  <c r="AF23" i="4"/>
  <c r="AF24" i="4"/>
  <c r="AF25" i="4"/>
  <c r="AF42" i="4"/>
  <c r="AF31" i="4"/>
  <c r="AF30" i="4"/>
  <c r="AF4" i="4"/>
  <c r="AF3" i="4"/>
  <c r="AF15" i="4"/>
  <c r="AF22" i="4"/>
  <c r="AF41" i="4"/>
  <c r="AF10" i="4"/>
  <c r="AF14" i="4"/>
  <c r="AF21" i="4"/>
  <c r="AF40" i="4"/>
  <c r="AF39" i="4"/>
  <c r="AF16" i="4"/>
  <c r="AF8" i="4"/>
  <c r="AF33" i="4"/>
  <c r="AF36" i="4"/>
  <c r="T8" i="4"/>
  <c r="AD36" i="4"/>
  <c r="Z36" i="4" s="1" a="1"/>
  <c r="Z36" i="4" s="1"/>
  <c r="AB36" i="4"/>
  <c r="AA36" i="4"/>
  <c r="AC36" i="4" s="1"/>
  <c r="W36" i="4"/>
  <c r="R36" i="4"/>
  <c r="E36" i="4"/>
  <c r="D36" i="4"/>
  <c r="A36" i="4"/>
  <c r="AD33" i="4"/>
  <c r="Z33" i="4" s="1" a="1"/>
  <c r="Z33" i="4" s="1"/>
  <c r="AB33" i="4"/>
  <c r="AA33" i="4"/>
  <c r="AC33" i="4" s="1"/>
  <c r="W33" i="4"/>
  <c r="T33" i="4"/>
  <c r="R33" i="4"/>
  <c r="E33" i="4"/>
  <c r="D33" i="4"/>
  <c r="A33" i="4"/>
  <c r="AD8" i="4"/>
  <c r="Z8" i="4" s="1" a="1"/>
  <c r="Z8" i="4" s="1"/>
  <c r="AB8" i="4"/>
  <c r="AA8" i="4"/>
  <c r="AC8" i="4" s="1"/>
  <c r="W8" i="4"/>
  <c r="R8" i="4"/>
  <c r="E8" i="4"/>
  <c r="D8" i="4"/>
  <c r="A8" i="4"/>
  <c r="A31" i="4"/>
  <c r="D31" i="4"/>
  <c r="E31" i="4"/>
  <c r="R31" i="4"/>
  <c r="T31" i="4"/>
  <c r="W31" i="4"/>
  <c r="AA31" i="4"/>
  <c r="AC31" i="4" s="1"/>
  <c r="AB31" i="4"/>
  <c r="AD31" i="4"/>
  <c r="Z31" i="4" s="1" a="1"/>
  <c r="Z31" i="4" s="1"/>
  <c r="AK31" i="4" s="1"/>
  <c r="AK26" i="4" l="1"/>
  <c r="D52" i="7"/>
  <c r="AK2" i="4"/>
  <c r="AK11" i="4"/>
  <c r="AK35" i="4"/>
  <c r="AK32" i="4"/>
  <c r="AK13" i="4"/>
  <c r="L52" i="7"/>
  <c r="H52" i="7"/>
  <c r="H53" i="7"/>
  <c r="L53" i="7"/>
  <c r="AK36" i="4"/>
  <c r="AK33" i="4"/>
  <c r="AK8" i="4"/>
  <c r="A16" i="4"/>
  <c r="D16" i="4"/>
  <c r="E16" i="4"/>
  <c r="R16" i="4"/>
  <c r="W16" i="4"/>
  <c r="AA16" i="4"/>
  <c r="AC16" i="4" s="1"/>
  <c r="AB16" i="4"/>
  <c r="AD16" i="4"/>
  <c r="Z16" i="4" s="1" a="1"/>
  <c r="Z16" i="4" s="1"/>
  <c r="A39" i="4"/>
  <c r="D39" i="4"/>
  <c r="E39" i="4"/>
  <c r="R39" i="4"/>
  <c r="W39" i="4"/>
  <c r="AA39" i="4"/>
  <c r="AC39" i="4" s="1"/>
  <c r="AB39" i="4"/>
  <c r="AD39" i="4"/>
  <c r="Z39" i="4" s="1" a="1"/>
  <c r="Z39" i="4" s="1"/>
  <c r="AK39" i="4" l="1"/>
  <c r="AK16" i="4"/>
  <c r="A40" i="4"/>
  <c r="D40" i="4"/>
  <c r="E40" i="4"/>
  <c r="R40" i="4"/>
  <c r="W40" i="4"/>
  <c r="AA40" i="4"/>
  <c r="AC40" i="4" s="1"/>
  <c r="AB40" i="4"/>
  <c r="AD40" i="4"/>
  <c r="Z40" i="4" s="1" a="1"/>
  <c r="Z40" i="4" s="1"/>
  <c r="AB30" i="4"/>
  <c r="D30" i="4"/>
  <c r="E30" i="4"/>
  <c r="R30" i="4"/>
  <c r="T30" i="4"/>
  <c r="W30" i="4"/>
  <c r="AA30" i="4"/>
  <c r="AC30" i="4" s="1"/>
  <c r="AD30" i="4"/>
  <c r="Z30" i="4" s="1" a="1"/>
  <c r="Z30" i="4" s="1"/>
  <c r="AE18" i="4"/>
  <c r="A18" i="4"/>
  <c r="D18" i="4"/>
  <c r="E18" i="4"/>
  <c r="R18" i="4"/>
  <c r="W18" i="4"/>
  <c r="AD18" i="4"/>
  <c r="Z18" i="4" s="1" a="1"/>
  <c r="Z18" i="4" s="1"/>
  <c r="A14" i="4"/>
  <c r="AD21" i="4"/>
  <c r="Z21" i="4" s="1" a="1"/>
  <c r="Z21" i="4" s="1"/>
  <c r="AB21" i="4"/>
  <c r="AA21" i="4"/>
  <c r="AC21" i="4" s="1"/>
  <c r="W21" i="4"/>
  <c r="R21" i="4"/>
  <c r="E21" i="4"/>
  <c r="D21" i="4"/>
  <c r="A21" i="4"/>
  <c r="D14" i="4"/>
  <c r="E14" i="4"/>
  <c r="R14" i="4"/>
  <c r="W14" i="4"/>
  <c r="AA14" i="4"/>
  <c r="AC14" i="4" s="1"/>
  <c r="AB14" i="4"/>
  <c r="AD14" i="4"/>
  <c r="Z14" i="4" s="1" a="1"/>
  <c r="Z14" i="4" s="1"/>
  <c r="H174" i="7"/>
  <c r="H73" i="7"/>
  <c r="AD19" i="4"/>
  <c r="Z19" i="4" s="1" a="1"/>
  <c r="Z19" i="4" s="1"/>
  <c r="AD12" i="4"/>
  <c r="Z12" i="4" s="1" a="1"/>
  <c r="Z12" i="4" s="1"/>
  <c r="AD23" i="4"/>
  <c r="Z23" i="4" s="1" a="1"/>
  <c r="Z23" i="4" s="1"/>
  <c r="AD24" i="4"/>
  <c r="Z24" i="4" s="1" a="1"/>
  <c r="Z24" i="4" s="1"/>
  <c r="AD25" i="4"/>
  <c r="Z25" i="4" s="1" a="1"/>
  <c r="Z25" i="4" s="1"/>
  <c r="AD42" i="4"/>
  <c r="Z42" i="4" s="1" a="1"/>
  <c r="Z42" i="4" s="1"/>
  <c r="AD4" i="4"/>
  <c r="Z4" i="4" s="1" a="1"/>
  <c r="Z4" i="4" s="1"/>
  <c r="AD3" i="4"/>
  <c r="Z3" i="4" s="1" a="1"/>
  <c r="Z3" i="4" s="1"/>
  <c r="AD15" i="4"/>
  <c r="AD22" i="4"/>
  <c r="Z22" i="4" s="1" a="1"/>
  <c r="Z22" i="4" s="1"/>
  <c r="AD41" i="4"/>
  <c r="Z41" i="4" s="1" a="1"/>
  <c r="Z41" i="4" s="1"/>
  <c r="AD10" i="4"/>
  <c r="Z10" i="4" s="1" a="1"/>
  <c r="Z10" i="4" s="1"/>
  <c r="H7" i="7"/>
  <c r="D57" i="1"/>
  <c r="A10" i="4"/>
  <c r="D10" i="4"/>
  <c r="E10" i="4"/>
  <c r="R10" i="4"/>
  <c r="W10" i="4"/>
  <c r="AA10" i="4"/>
  <c r="AC10" i="4" s="1"/>
  <c r="AB10" i="4"/>
  <c r="AB41" i="4"/>
  <c r="AA41" i="4"/>
  <c r="AC41" i="4" s="1"/>
  <c r="W41" i="4"/>
  <c r="R41" i="4"/>
  <c r="E41" i="4"/>
  <c r="D41" i="4"/>
  <c r="A41" i="4"/>
  <c r="D8" i="7" l="1"/>
  <c r="AF18" i="4"/>
  <c r="AA18" i="4"/>
  <c r="AC18" i="4" s="1"/>
  <c r="AK40" i="4"/>
  <c r="A30" i="4"/>
  <c r="AB18" i="4"/>
  <c r="AK18" i="4" s="1"/>
  <c r="AK30" i="4"/>
  <c r="AK21" i="4"/>
  <c r="AK14" i="4"/>
  <c r="E174" i="7"/>
  <c r="G174" i="7"/>
  <c r="I174" i="7"/>
  <c r="AB19" i="4"/>
  <c r="AB12" i="4"/>
  <c r="AB23" i="4"/>
  <c r="AB24" i="4"/>
  <c r="AB25" i="4"/>
  <c r="AB42" i="4"/>
  <c r="AB4" i="4"/>
  <c r="AB3" i="4"/>
  <c r="AB15" i="4"/>
  <c r="AB22" i="4"/>
  <c r="AE12" i="4"/>
  <c r="AE23" i="4"/>
  <c r="AE24" i="4"/>
  <c r="AE25" i="4"/>
  <c r="AE4" i="4"/>
  <c r="AE3" i="4"/>
  <c r="AE19" i="4"/>
  <c r="AA22" i="4"/>
  <c r="AC22" i="4" s="1"/>
  <c r="AA15" i="4"/>
  <c r="AC15" i="4" s="1"/>
  <c r="AA3" i="4"/>
  <c r="AC3" i="4" s="1"/>
  <c r="AA4" i="4"/>
  <c r="AC4" i="4" s="1"/>
  <c r="AA42" i="4"/>
  <c r="AC42" i="4" s="1"/>
  <c r="AA25" i="4"/>
  <c r="AC25" i="4" s="1"/>
  <c r="AA24" i="4"/>
  <c r="AC24" i="4" s="1"/>
  <c r="AA23" i="4"/>
  <c r="AC23" i="4" s="1"/>
  <c r="AA12" i="4"/>
  <c r="AC12" i="4" s="1"/>
  <c r="AA19" i="4"/>
  <c r="AC19" i="4" s="1"/>
  <c r="A22" i="4"/>
  <c r="D22" i="4"/>
  <c r="E22" i="4"/>
  <c r="R22" i="4"/>
  <c r="W22" i="4"/>
  <c r="H61" i="7" s="1"/>
  <c r="E25" i="4"/>
  <c r="D25" i="4"/>
  <c r="A25" i="4"/>
  <c r="R25" i="4"/>
  <c r="W25" i="4"/>
  <c r="G63" i="7" s="1"/>
  <c r="D3" i="10"/>
  <c r="B3" i="10"/>
  <c r="C3" i="10"/>
  <c r="A23" i="4"/>
  <c r="H55" i="7" l="1"/>
  <c r="H54" i="7"/>
  <c r="D53" i="7"/>
  <c r="D54" i="7"/>
  <c r="L54" i="7"/>
  <c r="H76" i="7"/>
  <c r="H26" i="13" s="1"/>
  <c r="H180" i="7"/>
  <c r="H179" i="7"/>
  <c r="H177" i="7"/>
  <c r="F12" i="7"/>
  <c r="J10" i="13" s="1"/>
  <c r="D12" i="7"/>
  <c r="H78" i="7"/>
  <c r="J26" i="13" s="1"/>
  <c r="H77" i="7"/>
  <c r="I26" i="13" s="1"/>
  <c r="H79" i="7"/>
  <c r="K26" i="13" s="1"/>
  <c r="H12" i="7"/>
  <c r="J11" i="13" s="1"/>
  <c r="I77" i="7"/>
  <c r="I27" i="13" s="1"/>
  <c r="G77" i="7"/>
  <c r="I23" i="13" s="1"/>
  <c r="E77" i="7"/>
  <c r="I24" i="13" s="1"/>
  <c r="G12" i="7"/>
  <c r="J8" i="13" s="1"/>
  <c r="I12" i="7"/>
  <c r="J12" i="13" s="1"/>
  <c r="E12" i="7"/>
  <c r="J9" i="13" s="1"/>
  <c r="E61" i="7"/>
  <c r="O61" i="7"/>
  <c r="N61" i="7"/>
  <c r="O63" i="7"/>
  <c r="K61" i="7"/>
  <c r="M61" i="7"/>
  <c r="L61" i="7"/>
  <c r="N63" i="7"/>
  <c r="J61" i="7"/>
  <c r="F63" i="7"/>
  <c r="G61" i="7"/>
  <c r="D55" i="7"/>
  <c r="E63" i="7"/>
  <c r="F61" i="7"/>
  <c r="M63" i="7"/>
  <c r="L63" i="7"/>
  <c r="K63" i="7"/>
  <c r="H63" i="7"/>
  <c r="I61" i="7"/>
  <c r="J63" i="7"/>
  <c r="I63" i="7"/>
  <c r="A24" i="4"/>
  <c r="D24" i="4"/>
  <c r="E24" i="4"/>
  <c r="R24" i="4"/>
  <c r="F77" i="7" s="1"/>
  <c r="I25" i="13" s="1"/>
  <c r="W24" i="4"/>
  <c r="H19" i="4"/>
  <c r="D9" i="7" s="1"/>
  <c r="A15" i="4"/>
  <c r="A3" i="4"/>
  <c r="A42" i="4"/>
  <c r="A12" i="4"/>
  <c r="F19" i="4"/>
  <c r="A19" i="4" s="1"/>
  <c r="E19" i="4"/>
  <c r="D19" i="4"/>
  <c r="W19" i="4"/>
  <c r="D77" i="7" l="1"/>
  <c r="A4" i="4"/>
  <c r="AJ7" i="4" s="1"/>
  <c r="AI7" i="4" s="1"/>
  <c r="D174" i="7"/>
  <c r="F174" i="7"/>
  <c r="D15" i="4"/>
  <c r="E15" i="4"/>
  <c r="R15" i="4"/>
  <c r="W15" i="4"/>
  <c r="D3" i="4"/>
  <c r="E3" i="4"/>
  <c r="R3" i="4"/>
  <c r="W3" i="4"/>
  <c r="D73" i="7"/>
  <c r="D4" i="4"/>
  <c r="E4" i="4"/>
  <c r="W4" i="4"/>
  <c r="C2" i="10"/>
  <c r="B2" i="10"/>
  <c r="D42" i="4"/>
  <c r="E42" i="4"/>
  <c r="R42" i="4"/>
  <c r="W42" i="4"/>
  <c r="D23" i="4"/>
  <c r="E23" i="4"/>
  <c r="R23" i="4"/>
  <c r="W23" i="4"/>
  <c r="R12" i="4"/>
  <c r="D12" i="4"/>
  <c r="E12" i="4"/>
  <c r="W12" i="4"/>
  <c r="I73" i="7"/>
  <c r="G73" i="7"/>
  <c r="F73" i="7"/>
  <c r="E73" i="7"/>
  <c r="I7" i="7"/>
  <c r="G7" i="7"/>
  <c r="E7" i="7"/>
  <c r="AJ6" i="4" l="1"/>
  <c r="AI6" i="4" s="1"/>
  <c r="AJ9" i="4"/>
  <c r="AI9" i="4" s="1"/>
  <c r="AJ20" i="4"/>
  <c r="AI20" i="4" s="1"/>
  <c r="AJ15" i="4"/>
  <c r="AI15" i="4" s="1"/>
  <c r="AJ17" i="4"/>
  <c r="AI17" i="4" s="1"/>
  <c r="AJ34" i="4"/>
  <c r="AI34" i="4" s="1"/>
  <c r="AJ5" i="4"/>
  <c r="AI5" i="4" s="1"/>
  <c r="AJ29" i="4"/>
  <c r="AI29" i="4" s="1"/>
  <c r="AJ37" i="4"/>
  <c r="AI37" i="4" s="1"/>
  <c r="AJ38" i="4"/>
  <c r="AI38" i="4" s="1"/>
  <c r="AJ28" i="4"/>
  <c r="AI28" i="4" s="1"/>
  <c r="AJ27" i="4"/>
  <c r="AI27" i="4" s="1"/>
  <c r="AJ26" i="4"/>
  <c r="AI26" i="4" s="1"/>
  <c r="AJ2" i="4"/>
  <c r="AI2" i="4" s="1"/>
  <c r="AJ11" i="4"/>
  <c r="AI11" i="4" s="1"/>
  <c r="AJ35" i="4"/>
  <c r="AI35" i="4" s="1"/>
  <c r="AJ32" i="4"/>
  <c r="AI32" i="4" s="1"/>
  <c r="AJ13" i="4"/>
  <c r="AI13" i="4" s="1"/>
  <c r="AJ24" i="4"/>
  <c r="AI24" i="4" s="1"/>
  <c r="AJ33" i="4"/>
  <c r="AI33" i="4" s="1"/>
  <c r="AJ36" i="4"/>
  <c r="AI36" i="4" s="1"/>
  <c r="AJ8" i="4"/>
  <c r="AI8" i="4" s="1"/>
  <c r="AJ31" i="4"/>
  <c r="AI31" i="4" s="1"/>
  <c r="AJ16" i="4"/>
  <c r="AI16" i="4" s="1"/>
  <c r="AJ39" i="4"/>
  <c r="AI39" i="4" s="1"/>
  <c r="AJ40" i="4"/>
  <c r="AI40" i="4" s="1"/>
  <c r="AJ30" i="4"/>
  <c r="AI30" i="4" s="1"/>
  <c r="AJ18" i="4"/>
  <c r="AI18" i="4" s="1"/>
  <c r="AJ21" i="4"/>
  <c r="AI21" i="4" s="1"/>
  <c r="AJ19" i="4"/>
  <c r="AI19" i="4" s="1"/>
  <c r="AJ3" i="4"/>
  <c r="AI3" i="4" s="1"/>
  <c r="AJ42" i="4"/>
  <c r="AI42" i="4" s="1"/>
  <c r="AJ10" i="4"/>
  <c r="AI10" i="4" s="1"/>
  <c r="AJ41" i="4"/>
  <c r="AI41" i="4" s="1"/>
  <c r="AJ4" i="4"/>
  <c r="AI4" i="4" s="1"/>
  <c r="AJ22" i="4"/>
  <c r="AI22" i="4" s="1"/>
  <c r="AJ23" i="4"/>
  <c r="AI23" i="4" s="1"/>
  <c r="AJ12" i="4"/>
  <c r="AI12" i="4" s="1"/>
  <c r="AJ25" i="4"/>
  <c r="AI25" i="4" s="1"/>
  <c r="AJ14" i="4"/>
  <c r="AI14" i="4" s="1"/>
  <c r="E64" i="7"/>
  <c r="G62" i="7"/>
  <c r="L64" i="7"/>
  <c r="F64" i="7"/>
  <c r="L62" i="7"/>
  <c r="N64" i="7"/>
  <c r="I64" i="7"/>
  <c r="H64" i="7"/>
  <c r="O64" i="7"/>
  <c r="F62" i="7"/>
  <c r="I62" i="7"/>
  <c r="E62" i="7"/>
  <c r="K64" i="7"/>
  <c r="G64" i="7"/>
  <c r="J62" i="7"/>
  <c r="K62" i="7"/>
  <c r="N62" i="7"/>
  <c r="O62" i="7"/>
  <c r="M64" i="7"/>
  <c r="H62" i="7"/>
  <c r="M62" i="7"/>
  <c r="J64" i="7"/>
  <c r="D7" i="7"/>
  <c r="R4" i="4"/>
  <c r="F7" i="7" s="1"/>
  <c r="D62" i="7" l="1"/>
  <c r="D61" i="7"/>
  <c r="D64" i="7"/>
  <c r="D63" i="7"/>
  <c r="AK42" i="4"/>
  <c r="AK4" i="4"/>
  <c r="AK12" i="4"/>
  <c r="AK22" i="4"/>
  <c r="AK3" i="4"/>
  <c r="AK23" i="4"/>
  <c r="AK19" i="4"/>
  <c r="AK24" i="4"/>
  <c r="AK41" i="4"/>
  <c r="AK25" i="4"/>
  <c r="AK15" i="4"/>
  <c r="AK10" i="4"/>
  <c r="G7" i="13"/>
  <c r="D180" i="7"/>
  <c r="K174" i="7" s="1"/>
  <c r="I10" i="7"/>
  <c r="H12" i="13" s="1"/>
  <c r="F7" i="13"/>
  <c r="H10" i="7"/>
  <c r="H11" i="13" s="1"/>
  <c r="F10" i="7"/>
  <c r="H10" i="13" s="1"/>
  <c r="D175" i="7"/>
  <c r="D74" i="7"/>
  <c r="F22" i="13" s="1"/>
  <c r="I79" i="7"/>
  <c r="K27" i="13" s="1"/>
  <c r="E76" i="7"/>
  <c r="H24" i="13" s="1"/>
  <c r="E78" i="7"/>
  <c r="J24" i="13" s="1"/>
  <c r="F180" i="7"/>
  <c r="I177" i="7"/>
  <c r="G177" i="7"/>
  <c r="G78" i="7"/>
  <c r="J23" i="13" s="1"/>
  <c r="I180" i="7"/>
  <c r="F179" i="7"/>
  <c r="E79" i="7"/>
  <c r="K24" i="13" s="1"/>
  <c r="G79" i="7"/>
  <c r="K23" i="13" s="1"/>
  <c r="D10" i="7"/>
  <c r="G179" i="7"/>
  <c r="D177" i="7"/>
  <c r="H13" i="7"/>
  <c r="K11" i="13" s="1"/>
  <c r="F76" i="7"/>
  <c r="H25" i="13" s="1"/>
  <c r="D76" i="7"/>
  <c r="G180" i="7"/>
  <c r="E179" i="7"/>
  <c r="E180" i="7"/>
  <c r="D79" i="7"/>
  <c r="F78" i="7"/>
  <c r="J25" i="13" s="1"/>
  <c r="H11" i="7"/>
  <c r="I11" i="13" s="1"/>
  <c r="I179" i="7"/>
  <c r="G13" i="7"/>
  <c r="K8" i="13" s="1"/>
  <c r="E177" i="7"/>
  <c r="D176" i="7"/>
  <c r="I76" i="7"/>
  <c r="H27" i="13" s="1"/>
  <c r="E13" i="7"/>
  <c r="K9" i="13" s="1"/>
  <c r="F177" i="7"/>
  <c r="D179" i="7"/>
  <c r="F13" i="7"/>
  <c r="K10" i="13" s="1"/>
  <c r="D78" i="7"/>
  <c r="D75" i="7"/>
  <c r="G22" i="13" s="1"/>
  <c r="G11" i="7"/>
  <c r="F79" i="7"/>
  <c r="K25" i="13" s="1"/>
  <c r="E11" i="7"/>
  <c r="I9" i="13" s="1"/>
  <c r="I11" i="7"/>
  <c r="G76" i="7"/>
  <c r="H23" i="13" s="1"/>
  <c r="I78" i="7"/>
  <c r="J27" i="13" s="1"/>
  <c r="F11" i="7"/>
  <c r="I10" i="13" s="1"/>
  <c r="D11" i="7"/>
  <c r="I13" i="7"/>
  <c r="K12" i="13" s="1"/>
  <c r="D13" i="7"/>
  <c r="E10" i="7"/>
  <c r="H9" i="13" s="1"/>
  <c r="G10" i="7"/>
  <c r="H8" i="13" s="1"/>
  <c r="I8" i="13" l="1"/>
  <c r="D14" i="7"/>
  <c r="E7" i="13" s="1"/>
  <c r="D80" i="7"/>
  <c r="E22" i="13" s="1"/>
  <c r="D181"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<sst xmlns="http://schemas.openxmlformats.org/spreadsheetml/2006/main" count="1826" uniqueCount="593">
  <si>
    <t>CoVDP funding request tracking</t>
  </si>
  <si>
    <t>Last update:</t>
  </si>
  <si>
    <t>&lt;&lt; To update</t>
  </si>
  <si>
    <t>Scope:</t>
  </si>
  <si>
    <t>Requests discussed received by CoVDP - Discussed during CoVDP Tuesday Funding Alignment call</t>
  </si>
  <si>
    <t>Sources:</t>
  </si>
  <si>
    <t>Tracker updated based on CoVDP Tuesday Funding Alignment calls and email threads</t>
  </si>
  <si>
    <t>Detailed CoVDP Funding process available here:</t>
  </si>
  <si>
    <t>https://worldhealthorg.sharepoint.com/:p:/r/sites/COVID19VaccineDeliveryFacility/Shared%20Documents/General/02%20Workstreams/02%20Delivery%20Funding/5.%20CoVDP%20Funding%20process%20%26%20tracking/1.%20SOP%20and%20templates/20220311%20-%20CoVDP%20Funding%20process%20-%20Focus%20on%20Tuesday%20call%20ToRs%20v6.pptx?d=w27f4a7a5efc24add8f9362f9a2423ae2&amp;csf=1&amp;web=1&amp;e=CJUIVy</t>
  </si>
  <si>
    <t xml:space="preserve"> </t>
  </si>
  <si>
    <t>Type of output expected:</t>
  </si>
  <si>
    <t>Definitions:</t>
  </si>
  <si>
    <t>Total funding requests received</t>
  </si>
  <si>
    <t>Total Funding requests received by CoVDP, including requests not yet assessed / discussed with funders (urgent and standard requests)</t>
  </si>
  <si>
    <t>Pending additional details and/or formal request</t>
  </si>
  <si>
    <t>Informal funding requests received, missing detailed information to inform decision making. Desk Officer and/or SCM responsible for collecting missing data</t>
  </si>
  <si>
    <t>Pending identification of funding sources</t>
  </si>
  <si>
    <t>Formal funding request received / detailed information collected. Request to be discussed during Tuesday Funding Alignment calls with funders to identify sources of funding and agree on next steps</t>
  </si>
  <si>
    <t>Pending partners internal approval</t>
  </si>
  <si>
    <t>Sources of funding identified and total amount to be funded confirmed, internal processes ongoing to approve the disbursement of funds</t>
  </si>
  <si>
    <t>Approved pending disbursement</t>
  </si>
  <si>
    <t>Request approved by funders, pending disbursement of funds to CO, government or in-country partners, depending on countries / organizations / agreement in place</t>
  </si>
  <si>
    <t>Funds disbursed</t>
  </si>
  <si>
    <t>Funds disbursed to CO or government or in-country partners, depending on countries / organizations / agreement in place - At this stage, there is no confirmation of the utilization of the funds in country</t>
  </si>
  <si>
    <t>Out of CoVDP scope</t>
  </si>
  <si>
    <t>Funding request received by CoVDP and identified as non-urgent / non-relevant for CoVDP, by funders. To be managed through other standard processes (e.g., CDS application, HAC standard process)</t>
  </si>
  <si>
    <t>Instructions:</t>
  </si>
  <si>
    <t>Description of tabs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</si>
  <si>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</si>
  <si>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</si>
  <si>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</si>
  <si>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</si>
  <si>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</si>
  <si>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</si>
  <si>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</si>
  <si>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</si>
  <si>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</si>
  <si>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</si>
  <si>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</si>
  <si>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</si>
  <si>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</si>
  <si>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</si>
  <si>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</si>
  <si>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</si>
  <si>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</si>
  <si>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</si>
  <si>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</si>
  <si>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Utilities</t>
  </si>
  <si>
    <t>To be updated only when required (e.g., new funders included in the process)</t>
  </si>
  <si>
    <t>List of options used in the Funding tracker to complete some information</t>
  </si>
  <si>
    <t>Overview</t>
  </si>
  <si>
    <t>Automatic update based on Funding tracker tab</t>
  </si>
  <si>
    <t>Overview of status of funding requests (urgent and standard requests), through different lenses + KPIs (i.e., lead time, TA support)</t>
  </si>
  <si>
    <t>Funding tracker</t>
  </si>
  <si>
    <t>Manual update required on a daily basis</t>
  </si>
  <si>
    <t>List of funding requests received by CoVDP Funding team, with details on the request, tracking of the request within the CoVDP Funding process (incl. Tracking of dates), tracking of next steps. Grey column automatically updated. Other columns to be updated/completed manually</t>
  </si>
  <si>
    <t>Requests involving WHO</t>
  </si>
  <si>
    <t>Extract from Funding tracker - for WHO visibility</t>
  </si>
  <si>
    <t>Other actions identified</t>
  </si>
  <si>
    <t>Other topics discussed during the Tuesday Funding Alignment call - Not requiring disbursement of funds (e.g., Political advocacy required to accelerate signature of documents related to Funding)</t>
  </si>
  <si>
    <t>Sources</t>
  </si>
  <si>
    <t>To be updated only when required (e.g., change in SCMs and/or DOs list)</t>
  </si>
  <si>
    <t>List of SCMs and DOs for the 92 AMC countries</t>
  </si>
  <si>
    <t>Funding partners</t>
  </si>
  <si>
    <t>UNICEF</t>
  </si>
  <si>
    <t>WHO</t>
  </si>
  <si>
    <t>GAVI</t>
  </si>
  <si>
    <t>WB</t>
  </si>
  <si>
    <t>Others</t>
  </si>
  <si>
    <t>USAID</t>
  </si>
  <si>
    <t>Process status</t>
  </si>
  <si>
    <t>yes</t>
  </si>
  <si>
    <t>no</t>
  </si>
  <si>
    <t>Funding partners lead time targets</t>
  </si>
  <si>
    <t>Days from request received from disbursement</t>
  </si>
  <si>
    <t>TA requests</t>
  </si>
  <si>
    <t>TA support</t>
  </si>
  <si>
    <t>Overview of tracking (all requests)</t>
  </si>
  <si>
    <t>By amount of funds requested</t>
  </si>
  <si>
    <t>Data to be extracted for CoVDP Global KPIs Dashboard + Waterfall slides (overall snapshot shared during CCS meetings and Tuesday Funding Alignment calls)</t>
  </si>
  <si>
    <t>Process steps</t>
  </si>
  <si>
    <t>Amount of funds requested / to be disbursed (USD)</t>
  </si>
  <si>
    <t>Total</t>
  </si>
  <si>
    <t>Approved pending disbursement &lt;15 days</t>
  </si>
  <si>
    <t>Approved pending disbursement &gt;15 days</t>
  </si>
  <si>
    <t>By amount of funds requested and country</t>
  </si>
  <si>
    <t>Type of request</t>
  </si>
  <si>
    <t>(All)</t>
  </si>
  <si>
    <t>&lt;&lt; Refresh the table to see latest data</t>
  </si>
  <si>
    <t>Sum of Amount tracked through this row</t>
  </si>
  <si>
    <t>Column Labels</t>
  </si>
  <si>
    <t>Row Labels</t>
  </si>
  <si>
    <t>Burkina Faso</t>
  </si>
  <si>
    <t>Chad</t>
  </si>
  <si>
    <t>DRC</t>
  </si>
  <si>
    <t>Ethiopia</t>
  </si>
  <si>
    <t>Lao</t>
  </si>
  <si>
    <t>Sierra Leone</t>
  </si>
  <si>
    <t>South Sudan</t>
  </si>
  <si>
    <t>Yemen</t>
  </si>
  <si>
    <t>Ghana</t>
  </si>
  <si>
    <t>Nigeria</t>
  </si>
  <si>
    <t>Afghanistan</t>
  </si>
  <si>
    <t>Sudan</t>
  </si>
  <si>
    <t>Somalia</t>
  </si>
  <si>
    <t>Kenya</t>
  </si>
  <si>
    <t>Malawi</t>
  </si>
  <si>
    <t>Grand Total</t>
  </si>
  <si>
    <t>By number of request received and country</t>
  </si>
  <si>
    <t>Count of Amount tracked through this row</t>
  </si>
  <si>
    <t>Lead time from comprehensive request to disbursement of funds (all requests)</t>
  </si>
  <si>
    <t>Overall (since January 2022)</t>
  </si>
  <si>
    <t>Data to be extracted for CoVDP Global KPIs Dashboard + Waterfall slide (overall snapshot)</t>
  </si>
  <si>
    <t>Lead Time using Working Days</t>
  </si>
  <si>
    <t>Lead Time using Working Days and Gavi Adjustment as discussed</t>
  </si>
  <si>
    <t>Average lead time (Calendar Days) - Current</t>
  </si>
  <si>
    <r>
      <t xml:space="preserve">Average lead time (Days) - Last period </t>
    </r>
    <r>
      <rPr>
        <b/>
        <sz val="11"/>
        <color rgb="FFFF0000"/>
        <rFont val="Calibri"/>
        <family val="2"/>
        <scheme val="minor"/>
      </rPr>
      <t>(to be updated every 2 weeks, manually - Every Friday, Copy paste the cells D23-D26 in cells E23-26)</t>
    </r>
  </si>
  <si>
    <t>Average lead time (Working Days) - Current</t>
  </si>
  <si>
    <r>
      <t xml:space="preserve">Average lead time (Days) - Last period </t>
    </r>
    <r>
      <rPr>
        <b/>
        <sz val="8"/>
        <color rgb="FFFF0000"/>
        <rFont val="Calibri"/>
        <family val="2"/>
        <scheme val="minor"/>
      </rPr>
      <t>(to be updated every 2 weeks, manually - Every Friday, Copy paste the cells D23-D26 in cells E23-26)</t>
    </r>
  </si>
  <si>
    <t xml:space="preserve">Note: No average as Gavi uses a different metric to WHO and UNICEF in this table, as discussed 21/04/2022. </t>
  </si>
  <si>
    <t>By month (focus only on request disbursed during the month)</t>
  </si>
  <si>
    <t>Month</t>
  </si>
  <si>
    <t>Average lead time (Days)</t>
  </si>
  <si>
    <t>Focus on specific country - all types of requests</t>
  </si>
  <si>
    <t>Country &gt;&gt;</t>
  </si>
  <si>
    <t>&lt;&lt; Select a country to update the table below</t>
  </si>
  <si>
    <t>Data to be extracted for Waterfall slide focus on a specific country - The waterfall should be copy/paste on the bottom part of the "Country Dashboard slide" for the CCS calls</t>
  </si>
  <si>
    <t>Total urgent funding requests received</t>
  </si>
  <si>
    <t>Focus on urgent requests only</t>
  </si>
  <si>
    <t>By number of request received and countries</t>
  </si>
  <si>
    <t>By amount of funds requested and countries</t>
  </si>
  <si>
    <t>Focus on standard requests only</t>
  </si>
  <si>
    <t>By number of request received</t>
  </si>
  <si>
    <t>Standard</t>
  </si>
  <si>
    <t>Focus on Out of scope requests</t>
  </si>
  <si>
    <t>Out of scope</t>
  </si>
  <si>
    <t>Focus on TA requests</t>
  </si>
  <si>
    <t>Data to be extracted for CoVDP Global KPIs Dashboard</t>
  </si>
  <si>
    <t>Amount of funds requested / to be disbursed (USD) - TA requests only</t>
  </si>
  <si>
    <t>KPI</t>
  </si>
  <si>
    <t>% of TA funding requests fulfilled compared to total TA request received</t>
  </si>
  <si>
    <t>Details on the request</t>
  </si>
  <si>
    <t>Utilization rate (%)</t>
  </si>
  <si>
    <t>&lt;&lt; refresh the table to see the latest data</t>
  </si>
  <si>
    <t>Source of funding identified (Details)</t>
  </si>
  <si>
    <t>Country supported</t>
  </si>
  <si>
    <t>Average of Utilization rate</t>
  </si>
  <si>
    <t>Request ID</t>
  </si>
  <si>
    <t>ISO</t>
  </si>
  <si>
    <t>GAVI SCM</t>
  </si>
  <si>
    <t>CoVDP Desk Officer</t>
  </si>
  <si>
    <t>Total amount of funding request received initially (or amount of standard request discussed)</t>
  </si>
  <si>
    <t>Amount tracked through this row</t>
  </si>
  <si>
    <t>Link to documentation (WHO sharepoint)</t>
  </si>
  <si>
    <t>Initial recipient of the request</t>
  </si>
  <si>
    <t>Date of initial receipt of the request (Date)</t>
  </si>
  <si>
    <t>Detailed / formal funding request received (yes / no)</t>
  </si>
  <si>
    <t>Detailed / formal funding request received (Date)</t>
  </si>
  <si>
    <t>Sources of funding identified (yes / no / Identified as not urgent)</t>
  </si>
  <si>
    <t>Sources of funding identified (Date) - or standard request discussed during CoVDP Funding Alignment call</t>
  </si>
  <si>
    <t>Amount to be funded</t>
  </si>
  <si>
    <t>Allocation of funds internally approved by the funder (yes / no)</t>
  </si>
  <si>
    <t>Allocation of funds internally approved (Date)</t>
  </si>
  <si>
    <t>Funds disbursed (yes / no)</t>
  </si>
  <si>
    <t>Funds disbursed (Date)</t>
  </si>
  <si>
    <t>Funds disbursed (Month)</t>
  </si>
  <si>
    <t>Utilization rate</t>
  </si>
  <si>
    <t>Comments and detailed next steps</t>
  </si>
  <si>
    <t>Status</t>
  </si>
  <si>
    <t>Lead time from formal request received to today (days)</t>
  </si>
  <si>
    <t>Lead time from informal request received to today (days)2</t>
  </si>
  <si>
    <t>Lead time from formal request received to today (days - corrected)</t>
  </si>
  <si>
    <t>Lead time from sources identified to today (if not disbursed yet)</t>
  </si>
  <si>
    <t>Lead time from formal request received to disbursement of funds (calendar days)</t>
  </si>
  <si>
    <t>Lead time from formal request received to disbursement of funds (working days)</t>
  </si>
  <si>
    <t>Lead time from standard request discussed to disbursement of funds (working days) (for Gavi only)</t>
  </si>
  <si>
    <t>Comments</t>
  </si>
  <si>
    <t>Link to another row in the tracker</t>
  </si>
  <si>
    <t>Lead time risk level (from informal request to today)</t>
  </si>
  <si>
    <t>AFG</t>
  </si>
  <si>
    <t>TBD</t>
  </si>
  <si>
    <t>Urgent</t>
  </si>
  <si>
    <t>Potential urgent needs identified in CDS application (still tbd)</t>
  </si>
  <si>
    <t>Desk Officer</t>
  </si>
  <si>
    <t xml:space="preserve">Pending identification of the urgent needs included in the CDS application - Afghanistan did submit their CDS application for $11.2m, however based on our comments they are revising it and will resubmit request with probably $12-13M. Once submitted, we will review what will be covered by Gavi/CDS and what will be the funding gap. </t>
  </si>
  <si>
    <t>BFA</t>
  </si>
  <si>
    <t>Implementation and monitoring of vaccination campaign in 13 country states (378k$) + Pfizer vaccine supply (5k$) + Global mgt of vaccination activities (42k$) + Vaccination team salaries (75k$)</t>
  </si>
  <si>
    <t>https://worldhealthorg.sharepoint.com/:w:/r/sites/COVID19VaccineDeliveryFacility/Shared%20Documents/General/02%20Workstreams/02%20Delivery%20Funding/4.%20Funding%20requests/06.%20Burkina%20Faso/PROJET%20INTENSIFICATION%20VACCINATION%20COVID19_31_01_2022.docx?d=w670ff7dbaef54656b900c5fa0f5a627e&amp;csf=1&amp;web=1&amp;e=m1mW2R</t>
  </si>
  <si>
    <t>TCD</t>
  </si>
  <si>
    <t>National and provincial vaccination campaign</t>
  </si>
  <si>
    <t>Copy of Copy of Synthese macroplan bloc 2_dose 1_v06.01.xlsx</t>
  </si>
  <si>
    <t>To be confirmed with Simon</t>
  </si>
  <si>
    <t>Launch of vaccination campaign, pre financing of CDS2</t>
  </si>
  <si>
    <t>https://worldhealthorg.sharepoint.com/:x:/r/sites/COVID19VaccineDeliveryFacility/Shared%20Documents/General/02%20Workstreams/02%20Delivery%20Funding/4.%20Funding%20requests/05.%20Chad/Synthe%CC%80se%20macroplans%20provinces_2022.03.08_tv.xlsx?d=we7de3311341b4435adb2d96698a9e03c&amp;csf=1&amp;web=1&amp;e=rb6kIs</t>
  </si>
  <si>
    <t>Ann Lindstrand + SCM</t>
  </si>
  <si>
    <t>US$2,451,884 on implementation activities and US$ 548,116 on TA/contingency funds</t>
  </si>
  <si>
    <t>UNICEF TA for 6 months campaign (2 rounds)</t>
  </si>
  <si>
    <t>funding provided from fund already available in CO. $375k of this was ‘borrowed’ from sources of funding that would need to be reimbursed. We expect this to be taken care of through the next funding release from RO, so just to keep note of for now.</t>
  </si>
  <si>
    <t>WHO TA for 6 months campaign (2 rounds)</t>
  </si>
  <si>
    <t>COD</t>
  </si>
  <si>
    <t>Launch of a vaccination campaign in the 11 country states that are still facing very low vaccination rate (HCW salaries, transportation and mgt team)</t>
  </si>
  <si>
    <t>https://worldhealthorg.sharepoint.com/:w:/r/sites/COVID19VaccineDeliveryFacility/Shared%20Documents/General/02%20Workstreams/02%20Delivery%20Funding/4.%20Funding%20requests/03.%20DRC/Note%20conceptuelle%20sur%20Micro%20planification%20vaccination%20COVID19%20Fev2022.docx?d=w1a716909d45a45c4a1135da68f1ba590&amp;csf=1&amp;web=1&amp;e=TONA6r</t>
  </si>
  <si>
    <t>The payment for vaccinators from 3.5M funds already received in the CO will start on mid-March after the completing of the campaigns</t>
  </si>
  <si>
    <t>RCCE in DRC from the Red Cross</t>
  </si>
  <si>
    <t>PHASE II Strengthening Covid vaccination 06062022 (003).docx</t>
  </si>
  <si>
    <t xml:space="preserve">Adelaide and CT to discuss the request during the funding alignment </t>
  </si>
  <si>
    <t>ETH</t>
  </si>
  <si>
    <t>WHO Funding for Tigray region</t>
  </si>
  <si>
    <t>https://worldhealthorg.sharepoint.com/:w:/r/sites/COVID19VaccineDeliveryFacility/Shared%20Documents/General/02%20Workstreams/02%20Delivery%20Funding/4.%20Funding%20requests/01.%20Ethiopia/CN-%20COVID%2019%20Vax%20Campaign_Tigray_%20Ethiopia_%20Draft%20V3-%20April%2011%20(002).docx?d=wdf135e2d77ff49d0964a623f7ddd9208&amp;csf=1&amp;web=1&amp;e=1ws2M3</t>
  </si>
  <si>
    <t>Budget from WHO for the vaccination in Tigray. Approval of the funds to be disbursed on 4/27 - WHO meeting. 300k in the country office. Disbursement date confirmed by Renias Mukaro</t>
  </si>
  <si>
    <t>https://worldhealthorg.sharepoint.com/:p:/r/sites/COVID19VaccineDeliveryFacility/_layouts/15/Doc.aspx?action=view&amp;sourcedoc=%7B8132e0b7-007b-4aee-98dd-777e720d60a7%7D&amp;wdOrigin=TEAMS-WEB.teamsSdk.openFilePreview&amp;wdExp=TEAMS-CONTROL&amp;wdhostclicktime=1652272756901</t>
  </si>
  <si>
    <r>
      <t xml:space="preserve">ETH WHO CO has confirmed being in discussion with MoH on TA for a </t>
    </r>
    <r>
      <rPr>
        <u/>
        <sz val="11"/>
        <color theme="1"/>
        <rFont val="Calibri"/>
        <family val="2"/>
        <scheme val="minor"/>
      </rPr>
      <t>total of $2M</t>
    </r>
    <r>
      <rPr>
        <sz val="11"/>
        <color theme="1"/>
        <rFont val="Calibri"/>
        <family val="2"/>
        <scheme val="minor"/>
      </rPr>
      <t xml:space="preserve"> and they are in discussion with RO re funding for this.
Updated: value was agreed to be $2.4M. This is a funding for the expansion of the Measles campaign from 2 Years to a 5 year Cohort with integration of COVID-19 vaccination. The question from our end would now be, what are the funds to be used for now if we made them available? What's the next plan of action?</t>
    </r>
  </si>
  <si>
    <t>https://worldhealthorg.sharepoint.com/:f:/r/sites/COVID19VaccineDeliveryFacility/Shared%20Documents/General/02%20Workstreams/02%20Delivery%20Funding/4.%20Funding%20requests/01.%20Ethiopia?csf=1&amp;web=1&amp;e=DJKaUm</t>
  </si>
  <si>
    <r>
      <t>UNICEF’s ACT-A HAC Vaccine pillar: US$175,362</t>
    </r>
    <r>
      <rPr>
        <b/>
        <sz val="11"/>
        <color theme="1"/>
        <rFont val="Calibri"/>
        <family val="2"/>
        <scheme val="minor"/>
      </rPr>
      <t xml:space="preserve"> </t>
    </r>
    <r>
      <rPr>
        <sz val="11"/>
        <color theme="1"/>
        <rFont val="Calibri"/>
        <family val="2"/>
        <scheme val="minor"/>
      </rPr>
      <t>disbursed on March 11th / RCCE pillar: US$41,140 disbursed on March 14th</t>
    </r>
  </si>
  <si>
    <r>
      <t xml:space="preserve">Part of the round 3 of the vaccination campaign scheduled for mid/end May </t>
    </r>
    <r>
      <rPr>
        <b/>
        <sz val="11"/>
        <color theme="1"/>
        <rFont val="Calibri"/>
        <family val="2"/>
        <scheme val="minor"/>
      </rPr>
      <t>covered by UNICEF</t>
    </r>
  </si>
  <si>
    <t>https://worldhealthorg.sharepoint.com/:p:/r/sites/COVID19VaccineDeliveryFacility/Shared%20Documents/General/02%20Workstreams/02%20Delivery%20Funding/4.%20Funding%20requests/01.%20Ethiopia/Ethiopia_R3%20vaccination%20campaign.pptx?d=w8e900f25e99041e6985317c49229134e&amp;csf=1&amp;web=1&amp;e=Qwu2yj</t>
  </si>
  <si>
    <t>Budget from UNICEF for the R3 campaign. Ronke confirmed that the funds were sent to the country today</t>
  </si>
  <si>
    <t>UNICEF Funding for Tigray region</t>
  </si>
  <si>
    <t>GAVI CDS</t>
  </si>
  <si>
    <t>Budget from UNICEF for the vaccination in Tigray</t>
  </si>
  <si>
    <t>Benjamin email of 14 April mentioned "Transfer of funds to Tigray" - confirm when, who from and whether it met this request</t>
  </si>
  <si>
    <t>CDS application - Light contribution from CoVDP in terms of process (coordination)</t>
  </si>
  <si>
    <t>GHA</t>
  </si>
  <si>
    <t>Imran to follow up with the CT to confirm the need - Update expected on Mar 21-22nd</t>
  </si>
  <si>
    <t>KEN</t>
  </si>
  <si>
    <r>
      <t>Urgent funding request to c</t>
    </r>
    <r>
      <rPr>
        <b/>
        <sz val="11"/>
        <color theme="1"/>
        <rFont val="Calibri"/>
        <family val="2"/>
        <scheme val="minor"/>
      </rPr>
      <t>over national regional and sub-county training</t>
    </r>
    <r>
      <rPr>
        <sz val="11"/>
        <color theme="1"/>
        <rFont val="Calibri"/>
        <family val="2"/>
        <scheme val="minor"/>
      </rPr>
      <t xml:space="preserve">, </t>
    </r>
    <r>
      <rPr>
        <b/>
        <sz val="11"/>
        <color theme="1"/>
        <rFont val="Calibri"/>
        <family val="2"/>
        <scheme val="minor"/>
      </rPr>
      <t>facility and national oversight</t>
    </r>
  </si>
  <si>
    <t>https://worldhealthorg.sharepoint.com/:x:/r/sites/COVID19VaccineDeliveryFacility/Shared%20Documents/General/02%20Workstreams/02%20Delivery%20Funding/4.%20Funding%20requests/12.%20Kenya/Copy%20of%20Campaign%20training%20budget%20akim.xlsx?d=w87f7f2f30a7f4060a984a03ed9d2a808&amp;csf=1&amp;web=1&amp;e=6hAeO4</t>
  </si>
  <si>
    <t xml:space="preserve">Request shared by the Desk Officer in Kenya to be disscussed during the funding alignment call on Tuesday. Confirmation of disbursement from Mukaro </t>
  </si>
  <si>
    <t>LAO</t>
  </si>
  <si>
    <t>3 ambulance vehicules to support mobile service of COVID-19 vaccination in the hard-to-reach and low coverage areas​</t>
  </si>
  <si>
    <t>Diana</t>
  </si>
  <si>
    <t>GAVI to check if funding for ambulances has been included in the NBA received from Lao --&gt; Pending answer from SCM (07/03/2022) to confirm non urgency</t>
  </si>
  <si>
    <t>MWI</t>
  </si>
  <si>
    <t>Budget for the vaccination campaign starting in July in Malawi covered by WHO</t>
  </si>
  <si>
    <t>Copy of Malawi _CoVDP One Budget_Urgent Funding Request_Campaign July 2022.xlsx</t>
  </si>
  <si>
    <t>Amount for WHO confirmed by Ida Marie</t>
  </si>
  <si>
    <t>Budget for the vaccination campaign starting in July in Malawi covered by UNICEF</t>
  </si>
  <si>
    <t xml:space="preserve">Request shared by Ida Marie to be discussed during the funding alignment call on Tuesday June 21st </t>
  </si>
  <si>
    <t>NGA</t>
  </si>
  <si>
    <t>Funding request for a bundle campaign with C-19 vaccination, measle and yellow fever to take place in June</t>
  </si>
  <si>
    <t>https://worldhealthorg.sharepoint.com/:x:/r/sites/COVID19VaccineDeliveryFacility/Shared%20Documents/General/02%20Workstreams/02%20Delivery%20Funding/4.%20Funding%20requests/07.%20Nigeria/Copy%20of%20Budget%20integrated%20logistics%20and%20bundle%20campaigns%20%2021.04.2022.xlsx?d=w3dcbe702aa2245a0b62210084866b856&amp;csf=1&amp;web=1&amp;e=89YKze</t>
  </si>
  <si>
    <t>Approved and transferred US$5M to UNICEF Nigeria CO (date for tracking April 25, 2022). This will cover US$3.6M logistics and US$1.4M bundling of C19 vaccine campaign. The new allocation split from the budget submitted to us by UNICEF CO will slightly change the gaps for logistics costs and the campaign bundling costs estimated by the country team.</t>
  </si>
  <si>
    <t>Normal</t>
  </si>
  <si>
    <t>Nigerian Red Cross phase 2 plan for Covid vaccination scale up</t>
  </si>
  <si>
    <t>https://worldhealthorg.sharepoint.com/:b:/r/sites/COVID19VaccineDeliveryFacility/Shared%20Documents/General/02%20Workstreams/02%20Delivery%20Funding/4.%20Funding%20requests/07.%20Nigeria/Nigeria%20funding%20request%20-%20Fwd_%20%5BEXT%5D%20Covid%20Vaccination%20Partnership%20-%20Follow%20up.pdf?csf=1&amp;web=1&amp;e=FEjU1e</t>
  </si>
  <si>
    <t>Ann Lindstrand + Bhupinder Tomar (IFRC)</t>
  </si>
  <si>
    <t>Not confirmed yet - Only 9 out of 36 micro plan received from states - CT currently working to prepare plans and budgets and identify medium term funding support required. No discussion yet with the government. Not priority for Q2.</t>
  </si>
  <si>
    <t>Funding request to cover the logistics part not covered by the CDS application</t>
  </si>
  <si>
    <t>TA support covered by GAVI</t>
  </si>
  <si>
    <t>https://worldhealthorg.sharepoint.com/:x:/r/sites/COVID19VaccineDeliveryFacility/_layouts/15/Doc.aspx?action=view&amp;sourcedoc=%7B68ad8d34-9881-4165-94fb-df815074ce43%7D&amp;wdOrigin=TEAMS-WEB.teamsSdk.openFilePreview&amp;wdExp=TEAMS-CONTROL&amp;wdhostclicktime=1652273343790 and https://worldhealthorg.sharepoint.com/:u:/r/sites/COVID19VaccineDeliveryFacility/Shared%20Documents/General/02%20Workstreams/02%20Delivery%20Funding/4.%20Funding%20requests/07.%20Nigeria/FW%20Delivery%20partnership%20funding%20alignment%20call%20May%2010%20-%20Notes%20-%20Nigeria.msg?csf=1&amp;web=1&amp;e=MTvAxC</t>
  </si>
  <si>
    <t xml:space="preserve">Confirm whether GAVI to fund 6.2m in the TA request. Mona provided updates during the call on June 24th </t>
  </si>
  <si>
    <t>SLE</t>
  </si>
  <si>
    <t>Data management and waste management</t>
  </si>
  <si>
    <t>https://worldhealthorg.sharepoint.com/:b:/r/sites/COVID19VaccineDeliveryFacility/Shared%20Documents/General/02%20Workstreams/02%20Delivery%20Funding/4.%20Funding%20requests/08.%20Sierra%20Leone/RE_%20CoVDP%20Funding%20-%20Sierra%20Leone%20urgent%20funding%20need.pdf?csf=1&amp;web=1&amp;e=u3to3v</t>
  </si>
  <si>
    <t>1. In-country team shared revised urgent request - @Imran Mirza to coordinate with CT to confirm that there is no duplication with CDS application and then share formal request with CoVDP (update expected by March 31st)
2. WHO CO to confirm if the 2M$ currently available at country level could be mobilized to support urgent need - @Imran Mirza to follow up with the WHO CO
3. UNICEF confirmed that HAC funds can be disbursed if required – no immediate action      // Potential support from USAID to be confirmed</t>
  </si>
  <si>
    <t>SOM</t>
  </si>
  <si>
    <r>
      <t xml:space="preserve">Part of CDS request </t>
    </r>
    <r>
      <rPr>
        <b/>
        <sz val="11"/>
        <color theme="1"/>
        <rFont val="Calibri"/>
        <family val="2"/>
        <scheme val="minor"/>
      </rPr>
      <t>fullfilled by GAVI</t>
    </r>
  </si>
  <si>
    <t>https://worldhealthorg.sharepoint.com/:p:/r/sites/COVID19VaccineDeliveryFacility/Shared%20Documents/General/02%20Workstreams/02%20Delivery%20Funding/4.%20Funding%20requests/09.%20Somalia/20220419_CDS%20request%20overview_Somalia_DeliveryPartnership%20(1).pptx?d=we2234633878c4755814fef01ecdec6c0&amp;csf=1&amp;web=1&amp;e=4d7vHE</t>
  </si>
  <si>
    <t xml:space="preserve">To follow up with Abu and Patience </t>
  </si>
  <si>
    <r>
      <t xml:space="preserve">Part of CDS request </t>
    </r>
    <r>
      <rPr>
        <b/>
        <sz val="11"/>
        <color theme="1"/>
        <rFont val="Calibri"/>
        <family val="2"/>
        <scheme val="minor"/>
      </rPr>
      <t>not fulfilled by GAVI</t>
    </r>
    <r>
      <rPr>
        <sz val="11"/>
        <color theme="1"/>
        <rFont val="Calibri"/>
        <family val="2"/>
        <scheme val="minor"/>
      </rPr>
      <t xml:space="preserve"> and covered by WHO through German AA funds</t>
    </r>
  </si>
  <si>
    <t>https://worldhealthorg.sharepoint.com/:u:/r/sites/COVID19VaccineDeliveryFacility/Shared%20Documents/General/02%20Workstreams/02%20Delivery%20Funding/4.%20Funding%20requests/09.%20Somalia/FW%20New%20German%20COVID-19%20vaccine%20funding%20Briefing%20on%20grant%20procedures%20-%20Somalia.msg?csf=1&amp;web=1&amp;e=UTyqkW</t>
  </si>
  <si>
    <r>
      <t xml:space="preserve">Part of CDS request </t>
    </r>
    <r>
      <rPr>
        <b/>
        <sz val="11"/>
        <color theme="1"/>
        <rFont val="Calibri"/>
        <family val="2"/>
        <scheme val="minor"/>
      </rPr>
      <t>not fulfiled by GAVI and covered by WHO</t>
    </r>
  </si>
  <si>
    <t>https://worldhealthorg.sharepoint.com/:u:/r/sites/COVID19VaccineDeliveryFacility/Shared%20Documents/General/02%20Workstreams/02%20Delivery%20Funding/4.%20Funding%20requests/09.%20Somalia/FW%20Review%20of%20Pillar%2010%20Vx%20delivery%20partnership%20funding%20needs%20and%20availability.msg?csf=1&amp;web=1&amp;e=R7QOZF</t>
  </si>
  <si>
    <t>WHO meeting on 4/27 Somalia will get the 1.923MUS transferred from RO today</t>
  </si>
  <si>
    <t>CDS Budget TA  covered by WHO</t>
  </si>
  <si>
    <t>https://worldhealthorg.sharepoint.com/:u:/r/sites/COVID19VaccineDeliveryFacility/Shared%20Documents/General/02%20Workstreams/02%20Delivery%20Funding/4.%20Funding%20requests/09.%20Somalia/RE%20EXT%20RE%20CoVDP%20Concerted%20country%20support-%20Somalia%20.msg?csf=1&amp;web=1&amp;e=XAArr1</t>
  </si>
  <si>
    <t>WHO alignment meeting on the 5/18. Approval from Quamrul. 5/26 - WHO alignment meeting: Funds are available and can be transferred the CT when required</t>
  </si>
  <si>
    <r>
      <t xml:space="preserve">Part of CDS request </t>
    </r>
    <r>
      <rPr>
        <b/>
        <sz val="11"/>
        <color theme="1"/>
        <rFont val="Calibri"/>
        <family val="2"/>
        <scheme val="minor"/>
      </rPr>
      <t>not fulfilled by GAVI</t>
    </r>
    <r>
      <rPr>
        <sz val="11"/>
        <color theme="1"/>
        <rFont val="Calibri"/>
        <family val="2"/>
        <scheme val="minor"/>
      </rPr>
      <t xml:space="preserve"> and covered by UNICEF through German AA funds</t>
    </r>
  </si>
  <si>
    <t>German AA funds disbursed on June 1st - information shared by Nikhil</t>
  </si>
  <si>
    <t>SSD</t>
  </si>
  <si>
    <r>
      <t xml:space="preserve">Part of CDS application fullfilled by GAVI </t>
    </r>
    <r>
      <rPr>
        <sz val="11"/>
        <rFont val="Calibri"/>
        <family val="2"/>
        <scheme val="minor"/>
      </rPr>
      <t>and disbursed to UNICEF</t>
    </r>
  </si>
  <si>
    <t>https://worldhealthorg.sharepoint.com/:u:/r/sites/COVID19VaccineDeliveryFacility/Shared%20Documents/General/02%20Workstreams/02%20Delivery%20Funding/4.%20Funding%20requests/02.%20South%20Sudan/01.%20CDS%20application/RE%20Delivery%20partnership%20funding%20alignment%20call%20April%2019%20-%20Notes%20-%20South%20Sudan.msg?csf=1&amp;web=1&amp;e=ymlp6D</t>
  </si>
  <si>
    <t>Confirmation from Mona that part of the funds were disbursed in South Sudan</t>
  </si>
  <si>
    <r>
      <rPr>
        <b/>
        <sz val="11"/>
        <color theme="1"/>
        <rFont val="Calibri"/>
        <family val="2"/>
        <scheme val="minor"/>
      </rPr>
      <t>Part of CDS application</t>
    </r>
    <r>
      <rPr>
        <sz val="11"/>
        <color theme="1"/>
        <rFont val="Calibri"/>
        <family val="2"/>
        <scheme val="minor"/>
      </rPr>
      <t xml:space="preserve"> </t>
    </r>
    <r>
      <rPr>
        <b/>
        <sz val="11"/>
        <color theme="1"/>
        <rFont val="Calibri"/>
        <family val="2"/>
        <scheme val="minor"/>
      </rPr>
      <t>fullfiled by GAVI</t>
    </r>
    <r>
      <rPr>
        <sz val="11"/>
        <color theme="1"/>
        <rFont val="Calibri"/>
        <family val="2"/>
        <scheme val="minor"/>
      </rPr>
      <t xml:space="preserve"> and disbursed to WHO</t>
    </r>
  </si>
  <si>
    <t>https://worldhealthorg.sharepoint.com/:u:/r/sites/COVID19VaccineDeliveryFacility/Shared%20Documents/General/02%20Workstreams/02%20Delivery%20Funding/4.%20Funding%20requests/02.%20South%20Sudan/01.%20CDS%20application/South%20Sudan%20CDS%20%20Disbursements.msg?csf=1&amp;web=1&amp;e=FQO7ic</t>
  </si>
  <si>
    <t>Confirmation from Patience that the funds have been disrbused for WHO</t>
  </si>
  <si>
    <r>
      <t xml:space="preserve">Part of CDS application </t>
    </r>
    <r>
      <rPr>
        <b/>
        <sz val="11"/>
        <color theme="1"/>
        <rFont val="Calibri"/>
        <family val="2"/>
        <scheme val="minor"/>
      </rPr>
      <t>fulfilled by GAVI and disbursed to other partners</t>
    </r>
  </si>
  <si>
    <t>Confirmation from Mona of the disbursements</t>
  </si>
  <si>
    <r>
      <t xml:space="preserve">Part of the CDS </t>
    </r>
    <r>
      <rPr>
        <b/>
        <sz val="11"/>
        <color theme="1"/>
        <rFont val="Calibri"/>
        <family val="2"/>
        <scheme val="minor"/>
      </rPr>
      <t>application fullfilled by GAVI and disbursed to other partners</t>
    </r>
  </si>
  <si>
    <t>https://worldhealthorg.sharepoint.com/:u:/r/sites/COVID19VaccineDeliveryFacility/Shared%20Documents/General/02%20Workstreams/02%20Delivery%20Funding/4.%20Funding%20requests/02.%20South%20Sudan/01.%20CDS%20application/FW%20Delivery%20partnership%20funding%20alignment%20call%20May%2024%20-%20Notes.msg?csf=1&amp;web=1&amp;e=TjRwdl</t>
  </si>
  <si>
    <t xml:space="preserve">Of the $2.8m NBF funds, $2,429,705 is now disbursed from Gavi side to the main partners (HPF, Unicef and WHO). 60K is due to go out in June when IOM begin their grant and the remainder is signed into contracts based on deliverables, so with be paid on invoice. </t>
  </si>
  <si>
    <r>
      <t xml:space="preserve">Part of CDS application </t>
    </r>
    <r>
      <rPr>
        <b/>
        <sz val="11"/>
        <color theme="1"/>
        <rFont val="Calibri"/>
        <family val="2"/>
        <scheme val="minor"/>
      </rPr>
      <t xml:space="preserve">fulfilled by GAVI. </t>
    </r>
    <r>
      <rPr>
        <sz val="11"/>
        <color theme="1"/>
        <rFont val="Calibri"/>
        <family val="2"/>
        <scheme val="minor"/>
      </rPr>
      <t>Vaccination campaign with a target of 5.7M people vaccinated. Costs include: HR, trainings, supplies and equipment, transportation, social mobilization, waste management​</t>
    </r>
  </si>
  <si>
    <t>https://worldhealthorg.sharepoint.com/:x:/r/sites/COVID19VaccineDeliveryFacility/_layouts/15/Doc.aspx?sourcedoc=%7B44CAD809-70ED-4962-B421-B2768550C8A4%7D&amp;file=New%20South%20Sudan%20CDS%20Budget%20(Only%20Gavi%27s%20share).xlsm&amp;action=default&amp;mobileredirect=true</t>
  </si>
  <si>
    <t>Service contract. Disbursements paid when the contrat is delivered</t>
  </si>
  <si>
    <r>
      <t xml:space="preserve">Part of CDS application </t>
    </r>
    <r>
      <rPr>
        <b/>
        <sz val="11"/>
        <rFont val="Calibri"/>
        <family val="2"/>
        <scheme val="minor"/>
      </rPr>
      <t>not fulfilled by GAVI</t>
    </r>
    <r>
      <rPr>
        <sz val="11"/>
        <rFont val="Calibri"/>
        <family val="2"/>
        <scheme val="minor"/>
      </rPr>
      <t xml:space="preserve"> and requiring other partners support. Vaccination campaign with a target of 5.7M people vaccinated. Costs include: HR, trainings, supplies and equipment, transportation, social mobilization, waste management​</t>
    </r>
  </si>
  <si>
    <t>https://worldhealthorg.sharepoint.com/:x:/r/sites/COVID19VaccineDeliveryFacility/Shared%20Documents/General/02%20Workstreams/02%20Delivery%20Funding/4.%20Funding%20requests/02.%20South%20Sudan/01.%20CDS%20application/Initial%20South%20Sudan%20Budget%20.xlsm?d=w6ddf0b8ae2c14b1785b7e36d8ca4bfd0&amp;csf=1&amp;web=1&amp;e=h028k9</t>
  </si>
  <si>
    <t>Confirmed by Ronke. Note that before spending the money the CO have to provide some updates and meet conditions set at global level, however disbursement for UNICEF is taken as money sent to CO and so it is counted here. CO confirmed the receipt of fund on 04/14</t>
  </si>
  <si>
    <r>
      <t xml:space="preserve">Difference between the </t>
    </r>
    <r>
      <rPr>
        <b/>
        <sz val="11"/>
        <rFont val="Calibri"/>
        <family val="2"/>
        <scheme val="minor"/>
      </rPr>
      <t>UNICEF budget and the disbursed amount</t>
    </r>
  </si>
  <si>
    <t>Difference between the UNICEF budget and the disbursed amount. Flexible amount that has been reprogrammed to meet priority needs</t>
  </si>
  <si>
    <t>SDN</t>
  </si>
  <si>
    <r>
      <t xml:space="preserve">Budget required to fund vaccination campaign from July to december </t>
    </r>
    <r>
      <rPr>
        <b/>
        <sz val="11"/>
        <color theme="1"/>
        <rFont val="Calibri"/>
        <family val="2"/>
        <scheme val="minor"/>
      </rPr>
      <t>covered by WHO</t>
    </r>
  </si>
  <si>
    <t>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t>
  </si>
  <si>
    <t>Pending disbursement from WHO. Information shared by Osama</t>
  </si>
  <si>
    <t>CDS application</t>
  </si>
  <si>
    <t>https://worldhealthorg.sharepoint.com/:u:/r/sites/COVID19VaccineDeliveryFacility/Shared%20Documents/General/02%20Workstreams/02%20Delivery%20Funding/4.%20Funding%20requests/11.%20Sudan/Sudan%20confirmation%20of%20disbursement.msg?csf=1&amp;web=1&amp;e=R8bi6c</t>
  </si>
  <si>
    <t xml:space="preserve">Information shared by Mona during the funding alignment call. Approval by Seth the CEO on May 2nd  </t>
  </si>
  <si>
    <r>
      <t xml:space="preserve">Budget required to fund vaccintion from July to december </t>
    </r>
    <r>
      <rPr>
        <b/>
        <sz val="11"/>
        <color theme="1"/>
        <rFont val="Calibri"/>
        <family val="2"/>
        <scheme val="minor"/>
      </rPr>
      <t>covered by GAVI</t>
    </r>
  </si>
  <si>
    <t xml:space="preserve">Pending the one budget preparation from Ronke. Alignment on potential funders during the funding alignment call on May 17th </t>
  </si>
  <si>
    <r>
      <t xml:space="preserve">Budget required to fund vaccination campaign from July to december </t>
    </r>
    <r>
      <rPr>
        <b/>
        <sz val="11"/>
        <color theme="1"/>
        <rFont val="Calibri"/>
        <family val="2"/>
        <scheme val="minor"/>
      </rPr>
      <t>covered by UNICEF</t>
    </r>
  </si>
  <si>
    <t>Pending the one budget preparation from Ronke. Alignment on potential funders during the funding alignment call on May 17th. The funds will be transferred once the Sudan team finalize the budgets against envelopes provided by UNICEF, WHO and GAVI</t>
  </si>
  <si>
    <t>YEM</t>
  </si>
  <si>
    <t>Budget gaps identified through CDS process - Misalignment between Budget and request to be clarified</t>
  </si>
  <si>
    <t>https://worldhealthorg.sharepoint.com/:u:/r/sites/COVID19VaccineDeliveryFacility/Shared%20Documents/General/02%20Workstreams/02%20Delivery%20Funding/4.%20Funding%20requests/10.%20Yemen/RE%20EXT%20Agenda%20item%20for%20the%20April%2019%20CoVDP%20call%20-%20Somalia.msg?csf=1&amp;web=1&amp;e=pMylDa</t>
  </si>
  <si>
    <t>Misalignment between Budget / Gaps identified / Funding requested: @Abu Obeida Eltayeb (aeltayeb@unicef.org) to follow up with the Country Team to clarify the funding needs/gaps and request and confirm that there is no urgent support required
Following the clarification: @Anne Cronin and @Lindsey Cole to provide a specific view on what will be funded through CDS and what will require support from other partners</t>
  </si>
  <si>
    <t>Country</t>
  </si>
  <si>
    <t>Context</t>
  </si>
  <si>
    <t>Last update</t>
  </si>
  <si>
    <t>Actions identified</t>
  </si>
  <si>
    <t>Contingency funding requested for HCW salaries, (request currently under review with GAVI legal, part of a reprogrammed GAVI HSS funding) - 7M$</t>
  </si>
  <si>
    <t>1. MoU to be signed this week and HSS GAVI funds to be disbursed then: GAVI to confirm disbursement of funds to support EPI salaries --&gt; Signed and funds disbursed
2. CDS application to be submitted by March 23rd: Imran to follow up with Country Team and coordinate support to prepare application if needed</t>
  </si>
  <si>
    <t>UNICEF CO confirmed that they are able to transfer funds to the government but this approach will require a funding request from them: @Thierry Vincent and WHO CO to support the submission of this request</t>
  </si>
  <si>
    <t>Waterfall - Overview</t>
  </si>
  <si>
    <t>[Table automatized, using "Overview" data]</t>
  </si>
  <si>
    <t>Copy/paste cells in yellow in the thinkcell waterfall</t>
  </si>
  <si>
    <t>Total funding requests received by CoVDP</t>
  </si>
  <si>
    <t>Requests out of scope</t>
  </si>
  <si>
    <t>Pending additional details / comprehensive request</t>
  </si>
  <si>
    <t>Pending funders internal approval</t>
  </si>
  <si>
    <t xml:space="preserve">Approved, pending disbursement (&lt;15 days) </t>
  </si>
  <si>
    <t xml:space="preserve">Approved, pending disbursement (&gt;15 days) </t>
  </si>
  <si>
    <t>Total funds disbursed</t>
  </si>
  <si>
    <t>e</t>
  </si>
  <si>
    <t>Other</t>
  </si>
  <si>
    <t>Waterfall - Specific country (depending on country selected in cell D69 [Overview])</t>
  </si>
  <si>
    <t>Recipient country Name</t>
  </si>
  <si>
    <t>Membership</t>
  </si>
  <si>
    <t>Surge member</t>
  </si>
  <si>
    <t>Surge E-mail</t>
  </si>
  <si>
    <t>SCM E-mail</t>
  </si>
  <si>
    <t>DO E-mail</t>
  </si>
  <si>
    <t>AMC 57</t>
  </si>
  <si>
    <t>Marta</t>
  </si>
  <si>
    <t>murrutxi@gavi.org</t>
  </si>
  <si>
    <t>Veronique Maeva Fages</t>
  </si>
  <si>
    <t>vfages@gavi.org</t>
  </si>
  <si>
    <t>Imran</t>
  </si>
  <si>
    <t>imirza@unicef.org</t>
  </si>
  <si>
    <t>Albania</t>
  </si>
  <si>
    <t>SFP</t>
  </si>
  <si>
    <t>Rosie Grieves</t>
  </si>
  <si>
    <t>rgrieves@gavi.org</t>
  </si>
  <si>
    <t>Algeria</t>
  </si>
  <si>
    <t>AMC 35</t>
  </si>
  <si>
    <t>Sam Muller</t>
  </si>
  <si>
    <t>smuller@gavi.org</t>
  </si>
  <si>
    <t>Miriam Faid</t>
  </si>
  <si>
    <t>Andorra</t>
  </si>
  <si>
    <t>Angola</t>
  </si>
  <si>
    <t>Pietro di Mattei</t>
  </si>
  <si>
    <t>pdimattei@gavi.org</t>
  </si>
  <si>
    <t>Antigua and Barbuda</t>
  </si>
  <si>
    <t>Joanna Wisniewska</t>
  </si>
  <si>
    <t>jwisniewska@gavi.org</t>
  </si>
  <si>
    <t>Argentina</t>
  </si>
  <si>
    <t>Courtney Burks</t>
  </si>
  <si>
    <t>cburks@gavi.org</t>
  </si>
  <si>
    <t>Armenia</t>
  </si>
  <si>
    <t>Australia</t>
  </si>
  <si>
    <t>Yoshinobu Nagamine</t>
  </si>
  <si>
    <t>ynagamine@Gavi.org</t>
  </si>
  <si>
    <t>Azerbaijan</t>
  </si>
  <si>
    <t>Bahamas</t>
  </si>
  <si>
    <t>Bahrain</t>
  </si>
  <si>
    <t>Faisal Gilani</t>
  </si>
  <si>
    <t>fgilani@gavi.org</t>
  </si>
  <si>
    <t>Bangladesh</t>
  </si>
  <si>
    <t>Harrison</t>
  </si>
  <si>
    <t>hkiambuthi@gavi.org</t>
  </si>
  <si>
    <t>Nilgun Aydogan</t>
  </si>
  <si>
    <t>naydogan@gavi.org</t>
  </si>
  <si>
    <t>Barbados</t>
  </si>
  <si>
    <t>Belize</t>
  </si>
  <si>
    <t>Benin</t>
  </si>
  <si>
    <t>Rachel</t>
  </si>
  <si>
    <t>rbauquerez@gavi.org</t>
  </si>
  <si>
    <t>Komi Alain Ahawo</t>
  </si>
  <si>
    <t>kahawo@gavi.org</t>
  </si>
  <si>
    <t>Bermuda</t>
  </si>
  <si>
    <t>Molly Ewing</t>
  </si>
  <si>
    <t>mewing@gavi.org</t>
  </si>
  <si>
    <t>Bhutan</t>
  </si>
  <si>
    <t>Alice Nader</t>
  </si>
  <si>
    <t>anader@gavi.org</t>
  </si>
  <si>
    <t>Bolivia (Plurinational State of)</t>
  </si>
  <si>
    <t>Maria-Jose Meza-Cuadra</t>
  </si>
  <si>
    <t>mmeza@gavi.org</t>
  </si>
  <si>
    <t>Bosnia and Herzegovina</t>
  </si>
  <si>
    <t>Botswana</t>
  </si>
  <si>
    <t>Dalya Elziniy</t>
  </si>
  <si>
    <t>delziniy@gavi.org</t>
  </si>
  <si>
    <t>Brazil</t>
  </si>
  <si>
    <t>Brunei Darussalam</t>
  </si>
  <si>
    <t>Antoinette Awaga</t>
  </si>
  <si>
    <t>eawaga@gavi.org</t>
  </si>
  <si>
    <t>Edinam</t>
  </si>
  <si>
    <t>Burundi</t>
  </si>
  <si>
    <t>Adelaide</t>
  </si>
  <si>
    <t>ADELAIDE.DAVIS@ifrc.org</t>
  </si>
  <si>
    <t>Cabo Verde</t>
  </si>
  <si>
    <t xml:space="preserve">Miriam Faid </t>
  </si>
  <si>
    <t>mfaid@gavi.org</t>
  </si>
  <si>
    <t>Cambodia</t>
  </si>
  <si>
    <t>Cameroon</t>
  </si>
  <si>
    <t>Rehan Hafiz</t>
  </si>
  <si>
    <t>rhafiz@gavi.org</t>
  </si>
  <si>
    <t>Canada</t>
  </si>
  <si>
    <t>Paula Gonzalez</t>
  </si>
  <si>
    <t>pgonzalez@gavi.org</t>
  </si>
  <si>
    <t>Cayman Islands</t>
  </si>
  <si>
    <t>Central African Republic</t>
  </si>
  <si>
    <t>Souleymane Kanon</t>
  </si>
  <si>
    <t>skanon@gavi.org</t>
  </si>
  <si>
    <t>Thierry Vincent</t>
  </si>
  <si>
    <t>tvincent@gavi.org</t>
  </si>
  <si>
    <t>Simon</t>
  </si>
  <si>
    <t>mbunyas@who.int</t>
  </si>
  <si>
    <t>Chile</t>
  </si>
  <si>
    <t>China</t>
  </si>
  <si>
    <t>Shengxin Zhang</t>
  </si>
  <si>
    <t>szhang@gavi.org</t>
  </si>
  <si>
    <t>Colombia</t>
  </si>
  <si>
    <t>Comoros</t>
  </si>
  <si>
    <t>Magdi Ibrahim</t>
  </si>
  <si>
    <t>mibrahim@gavi.org</t>
  </si>
  <si>
    <t>Costa Rica</t>
  </si>
  <si>
    <t>Côte d'Ivoire</t>
  </si>
  <si>
    <t>Cuba</t>
  </si>
  <si>
    <t>Djibouti</t>
  </si>
  <si>
    <t>Jessica Crawford</t>
  </si>
  <si>
    <t>jcrawford@gavi.org</t>
  </si>
  <si>
    <t>Dominica</t>
  </si>
  <si>
    <t>Dr Raveesha R Mugali</t>
  </si>
  <si>
    <t>rmugali@gavi.org</t>
  </si>
  <si>
    <t>Dominican Republic</t>
  </si>
  <si>
    <t>DPRK</t>
  </si>
  <si>
    <t>Dirk Gehl</t>
  </si>
  <si>
    <t>dgehl@gavi.org</t>
  </si>
  <si>
    <t>Cyril Nogier</t>
  </si>
  <si>
    <t>cnogier@gavi.org</t>
  </si>
  <si>
    <t>Ecuador</t>
  </si>
  <si>
    <t>Egypt</t>
  </si>
  <si>
    <t>El Salvador</t>
  </si>
  <si>
    <t>Maria Isabella Paez</t>
  </si>
  <si>
    <t>mpaez-external-consultant@gavi.org</t>
  </si>
  <si>
    <t>Equatorial Guinea</t>
  </si>
  <si>
    <t>Eritrea</t>
  </si>
  <si>
    <t>Eswatini</t>
  </si>
  <si>
    <t>Tito Rwamushaija</t>
  </si>
  <si>
    <t>trwamushaija@gavi.org</t>
  </si>
  <si>
    <t>William</t>
  </si>
  <si>
    <t>wmenson@gavi.org</t>
  </si>
  <si>
    <t>Fiji</t>
  </si>
  <si>
    <t>Sophie Chadwick</t>
  </si>
  <si>
    <t>schadwick@gavi.org</t>
  </si>
  <si>
    <t>Gabon</t>
  </si>
  <si>
    <t>Gambia</t>
  </si>
  <si>
    <t>Jonna Jeurlink</t>
  </si>
  <si>
    <t>jjeurlink@gavi.org</t>
  </si>
  <si>
    <t>Georgia</t>
  </si>
  <si>
    <t xml:space="preserve">Rachel </t>
  </si>
  <si>
    <t>Aichatou Cisse</t>
  </si>
  <si>
    <t>acisse@gavi.org</t>
  </si>
  <si>
    <t>Grenada</t>
  </si>
  <si>
    <t>Guatemala</t>
  </si>
  <si>
    <t>Guinea</t>
  </si>
  <si>
    <t>Guinea-Bissau</t>
  </si>
  <si>
    <t>Guyana</t>
  </si>
  <si>
    <t>Haiti</t>
  </si>
  <si>
    <t>Tarek Elshimi</t>
  </si>
  <si>
    <t>telshimi@gavi.org</t>
  </si>
  <si>
    <t>Honduras</t>
  </si>
  <si>
    <t>India</t>
  </si>
  <si>
    <t>Homero Hernandez</t>
  </si>
  <si>
    <t>hhernandez@gavi.org</t>
  </si>
  <si>
    <t>Indonesia</t>
  </si>
  <si>
    <t>Iran, Islamic Republic of</t>
  </si>
  <si>
    <t>Iraq</t>
  </si>
  <si>
    <t>Israel</t>
  </si>
  <si>
    <t>Jamaica</t>
  </si>
  <si>
    <t>Japan</t>
  </si>
  <si>
    <t>Chika Kitajima</t>
  </si>
  <si>
    <t>ckitajima@gavi.org</t>
  </si>
  <si>
    <t>Jordan</t>
  </si>
  <si>
    <t>Adidja</t>
  </si>
  <si>
    <t>Kiribati</t>
  </si>
  <si>
    <t>Kosovo</t>
  </si>
  <si>
    <t>Kuwait</t>
  </si>
  <si>
    <t>Kyrgyzstan</t>
  </si>
  <si>
    <t>Jamilya Sherova</t>
  </si>
  <si>
    <t>jsherova@gavi.org</t>
  </si>
  <si>
    <t>Nadia Lasri</t>
  </si>
  <si>
    <t>nlasri@gavi.org</t>
  </si>
  <si>
    <t>Lebanon</t>
  </si>
  <si>
    <t>Lesotho</t>
  </si>
  <si>
    <t>Billie Nieuwenhuys</t>
  </si>
  <si>
    <t>bnieuwenhuys@gavi.org</t>
  </si>
  <si>
    <t>Liberia</t>
  </si>
  <si>
    <t>Libya</t>
  </si>
  <si>
    <t>Madagascar</t>
  </si>
  <si>
    <t>Malaysia</t>
  </si>
  <si>
    <t>Maldives</t>
  </si>
  <si>
    <t>Mali</t>
  </si>
  <si>
    <t>Marshall Islands</t>
  </si>
  <si>
    <t>Mauritania</t>
  </si>
  <si>
    <t>Mauritius</t>
  </si>
  <si>
    <t>Mexico</t>
  </si>
  <si>
    <t>Micronesia</t>
  </si>
  <si>
    <t>Moldova</t>
  </si>
  <si>
    <t>Norbert Rakiro</t>
  </si>
  <si>
    <t>nrakiro@gavi.org</t>
  </si>
  <si>
    <t>Monaco</t>
  </si>
  <si>
    <t>Eduard Molnar</t>
  </si>
  <si>
    <t>emolnar@gavi.org;</t>
  </si>
  <si>
    <t>Mongolia</t>
  </si>
  <si>
    <t>Montenegro</t>
  </si>
  <si>
    <t>Montserrat</t>
  </si>
  <si>
    <t>Morocco</t>
  </si>
  <si>
    <t>Mozambique</t>
  </si>
  <si>
    <t>Pietro Di Mattei</t>
  </si>
  <si>
    <t>Myanmar</t>
  </si>
  <si>
    <t>Namibia</t>
  </si>
  <si>
    <t>Nauru</t>
  </si>
  <si>
    <t>Nepal</t>
  </si>
  <si>
    <t>New Zealand</t>
  </si>
  <si>
    <t>Nicaragua</t>
  </si>
  <si>
    <t>Niger</t>
  </si>
  <si>
    <t>Hamidreza Setayesh</t>
  </si>
  <si>
    <t>hsetayesh@gavi.org</t>
  </si>
  <si>
    <t>North Macedonia</t>
  </si>
  <si>
    <t>Oman</t>
  </si>
  <si>
    <t>Pakistan</t>
  </si>
  <si>
    <t>Alexa Reynolds</t>
  </si>
  <si>
    <t>areynolds@gavi.org</t>
  </si>
  <si>
    <t>Palau</t>
  </si>
  <si>
    <t>Panama</t>
  </si>
  <si>
    <t>Papua New Guinea</t>
  </si>
  <si>
    <t>Carrie Gheen</t>
  </si>
  <si>
    <t>cgheen@gavi.org</t>
  </si>
  <si>
    <t>Paraguay</t>
  </si>
  <si>
    <t>Peru</t>
  </si>
  <si>
    <t>Philippines</t>
  </si>
  <si>
    <t>Qatar</t>
  </si>
  <si>
    <t>Rwanda</t>
  </si>
  <si>
    <t>Saint Lucia</t>
  </si>
  <si>
    <t>Saint Vincent and the Grenadines</t>
  </si>
  <si>
    <t>Samoa</t>
  </si>
  <si>
    <t>Sao Tome and Principe</t>
  </si>
  <si>
    <t>aichatou Cisse</t>
  </si>
  <si>
    <t>Saudi Arabia</t>
  </si>
  <si>
    <t>Senegal</t>
  </si>
  <si>
    <t>Serbia</t>
  </si>
  <si>
    <t>Seychelles</t>
  </si>
  <si>
    <t>Singapore</t>
  </si>
  <si>
    <t>Solomon Islands</t>
  </si>
  <si>
    <t>Patience Musanhu</t>
  </si>
  <si>
    <t>pmusanhu@gavi.org</t>
  </si>
  <si>
    <t>Abu</t>
  </si>
  <si>
    <t>aeltayeb@unicef.org</t>
  </si>
  <si>
    <t>South Africa</t>
  </si>
  <si>
    <t>Ugo Ikpeazu</t>
  </si>
  <si>
    <t>uikpeazu-external-consultant@gavi.org</t>
  </si>
  <si>
    <t>South Korea</t>
  </si>
  <si>
    <t>Ida Marie</t>
  </si>
  <si>
    <t>iameda@unicef.org</t>
  </si>
  <si>
    <t>Sri Lanka</t>
  </si>
  <si>
    <t>Anne Cronin</t>
  </si>
  <si>
    <t>acronin@gavi.org</t>
  </si>
  <si>
    <t>Suriname</t>
  </si>
  <si>
    <t>Switzerland</t>
  </si>
  <si>
    <t>Syria Damascus</t>
  </si>
  <si>
    <t>Syria North</t>
  </si>
  <si>
    <t>Syrian Arab Republic</t>
  </si>
  <si>
    <t>Tajikistan</t>
  </si>
  <si>
    <t>Tanzania</t>
  </si>
  <si>
    <t>Timor-Leste</t>
  </si>
  <si>
    <t>Togo</t>
  </si>
  <si>
    <t>Tonga</t>
  </si>
  <si>
    <t>Trinidad and Tobago</t>
  </si>
  <si>
    <t>Tunisia</t>
  </si>
  <si>
    <t>Turks and Caicos Islands</t>
  </si>
  <si>
    <t>Tuvalu</t>
  </si>
  <si>
    <t>Uganda</t>
  </si>
  <si>
    <t>Ukraine</t>
  </si>
  <si>
    <t>United Arab Emirates</t>
  </si>
  <si>
    <t>Uruguay</t>
  </si>
  <si>
    <t>Uzbekistan</t>
  </si>
  <si>
    <t>Vanuatu</t>
  </si>
  <si>
    <t>Venezuela</t>
  </si>
  <si>
    <t>Vietnam</t>
  </si>
  <si>
    <t>Alice</t>
  </si>
  <si>
    <t>West Bank &amp; Gaza</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</si>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</sst>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quot;$&quot;* #,##0.00_);_(&quot;$&quot;* \(#,##0.00\);_(&quot;$&quot;* &quot;-&quot;??_);_(@_)"/>
    <numFmt numFmtId="165" formatCode="_(* #,##0.00_);_(* \(#,##0.00\);_(* &quot;-&quot;??_);_(@_)"/>
    <numFmt numFmtId="166" formatCode="_-* #,##0.00_-;\-* #,##0.00_-;_-* &quot;-&quot;??_-;_-@_-"/>
    <numFmt numFmtId="167" formatCode="_-* #,##0.00\ &quot;€&quot;_-;\-* #,##0.00\ &quot;€&quot;_-;_-* &quot;-&quot;??\ &quot;€&quot;_-;_-@_-"/>
    <numFmt numFmtId="168" formatCode="_-* #,##0_-;\-* #,##0_-;_-* &quot;-&quot;??_-;_-@_-"/>
    <numFmt numFmtId="169" formatCode="_-[$$-409]* #,##0_ ;_-[$$-409]* \-#,##0\ ;_-[$$-409]* &quot;-&quot;??_ ;_-@_ "/>
    <numFmt numFmtId="170" formatCode="0.0"/>
  </numFmts>
  <fonts count="30"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u/>
      <sz val="11"/>
      <color rgb="FF0000FF"/>
      <name val="Calibri"/>
      <family val="2"/>
      <scheme val="minor"/>
    </font>
    <font>
      <sz val="11"/>
      <color rgb="FF444444"/>
      <name val="Calibri"/>
      <family val="2"/>
      <charset val="1"/>
      <scheme val="minor"/>
    </font>
    <font>
      <sz val="14"/>
      <color theme="1"/>
      <name val="Calibri"/>
      <family val="2"/>
      <scheme val="minor"/>
    </font>
    <font>
      <sz val="11"/>
      <color theme="0" tint="-0.249977111117893"/>
      <name val="Calibri"/>
      <family val="2"/>
      <scheme val="minor"/>
    </font>
    <font>
      <b/>
      <sz val="11"/>
      <color theme="1"/>
      <name val="Calibri"/>
      <family val="2"/>
      <scheme val="minor"/>
    </font>
    <font>
      <b/>
      <sz val="18"/>
      <color theme="8" tint="-0.499984740745262"/>
      <name val="Calibri"/>
      <family val="2"/>
      <scheme val="minor"/>
    </font>
    <font>
      <sz val="11"/>
      <color rgb="FFFF0000"/>
      <name val="Calibri"/>
      <family val="2"/>
      <scheme val="minor"/>
    </font>
    <font>
      <sz val="11"/>
      <color theme="2"/>
      <name val="Calibri"/>
      <family val="2"/>
      <scheme val="minor"/>
    </font>
    <font>
      <sz val="11"/>
      <name val="Calibri"/>
      <family val="2"/>
      <scheme val="minor"/>
    </font>
    <font>
      <b/>
      <sz val="16"/>
      <color rgb="FF00B050"/>
      <name val="Calibri"/>
      <family val="2"/>
      <scheme val="minor"/>
    </font>
    <font>
      <b/>
      <sz val="11"/>
      <name val="Calibri"/>
      <family val="2"/>
      <scheme val="minor"/>
    </font>
    <font>
      <b/>
      <sz val="11"/>
      <color rgb="FFFF0000"/>
      <name val="Calibri"/>
      <family val="2"/>
      <scheme val="minor"/>
    </font>
    <font>
      <i/>
      <sz val="11"/>
      <color rgb="FFFF0000"/>
      <name val="Calibri"/>
      <family val="2"/>
      <scheme val="minor"/>
    </font>
    <font>
      <b/>
      <sz val="11"/>
      <color rgb="FF00B050"/>
      <name val="Calibri"/>
      <family val="2"/>
      <scheme val="minor"/>
    </font>
    <font>
      <sz val="11"/>
      <color theme="9" tint="0.79998168889431442"/>
      <name val="Calibri"/>
      <family val="2"/>
      <scheme val="minor"/>
    </font>
    <font>
      <b/>
      <sz val="12"/>
      <color rgb="FFFF0000"/>
      <name val="Calibri"/>
      <family val="2"/>
      <scheme val="minor"/>
    </font>
    <font>
      <sz val="8"/>
      <name val="Calibri"/>
      <family val="2"/>
      <scheme val="minor"/>
    </font>
    <font>
      <u/>
      <sz val="11"/>
      <color theme="1"/>
      <name val="Calibri"/>
      <family val="2"/>
      <scheme val="minor"/>
    </font>
    <font>
      <b/>
      <sz val="8"/>
      <color rgb="FFFF0000"/>
      <name val="Calibri"/>
      <family val="2"/>
      <scheme val="minor"/>
    </font>
    <font>
      <sz val="8"/>
      <color theme="1"/>
      <name val="Calibri"/>
      <family val="2"/>
      <scheme val="minor"/>
    </font>
    <font>
      <sz val="10"/>
      <color rgb="FF000000"/>
      <name val="Arial"/>
      <family val="2"/>
    </font>
    <font>
      <sz val="11"/>
      <color theme="1"/>
      <name val="Arial"/>
      <family val="2"/>
    </font>
    <font>
      <sz val="10"/>
      <name val="Arial"/>
      <family val="2"/>
    </font>
    <font>
      <sz val="11"/>
      <color rgb="FF000000"/>
      <name val="Calibri"/>
      <family val="2"/>
    </font>
  </fonts>
  <fills count="22">
    <fill>
      <patternFill patternType="none"/>
    </fill>
    <fill>
      <patternFill patternType="gray125"/>
    </fill>
    <fill>
      <patternFill patternType="solid">
        <fgColor rgb="FF2E3558"/>
        <bgColor indexed="64"/>
      </patternFill>
    </fill>
    <fill>
      <patternFill patternType="solid">
        <fgColor theme="8" tint="-0.499984740745262"/>
        <bgColor rgb="FF4F81BD"/>
      </patternFill>
    </fill>
    <fill>
      <patternFill patternType="solid">
        <fgColor rgb="FFDCE6F1"/>
        <bgColor rgb="FFDCE6F1"/>
      </patternFill>
    </fill>
    <fill>
      <patternFill patternType="solid">
        <fgColor rgb="FFFFFF00"/>
        <bgColor indexed="64"/>
      </patternFill>
    </fill>
    <fill>
      <patternFill patternType="solid">
        <fgColor rgb="FF197A56"/>
        <bgColor indexed="64"/>
      </patternFill>
    </fill>
    <fill>
      <patternFill patternType="solid">
        <fgColor rgb="FF295E7E"/>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0.249977111117893"/>
        <bgColor indexed="64"/>
      </patternFill>
    </fill>
    <fill>
      <patternFill patternType="solid">
        <fgColor theme="0"/>
        <bgColor indexed="64"/>
      </patternFill>
    </fill>
    <fill>
      <patternFill patternType="solid">
        <fgColor rgb="FFE71C57"/>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6"/>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4"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theme="4" tint="-0.249977111117893"/>
      </bottom>
      <diagonal/>
    </border>
    <border>
      <left/>
      <right/>
      <top/>
      <bottom style="thin">
        <color theme="4" tint="0.39997558519241921"/>
      </bottom>
      <diagonal/>
    </border>
    <border>
      <left style="thin">
        <color indexed="64"/>
      </left>
      <right style="thin">
        <color indexed="64"/>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2">
    <xf numFmtId="0" fontId="0" fillId="0" borderId="0"/>
    <xf numFmtId="166" fontId="1" fillId="0" borderId="0" applyFont="0" applyFill="0" applyBorder="0" applyAlignment="0" applyProtection="0"/>
    <xf numFmtId="167" fontId="1" fillId="0" borderId="0" applyFon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14" fillId="0" borderId="0"/>
    <xf numFmtId="166" fontId="1" fillId="0" borderId="0" applyFont="0" applyFill="0" applyBorder="0" applyAlignment="0" applyProtection="0"/>
    <xf numFmtId="165" fontId="26" fillId="0" borderId="0" applyFont="0" applyFill="0" applyBorder="0" applyAlignment="0" applyProtection="0"/>
    <xf numFmtId="164" fontId="1" fillId="0" borderId="0" applyFont="0" applyFill="0" applyBorder="0" applyAlignment="0" applyProtection="0"/>
    <xf numFmtId="0" fontId="26" fillId="0" borderId="0"/>
    <xf numFmtId="0" fontId="29" fillId="0" borderId="0">
      <protection locked="0"/>
    </xf>
    <xf numFmtId="0" fontId="28" fillId="0" borderId="0"/>
  </cellStyleXfs>
  <cellXfs count="212">
    <xf numFmtId="0" fontId="0" fillId="0" borderId="0" xfId="0"/>
    <xf numFmtId="168" fontId="0" fillId="0" borderId="0" xfId="1" applyNumberFormat="1" applyFont="1"/>
    <xf numFmtId="14" fontId="0" fillId="0" borderId="0" xfId="0" applyNumberFormat="1"/>
    <xf numFmtId="0" fontId="3" fillId="2" borderId="0" xfId="0" applyFont="1" applyFill="1"/>
    <xf numFmtId="0" fontId="2" fillId="3" borderId="0" xfId="0" applyFont="1" applyFill="1"/>
    <xf numFmtId="0" fontId="5" fillId="4" borderId="0" xfId="0" applyFont="1" applyFill="1"/>
    <xf numFmtId="0" fontId="4" fillId="4" borderId="0" xfId="3" applyFill="1"/>
    <xf numFmtId="0" fontId="5" fillId="0" borderId="0" xfId="0" applyFont="1"/>
    <xf numFmtId="0" fontId="4" fillId="0" borderId="0" xfId="3"/>
    <xf numFmtId="0" fontId="6" fillId="0" borderId="0" xfId="0" applyFont="1"/>
    <xf numFmtId="0" fontId="7" fillId="4" borderId="0" xfId="0" applyFont="1" applyFill="1"/>
    <xf numFmtId="0" fontId="7" fillId="0" borderId="0" xfId="0" applyFont="1"/>
    <xf numFmtId="2" fontId="0" fillId="0" borderId="0" xfId="0" applyNumberFormat="1"/>
    <xf numFmtId="1" fontId="0" fillId="0" borderId="0" xfId="0" applyNumberFormat="1"/>
    <xf numFmtId="0" fontId="3" fillId="6" borderId="0" xfId="0" applyFont="1" applyFill="1"/>
    <xf numFmtId="0" fontId="0" fillId="0" borderId="0" xfId="0" applyAlignment="1">
      <alignment wrapText="1"/>
    </xf>
    <xf numFmtId="0" fontId="3" fillId="7" borderId="0" xfId="0" applyFont="1" applyFill="1"/>
    <xf numFmtId="0" fontId="3" fillId="0" borderId="0" xfId="0" applyFont="1"/>
    <xf numFmtId="0" fontId="0" fillId="5" borderId="0" xfId="0" applyFill="1"/>
    <xf numFmtId="0" fontId="8" fillId="8" borderId="0" xfId="0" applyFont="1" applyFill="1"/>
    <xf numFmtId="0" fontId="8" fillId="0" borderId="0" xfId="0" applyFont="1"/>
    <xf numFmtId="0" fontId="8" fillId="9" borderId="0" xfId="0" applyFont="1" applyFill="1"/>
    <xf numFmtId="0" fontId="3" fillId="10" borderId="3" xfId="0" applyFont="1" applyFill="1" applyBorder="1"/>
    <xf numFmtId="0" fontId="3" fillId="10"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3" fillId="10" borderId="11" xfId="0" applyFont="1" applyFill="1" applyBorder="1"/>
    <xf numFmtId="0" fontId="0" fillId="0" borderId="10" xfId="0" applyBorder="1"/>
    <xf numFmtId="0" fontId="9" fillId="0" borderId="0" xfId="0" applyFont="1"/>
    <xf numFmtId="0" fontId="0" fillId="9" borderId="0" xfId="0" applyFill="1"/>
    <xf numFmtId="0" fontId="0" fillId="9" borderId="6" xfId="0" applyFill="1" applyBorder="1"/>
    <xf numFmtId="168" fontId="0" fillId="0" borderId="2" xfId="1" applyNumberFormat="1" applyFont="1" applyBorder="1"/>
    <xf numFmtId="168" fontId="0" fillId="0" borderId="3" xfId="1" applyNumberFormat="1" applyFont="1" applyBorder="1"/>
    <xf numFmtId="168" fontId="0" fillId="0" borderId="4" xfId="1" applyNumberFormat="1" applyFont="1" applyBorder="1"/>
    <xf numFmtId="168" fontId="0" fillId="0" borderId="5" xfId="1" applyNumberFormat="1" applyFont="1" applyBorder="1"/>
    <xf numFmtId="168" fontId="0" fillId="0" borderId="0" xfId="1" applyNumberFormat="1" applyFont="1" applyBorder="1"/>
    <xf numFmtId="168" fontId="0" fillId="0" borderId="6" xfId="1" applyNumberFormat="1" applyFont="1" applyBorder="1"/>
    <xf numFmtId="168" fontId="0" fillId="0" borderId="7" xfId="1" applyNumberFormat="1" applyFont="1" applyBorder="1"/>
    <xf numFmtId="168" fontId="0" fillId="0" borderId="8" xfId="1" applyNumberFormat="1" applyFont="1" applyBorder="1"/>
    <xf numFmtId="168" fontId="0" fillId="0" borderId="9" xfId="1" applyNumberFormat="1" applyFont="1" applyBorder="1"/>
    <xf numFmtId="168" fontId="0" fillId="11" borderId="0" xfId="1" applyNumberFormat="1" applyFont="1" applyFill="1" applyBorder="1"/>
    <xf numFmtId="168" fontId="0" fillId="11" borderId="6" xfId="1" applyNumberFormat="1" applyFont="1" applyFill="1" applyBorder="1"/>
    <xf numFmtId="168" fontId="0" fillId="12" borderId="12" xfId="1" applyNumberFormat="1" applyFont="1" applyFill="1" applyBorder="1"/>
    <xf numFmtId="169" fontId="0" fillId="12" borderId="12" xfId="2" applyNumberFormat="1" applyFont="1" applyFill="1" applyBorder="1"/>
    <xf numFmtId="169" fontId="0" fillId="12" borderId="13" xfId="2" applyNumberFormat="1" applyFont="1" applyFill="1" applyBorder="1"/>
    <xf numFmtId="0" fontId="0" fillId="12" borderId="1" xfId="0" applyFill="1" applyBorder="1"/>
    <xf numFmtId="0" fontId="10" fillId="0" borderId="14" xfId="0" applyFont="1" applyBorder="1"/>
    <xf numFmtId="0" fontId="0" fillId="0" borderId="12" xfId="0" applyBorder="1"/>
    <xf numFmtId="0" fontId="0" fillId="0" borderId="13" xfId="0" applyBorder="1"/>
    <xf numFmtId="14" fontId="0" fillId="5" borderId="12" xfId="0" applyNumberFormat="1" applyFill="1" applyBorder="1"/>
    <xf numFmtId="0" fontId="11" fillId="0" borderId="15" xfId="0" applyFont="1" applyBorder="1"/>
    <xf numFmtId="0" fontId="0" fillId="0" borderId="15" xfId="0" applyBorder="1"/>
    <xf numFmtId="168" fontId="0" fillId="0" borderId="0" xfId="0" applyNumberFormat="1"/>
    <xf numFmtId="168" fontId="12" fillId="0" borderId="0" xfId="1" applyNumberFormat="1" applyFont="1"/>
    <xf numFmtId="0" fontId="2" fillId="2" borderId="16" xfId="0" applyFont="1" applyFill="1" applyBorder="1"/>
    <xf numFmtId="0" fontId="2" fillId="6" borderId="16" xfId="0" applyFont="1" applyFill="1" applyBorder="1"/>
    <xf numFmtId="0" fontId="12" fillId="0" borderId="0" xfId="0" applyFont="1"/>
    <xf numFmtId="0" fontId="0" fillId="13" borderId="0" xfId="0" applyFill="1"/>
    <xf numFmtId="0" fontId="9" fillId="14" borderId="0" xfId="0" applyFont="1" applyFill="1"/>
    <xf numFmtId="0" fontId="14" fillId="0" borderId="0" xfId="0" applyFont="1"/>
    <xf numFmtId="14" fontId="14" fillId="0" borderId="0" xfId="0" applyNumberFormat="1" applyFont="1"/>
    <xf numFmtId="1" fontId="14" fillId="0" borderId="0" xfId="0" applyNumberFormat="1" applyFont="1"/>
    <xf numFmtId="2" fontId="14" fillId="0" borderId="0" xfId="0" applyNumberFormat="1" applyFont="1"/>
    <xf numFmtId="0" fontId="0" fillId="0" borderId="0" xfId="0" pivotButton="1"/>
    <xf numFmtId="0" fontId="0" fillId="0" borderId="0" xfId="0" applyAlignment="1">
      <alignment horizontal="left"/>
    </xf>
    <xf numFmtId="0" fontId="14" fillId="0" borderId="0" xfId="0" applyFont="1" applyAlignment="1">
      <alignment wrapText="1"/>
    </xf>
    <xf numFmtId="0" fontId="0" fillId="15" borderId="0" xfId="0" applyFill="1"/>
    <xf numFmtId="0" fontId="15" fillId="0" borderId="0" xfId="0" applyFont="1"/>
    <xf numFmtId="168" fontId="0" fillId="0" borderId="0" xfId="1" applyNumberFormat="1" applyFont="1" applyFill="1" applyBorder="1"/>
    <xf numFmtId="169" fontId="0" fillId="0" borderId="0" xfId="2" applyNumberFormat="1" applyFont="1" applyFill="1" applyBorder="1"/>
    <xf numFmtId="0" fontId="13" fillId="0" borderId="0" xfId="0" applyFont="1"/>
    <xf numFmtId="0" fontId="13" fillId="0" borderId="7" xfId="0" applyFont="1" applyBorder="1"/>
    <xf numFmtId="17" fontId="14" fillId="0" borderId="7" xfId="0" applyNumberFormat="1" applyFont="1" applyBorder="1"/>
    <xf numFmtId="17" fontId="14" fillId="0" borderId="8" xfId="0" applyNumberFormat="1" applyFont="1" applyBorder="1"/>
    <xf numFmtId="17" fontId="14" fillId="0" borderId="9" xfId="0" applyNumberFormat="1" applyFont="1" applyBorder="1"/>
    <xf numFmtId="0" fontId="14" fillId="0" borderId="2" xfId="0" applyFont="1" applyBorder="1"/>
    <xf numFmtId="0" fontId="14" fillId="0" borderId="5" xfId="0" applyFont="1" applyBorder="1"/>
    <xf numFmtId="0" fontId="14" fillId="0" borderId="6" xfId="0" applyFont="1" applyBorder="1"/>
    <xf numFmtId="0" fontId="14" fillId="0" borderId="7" xfId="0" applyFont="1" applyBorder="1"/>
    <xf numFmtId="0" fontId="14" fillId="0" borderId="8" xfId="0" applyFont="1" applyBorder="1"/>
    <xf numFmtId="0" fontId="14" fillId="0" borderId="9" xfId="0" applyFont="1" applyBorder="1"/>
    <xf numFmtId="0" fontId="16" fillId="0" borderId="14" xfId="0" applyFont="1" applyBorder="1"/>
    <xf numFmtId="0" fontId="16" fillId="0" borderId="12" xfId="0" applyFont="1" applyBorder="1"/>
    <xf numFmtId="0" fontId="16" fillId="0" borderId="13" xfId="0" applyFont="1" applyBorder="1"/>
    <xf numFmtId="0" fontId="14" fillId="0" borderId="17" xfId="0" applyFont="1" applyBorder="1"/>
    <xf numFmtId="0" fontId="14" fillId="0" borderId="10" xfId="0" applyFont="1" applyBorder="1"/>
    <xf numFmtId="0" fontId="14" fillId="16" borderId="11" xfId="0" applyFont="1" applyFill="1" applyBorder="1" applyAlignment="1">
      <alignment wrapText="1"/>
    </xf>
    <xf numFmtId="0" fontId="8" fillId="0" borderId="17" xfId="0" applyFont="1" applyBorder="1"/>
    <xf numFmtId="0" fontId="8" fillId="0" borderId="1" xfId="0" applyFont="1" applyBorder="1"/>
    <xf numFmtId="0" fontId="3" fillId="10" borderId="2" xfId="0" applyFont="1" applyFill="1" applyBorder="1"/>
    <xf numFmtId="0" fontId="3" fillId="10" borderId="11" xfId="0" applyFont="1" applyFill="1" applyBorder="1" applyAlignment="1">
      <alignment wrapText="1"/>
    </xf>
    <xf numFmtId="0" fontId="18" fillId="0" borderId="0" xfId="0" applyFont="1"/>
    <xf numFmtId="168" fontId="0" fillId="11" borderId="0" xfId="1" applyNumberFormat="1" applyFont="1" applyFill="1"/>
    <xf numFmtId="9" fontId="10" fillId="9" borderId="7" xfId="4" applyFont="1" applyFill="1" applyBorder="1"/>
    <xf numFmtId="0" fontId="10" fillId="0" borderId="18" xfId="0" applyFont="1" applyBorder="1"/>
    <xf numFmtId="0" fontId="0" fillId="0" borderId="19" xfId="0" applyBorder="1"/>
    <xf numFmtId="0" fontId="0" fillId="0" borderId="20" xfId="0" applyBorder="1"/>
    <xf numFmtId="0" fontId="10" fillId="0" borderId="21" xfId="0" applyFont="1" applyBorder="1"/>
    <xf numFmtId="0" fontId="0" fillId="0" borderId="22" xfId="0" applyBorder="1"/>
    <xf numFmtId="0" fontId="4" fillId="0" borderId="0" xfId="3" applyBorder="1"/>
    <xf numFmtId="0" fontId="0" fillId="0" borderId="21" xfId="0" applyBorder="1"/>
    <xf numFmtId="0" fontId="0" fillId="0" borderId="23" xfId="0" applyBorder="1"/>
    <xf numFmtId="0" fontId="0" fillId="0" borderId="24" xfId="0" applyBorder="1"/>
    <xf numFmtId="0" fontId="0" fillId="0" borderId="25" xfId="0" applyBorder="1"/>
    <xf numFmtId="0" fontId="10" fillId="0" borderId="5" xfId="0" applyFont="1" applyBorder="1"/>
    <xf numFmtId="0" fontId="12" fillId="0" borderId="12" xfId="0" applyFont="1" applyBorder="1"/>
    <xf numFmtId="168" fontId="0" fillId="12" borderId="0" xfId="1" applyNumberFormat="1" applyFont="1" applyFill="1" applyBorder="1"/>
    <xf numFmtId="0" fontId="21" fillId="0" borderId="0" xfId="0" applyFont="1"/>
    <xf numFmtId="0" fontId="14" fillId="17" borderId="0" xfId="5" applyFill="1"/>
    <xf numFmtId="168" fontId="1" fillId="17" borderId="0" xfId="6" applyNumberFormat="1" applyFont="1" applyFill="1" applyBorder="1"/>
    <xf numFmtId="0" fontId="17" fillId="0" borderId="0" xfId="0" applyFont="1"/>
    <xf numFmtId="0" fontId="16" fillId="0" borderId="0" xfId="0" applyFont="1"/>
    <xf numFmtId="168" fontId="0" fillId="12" borderId="14" xfId="1" applyNumberFormat="1" applyFont="1" applyFill="1" applyBorder="1"/>
    <xf numFmtId="168" fontId="0" fillId="12" borderId="6" xfId="1" applyNumberFormat="1" applyFont="1" applyFill="1" applyBorder="1"/>
    <xf numFmtId="168" fontId="12" fillId="0" borderId="0" xfId="1" applyNumberFormat="1" applyFont="1" applyAlignment="1">
      <alignment wrapText="1"/>
    </xf>
    <xf numFmtId="0" fontId="3" fillId="18" borderId="0" xfId="0" applyFont="1" applyFill="1"/>
    <xf numFmtId="0" fontId="3" fillId="19" borderId="0" xfId="0" applyFont="1" applyFill="1"/>
    <xf numFmtId="0" fontId="19" fillId="9" borderId="0" xfId="0" applyFont="1" applyFill="1"/>
    <xf numFmtId="0" fontId="20" fillId="9" borderId="0" xfId="0" applyFont="1" applyFill="1"/>
    <xf numFmtId="0" fontId="12" fillId="0" borderId="0" xfId="0" applyFont="1" applyAlignment="1">
      <alignment wrapText="1"/>
    </xf>
    <xf numFmtId="0" fontId="12" fillId="0" borderId="8" xfId="0" applyFont="1" applyBorder="1" applyAlignment="1">
      <alignment wrapText="1"/>
    </xf>
    <xf numFmtId="0" fontId="14" fillId="20" borderId="0" xfId="5" applyFill="1" applyAlignment="1">
      <alignment horizontal="left"/>
    </xf>
    <xf numFmtId="0" fontId="0" fillId="20" borderId="0" xfId="0" applyFill="1"/>
    <xf numFmtId="0" fontId="14" fillId="20" borderId="0" xfId="5" applyFill="1" applyAlignment="1">
      <alignment horizontal="center" vertical="top"/>
    </xf>
    <xf numFmtId="0" fontId="14" fillId="0" borderId="0" xfId="0" applyFont="1" applyAlignment="1">
      <alignment vertical="center"/>
    </xf>
    <xf numFmtId="0" fontId="4" fillId="0" borderId="0" xfId="3" applyAlignment="1">
      <alignment vertical="center"/>
    </xf>
    <xf numFmtId="1" fontId="14" fillId="0" borderId="0" xfId="0" applyNumberFormat="1" applyFont="1" applyAlignment="1">
      <alignment vertical="center"/>
    </xf>
    <xf numFmtId="0" fontId="14" fillId="0" borderId="0" xfId="0" applyFont="1" applyAlignment="1">
      <alignment vertical="center" wrapText="1"/>
    </xf>
    <xf numFmtId="2" fontId="14" fillId="0" borderId="0" xfId="0" applyNumberFormat="1" applyFont="1" applyAlignment="1">
      <alignment vertical="center"/>
    </xf>
    <xf numFmtId="0" fontId="12"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14" fontId="0" fillId="14" borderId="0" xfId="0" applyNumberFormat="1" applyFill="1" applyAlignment="1">
      <alignment vertical="center"/>
    </xf>
    <xf numFmtId="0" fontId="9" fillId="0" borderId="0" xfId="0" applyFont="1" applyAlignment="1">
      <alignment vertical="center"/>
    </xf>
    <xf numFmtId="1" fontId="0" fillId="0" borderId="0" xfId="0" applyNumberFormat="1" applyAlignment="1">
      <alignment vertical="center"/>
    </xf>
    <xf numFmtId="2" fontId="0" fillId="0" borderId="0" xfId="0" applyNumberFormat="1" applyAlignment="1">
      <alignment vertical="center"/>
    </xf>
    <xf numFmtId="0" fontId="0" fillId="14" borderId="0" xfId="0" applyFill="1"/>
    <xf numFmtId="0" fontId="0" fillId="0" borderId="0" xfId="0" applyAlignment="1">
      <alignment horizontal="left" vertical="center"/>
    </xf>
    <xf numFmtId="170" fontId="14" fillId="0" borderId="17" xfId="0" applyNumberFormat="1" applyFont="1" applyBorder="1"/>
    <xf numFmtId="0" fontId="22" fillId="16" borderId="11" xfId="0" applyFont="1" applyFill="1" applyBorder="1" applyAlignment="1">
      <alignment wrapText="1"/>
    </xf>
    <xf numFmtId="0" fontId="25" fillId="0" borderId="0" xfId="0" applyFont="1"/>
    <xf numFmtId="14" fontId="14" fillId="0" borderId="0" xfId="0" applyNumberFormat="1" applyFont="1" applyAlignment="1">
      <alignment vertical="center"/>
    </xf>
    <xf numFmtId="0" fontId="14" fillId="14" borderId="0" xfId="0" applyFont="1" applyFill="1" applyAlignment="1">
      <alignment vertical="center"/>
    </xf>
    <xf numFmtId="0" fontId="0" fillId="14" borderId="0" xfId="0" applyFill="1" applyAlignment="1">
      <alignment vertical="center"/>
    </xf>
    <xf numFmtId="0" fontId="16" fillId="14" borderId="0" xfId="0" applyFont="1" applyFill="1" applyAlignment="1">
      <alignment vertical="center"/>
    </xf>
    <xf numFmtId="0" fontId="4" fillId="14" borderId="0" xfId="3" applyFill="1" applyAlignment="1">
      <alignment vertical="center"/>
    </xf>
    <xf numFmtId="14" fontId="14" fillId="14" borderId="0" xfId="0" applyNumberFormat="1" applyFont="1" applyFill="1" applyAlignment="1">
      <alignment vertical="center"/>
    </xf>
    <xf numFmtId="1" fontId="14" fillId="14" borderId="0" xfId="0" applyNumberFormat="1" applyFont="1" applyFill="1" applyAlignment="1">
      <alignment vertical="center"/>
    </xf>
    <xf numFmtId="0" fontId="14" fillId="14" borderId="0" xfId="0" applyFont="1" applyFill="1" applyAlignment="1">
      <alignment vertical="center" wrapText="1"/>
    </xf>
    <xf numFmtId="2" fontId="14" fillId="14" borderId="0" xfId="0" applyNumberFormat="1" applyFont="1" applyFill="1" applyAlignment="1">
      <alignment vertical="center"/>
    </xf>
    <xf numFmtId="2" fontId="0" fillId="14" borderId="0" xfId="0" applyNumberFormat="1" applyFill="1"/>
    <xf numFmtId="0" fontId="9" fillId="14" borderId="0" xfId="0" applyFont="1" applyFill="1" applyAlignment="1">
      <alignment vertical="center"/>
    </xf>
    <xf numFmtId="0" fontId="12" fillId="14" borderId="0" xfId="0" applyFont="1" applyFill="1" applyAlignment="1">
      <alignment vertical="center"/>
    </xf>
    <xf numFmtId="0" fontId="0" fillId="0" borderId="0" xfId="0" applyAlignment="1">
      <alignment vertical="center" wrapText="1"/>
    </xf>
    <xf numFmtId="0" fontId="14" fillId="21" borderId="0" xfId="0" applyFont="1" applyFill="1" applyAlignment="1">
      <alignment vertical="center"/>
    </xf>
    <xf numFmtId="0" fontId="0" fillId="21" borderId="0" xfId="0" applyFill="1" applyAlignment="1">
      <alignment vertical="center"/>
    </xf>
    <xf numFmtId="0" fontId="4" fillId="21" borderId="0" xfId="3" applyFill="1" applyAlignment="1">
      <alignment vertical="center"/>
    </xf>
    <xf numFmtId="14" fontId="0" fillId="21" borderId="0" xfId="0" applyNumberFormat="1" applyFill="1" applyAlignment="1">
      <alignment vertical="center"/>
    </xf>
    <xf numFmtId="14" fontId="14" fillId="21" borderId="0" xfId="0" applyNumberFormat="1" applyFont="1" applyFill="1" applyAlignment="1">
      <alignment vertical="center"/>
    </xf>
    <xf numFmtId="1" fontId="14" fillId="21" borderId="0" xfId="0" applyNumberFormat="1" applyFont="1" applyFill="1" applyAlignment="1">
      <alignment vertical="center"/>
    </xf>
    <xf numFmtId="0" fontId="14" fillId="21" borderId="0" xfId="0" applyFont="1" applyFill="1" applyAlignment="1">
      <alignment vertical="center" wrapText="1"/>
    </xf>
    <xf numFmtId="2" fontId="14" fillId="21" borderId="0" xfId="0" applyNumberFormat="1" applyFont="1" applyFill="1" applyAlignment="1">
      <alignment vertical="center"/>
    </xf>
    <xf numFmtId="2" fontId="0" fillId="21" borderId="0" xfId="0" applyNumberFormat="1" applyFill="1"/>
    <xf numFmtId="0" fontId="9" fillId="21" borderId="0" xfId="0" applyFont="1" applyFill="1" applyAlignment="1">
      <alignment vertical="center"/>
    </xf>
    <xf numFmtId="0" fontId="12" fillId="21" borderId="0" xfId="0" applyFont="1" applyFill="1" applyAlignment="1">
      <alignment vertical="center"/>
    </xf>
    <xf numFmtId="14" fontId="12" fillId="0" borderId="0" xfId="0" applyNumberFormat="1" applyFont="1"/>
    <xf numFmtId="168" fontId="27" fillId="0" borderId="0" xfId="0" applyNumberFormat="1" applyFont="1" applyAlignment="1">
      <alignment horizontal="center" vertical="center"/>
    </xf>
    <xf numFmtId="168" fontId="27" fillId="0" borderId="0" xfId="0" applyNumberFormat="1" applyFont="1" applyAlignment="1">
      <alignment vertical="center"/>
    </xf>
    <xf numFmtId="14" fontId="0" fillId="14" borderId="0" xfId="0" applyNumberFormat="1" applyFill="1"/>
    <xf numFmtId="168" fontId="0" fillId="0" borderId="0" xfId="1" applyNumberFormat="1" applyFont="1" applyFill="1" applyAlignment="1">
      <alignment horizontal="left"/>
    </xf>
    <xf numFmtId="168" fontId="0" fillId="0" borderId="0" xfId="1" applyNumberFormat="1" applyFont="1" applyAlignment="1">
      <alignment horizontal="left"/>
    </xf>
    <xf numFmtId="168" fontId="12" fillId="0" borderId="0" xfId="1" applyNumberFormat="1" applyFont="1" applyAlignment="1">
      <alignment horizontal="left"/>
    </xf>
    <xf numFmtId="168" fontId="14" fillId="0" borderId="0" xfId="1" applyNumberFormat="1" applyFont="1" applyAlignment="1">
      <alignment horizontal="left"/>
    </xf>
    <xf numFmtId="3" fontId="0" fillId="0" borderId="0" xfId="0" applyNumberFormat="1" applyAlignment="1">
      <alignment horizontal="left"/>
    </xf>
    <xf numFmtId="168" fontId="0" fillId="14" borderId="0" xfId="1" applyNumberFormat="1" applyFont="1" applyFill="1" applyAlignment="1">
      <alignment horizontal="left"/>
    </xf>
    <xf numFmtId="0" fontId="3" fillId="2" borderId="0" xfId="0" applyFont="1" applyFill="1" applyAlignment="1">
      <alignment horizontal="center"/>
    </xf>
    <xf numFmtId="168" fontId="0" fillId="0" borderId="0" xfId="1" applyNumberFormat="1" applyFont="1" applyFill="1" applyAlignment="1">
      <alignment horizontal="center"/>
    </xf>
    <xf numFmtId="168" fontId="14" fillId="0" borderId="0" xfId="1" applyNumberFormat="1" applyFont="1" applyAlignment="1">
      <alignment horizontal="center"/>
    </xf>
    <xf numFmtId="0" fontId="0" fillId="0" borderId="0" xfId="0" applyAlignment="1">
      <alignment horizontal="center"/>
    </xf>
    <xf numFmtId="168" fontId="14" fillId="14" borderId="0" xfId="1" applyNumberFormat="1" applyFont="1" applyFill="1" applyAlignment="1">
      <alignment horizontal="center" vertical="center"/>
    </xf>
    <xf numFmtId="0" fontId="0" fillId="21" borderId="0" xfId="0" applyFill="1" applyAlignment="1">
      <alignment horizontal="center" vertical="center"/>
    </xf>
    <xf numFmtId="0" fontId="0" fillId="14" borderId="0" xfId="0" applyFill="1" applyAlignment="1">
      <alignment horizontal="center" vertical="center"/>
    </xf>
    <xf numFmtId="0" fontId="0" fillId="0" borderId="0" xfId="0" applyAlignment="1">
      <alignment horizontal="center" vertical="center"/>
    </xf>
    <xf numFmtId="168" fontId="0" fillId="0" borderId="0" xfId="1" applyNumberFormat="1" applyFont="1" applyAlignment="1">
      <alignment horizontal="center"/>
    </xf>
    <xf numFmtId="168" fontId="14" fillId="0" borderId="0" xfId="1" applyNumberFormat="1" applyFont="1" applyAlignment="1">
      <alignment horizontal="center" vertical="center"/>
    </xf>
    <xf numFmtId="168" fontId="3" fillId="2" borderId="0" xfId="1" applyNumberFormat="1" applyFont="1" applyFill="1" applyAlignment="1">
      <alignment horizontal="left"/>
    </xf>
    <xf numFmtId="168" fontId="14" fillId="14" borderId="0" xfId="1" applyNumberFormat="1" applyFont="1" applyFill="1" applyAlignment="1">
      <alignment horizontal="left" vertical="center"/>
    </xf>
    <xf numFmtId="168" fontId="14" fillId="21" borderId="0" xfId="1" applyNumberFormat="1" applyFont="1" applyFill="1" applyAlignment="1">
      <alignment horizontal="left" vertical="center"/>
    </xf>
    <xf numFmtId="168" fontId="14" fillId="0" borderId="0" xfId="1" applyNumberFormat="1" applyFont="1" applyAlignment="1">
      <alignment horizontal="left" vertical="center"/>
    </xf>
    <xf numFmtId="9" fontId="0" fillId="0" borderId="0" xfId="4" applyFont="1"/>
    <xf numFmtId="9" fontId="0" fillId="0" borderId="0" xfId="4" applyFont="1" applyFill="1"/>
    <xf numFmtId="9" fontId="14" fillId="0" borderId="0" xfId="4" applyFont="1"/>
    <xf numFmtId="9" fontId="14" fillId="14" borderId="0" xfId="4" applyFont="1" applyFill="1" applyAlignment="1">
      <alignment vertical="center"/>
    </xf>
    <xf numFmtId="9" fontId="14" fillId="21" borderId="0" xfId="4" applyFont="1" applyFill="1" applyAlignment="1">
      <alignment vertical="center"/>
    </xf>
    <xf numFmtId="9" fontId="14" fillId="0" borderId="0" xfId="4" applyFont="1" applyAlignment="1">
      <alignment vertical="center"/>
    </xf>
    <xf numFmtId="9" fontId="0" fillId="0" borderId="0" xfId="4" applyFont="1" applyAlignment="1">
      <alignment vertical="center"/>
    </xf>
    <xf numFmtId="9" fontId="0" fillId="0" borderId="0" xfId="0" applyNumberFormat="1"/>
    <xf numFmtId="1" fontId="3" fillId="2" borderId="0" xfId="0" applyNumberFormat="1" applyFont="1" applyFill="1" applyAlignment="1">
      <alignment horizontal="left"/>
    </xf>
    <xf numFmtId="1" fontId="0" fillId="0" borderId="0" xfId="1" applyNumberFormat="1" applyFont="1" applyAlignment="1">
      <alignment horizontal="left"/>
    </xf>
    <xf numFmtId="1" fontId="0" fillId="0" borderId="0" xfId="1" applyNumberFormat="1" applyFont="1" applyFill="1" applyAlignment="1">
      <alignment horizontal="left"/>
    </xf>
    <xf numFmtId="1" fontId="1" fillId="0" borderId="0" xfId="1" applyNumberFormat="1" applyFont="1" applyAlignment="1">
      <alignment horizontal="left"/>
    </xf>
    <xf numFmtId="1" fontId="12" fillId="0" borderId="0" xfId="1" applyNumberFormat="1" applyFont="1" applyAlignment="1">
      <alignment horizontal="left"/>
    </xf>
    <xf numFmtId="1" fontId="14" fillId="0" borderId="0" xfId="1" applyNumberFormat="1" applyFont="1" applyAlignment="1">
      <alignment horizontal="left"/>
    </xf>
    <xf numFmtId="1" fontId="0" fillId="14" borderId="0" xfId="1" applyNumberFormat="1" applyFont="1" applyFill="1" applyAlignment="1">
      <alignment horizontal="left" vertical="center"/>
    </xf>
    <xf numFmtId="1" fontId="0" fillId="21" borderId="0" xfId="1" applyNumberFormat="1" applyFont="1" applyFill="1" applyAlignment="1">
      <alignment horizontal="left" vertical="center"/>
    </xf>
    <xf numFmtId="1" fontId="0" fillId="0" borderId="0" xfId="1" applyNumberFormat="1" applyFont="1" applyAlignment="1">
      <alignment horizontal="left" vertical="center"/>
    </xf>
    <xf numFmtId="1" fontId="0" fillId="14" borderId="0" xfId="1" applyNumberFormat="1" applyFont="1" applyFill="1" applyAlignment="1">
      <alignment horizontal="left"/>
    </xf>
    <xf numFmtId="1" fontId="0" fillId="0" borderId="0" xfId="0" applyNumberFormat="1" applyAlignment="1">
      <alignment horizontal="left"/>
    </xf>
    <xf numFmtId="1" fontId="3" fillId="6" borderId="0" xfId="0" applyNumberFormat="1" applyFont="1" applyFill="1"/>
  </cellXfs>
  <cellStyles count="12">
    <cellStyle name="Comma" xfId="1" builtinId="3"/>
    <cellStyle name="Comma 2" xfId="6" xr:uid="{B51CEAC5-458D-4057-81DA-C0EAAA4A6E92}"/>
    <cellStyle name="Comma 3" xfId="7" xr:uid="{9CBD82BF-88F1-4F52-AA05-8DC1C7AE9106}"/>
    <cellStyle name="Currency" xfId="2" builtinId="4"/>
    <cellStyle name="Currency 2" xfId="8" xr:uid="{4ABCE801-25A7-498A-8FE6-141111560268}"/>
    <cellStyle name="Hyperlink" xfId="3" builtinId="8"/>
    <cellStyle name="Normal" xfId="0" builtinId="0"/>
    <cellStyle name="Normal 2" xfId="5" xr:uid="{E58E973F-E5C5-46EB-AD77-5E8915918F5B}"/>
    <cellStyle name="Normal 2 2" xfId="11" xr:uid="{CF00D52A-C35D-4A35-BA42-4082BC784CBF}"/>
    <cellStyle name="Normal 3" xfId="9" xr:uid="{74C407AF-A7C4-443C-92DF-A3FE06411E23}"/>
    <cellStyle name="Normal 3 2" xfId="10" xr:uid="{5CA1EF50-B373-4489-8E40-90B5913C2A42}"/>
    <cellStyle name="Percent" xfId="4" builtinId="5"/>
  </cellStyles>
  <dxfs count="61">
    <dxf>
      <numFmt numFmtId="1" formatCode="0"/>
    </dxf>
    <dxf>
      <font>
        <b val="0"/>
        <i val="0"/>
        <strike val="0"/>
        <condense val="0"/>
        <extend val="0"/>
        <outline val="0"/>
        <shadow val="0"/>
        <u val="none"/>
        <vertAlign val="baseline"/>
        <sz val="11"/>
        <color theme="1"/>
        <name val="Calibri"/>
        <family val="2"/>
        <scheme val="minor"/>
      </font>
      <numFmt numFmtId="1" formatCode="0"/>
      <alignment horizontal="left"/>
    </dxf>
    <dxf>
      <alignment horizontal="center"/>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ill>
        <patternFill patternType="solid">
          <fgColor rgb="FFDCE6F1"/>
          <bgColor rgb="FFDCE6F1"/>
        </patternFill>
      </fill>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ont>
        <b/>
        <i val="0"/>
        <strike val="0"/>
        <condense val="0"/>
        <extend val="0"/>
        <outline val="0"/>
        <shadow val="0"/>
        <u val="none"/>
        <vertAlign val="baseline"/>
        <sz val="11"/>
        <color theme="0"/>
        <name val="Calibri"/>
        <family val="2"/>
        <scheme val="minor"/>
      </font>
      <fill>
        <patternFill patternType="solid">
          <fgColor rgb="FF4F81BD"/>
          <bgColor theme="8" tint="-0.499984740745262"/>
        </patternFill>
      </fill>
    </dxf>
    <dxf>
      <numFmt numFmtId="19" formatCode="dd/mm/yyyy"/>
    </dxf>
    <dxf>
      <numFmt numFmtId="0" formatCode="General"/>
    </dxf>
    <dxf>
      <numFmt numFmtId="0" formatCode="Genera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indexed="64"/>
          <bgColor rgb="FF197A56"/>
        </patternFill>
      </fill>
    </dxf>
    <dxf>
      <font>
        <strike val="0"/>
        <outline val="0"/>
        <shadow val="0"/>
        <u val="none"/>
        <vertAlign val="baseline"/>
        <sz val="11"/>
        <color auto="1"/>
        <name val="Calibri"/>
        <family val="2"/>
        <scheme val="minor"/>
      </font>
      <numFmt numFmtId="0" formatCode="General"/>
    </dxf>
    <dxf>
      <font>
        <strike val="0"/>
        <outline val="0"/>
        <shadow val="0"/>
        <u val="none"/>
        <vertAlign val="baseline"/>
        <sz val="11"/>
        <color theme="0" tint="-0.249977111117893"/>
        <name val="Calibri"/>
        <family val="2"/>
        <scheme val="minor"/>
      </font>
      <numFmt numFmtId="0" formatCode="General"/>
    </dxf>
    <dxf>
      <numFmt numFmtId="0" formatCode="General"/>
    </dxf>
    <dxf>
      <numFmt numFmtId="2" formatCode="0.00"/>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numFmt numFmtId="2" formatCode="0.00"/>
    </dxf>
    <dxf>
      <numFmt numFmtId="2" formatCode="0.00"/>
    </dxf>
    <dxf>
      <font>
        <b val="0"/>
        <i val="0"/>
        <strike val="0"/>
        <condense val="0"/>
        <extend val="0"/>
        <outline val="0"/>
        <shadow val="0"/>
        <u val="none"/>
        <vertAlign val="baseline"/>
        <sz val="11"/>
        <color auto="1"/>
        <name val="Calibri"/>
        <family val="2"/>
        <scheme val="minor"/>
      </font>
      <numFmt numFmtId="2" formatCode="0.00"/>
    </dxf>
    <dxf>
      <font>
        <b val="0"/>
        <i val="0"/>
        <strike val="0"/>
        <condense val="0"/>
        <extend val="0"/>
        <outline val="0"/>
        <shadow val="0"/>
        <u val="none"/>
        <vertAlign val="baseline"/>
        <sz val="11"/>
        <color auto="1"/>
        <name val="Calibri"/>
        <family val="2"/>
        <scheme val="minor"/>
      </font>
      <numFmt numFmtId="2" formatCode="0.00"/>
    </dxf>
    <dxf>
      <font>
        <b val="0"/>
        <i val="0"/>
        <strike val="0"/>
        <condense val="0"/>
        <extend val="0"/>
        <outline val="0"/>
        <shadow val="0"/>
        <u val="none"/>
        <vertAlign val="baseline"/>
        <sz val="11"/>
        <color auto="1"/>
        <name val="Calibri"/>
        <family val="2"/>
        <scheme val="minor"/>
      </font>
      <numFmt numFmtId="0" formatCode="General"/>
    </dxf>
    <dxf>
      <numFmt numFmtId="1" formatCode="0"/>
      <fill>
        <patternFill patternType="none">
          <fgColor indexed="64"/>
          <bgColor indexed="65"/>
        </patternFill>
      </fill>
    </dxf>
    <dxf>
      <numFmt numFmtId="19" formatCode="dd/mm/yyyy"/>
    </dxf>
    <dxf>
      <numFmt numFmtId="168" formatCode="_-* #,##0_-;\-* #,##0_-;_-* &quot;-&quot;??_-;_-@_-"/>
      <alignment horizontal="left" relativeIndent="-1"/>
    </dxf>
    <dxf>
      <fill>
        <patternFill patternType="none">
          <fgColor indexed="64"/>
          <bgColor indexed="65"/>
        </patternFill>
      </fill>
    </dxf>
    <dxf>
      <alignment vertical="center"/>
    </dxf>
    <dxf>
      <alignment vertical="center"/>
    </dxf>
    <dxf>
      <alignment vertical="center"/>
    </dxf>
    <dxf>
      <alignment vertical="center"/>
    </dxf>
    <dxf>
      <alignment horizontal="center"/>
    </dxf>
    <dxf>
      <font>
        <name val="Arial"/>
        <scheme val="none"/>
      </font>
    </dxf>
    <dxf>
      <numFmt numFmtId="168" formatCode="_-* #,##0_-;\-* #,##0_-;_-* &quot;-&quot;??_-;_-@_-"/>
    </dxf>
    <dxf>
      <fill>
        <patternFill patternType="solid">
          <bgColor rgb="FFFFFF00"/>
        </patternFill>
      </fill>
    </dxf>
    <dxf>
      <fill>
        <patternFill patternType="solid">
          <bgColor rgb="FFFFFF00"/>
        </patternFill>
      </fill>
    </dxf>
    <dxf>
      <numFmt numFmtId="168" formatCode="_-* #,##0_-;\-* #,##0_-;_-* &quot;-&quot;??_-;_-@_-"/>
    </dxf>
    <dxf>
      <fill>
        <patternFill patternType="solid">
          <bgColor rgb="FFFFFF00"/>
        </patternFill>
      </fill>
    </dxf>
    <dxf>
      <numFmt numFmtId="168" formatCode="_-* #,##0_-;\-* #,##0_-;_-* &quot;-&quot;??_-;_-@_-"/>
    </dxf>
    <dxf>
      <numFmt numFmtId="168" formatCode="_-* #,##0_-;\-* #,##0_-;_-* &quot;-&quot;??_-;_-@_-"/>
    </dxf>
    <dxf>
      <fill>
        <patternFill patternType="solid">
          <bgColor rgb="FFFFFF00"/>
        </patternFill>
      </fill>
    </dxf>
    <dxf>
      <numFmt numFmtId="168" formatCode="_-* #,##0_-;\-* #,##0_-;_-* &quot;-&quot;??_-;_-@_-"/>
    </dxf>
    <dxf>
      <fill>
        <patternFill patternType="solid">
          <bgColor rgb="FFFFFF00"/>
        </patternFill>
      </fill>
    </dxf>
    <dxf>
      <numFmt numFmtId="168" formatCode="_-* #,##0_-;\-* #,##0_-;_-* &quot;-&quot;??_-;_-@_-"/>
    </dxf>
    <dxf>
      <fill>
        <patternFill patternType="solid">
          <bgColor rgb="FFFFFF00"/>
        </patternFill>
      </fill>
    </dxf>
    <dxf>
      <numFmt numFmtId="13" formatCode="0%"/>
    </dxf>
    <dxf>
      <numFmt numFmtId="168" formatCode="_-* #,##0_-;\-* #,##0_-;_-* &quot;-&quot;??_-;_-@_-"/>
    </dxf>
    <dxf>
      <numFmt numFmtId="168" formatCode="_-* #,##0_-;\-* #,##0_-;_-* &quot;-&quot;??_-;_-@_-"/>
    </dxf>
    <dxf>
      <fill>
        <patternFill patternType="solid">
          <bgColor rgb="FFFFFF00"/>
        </patternFill>
      </fill>
    </dxf>
    <dxf>
      <numFmt numFmtId="168" formatCode="_-* #,##0_-;\-* #,##0_-;_-* &quot;-&quot;??_-;_-@_-"/>
    </dxf>
    <dxf>
      <fill>
        <patternFill patternType="solid">
          <bgColor rgb="FFFFFF00"/>
        </patternFill>
      </fill>
    </dxf>
    <dxf>
      <numFmt numFmtId="168" formatCode="_-* #,##0_-;\-* #,##0_-;_-* &quot;-&quot;??_-;_-@_-"/>
    </dxf>
    <dxf>
      <fill>
        <patternFill patternType="solid">
          <bgColor rgb="FFFFFF00"/>
        </patternFill>
      </fill>
    </dxf>
    <dxf>
      <numFmt numFmtId="168" formatCode="_-* #,##0_-;\-* #,##0_-;_-* &quot;-&quot;??_-;_-@_-"/>
    </dxf>
    <dxf>
      <fill>
        <patternFill patternType="solid">
          <bgColor rgb="FFFFFF00"/>
        </patternFill>
      </fill>
    </dxf>
    <dxf>
      <font>
        <b val="0"/>
        <i val="0"/>
        <strike val="0"/>
        <condense val="0"/>
        <extend val="0"/>
        <outline val="0"/>
        <shadow val="0"/>
        <u val="none"/>
        <vertAlign val="baseline"/>
        <sz val="11"/>
        <color rgb="FFFF0000"/>
        <name val="Calibri"/>
        <family val="2"/>
        <scheme val="minor"/>
      </font>
      <alignment horizontal="general" vertical="bottom" textRotation="0" wrapText="1" indent="0" justifyLastLine="0" shrinkToFit="0" readingOrder="0"/>
    </dxf>
    <dxf>
      <border outline="0">
        <left style="thin">
          <color indexed="64"/>
        </left>
        <right style="thin">
          <color indexed="64"/>
        </right>
      </border>
    </dxf>
    <dxf>
      <fill>
        <patternFill patternType="solid">
          <fgColor indexed="64"/>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50958</xdr:colOff>
      <xdr:row>9</xdr:row>
      <xdr:rowOff>99060</xdr:rowOff>
    </xdr:from>
    <xdr:to>
      <xdr:col>8</xdr:col>
      <xdr:colOff>514350</xdr:colOff>
      <xdr:row>39</xdr:row>
      <xdr:rowOff>91796</xdr:rowOff>
    </xdr:to>
    <xdr:pic>
      <xdr:nvPicPr>
        <xdr:cNvPr id="11" name="Picture 2">
          <a:extLst>
            <a:ext uri="{FF2B5EF4-FFF2-40B4-BE49-F238E27FC236}">
              <a16:creationId xmlns:a16="http://schemas.microsoft.com/office/drawing/2014/main" id="{D2D256D2-D166-4099-B42E-0FE8348CB2F8}"/>
            </a:ext>
          </a:extLst>
        </xdr:cNvPr>
        <xdr:cNvPicPr>
          <a:picLocks noChangeAspect="1"/>
        </xdr:cNvPicPr>
      </xdr:nvPicPr>
      <xdr:blipFill>
        <a:blip xmlns:r="http://schemas.openxmlformats.org/officeDocument/2006/relationships" r:embed="rId1"/>
        <a:stretch>
          <a:fillRect/>
        </a:stretch>
      </xdr:blipFill>
      <xdr:spPr>
        <a:xfrm>
          <a:off x="660558" y="1851660"/>
          <a:ext cx="9350217" cy="542198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cine Kretz" refreshedDate="44739.485083564818" createdVersion="7" refreshedVersion="8" minRefreshableVersion="3" recordCount="41" xr:uid="{C1466FF4-F6DA-4F4E-B5BA-99E4DCFE77E4}">
  <cacheSource type="worksheet">
    <worksheetSource name="Table2"/>
  </cacheSource>
  <cacheFields count="36">
    <cacheField name="Request ID" numFmtId="0">
      <sharedItems/>
    </cacheField>
    <cacheField name="Country supported" numFmtId="0">
      <sharedItems count="15">
        <s v="Ethiopia"/>
        <s v="Malawi"/>
        <s v="Burkina Faso"/>
        <s v="Chad"/>
        <s v="DRC"/>
        <s v="Lao"/>
        <s v="South Sudan"/>
        <s v="Nigeria"/>
        <s v="Yemen"/>
        <s v="Ghana"/>
        <s v="Sierra Leone"/>
        <s v="Afghanistan"/>
        <s v="Somalia"/>
        <s v="Sudan"/>
        <s v="Kenya"/>
      </sharedItems>
    </cacheField>
    <cacheField name="GAVI SCM" numFmtId="0">
      <sharedItems/>
    </cacheField>
    <cacheField name="CoVDP Desk Officer" numFmtId="0">
      <sharedItems containsMixedTypes="1" containsNumber="1" containsInteger="1" minValue="0" maxValue="0"/>
    </cacheField>
    <cacheField name="Total amount of funding request received initially (or amount of standard request discussed)" numFmtId="0">
      <sharedItems containsMixedTypes="1" containsNumber="1" minValue="366000" maxValue="21829690.973559324"/>
    </cacheField>
    <cacheField name="Type of request" numFmtId="0">
      <sharedItems count="4">
        <s v="Urgent"/>
        <s v="Out of scope"/>
        <s v="Standard"/>
        <s v="Normal"/>
      </sharedItems>
    </cacheField>
    <cacheField name="Amount tracked through this row" numFmtId="0">
      <sharedItems containsMixedTypes="1" containsNumber="1" minValue="0" maxValue="14629690.973559324"/>
    </cacheField>
    <cacheField name="Details on the request" numFmtId="0">
      <sharedItems containsBlank="1" count="63">
        <s v="WHO Funding for Tigray region"/>
        <s v="TA support"/>
        <s v="Budget for the vaccination campaign starting in July in Malawi covered by WHO"/>
        <s v="Budget for the vaccination campaign starting in July in Malawi covered by UNICEF"/>
        <s v="Implementation and monitoring of vaccination campaign in 13 country states (378k$) + Pfizer vaccine supply (5k$) + Global mgt of vaccination activities (42k$) + Vaccination team salaries (75k$)"/>
        <s v="National and provincial vaccination campaign"/>
        <s v="Launch of vaccination campaign, pre financing of CDS2"/>
        <s v="Launch of a vaccination campaign in the 11 country states that are still facing very low vaccination rate (HCW salaries, transportation and mgt team)"/>
        <s v="RCCE in DRC from the Red Cross"/>
        <s v="3 ambulance vehicules to support mobile service of COVID-19 vaccination in the hard-to-reach and low coverage areas​"/>
        <s v="Part of the round 3 of the vaccination campaign scheduled for mid/end May covered by UNICEF"/>
        <s v="Part of CDS application fullfilled by GAVI and disbursed to UNICEF"/>
        <s v="Part of CDS application fullfiled by GAVI and disbursed to WHO"/>
        <s v="Part of CDS application fulfilled by GAVI and disbursed to other partners"/>
        <s v="Part of the CDS application fullfilled by GAVI and disbursed to other partners"/>
        <s v="Part of CDS application fulfilled by GAVI. Vaccination campaign with a target of 5.7M people vaccinated. Costs include: HR, trainings, supplies and equipment, transportation, social mobilization, waste management​"/>
        <s v="UNICEF Funding for Tigray region"/>
        <s v="Funding request for a bundle campaign with C-19 vaccination, measle and yellow fever to take place in June"/>
        <s v="Budget gaps identified through CDS process - Misalignment between Budget and request to be clarified"/>
        <s v="CDS application - Light contribution from CoVDP in terms of process (coordination)"/>
        <s v="TBD"/>
        <s v="Nigerian Red Cross phase 2 plan for Covid vaccination scale up"/>
        <s v="Funding request to cover the logistics part not covered by the CDS application"/>
        <s v="Data management and waste management"/>
        <s v="TA support covered by GAVI"/>
        <s v="Potential urgent needs identified in CDS application (still tbd)"/>
        <s v="Part of CDS request fullfilled by GAVI"/>
        <s v="Part of CDS request not fulfilled by GAVI and covered by WHO through German AA funds"/>
        <s v="Budget required to fund vaccination campaign from July to december covered by WHO"/>
        <s v="CDS application"/>
        <s v="Part of CDS request not fulfiled by GAVI and covered by WHO"/>
        <s v="CDS Budget TA  covered by WHO"/>
        <s v="Part of CDS request not fulfilled by GAVI and covered by UNICEF through German AA funds"/>
        <s v="Part of CDS application not fulfilled by GAVI and requiring other partners support. Vaccination campaign with a target of 5.7M people vaccinated. Costs include: HR, trainings, supplies and equipment, transportation, social mobilization, waste management​"/>
        <s v="Budget required to fund vaccintion from July to december covered by GAVI"/>
        <s v="Difference between the UNICEF budget and the disbursed amount"/>
        <s v="Urgent funding request to cover national regional and sub-county training, facility and national oversight"/>
        <s v="Budget required to fund vaccination campaign from July to december covered by UNICEF"/>
        <s v="TA support not covered by CDS funding and covered by WHO and UNICEF" u="1"/>
        <m u="1"/>
        <s v="Logistics support not covered by CDS funding" u="1"/>
        <s v="Part of CDS application fullfilled by GAVI " u="1"/>
        <s v="UNICEF TA for 6 months campaign (2 rounds)" u="1"/>
        <s v="Funding for Tigray region" u="1"/>
        <s v="Round 3 of the vaccination campaign scheduled for mid/end May " u="1"/>
        <s v="Part of CDS request fullfilled by GAVI pending response from the country team" u="1"/>
        <s v="Funding for TA not included in the CDS application due to limited time and likely to be mostly for WHO and UNICEF TA - split this line item when breakdown is known" u="1"/>
        <s v="Part of CDS request not fulfilled by GAVI" u="1"/>
        <s v="Waste management" u="1"/>
        <s v="Data management and waste management budget gap" u="1"/>
        <s v="Vaccination campaign with a target of 5.7M people vaccinated. Costs include: HR, trainings, supplies and equipment, transportation, social mobilization, waste management​" u="1"/>
        <s v="Part of CDS application fulfilled by GAVI and requiring other partners support. Vaccination campaign with a target of 5.7M people vaccinated. Costs include: HR, trainings, supplies and equipment, transportation, social mobilization, waste management​" u="1"/>
        <s v="Part of CDS application fulfilled by GAVI and disrbused to other partners" u="1"/>
        <s v="CDS budget covered by UNICEF" u="1"/>
        <s v="Budget required to fund vaccination campaign from July to december" u="1"/>
        <s v="Part of CDS application not fullfilled by GAVI and unallocated " u="1"/>
        <s v="TA support covered by UNICEF HAC" u="1"/>
        <s v="Logistics support not covered by CDS funding and covered by WHO and UNICEF" u="1"/>
        <s v="Funding request for a bundle campaign with C-19 vaccination, measle and yellow fever to take place early week of May " u="1"/>
        <s v="Budget for the vaccination campaign starting in July in Malawi" u="1"/>
        <s v="CDS Budget TA  covered by UNICEF" u="1"/>
        <s v="Data management" u="1"/>
        <s v="WHO TA for 6 months campaign (2 rounds)" u="1"/>
      </sharedItems>
    </cacheField>
    <cacheField name="Link to documentation (WHO sharepoint)" numFmtId="0">
      <sharedItems containsBlank="1" longText="1"/>
    </cacheField>
    <cacheField name="Initial recipient of the request" numFmtId="0">
      <sharedItems containsBlank="1"/>
    </cacheField>
    <cacheField name="Date of initial receipt of the request (Date)" numFmtId="14">
      <sharedItems containsSemiMixedTypes="0" containsNonDate="0" containsDate="1" containsString="0" minDate="2021-11-15T00:00:00" maxDate="2022-06-18T00:00:00"/>
    </cacheField>
    <cacheField name="Detailed / formal funding request received (yes / no)" numFmtId="0">
      <sharedItems/>
    </cacheField>
    <cacheField name="Detailed / formal funding request received (Date)" numFmtId="0">
      <sharedItems containsNonDate="0" containsDate="1" containsString="0" containsBlank="1" minDate="2021-12-28T00:00:00" maxDate="2022-06-23T00:00:00"/>
    </cacheField>
    <cacheField name="Sources of funding identified (yes / no / Identified as not urgent)" numFmtId="0">
      <sharedItems containsBlank="1"/>
    </cacheField>
    <cacheField name="Source of funding identified (Details)" numFmtId="0">
      <sharedItems containsBlank="1" count="5">
        <s v="WHO"/>
        <s v="UNICEF"/>
        <m/>
        <s v="GAVI"/>
        <s v="Out of CoVDP scope"/>
      </sharedItems>
    </cacheField>
    <cacheField name="Sources of funding identified (Date) - or standard request discussed during CoVDP Funding Alignment call" numFmtId="0">
      <sharedItems containsNonDate="0" containsDate="1" containsString="0" containsBlank="1" minDate="2021-12-30T00:00:00" maxDate="2022-06-25T00:00:00"/>
    </cacheField>
    <cacheField name="Amount to be funded" numFmtId="168">
      <sharedItems containsMixedTypes="1" containsNumber="1" minValue="0" maxValue="14629690.973559324"/>
    </cacheField>
    <cacheField name="Allocation of funds internally approved by the funder (yes / no)" numFmtId="0">
      <sharedItems containsBlank="1"/>
    </cacheField>
    <cacheField name="Allocation of funds internally approved (Date)" numFmtId="0">
      <sharedItems containsNonDate="0" containsDate="1" containsString="0" containsBlank="1" minDate="2002-05-25T00:00:00" maxDate="2022-12-30T00:00:00"/>
    </cacheField>
    <cacheField name="Funds disbursed (yes / no)" numFmtId="0">
      <sharedItems containsBlank="1"/>
    </cacheField>
    <cacheField name="Funds disbursed (Date)" numFmtId="0">
      <sharedItems containsNonDate="0" containsDate="1" containsString="0" containsBlank="1" minDate="2022-01-02T00:00:00" maxDate="2022-06-10T00:00:00"/>
    </cacheField>
    <cacheField name="Funds disbursed (Month)" numFmtId="1">
      <sharedItems containsSemiMixedTypes="0" containsString="0" containsNumber="1" containsInteger="1" minValue="1" maxValue="6"/>
    </cacheField>
    <cacheField name="Utilization rate" numFmtId="9">
      <sharedItems containsString="0" containsBlank="1" containsNumber="1" minValue="0" maxValue="0.8"/>
    </cacheField>
    <cacheField name="Comments and detailed next steps" numFmtId="0">
      <sharedItems containsBlank="1" longText="1"/>
    </cacheField>
    <cacheField name="Status" numFmtId="0">
      <sharedItems containsMixedTypes="1" containsNumber="1" containsInteger="1" minValue="0" maxValue="0" count="6">
        <s v="Funds disbursed"/>
        <s v="Pending partners internal approval"/>
        <s v="Pending additional details and/or formal request"/>
        <s v="Out of CoVDP scope"/>
        <s v="Approved pending disbursement &gt;15 days"/>
        <n v="0" u="1"/>
      </sharedItems>
    </cacheField>
    <cacheField name="Lead time from formal request received to today (days)" numFmtId="2">
      <sharedItems containsSemiMixedTypes="0" containsString="0" containsNumber="1" containsInteger="1" minValue="5" maxValue="44739"/>
    </cacheField>
    <cacheField name="Lead time from informal request received to today (days)2" numFmtId="2">
      <sharedItems containsSemiMixedTypes="0" containsString="0" containsNumber="1" containsInteger="1" minValue="10" maxValue="224"/>
    </cacheField>
    <cacheField name="Lead time from formal request received to today (days - corrected)" numFmtId="2">
      <sharedItems containsMixedTypes="1" containsNumber="1" containsInteger="1" minValue="5" maxValue="181"/>
    </cacheField>
    <cacheField name="Lead time from sources identified to today (if not disbursed yet)" numFmtId="2">
      <sharedItems containsMixedTypes="1" containsNumber="1" containsInteger="1" minValue="3" maxValue="44739"/>
    </cacheField>
    <cacheField name="Lead time from formal request received to disbursement of funds (calendar days)" numFmtId="2">
      <sharedItems containsBlank="1" containsMixedTypes="1" containsNumber="1" containsInteger="1" minValue="1" maxValue="105"/>
    </cacheField>
    <cacheField name="Lead time from formal request received to disbursement of funds (working days)" numFmtId="2">
      <sharedItems containsMixedTypes="1" containsNumber="1" containsInteger="1" minValue="1" maxValue="75"/>
    </cacheField>
    <cacheField name="Lead time from standard request discussed to disbursement of funds (working days) (for Gavi only)" numFmtId="2">
      <sharedItems containsMixedTypes="1" containsNumber="1" containsInteger="1" minValue="22" maxValue="44"/>
    </cacheField>
    <cacheField name="Comments" numFmtId="0">
      <sharedItems containsBlank="1"/>
    </cacheField>
    <cacheField name="Link to another row in the tracker" numFmtId="0">
      <sharedItems/>
    </cacheField>
    <cacheField name="Column1" numFmtId="0">
      <sharedItems containsSemiMixedTypes="0" containsString="0" containsNumber="1" containsInteger="1" minValue="1" maxValue="6"/>
    </cacheField>
    <cacheField name="Lead time risk level (from informal request to today)" numFmtId="0">
      <sharedItems containsMixedTypes="1" containsNumber="1" containsInteger="1" minValue="10" maxValue="12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s v="Ethiopia440000044677"/>
    <x v="0"/>
    <s v="Tito Rwamushaija"/>
    <s v="William"/>
    <n v="4400000"/>
    <x v="0"/>
    <n v="2200000"/>
    <x v="0"/>
    <s v="https://worldhealthorg.sharepoint.com/:w:/r/sites/COVID19VaccineDeliveryFacility/Shared%20Documents/General/02%20Workstreams/02%20Delivery%20Funding/4.%20Funding%20requests/01.%20Ethiopia/CN-%20COVID%2019%20Vax%20Campaign_Tigray_%20Ethiopia_%20Draft%20V3-%20April%2011%20(002).docx?d=wdf135e2d77ff49d0964a623f7ddd9208&amp;csf=1&amp;web=1&amp;e=1ws2M3"/>
    <s v="GAVI SCM"/>
    <d v="2022-04-26T00:00:00"/>
    <s v="yes"/>
    <d v="2022-04-26T00:00:00"/>
    <s v="yes"/>
    <x v="0"/>
    <d v="2022-04-26T00:00:00"/>
    <n v="2200000"/>
    <s v="yes"/>
    <d v="2022-04-27T00:00:00"/>
    <s v="yes"/>
    <d v="2022-04-29T00:00:00"/>
    <n v="4"/>
    <n v="0.05"/>
    <s v="Budget from WHO for the vaccination in Tigray. Approval of the funds to be disbursed on 4/27 - WHO meeting. 300k in the country office. Disbursement date confirmed by Renias Mukaro"/>
    <x v="0"/>
    <n v="62"/>
    <n v="62"/>
    <n v="62"/>
    <s v="-"/>
    <n v="3"/>
    <n v="3"/>
    <s v=""/>
    <m/>
    <s v="YES"/>
    <n v="2"/>
    <s v="Disbursed"/>
  </r>
  <r>
    <s v="Ethiopia540000044604"/>
    <x v="0"/>
    <s v="Tito Rwamushaija"/>
    <s v="William"/>
    <n v="5400000"/>
    <x v="0"/>
    <n v="2400000"/>
    <x v="1"/>
    <s v="https://worldhealthorg.sharepoint.com/:p:/r/sites/COVID19VaccineDeliveryFacility/_layouts/15/Doc.aspx?action=view&amp;sourcedoc=%7B8132e0b7-007b-4aee-98dd-777e720d60a7%7D&amp;wdOrigin=TEAMS-WEB.teamsSdk.openFilePreview&amp;wdExp=TEAMS-CONTROL&amp;wdhostclicktime=1652272756901"/>
    <s v="GAVI SCM"/>
    <d v="2022-02-12T00:00:00"/>
    <s v="yes"/>
    <d v="2021-12-28T00:00:00"/>
    <s v="yes"/>
    <x v="0"/>
    <d v="2022-02-28T00:00:00"/>
    <n v="2400000"/>
    <s v="yes"/>
    <d v="2022-04-12T00:00:00"/>
    <s v="yes"/>
    <d v="2022-04-12T00:00:00"/>
    <n v="4"/>
    <n v="0.05"/>
    <s v="ETH WHO CO has confirmed being in discussion with MoH on TA for a total of $2M and they are in discussion with RO re funding for this._x000a_Updated: value was agreed to be $2.4M. This is a funding for the expansion of the Measles campaign from 2 Years to a 5 year Cohort with integration of COVID-19 vaccination. The question from our end would now be, what are the funds to be used for now if we made them available? What's the next plan of action?"/>
    <x v="0"/>
    <n v="181"/>
    <n v="135"/>
    <n v="181"/>
    <s v="-"/>
    <n v="105"/>
    <n v="75"/>
    <s v=""/>
    <m/>
    <s v="NO"/>
    <n v="1"/>
    <s v="Disbursed"/>
  </r>
  <r>
    <s v="Malawi2154578.6060606144729"/>
    <x v="1"/>
    <s v="Billie Nieuwenhuys"/>
    <n v="0"/>
    <n v="2154578.606060606"/>
    <x v="0"/>
    <n v="198000"/>
    <x v="2"/>
    <s v="Copy of Malawi _CoVDP One Budget_Urgent Funding Request_Campaign July 2022.xlsx"/>
    <s v="Desk Officer"/>
    <d v="2022-06-17T00:00:00"/>
    <s v="yes"/>
    <d v="2022-06-22T00:00:00"/>
    <s v="yes"/>
    <x v="0"/>
    <d v="2022-06-24T00:00:00"/>
    <n v="198000"/>
    <s v="no"/>
    <d v="2022-06-24T00:00:00"/>
    <s v="no"/>
    <m/>
    <n v="1"/>
    <m/>
    <s v="Amount for WHO confirmed by Ida Marie"/>
    <x v="1"/>
    <n v="5"/>
    <n v="10"/>
    <n v="5"/>
    <n v="3"/>
    <m/>
    <s v=""/>
    <s v=""/>
    <m/>
    <s v="YES"/>
    <n v="2"/>
    <n v="10"/>
  </r>
  <r>
    <s v="Malawi2154578.6060606144729"/>
    <x v="1"/>
    <s v="Billie Nieuwenhuys"/>
    <n v="0"/>
    <n v="2154578.606060606"/>
    <x v="0"/>
    <n v="1956578.606060606"/>
    <x v="3"/>
    <s v="Copy of Malawi _CoVDP One Budget_Urgent Funding Request_Campaign July 2022.xlsx"/>
    <s v="Desk Officer"/>
    <d v="2022-06-17T00:00:00"/>
    <s v="yes"/>
    <d v="2022-06-22T00:00:00"/>
    <s v="yes"/>
    <x v="1"/>
    <d v="2022-06-24T00:00:00"/>
    <n v="1956578.606060606"/>
    <s v="no"/>
    <m/>
    <s v="no"/>
    <m/>
    <n v="1"/>
    <m/>
    <s v="Request shared by Ida Marie to be discussed during the funding alignment call on Tuesday June 21st "/>
    <x v="1"/>
    <n v="5"/>
    <n v="10"/>
    <n v="5"/>
    <n v="3"/>
    <m/>
    <s v=""/>
    <s v=""/>
    <m/>
    <s v="YES"/>
    <n v="2"/>
    <n v="10"/>
  </r>
  <r>
    <s v="Burkina Faso50000044515"/>
    <x v="2"/>
    <s v="Hamidreza Setayesh"/>
    <s v="William"/>
    <n v="500000"/>
    <x v="0"/>
    <n v="500000"/>
    <x v="4"/>
    <s v="https://worldhealthorg.sharepoint.com/:w:/r/sites/COVID19VaccineDeliveryFacility/Shared%20Documents/General/02%20Workstreams/02%20Delivery%20Funding/4.%20Funding%20requests/06.%20Burkina%20Faso/PROJET%20INTENSIFICATION%20VACCINATION%20COVID19_31_01_2022.docx?d=w670ff7dbaef54656b900c5fa0f5a627e&amp;csf=1&amp;web=1&amp;e=m1mW2R"/>
    <m/>
    <d v="2021-11-15T00:00:00"/>
    <s v="yes"/>
    <d v="2021-12-28T00:00:00"/>
    <s v="yes"/>
    <x v="1"/>
    <d v="2021-12-30T00:00:00"/>
    <n v="500000"/>
    <s v="yes"/>
    <d v="2022-12-29T00:00:00"/>
    <s v="yes"/>
    <d v="2022-01-02T00:00:00"/>
    <n v="1"/>
    <n v="0.24"/>
    <m/>
    <x v="0"/>
    <n v="181"/>
    <n v="224"/>
    <n v="181"/>
    <s v="-"/>
    <n v="5"/>
    <n v="3"/>
    <s v=""/>
    <m/>
    <s v="NO"/>
    <n v="1"/>
    <s v="Disbursed"/>
  </r>
  <r>
    <s v="Chad539093844725"/>
    <x v="3"/>
    <s v="Thierry Vincent"/>
    <s v="Simon"/>
    <n v="5390938"/>
    <x v="0"/>
    <n v="0"/>
    <x v="5"/>
    <s v="Copy of Copy of Synthese macroplan bloc 2_dose 1_v06.01.xlsx"/>
    <s v="GAVI SCM"/>
    <d v="2022-06-13T00:00:00"/>
    <s v="no"/>
    <m/>
    <s v="no"/>
    <x v="2"/>
    <m/>
    <n v="0"/>
    <s v="no"/>
    <m/>
    <s v="no"/>
    <m/>
    <n v="1"/>
    <m/>
    <s v="To be confirmed with Simon"/>
    <x v="2"/>
    <n v="44739"/>
    <n v="14"/>
    <s v="-"/>
    <s v="-"/>
    <m/>
    <s v=""/>
    <s v=""/>
    <m/>
    <s v="NO"/>
    <n v="1"/>
    <n v="14"/>
  </r>
  <r>
    <s v="Chad804861444613"/>
    <x v="3"/>
    <s v="Thierry Vincent"/>
    <s v="Simon"/>
    <n v="8048614"/>
    <x v="0"/>
    <n v="3000000"/>
    <x v="6"/>
    <s v="https://worldhealthorg.sharepoint.com/:x:/r/sites/COVID19VaccineDeliveryFacility/Shared%20Documents/General/02%20Workstreams/02%20Delivery%20Funding/4.%20Funding%20requests/05.%20Chad/Synthe%CC%80se%20macroplans%20provinces_2022.03.08_tv.xlsx?d=we7de3311341b4435adb2d96698a9e03c&amp;csf=1&amp;web=1&amp;e=rb6kIs"/>
    <s v="Ann Lindstrand + SCM"/>
    <d v="2022-02-21T00:00:00"/>
    <s v="yes"/>
    <d v="2022-03-07T00:00:00"/>
    <s v="yes"/>
    <x v="1"/>
    <d v="2022-03-08T00:00:00"/>
    <n v="3000000"/>
    <s v="yes"/>
    <d v="2022-03-11T00:00:00"/>
    <s v="yes"/>
    <d v="2022-03-15T00:00:00"/>
    <n v="3"/>
    <n v="0.79"/>
    <s v="US$2,451,884 on implementation activities and US$ 548,116 on TA/contingency funds"/>
    <x v="0"/>
    <n v="112"/>
    <n v="126"/>
    <n v="112"/>
    <s v="-"/>
    <n v="8"/>
    <n v="6"/>
    <s v=""/>
    <m/>
    <s v="YES"/>
    <n v="3"/>
    <s v="Disbursed"/>
  </r>
  <r>
    <s v="Chad804861444613"/>
    <x v="3"/>
    <s v="Cyril Nogier"/>
    <s v="Adelaide"/>
    <n v="8048614"/>
    <x v="0"/>
    <n v="740012"/>
    <x v="1"/>
    <s v="https://worldhealthorg.sharepoint.com/:x:/r/sites/COVID19VaccineDeliveryFacility/Shared%20Documents/General/02%20Workstreams/02%20Delivery%20Funding/4.%20Funding%20requests/05.%20Chad/Synthe%CC%80se%20macroplans%20provinces_2022.03.08_tv.xlsx?d=we7de3311341b4435adb2d96698a9e03c&amp;csf=1&amp;web=1&amp;e=rb6kIs"/>
    <s v="GAVI SCM"/>
    <d v="2022-02-21T00:00:00"/>
    <s v="yes"/>
    <d v="2022-03-07T00:00:00"/>
    <s v="yes"/>
    <x v="1"/>
    <d v="2022-03-08T00:00:00"/>
    <n v="740012"/>
    <s v="yes"/>
    <d v="2022-03-21T00:00:00"/>
    <s v="yes"/>
    <d v="2022-03-18T00:00:00"/>
    <n v="3"/>
    <n v="0.79"/>
    <m/>
    <x v="0"/>
    <n v="112"/>
    <n v="126"/>
    <n v="112"/>
    <s v="-"/>
    <n v="11"/>
    <n v="9"/>
    <s v=""/>
    <s v="UNICEF TA for 6 months campaign (2 rounds)"/>
    <s v="YES"/>
    <n v="3"/>
    <s v="Disbursed"/>
  </r>
  <r>
    <s v="DRC345802844600"/>
    <x v="4"/>
    <s v="Thierry Vincent"/>
    <s v="Simon"/>
    <n v="3458028"/>
    <x v="0"/>
    <n v="3458028"/>
    <x v="7"/>
    <s v="https://worldhealthorg.sharepoint.com/:w:/r/sites/COVID19VaccineDeliveryFacility/Shared%20Documents/General/02%20Workstreams/02%20Delivery%20Funding/4.%20Funding%20requests/03.%20DRC/Note%20conceptuelle%20sur%20Micro%20planification%20vaccination%20COVID19%20Fev2022.docx?d=w1a716909d45a45c4a1135da68f1ba590&amp;csf=1&amp;web=1&amp;e=TONA6r"/>
    <s v="Desk Officer"/>
    <d v="2022-02-08T00:00:00"/>
    <s v="yes"/>
    <d v="2022-02-18T00:00:00"/>
    <s v="yes"/>
    <x v="1"/>
    <d v="2022-02-22T00:00:00"/>
    <n v="3458028"/>
    <s v="yes"/>
    <d v="2022-02-22T00:00:00"/>
    <s v="yes"/>
    <d v="2022-02-28T00:00:00"/>
    <n v="2"/>
    <n v="0.49"/>
    <s v="The payment for vaccinators from 3.5M funds already received in the CO will start on mid-March after the completing of the campaigns"/>
    <x v="0"/>
    <n v="129"/>
    <n v="139"/>
    <n v="129"/>
    <s v="-"/>
    <n v="10"/>
    <n v="6"/>
    <s v=""/>
    <m/>
    <s v="NO"/>
    <n v="1"/>
    <s v="Disbursed"/>
  </r>
  <r>
    <s v="DRC300000044721"/>
    <x v="4"/>
    <s v="Cyril Nogier"/>
    <s v="Adelaide"/>
    <n v="3000000"/>
    <x v="0"/>
    <n v="3000000"/>
    <x v="8"/>
    <s v="PHASE II Strengthening Covid vaccination 06062022 (003).docx"/>
    <s v="Desk Officer"/>
    <d v="2022-06-09T00:00:00"/>
    <s v="no"/>
    <m/>
    <s v="no"/>
    <x v="2"/>
    <m/>
    <n v="3000000"/>
    <s v="no"/>
    <m/>
    <s v="no"/>
    <m/>
    <n v="1"/>
    <m/>
    <s v="Adelaide and CT to discuss the request during the funding alignment "/>
    <x v="2"/>
    <n v="44739"/>
    <n v="18"/>
    <s v="-"/>
    <s v="-"/>
    <m/>
    <s v=""/>
    <s v=""/>
    <m/>
    <s v="NO"/>
    <n v="1"/>
    <n v="18"/>
  </r>
  <r>
    <s v="Chad804861444613"/>
    <x v="3"/>
    <s v="Thierry Vincent"/>
    <s v="Simon"/>
    <n v="8048614"/>
    <x v="0"/>
    <n v="1144000"/>
    <x v="1"/>
    <s v="https://worldhealthorg.sharepoint.com/:x:/r/sites/COVID19VaccineDeliveryFacility/Shared%20Documents/General/02%20Workstreams/02%20Delivery%20Funding/4.%20Funding%20requests/05.%20Chad/Synthe%CC%80se%20macroplans%20provinces_2022.03.08_tv.xlsx?d=we7de3311341b4435adb2d96698a9e03c&amp;csf=1&amp;web=1&amp;e=rb6kIs"/>
    <s v="GAVI SCM"/>
    <d v="2022-02-21T00:00:00"/>
    <s v="yes"/>
    <d v="2022-03-07T00:00:00"/>
    <s v="yes"/>
    <x v="0"/>
    <d v="2022-03-08T00:00:00"/>
    <n v="1144000"/>
    <s v="yes"/>
    <d v="2022-03-11T00:00:00"/>
    <s v="yes"/>
    <d v="2022-03-09T00:00:00"/>
    <n v="3"/>
    <n v="0.56000000000000005"/>
    <s v="funding provided from fund already available in CO. $375k of this was ‘borrowed’ from sources of funding that would need to be reimbursed. We expect this to be taken care of through the next funding release from RO, so just to keep note of for now."/>
    <x v="0"/>
    <n v="112"/>
    <n v="126"/>
    <n v="112"/>
    <s v="-"/>
    <n v="2"/>
    <n v="2"/>
    <s v=""/>
    <s v="WHO TA for 6 months campaign (2 rounds)"/>
    <s v="YES"/>
    <n v="3"/>
    <s v="Disbursed"/>
  </r>
  <r>
    <s v="LaoTBD44613"/>
    <x v="5"/>
    <s v="Nadia Lasri"/>
    <n v="0"/>
    <s v="TBD"/>
    <x v="1"/>
    <s v="TBD"/>
    <x v="9"/>
    <m/>
    <s v="Diana"/>
    <d v="2022-02-21T00:00:00"/>
    <s v="no"/>
    <m/>
    <s v="Out of CoVDP scope"/>
    <x v="2"/>
    <m/>
    <s v="TBD"/>
    <m/>
    <m/>
    <m/>
    <m/>
    <n v="1"/>
    <m/>
    <s v="GAVI to check if funding for ambulances has been included in the NBA received from Lao --&gt; Pending answer from SCM (07/03/2022) to confirm non urgency"/>
    <x v="3"/>
    <n v="44739"/>
    <n v="126"/>
    <s v="-"/>
    <s v="-"/>
    <s v="-"/>
    <s v=""/>
    <s v=""/>
    <m/>
    <s v="NO"/>
    <n v="1"/>
    <n v="126"/>
  </r>
  <r>
    <s v="EthiopiaTBD44604"/>
    <x v="0"/>
    <s v="Antoinette Awaga"/>
    <s v="Edinam"/>
    <s v="TBD"/>
    <x v="0"/>
    <n v="216502"/>
    <x v="1"/>
    <s v="https://worldhealthorg.sharepoint.com/:f:/r/sites/COVID19VaccineDeliveryFacility/Shared%20Documents/General/02%20Workstreams/02%20Delivery%20Funding/4.%20Funding%20requests/01.%20Ethiopia?csf=1&amp;web=1&amp;e=DJKaUm"/>
    <s v="GAVI SCM"/>
    <d v="2022-02-12T00:00:00"/>
    <s v="yes"/>
    <d v="2022-02-22T00:00:00"/>
    <s v="yes"/>
    <x v="1"/>
    <d v="2022-03-01T00:00:00"/>
    <n v="216502"/>
    <s v="yes"/>
    <d v="2022-03-04T00:00:00"/>
    <s v="yes"/>
    <d v="2022-03-11T00:00:00"/>
    <n v="3"/>
    <n v="0.8"/>
    <s v="UNICEF’s ACT-A HAC Vaccine pillar: US$175,362 disbursed on March 11th / RCCE pillar: US$41,140 disbursed on March 14th"/>
    <x v="0"/>
    <n v="125"/>
    <n v="135"/>
    <n v="125"/>
    <s v="-"/>
    <n v="17"/>
    <n v="13"/>
    <s v=""/>
    <m/>
    <s v="NO"/>
    <n v="1"/>
    <s v="Disbursed"/>
  </r>
  <r>
    <s v="Ethiopia340000044677"/>
    <x v="0"/>
    <s v="Hamidreza Setayesh"/>
    <s v="William"/>
    <n v="3400000"/>
    <x v="0"/>
    <n v="1700000"/>
    <x v="10"/>
    <s v="https://worldhealthorg.sharepoint.com/:p:/r/sites/COVID19VaccineDeliveryFacility/Shared%20Documents/General/02%20Workstreams/02%20Delivery%20Funding/4.%20Funding%20requests/01.%20Ethiopia/Ethiopia_R3%20vaccination%20campaign.pptx?d=w8e900f25e99041e6985317c49229134e&amp;csf=1&amp;web=1&amp;e=Qwu2yj"/>
    <s v="GAVI SCM"/>
    <d v="2022-04-26T00:00:00"/>
    <s v="yes"/>
    <d v="2022-04-26T00:00:00"/>
    <s v="yes"/>
    <x v="1"/>
    <d v="2022-04-26T00:00:00"/>
    <n v="1700000"/>
    <s v="yes"/>
    <d v="2022-04-26T00:00:00"/>
    <s v="yes"/>
    <d v="2022-04-28T00:00:00"/>
    <n v="4"/>
    <n v="0.8"/>
    <s v="Budget from UNICEF for the R3 campaign. Ronke confirmed that the funds were sent to the country today"/>
    <x v="0"/>
    <n v="62"/>
    <n v="62"/>
    <n v="62"/>
    <s v="-"/>
    <m/>
    <n v="2"/>
    <s v=""/>
    <m/>
    <s v="NO"/>
    <n v="1"/>
    <s v="Disbursed"/>
  </r>
  <r>
    <s v="South Sudan1488200044620"/>
    <x v="6"/>
    <s v="Patience Musanhu"/>
    <s v="Ida Marie"/>
    <n v="14882000"/>
    <x v="0"/>
    <n v="915854"/>
    <x v="11"/>
    <s v="https://worldhealthorg.sharepoint.com/:u:/r/sites/COVID19VaccineDeliveryFacility/Shared%20Documents/General/02%20Workstreams/02%20Delivery%20Funding/4.%20Funding%20requests/02.%20South%20Sudan/01.%20CDS%20application/RE%20Delivery%20partnership%20funding%20alignment%20call%20April%2019%20-%20Notes%20-%20South%20Sudan.msg?csf=1&amp;web=1&amp;e=ymlp6D"/>
    <s v="GAVI SCM"/>
    <d v="2022-02-28T00:00:00"/>
    <s v="yes"/>
    <d v="2022-03-24T00:00:00"/>
    <s v="yes"/>
    <x v="3"/>
    <d v="2022-03-24T00:00:00"/>
    <n v="915854"/>
    <s v="yes"/>
    <d v="2022-03-24T00:00:00"/>
    <s v="yes"/>
    <d v="2022-05-04T00:00:00"/>
    <n v="5"/>
    <m/>
    <s v="Confirmation from Mona that part of the funds were disbursed in South Sudan"/>
    <x v="0"/>
    <n v="95"/>
    <n v="119"/>
    <n v="95"/>
    <s v="-"/>
    <m/>
    <n v="29"/>
    <n v="29"/>
    <m/>
    <s v="YES"/>
    <n v="6"/>
    <s v="Disbursed"/>
  </r>
  <r>
    <s v="South Sudan1488200044620"/>
    <x v="6"/>
    <s v="Patience Musanhu"/>
    <s v="Ida Marie"/>
    <n v="14882000"/>
    <x v="0"/>
    <n v="322452"/>
    <x v="12"/>
    <s v="https://worldhealthorg.sharepoint.com/:u:/r/sites/COVID19VaccineDeliveryFacility/Shared%20Documents/General/02%20Workstreams/02%20Delivery%20Funding/4.%20Funding%20requests/02.%20South%20Sudan/01.%20CDS%20application/South%20Sudan%20CDS%20%20Disbursements.msg?csf=1&amp;web=1&amp;e=FQO7ic"/>
    <s v="GAVI SCM"/>
    <d v="2022-02-28T00:00:00"/>
    <s v="yes"/>
    <d v="2022-03-24T00:00:00"/>
    <s v="yes"/>
    <x v="3"/>
    <d v="2022-03-24T00:00:00"/>
    <n v="322452"/>
    <s v="yes"/>
    <d v="2022-03-24T00:00:00"/>
    <s v="yes"/>
    <d v="2022-05-04T00:00:00"/>
    <n v="5"/>
    <m/>
    <s v="Confirmation from Patience that the funds have been disrbused for WHO"/>
    <x v="0"/>
    <n v="95"/>
    <n v="119"/>
    <n v="95"/>
    <s v="-"/>
    <m/>
    <n v="29"/>
    <n v="29"/>
    <m/>
    <s v="YES"/>
    <n v="6"/>
    <s v="Disbursed"/>
  </r>
  <r>
    <s v="South Sudan1488200044620"/>
    <x v="6"/>
    <s v="Patience Musanhu"/>
    <s v="Ida Marie"/>
    <n v="14882000"/>
    <x v="0"/>
    <n v="65590"/>
    <x v="13"/>
    <s v="https://worldhealthorg.sharepoint.com/:u:/r/sites/COVID19VaccineDeliveryFacility/Shared%20Documents/General/02%20Workstreams/02%20Delivery%20Funding/4.%20Funding%20requests/02.%20South%20Sudan/01.%20CDS%20application/South%20Sudan%20CDS%20%20Disbursements.msg?csf=1&amp;web=1&amp;e=FQO7ic"/>
    <s v="GAVI SCM"/>
    <d v="2022-02-28T00:00:00"/>
    <s v="yes"/>
    <d v="2022-03-24T00:00:00"/>
    <s v="yes"/>
    <x v="3"/>
    <d v="2022-03-24T00:00:00"/>
    <n v="65590"/>
    <s v="yes"/>
    <d v="2022-03-24T00:00:00"/>
    <s v="yes"/>
    <d v="2022-05-04T00:00:00"/>
    <n v="5"/>
    <m/>
    <s v="Confirmation from Mona of the disbursements"/>
    <x v="0"/>
    <n v="95"/>
    <n v="119"/>
    <n v="95"/>
    <s v="-"/>
    <m/>
    <n v="29"/>
    <n v="29"/>
    <m/>
    <s v="YES"/>
    <n v="6"/>
    <s v="Disbursed"/>
  </r>
  <r>
    <s v="South Sudan1488200044620"/>
    <x v="6"/>
    <s v="Patience Musanhu"/>
    <s v="Ida Marie"/>
    <n v="14882000"/>
    <x v="0"/>
    <n v="1125809"/>
    <x v="14"/>
    <s v="https://worldhealthorg.sharepoint.com/:u:/r/sites/COVID19VaccineDeliveryFacility/Shared%20Documents/General/02%20Workstreams/02%20Delivery%20Funding/4.%20Funding%20requests/02.%20South%20Sudan/01.%20CDS%20application/FW%20Delivery%20partnership%20funding%20alignment%20call%20May%2024%20-%20Notes.msg?csf=1&amp;web=1&amp;e=TjRwdl"/>
    <s v="GAVI SCM"/>
    <d v="2022-02-28T00:00:00"/>
    <s v="yes"/>
    <d v="2022-03-24T00:00:00"/>
    <s v="yes"/>
    <x v="3"/>
    <d v="2022-03-24T00:00:00"/>
    <n v="1125809"/>
    <s v="yes"/>
    <d v="2022-03-24T00:00:00"/>
    <s v="yes"/>
    <d v="2022-05-25T00:00:00"/>
    <n v="5"/>
    <m/>
    <s v="Of the $2.8m NBF funds, $2,429,705 is now disbursed from Gavi side to the main partners (HPF, Unicef and WHO). 60K is due to go out in June when IOM begin their grant and the remainder is signed into contracts based on deliverables, so with be paid on invoice. "/>
    <x v="0"/>
    <n v="95"/>
    <n v="119"/>
    <n v="95"/>
    <s v="-"/>
    <m/>
    <n v="44"/>
    <n v="44"/>
    <m/>
    <s v="YES"/>
    <n v="6"/>
    <s v="Disbursed"/>
  </r>
  <r>
    <s v="South Sudan1488200044620"/>
    <x v="6"/>
    <s v="Patience Musanhu"/>
    <s v="Ida Marie"/>
    <n v="14882000"/>
    <x v="2"/>
    <n v="368295"/>
    <x v="15"/>
    <s v="https://worldhealthorg.sharepoint.com/:x:/r/sites/COVID19VaccineDeliveryFacility/_layouts/15/Doc.aspx?sourcedoc=%7B44CAD809-70ED-4962-B421-B2768550C8A4%7D&amp;file=New%20South%20Sudan%20CDS%20Budget%20(Only%20Gavi%27s%20share).xlsm&amp;action=default&amp;mobileredirect=true"/>
    <s v="GAVI SCM"/>
    <d v="2022-02-28T00:00:00"/>
    <s v="yes"/>
    <d v="2022-03-24T00:00:00"/>
    <s v="yes"/>
    <x v="3"/>
    <d v="2022-03-24T00:00:00"/>
    <n v="368295"/>
    <s v="yes"/>
    <d v="2022-03-24T00:00:00"/>
    <s v="yes"/>
    <d v="2022-05-04T00:00:00"/>
    <n v="5"/>
    <m/>
    <s v="Service contract. Disbursements paid when the contrat is delivered"/>
    <x v="0"/>
    <n v="95"/>
    <n v="119"/>
    <n v="95"/>
    <s v="-"/>
    <n v="41"/>
    <n v="29"/>
    <n v="29"/>
    <m/>
    <s v="YES"/>
    <n v="6"/>
    <s v="Disbursed"/>
  </r>
  <r>
    <s v="Ethiopia440000044677"/>
    <x v="0"/>
    <s v="Tarek Elshimi"/>
    <s v="Imran"/>
    <n v="4400000"/>
    <x v="0"/>
    <n v="2170000"/>
    <x v="16"/>
    <s v="https://worldhealthorg.sharepoint.com/:w:/r/sites/COVID19VaccineDeliveryFacility/Shared%20Documents/General/02%20Workstreams/02%20Delivery%20Funding/4.%20Funding%20requests/01.%20Ethiopia/CN-%20COVID%2019%20Vax%20Campaign_Tigray_%20Ethiopia_%20Draft%20V3-%20April%2011%20(002).docx?d=wdf135e2d77ff49d0964a623f7ddd9208&amp;csf=1&amp;web=1&amp;e=1ws2M3"/>
    <s v="GAVI CDS"/>
    <d v="2022-04-26T00:00:00"/>
    <s v="yes"/>
    <d v="2022-04-26T00:00:00"/>
    <s v="yes"/>
    <x v="1"/>
    <d v="2022-04-26T00:00:00"/>
    <n v="2170000"/>
    <s v="yes"/>
    <d v="2022-04-26T00:00:00"/>
    <s v="yes"/>
    <d v="2022-04-27T00:00:00"/>
    <n v="4"/>
    <n v="0.8"/>
    <s v="Budget from UNICEF for the vaccination in Tigray"/>
    <x v="0"/>
    <n v="62"/>
    <n v="62"/>
    <n v="62"/>
    <s v="-"/>
    <n v="1"/>
    <n v="1"/>
    <s v=""/>
    <s v="Benjamin email of 14 April mentioned &quot;Transfer of funds to Tigray&quot; - confirm when, who from and whether it met this request"/>
    <s v="YES"/>
    <n v="2"/>
    <s v="Disbursed"/>
  </r>
  <r>
    <s v="Nigeria280000044670"/>
    <x v="7"/>
    <e v="#REF!"/>
    <e v="#REF!"/>
    <n v="2800000"/>
    <x v="0"/>
    <n v="1417098.76"/>
    <x v="17"/>
    <s v="https://worldhealthorg.sharepoint.com/:x:/r/sites/COVID19VaccineDeliveryFacility/Shared%20Documents/General/02%20Workstreams/02%20Delivery%20Funding/4.%20Funding%20requests/07.%20Nigeria/Copy%20of%20Budget%20integrated%20logistics%20and%20bundle%20campaigns%20%2021.04.2022.xlsx?d=w3dcbe702aa2245a0b62210084866b856&amp;csf=1&amp;web=1&amp;e=89YKze"/>
    <s v="GAVI CDS"/>
    <d v="2022-04-19T00:00:00"/>
    <s v="yes"/>
    <d v="2022-04-19T00:00:00"/>
    <s v="yes"/>
    <x v="1"/>
    <d v="2022-04-20T00:00:00"/>
    <n v="1417098.76"/>
    <s v="yes"/>
    <d v="2022-04-20T00:00:00"/>
    <s v="yes"/>
    <d v="2022-04-25T00:00:00"/>
    <n v="4"/>
    <n v="0.33"/>
    <s v="Approved and transferred US$5M to UNICEF Nigeria CO (date for tracking April 25, 2022). This will cover US$3.6M logistics and US$1.4M bundling of C19 vaccine campaign. The new allocation split from the budget submitted to us by UNICEF CO will slightly change the gaps for logistics costs and the campaign bundling costs estimated by the country team."/>
    <x v="0"/>
    <n v="69"/>
    <n v="69"/>
    <n v="69"/>
    <s v="-"/>
    <n v="6"/>
    <n v="4"/>
    <s v=""/>
    <m/>
    <s v="NO"/>
    <n v="1"/>
    <s v="Disbursed"/>
  </r>
  <r>
    <s v="Yemen480000044621"/>
    <x v="8"/>
    <s v="Anne Cronin"/>
    <n v="0"/>
    <n v="4800000"/>
    <x v="1"/>
    <n v="0"/>
    <x v="18"/>
    <s v="https://worldhealthorg.sharepoint.com/:u:/r/sites/COVID19VaccineDeliveryFacility/Shared%20Documents/General/02%20Workstreams/02%20Delivery%20Funding/4.%20Funding%20requests/10.%20Yemen/RE%20EXT%20Agenda%20item%20for%20the%20April%2019%20CoVDP%20call%20-%20Somalia.msg?csf=1&amp;web=1&amp;e=pMylDa"/>
    <s v="GAVI CDS"/>
    <d v="2022-03-01T00:00:00"/>
    <s v="no"/>
    <m/>
    <m/>
    <x v="4"/>
    <m/>
    <n v="0"/>
    <m/>
    <m/>
    <m/>
    <m/>
    <n v="1"/>
    <m/>
    <s v="Misalignment between Budget / Gaps identified / Funding requested: @Abu Obeida Eltayeb (aeltayeb@unicef.org) to follow up with the Country Team to clarify the funding needs/gaps and request and confirm that there is no urgent support required_x000a_Following the clarification: @Anne Cronin and @Lindsey Cole to provide a specific view on what will be funded through CDS and what will require support from other partners"/>
    <x v="3"/>
    <n v="44739"/>
    <n v="118"/>
    <s v="-"/>
    <n v="44739"/>
    <s v="-"/>
    <s v=""/>
    <s v=""/>
    <m/>
    <s v="NO"/>
    <n v="1"/>
    <n v="118"/>
  </r>
  <r>
    <s v="Ethiopia800000044587"/>
    <x v="0"/>
    <s v="Tito Rwamushaija"/>
    <s v="William"/>
    <n v="8000000"/>
    <x v="2"/>
    <n v="8000000"/>
    <x v="19"/>
    <m/>
    <s v="GAVI CDS"/>
    <d v="2022-01-26T00:00:00"/>
    <s v="yes"/>
    <d v="2022-01-28T00:00:00"/>
    <s v="yes"/>
    <x v="3"/>
    <d v="2022-02-16T00:00:00"/>
    <n v="8000000"/>
    <s v="yes"/>
    <d v="2022-03-04T00:00:00"/>
    <s v="yes"/>
    <d v="2022-03-18T00:00:00"/>
    <n v="3"/>
    <m/>
    <m/>
    <x v="0"/>
    <n v="150"/>
    <n v="152"/>
    <n v="150"/>
    <s v="-"/>
    <n v="49"/>
    <n v="35"/>
    <n v="22"/>
    <m/>
    <s v="NO"/>
    <n v="1"/>
    <s v="Disbursed"/>
  </r>
  <r>
    <s v="GhanaTBD44637"/>
    <x v="9"/>
    <s v="Aichatou Cisse"/>
    <s v="Imran"/>
    <s v="TBD"/>
    <x v="0"/>
    <s v="TBD"/>
    <x v="20"/>
    <m/>
    <s v="Desk Officer"/>
    <d v="2022-03-17T00:00:00"/>
    <s v="no"/>
    <m/>
    <m/>
    <x v="2"/>
    <m/>
    <s v="TBD"/>
    <m/>
    <m/>
    <m/>
    <m/>
    <n v="1"/>
    <m/>
    <s v="Imran to follow up with the CT to confirm the need - Update expected on Mar 21-22nd"/>
    <x v="2"/>
    <n v="44739"/>
    <n v="102"/>
    <s v="-"/>
    <s v="-"/>
    <s v="-"/>
    <s v=""/>
    <s v=""/>
    <m/>
    <s v="NO"/>
    <n v="1"/>
    <n v="102"/>
  </r>
  <r>
    <s v="Nigeria300000044631"/>
    <x v="7"/>
    <s v="Hamidreza Setayesh"/>
    <s v="William"/>
    <n v="3000000"/>
    <x v="3"/>
    <n v="3000000"/>
    <x v="21"/>
    <s v="https://worldhealthorg.sharepoint.com/:b:/r/sites/COVID19VaccineDeliveryFacility/Shared%20Documents/General/02%20Workstreams/02%20Delivery%20Funding/4.%20Funding%20requests/07.%20Nigeria/Nigeria%20funding%20request%20-%20Fwd_%20%5BEXT%5D%20Covid%20Vaccination%20Partnership%20-%20Follow%20up.pdf?csf=1&amp;web=1&amp;e=FEjU1e"/>
    <s v="Ann Lindstrand + Bhupinder Tomar (IFRC)"/>
    <d v="2022-03-11T00:00:00"/>
    <s v="no"/>
    <m/>
    <m/>
    <x v="2"/>
    <m/>
    <n v="3000000"/>
    <m/>
    <m/>
    <m/>
    <m/>
    <n v="1"/>
    <m/>
    <s v="Not confirmed yet - Only 9 out of 36 micro plan received from states - CT currently working to prepare plans and budgets and identify medium term funding support required. No discussion yet with the government. Not priority for Q2."/>
    <x v="2"/>
    <n v="44739"/>
    <n v="108"/>
    <s v="-"/>
    <s v="-"/>
    <s v="-"/>
    <s v=""/>
    <s v=""/>
    <m/>
    <s v="NO"/>
    <n v="1"/>
    <n v="108"/>
  </r>
  <r>
    <s v="Nigeria610000044670"/>
    <x v="7"/>
    <e v="#REF!"/>
    <e v="#REF!"/>
    <n v="6100000"/>
    <x v="0"/>
    <n v="3600000"/>
    <x v="22"/>
    <s v="https://worldhealthorg.sharepoint.com/:x:/r/sites/COVID19VaccineDeliveryFacility/Shared%20Documents/General/02%20Workstreams/02%20Delivery%20Funding/4.%20Funding%20requests/07.%20Nigeria/Copy%20of%20Budget%20integrated%20logistics%20and%20bundle%20campaigns%20%2021.04.2022.xlsx?d=w3dcbe702aa2245a0b62210084866b856&amp;csf=1&amp;web=1&amp;e=89YKze"/>
    <s v="GAVI CDS"/>
    <d v="2022-04-19T00:00:00"/>
    <s v="yes"/>
    <d v="2022-04-19T00:00:00"/>
    <s v="yes"/>
    <x v="1"/>
    <d v="2022-04-20T00:00:00"/>
    <n v="3600000"/>
    <s v="yes"/>
    <d v="2022-04-20T00:00:00"/>
    <s v="yes"/>
    <d v="2022-04-24T00:00:00"/>
    <n v="4"/>
    <n v="0.33"/>
    <s v="Approved and transferred US$5M to UNICEF Nigeria CO (date for tracking April 25, 2022). This will cover US$3.6M logistics and US$1.4M bundling of C19 vaccine campaign. The new allocation split from the budget submitted to us by UNICEF CO will slightly change the gaps for logistics costs and the campaign bundling costs estimated by the country team."/>
    <x v="0"/>
    <n v="69"/>
    <n v="69"/>
    <n v="69"/>
    <s v="-"/>
    <n v="5"/>
    <n v="3"/>
    <s v=""/>
    <m/>
    <s v="NO"/>
    <n v="1"/>
    <s v="Disbursed"/>
  </r>
  <r>
    <s v="Sierra Leone152000044624"/>
    <x v="10"/>
    <s v="Tito Rwamushaija"/>
    <s v="William"/>
    <n v="1520000"/>
    <x v="0"/>
    <n v="1526147"/>
    <x v="23"/>
    <s v="https://worldhealthorg.sharepoint.com/:b:/r/sites/COVID19VaccineDeliveryFacility/Shared%20Documents/General/02%20Workstreams/02%20Delivery%20Funding/4.%20Funding%20requests/08.%20Sierra%20Leone/RE_%20CoVDP%20Funding%20-%20Sierra%20Leone%20urgent%20funding%20need.pdf?csf=1&amp;web=1&amp;e=u3to3v"/>
    <s v="Desk Officer"/>
    <d v="2022-03-04T00:00:00"/>
    <s v="yes"/>
    <d v="2022-03-30T00:00:00"/>
    <s v="yes"/>
    <x v="1"/>
    <d v="2022-04-11T00:00:00"/>
    <n v="1526147"/>
    <s v="yes"/>
    <d v="2022-04-11T00:00:00"/>
    <s v="yes"/>
    <d v="2022-04-11T00:00:00"/>
    <n v="4"/>
    <n v="0.54"/>
    <s v="1. In-country team shared revised urgent request - @Imran Mirza to coordinate with CT to confirm that there is no duplication with CDS application and then share formal request with CoVDP (update expected by March 31st)_x000a_2. WHO CO to confirm if the 2M$ currently available at country level could be mobilized to support urgent need - @Imran Mirza to follow up with the WHO CO_x000a_3. UNICEF confirmed that HAC funds can be disbursed if required – no immediate action      // Potential support from USAID to be confirmed"/>
    <x v="0"/>
    <n v="89"/>
    <n v="115"/>
    <n v="89"/>
    <s v="-"/>
    <n v="12"/>
    <n v="8"/>
    <s v=""/>
    <m/>
    <s v="NO"/>
    <n v="1"/>
    <s v="Disbursed"/>
  </r>
  <r>
    <s v="Nigeria620000044677"/>
    <x v="7"/>
    <s v="Hamidreza Setayesh"/>
    <s v="William"/>
    <n v="6200000"/>
    <x v="0"/>
    <n v="6200000"/>
    <x v="24"/>
    <s v="https://worldhealthorg.sharepoint.com/:x:/r/sites/COVID19VaccineDeliveryFacility/_layouts/15/Doc.aspx?action=view&amp;sourcedoc=%7B68ad8d34-9881-4165-94fb-df815074ce43%7D&amp;wdOrigin=TEAMS-WEB.teamsSdk.openFilePreview&amp;wdExp=TEAMS-CONTROL&amp;wdhostclicktime=1652273343790 and https://worldhealthorg.sharepoint.com/:u:/r/sites/COVID19VaccineDeliveryFacility/Shared%20Documents/General/02%20Workstreams/02%20Delivery%20Funding/4.%20Funding%20requests/07.%20Nigeria/FW%20Delivery%20partnership%20funding%20alignment%20call%20May%2010%20-%20Notes%20-%20Nigeria.msg?csf=1&amp;web=1&amp;e=MTvAxC"/>
    <s v="Desk Officer"/>
    <d v="2022-04-26T00:00:00"/>
    <s v="yes"/>
    <d v="2022-05-11T00:00:00"/>
    <s v="yes"/>
    <x v="3"/>
    <d v="2022-06-02T00:00:00"/>
    <n v="6200000"/>
    <s v="yes"/>
    <d v="2022-06-22T00:00:00"/>
    <s v="no"/>
    <m/>
    <n v="1"/>
    <m/>
    <s v="Confirm whether GAVI to fund 6.2m in the TA request. Mona provided updates during the call on June 24th "/>
    <x v="4"/>
    <n v="47"/>
    <n v="62"/>
    <n v="47"/>
    <n v="25"/>
    <s v="-"/>
    <s v=""/>
    <s v=""/>
    <m/>
    <s v="NO"/>
    <n v="1"/>
    <n v="62"/>
  </r>
  <r>
    <s v="AfghanistanTBD44649"/>
    <x v="11"/>
    <s v="Veronique Maeva Fages"/>
    <s v="Imran"/>
    <s v="TBD"/>
    <x v="0"/>
    <s v="TBD"/>
    <x v="25"/>
    <m/>
    <s v="Desk Officer"/>
    <d v="2022-03-29T00:00:00"/>
    <s v="no"/>
    <m/>
    <m/>
    <x v="2"/>
    <m/>
    <s v="TBD"/>
    <m/>
    <m/>
    <m/>
    <m/>
    <n v="1"/>
    <m/>
    <s v="Pending identification of the urgent needs included in the CDS application - Afghanistan did submit their CDS application for $11.2m, however based on our comments they are revising it and will resubmit request with probably $12-13M. Once submitted, we will review what will be covered by Gavi/CDS and what will be the funding gap. "/>
    <x v="2"/>
    <n v="44739"/>
    <n v="90"/>
    <s v="-"/>
    <s v="-"/>
    <s v="-"/>
    <s v=""/>
    <s v=""/>
    <m/>
    <s v="NO"/>
    <n v="1"/>
    <n v="90"/>
  </r>
  <r>
    <s v="Somalia1743000044670"/>
    <x v="12"/>
    <e v="#REF!"/>
    <e v="#REF!"/>
    <n v="17430000"/>
    <x v="0"/>
    <n v="5552930"/>
    <x v="26"/>
    <s v="https://worldhealthorg.sharepoint.com/:p:/r/sites/COVID19VaccineDeliveryFacility/Shared%20Documents/General/02%20Workstreams/02%20Delivery%20Funding/4.%20Funding%20requests/09.%20Somalia/20220419_CDS%20request%20overview_Somalia_DeliveryPartnership%20(1).pptx?d=we2234633878c4755814fef01ecdec6c0&amp;csf=1&amp;web=1&amp;e=4d7vHE"/>
    <s v="GAVI CDS"/>
    <d v="2022-04-19T00:00:00"/>
    <s v="yes"/>
    <d v="2022-04-19T00:00:00"/>
    <s v="yes"/>
    <x v="3"/>
    <d v="2022-04-19T00:00:00"/>
    <n v="5552930"/>
    <s v="yes"/>
    <d v="2022-04-19T00:00:00"/>
    <s v="no"/>
    <m/>
    <n v="1"/>
    <m/>
    <s v="To follow up with Abu and Patience "/>
    <x v="4"/>
    <n v="69"/>
    <n v="69"/>
    <n v="69"/>
    <n v="69"/>
    <s v="-"/>
    <s v=""/>
    <s v=""/>
    <m/>
    <s v="YES"/>
    <n v="3"/>
    <n v="69"/>
  </r>
  <r>
    <s v="Somalia1743000044670"/>
    <x v="12"/>
    <s v="Anne Cronin"/>
    <s v="Abu"/>
    <n v="17430000"/>
    <x v="0"/>
    <n v="4661556"/>
    <x v="27"/>
    <s v="https://worldhealthorg.sharepoint.com/:u:/r/sites/COVID19VaccineDeliveryFacility/Shared%20Documents/General/02%20Workstreams/02%20Delivery%20Funding/4.%20Funding%20requests/09.%20Somalia/FW%20New%20German%20COVID-19%20vaccine%20funding%20Briefing%20on%20grant%20procedures%20-%20Somalia.msg?csf=1&amp;web=1&amp;e=UTyqkW"/>
    <s v="GAVI CDS"/>
    <d v="2022-04-19T00:00:00"/>
    <s v="yes"/>
    <d v="2022-04-19T00:00:00"/>
    <s v="yes"/>
    <x v="0"/>
    <d v="2022-05-30T00:00:00"/>
    <n v="4661556"/>
    <s v="yes"/>
    <d v="2022-05-30T00:00:00"/>
    <s v="no"/>
    <m/>
    <n v="1"/>
    <m/>
    <m/>
    <x v="4"/>
    <n v="69"/>
    <n v="69"/>
    <n v="69"/>
    <n v="28"/>
    <m/>
    <s v=""/>
    <s v=""/>
    <m/>
    <s v="YES"/>
    <n v="3"/>
    <n v="69"/>
  </r>
  <r>
    <s v="Sudan21829690.973559344640"/>
    <x v="13"/>
    <s v="Patience Musanhu"/>
    <s v="Abu"/>
    <n v="21829690.973559324"/>
    <x v="2"/>
    <n v="3600000"/>
    <x v="28"/>
    <s v="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
    <s v="Desk Officer"/>
    <d v="2022-03-20T00:00:00"/>
    <s v="yes"/>
    <d v="2022-05-31T00:00:00"/>
    <s v="yes"/>
    <x v="0"/>
    <d v="2022-05-31T00:00:00"/>
    <n v="3600000"/>
    <s v="yes"/>
    <d v="2022-06-08T00:00:00"/>
    <s v="no"/>
    <m/>
    <n v="1"/>
    <m/>
    <s v="Pending disbursement from WHO. Information shared by Osama"/>
    <x v="4"/>
    <n v="27"/>
    <n v="99"/>
    <n v="27"/>
    <n v="27"/>
    <m/>
    <s v=""/>
    <s v=""/>
    <m/>
    <s v="YES"/>
    <n v="2"/>
    <n v="99"/>
  </r>
  <r>
    <s v="Sudan510000044648"/>
    <x v="13"/>
    <s v="Anne Cronin"/>
    <s v="Abu"/>
    <n v="5100000"/>
    <x v="2"/>
    <n v="5763000"/>
    <x v="29"/>
    <s v="https://worldhealthorg.sharepoint.com/:u:/r/sites/COVID19VaccineDeliveryFacility/Shared%20Documents/General/02%20Workstreams/02%20Delivery%20Funding/4.%20Funding%20requests/11.%20Sudan/Sudan%20confirmation%20of%20disbursement.msg?csf=1&amp;web=1&amp;e=R8bi6c"/>
    <s v="GAVI CDS"/>
    <d v="2022-03-28T00:00:00"/>
    <s v="yes"/>
    <d v="2022-03-28T00:00:00"/>
    <s v="yes"/>
    <x v="3"/>
    <d v="2022-03-28T00:00:00"/>
    <n v="5763000"/>
    <s v="yes"/>
    <d v="2022-05-02T00:00:00"/>
    <s v="yes"/>
    <d v="2022-05-17T00:00:00"/>
    <n v="5"/>
    <m/>
    <s v="Information shared by Mona during the funding alignment call. Approval by Seth the CEO on May 2nd  "/>
    <x v="0"/>
    <n v="91"/>
    <n v="91"/>
    <n v="91"/>
    <s v="-"/>
    <n v="50"/>
    <n v="36"/>
    <n v="36"/>
    <m/>
    <s v="NO"/>
    <n v="1"/>
    <s v="Disbursed"/>
  </r>
  <r>
    <s v="Somalia1743000044670"/>
    <x v="12"/>
    <s v="Patience Musanhu"/>
    <s v="Abu"/>
    <n v="17430000"/>
    <x v="0"/>
    <n v="1923000"/>
    <x v="30"/>
    <s v="https://worldhealthorg.sharepoint.com/:u:/r/sites/COVID19VaccineDeliveryFacility/Shared%20Documents/General/02%20Workstreams/02%20Delivery%20Funding/4.%20Funding%20requests/09.%20Somalia/FW%20Review%20of%20Pillar%2010%20Vx%20delivery%20partnership%20funding%20needs%20and%20availability.msg?csf=1&amp;web=1&amp;e=R7QOZF"/>
    <s v="GAVI CDS"/>
    <d v="2022-04-19T00:00:00"/>
    <s v="yes"/>
    <d v="2022-04-19T00:00:00"/>
    <s v="yes"/>
    <x v="0"/>
    <d v="2022-04-19T00:00:00"/>
    <n v="1923000"/>
    <s v="yes"/>
    <d v="2022-04-19T00:00:00"/>
    <s v="yes"/>
    <d v="2022-04-27T00:00:00"/>
    <n v="4"/>
    <n v="0.45"/>
    <s v="WHO meeting on 4/27 Somalia will get the 1.923MUS transferred from RO today"/>
    <x v="0"/>
    <n v="69"/>
    <n v="69"/>
    <n v="69"/>
    <s v="-"/>
    <m/>
    <n v="6"/>
    <s v=""/>
    <m/>
    <s v="YES"/>
    <n v="3"/>
    <s v="Disbursed"/>
  </r>
  <r>
    <s v="Somalia36600044670"/>
    <x v="12"/>
    <s v="Patience Musanhu"/>
    <s v="Abu"/>
    <n v="366000"/>
    <x v="1"/>
    <n v="225000"/>
    <x v="31"/>
    <s v="https://worldhealthorg.sharepoint.com/:u:/r/sites/COVID19VaccineDeliveryFacility/Shared%20Documents/General/02%20Workstreams/02%20Delivery%20Funding/4.%20Funding%20requests/09.%20Somalia/RE%20EXT%20RE%20CoVDP%20Concerted%20country%20support-%20Somalia%20.msg?csf=1&amp;web=1&amp;e=XAArr1"/>
    <s v="GAVI CDS"/>
    <d v="2022-04-19T00:00:00"/>
    <s v="yes"/>
    <d v="2022-04-27T00:00:00"/>
    <s v="yes"/>
    <x v="0"/>
    <d v="2022-04-19T00:00:00"/>
    <n v="225000"/>
    <s v="yes"/>
    <d v="2022-05-18T00:00:00"/>
    <s v="no"/>
    <m/>
    <n v="1"/>
    <m/>
    <s v="WHO alignment meeting on the 5/18. Approval from Quamrul. 5/26 - WHO alignment meeting: Funds are available and can be transferred the CT when required"/>
    <x v="3"/>
    <n v="61"/>
    <n v="69"/>
    <n v="61"/>
    <n v="69"/>
    <m/>
    <s v=""/>
    <s v=""/>
    <m/>
    <s v="NO"/>
    <n v="1"/>
    <n v="69"/>
  </r>
  <r>
    <s v="Somalia1743000044711"/>
    <x v="12"/>
    <s v="Patience Musanhu"/>
    <s v="Ida Marie"/>
    <n v="17430000"/>
    <x v="0"/>
    <n v="5114501"/>
    <x v="32"/>
    <s v="https://worldhealthorg.sharepoint.com/:u:/r/sites/COVID19VaccineDeliveryFacility/Shared%20Documents/General/02%20Workstreams/02%20Delivery%20Funding/4.%20Funding%20requests/09.%20Somalia/FW%20New%20German%20COVID-19%20vaccine%20funding%20Briefing%20on%20grant%20procedures%20-%20Somalia.msg?csf=1&amp;web=1&amp;e=UTyqkW"/>
    <s v="GAVI CDS"/>
    <d v="2022-05-30T00:00:00"/>
    <s v="yes"/>
    <d v="2022-05-31T00:00:00"/>
    <s v="yes"/>
    <x v="1"/>
    <d v="2022-05-31T00:00:00"/>
    <n v="5114501"/>
    <s v="yes"/>
    <d v="2022-05-31T00:00:00"/>
    <s v="yes"/>
    <d v="2022-06-01T00:00:00"/>
    <n v="6"/>
    <n v="0"/>
    <s v="German AA funds disbursed on June 1st - information shared by Nikhil"/>
    <x v="0"/>
    <n v="27"/>
    <n v="28"/>
    <n v="27"/>
    <s v="-"/>
    <n v="1"/>
    <n v="1"/>
    <s v=""/>
    <m/>
    <s v="NO"/>
    <n v="1"/>
    <s v="Disbursed"/>
  </r>
  <r>
    <s v="South Sudan1488200044620"/>
    <x v="6"/>
    <s v="Tito Rwamushaija"/>
    <s v="William"/>
    <n v="14882000"/>
    <x v="0"/>
    <n v="3000000"/>
    <x v="33"/>
    <s v="https://worldhealthorg.sharepoint.com/:x:/r/sites/COVID19VaccineDeliveryFacility/Shared%20Documents/General/02%20Workstreams/02%20Delivery%20Funding/4.%20Funding%20requests/02.%20South%20Sudan/01.%20CDS%20application/Initial%20South%20Sudan%20Budget%20.xlsm?d=w6ddf0b8ae2c14b1785b7e36d8ca4bfd0&amp;csf=1&amp;web=1&amp;e=h028k9"/>
    <s v="GAVI SCM"/>
    <d v="2022-02-28T00:00:00"/>
    <s v="yes"/>
    <d v="2022-03-24T00:00:00"/>
    <s v="yes"/>
    <x v="1"/>
    <d v="2022-03-29T00:00:00"/>
    <n v="3000000"/>
    <s v="yes"/>
    <d v="2022-03-29T00:00:00"/>
    <s v="yes"/>
    <d v="2022-04-04T00:00:00"/>
    <n v="4"/>
    <n v="0.03"/>
    <s v="Confirmed by Ronke. Note that before spending the money the CO have to provide some updates and meet conditions set at global level, however disbursement for UNICEF is taken as money sent to CO and so it is counted here. CO confirmed the receipt of fund on 04/14"/>
    <x v="0"/>
    <n v="95"/>
    <n v="119"/>
    <n v="95"/>
    <s v="-"/>
    <n v="11"/>
    <n v="7"/>
    <s v=""/>
    <m/>
    <s v="YES"/>
    <n v="6"/>
    <s v="Disbursed"/>
  </r>
  <r>
    <s v="Sudan21829690.973559344640"/>
    <x v="13"/>
    <s v="Anne Cronin"/>
    <s v="Abu"/>
    <n v="21829690.973559324"/>
    <x v="2"/>
    <n v="14629690.973559324"/>
    <x v="34"/>
    <s v="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
    <s v="Desk Officer"/>
    <d v="2022-03-20T00:00:00"/>
    <s v="no"/>
    <m/>
    <s v="no"/>
    <x v="3"/>
    <m/>
    <n v="14629690.973559324"/>
    <s v="no"/>
    <m/>
    <s v="no"/>
    <m/>
    <n v="1"/>
    <m/>
    <s v="Pending the one budget preparation from Ronke. Alignment on potential funders during the funding alignment call on May 17th "/>
    <x v="2"/>
    <n v="44739"/>
    <n v="99"/>
    <s v="-"/>
    <n v="44739"/>
    <m/>
    <s v=""/>
    <s v=""/>
    <m/>
    <s v="YES"/>
    <n v="2"/>
    <n v="99"/>
  </r>
  <r>
    <s v="South Sudan1488200044663"/>
    <x v="6"/>
    <s v="Tito Rwamushaija"/>
    <s v="William"/>
    <n v="14882000"/>
    <x v="0"/>
    <n v="43000"/>
    <x v="35"/>
    <m/>
    <s v="GAVI SCM"/>
    <d v="2022-04-12T00:00:00"/>
    <s v="yes"/>
    <d v="2022-04-12T00:00:00"/>
    <s v="yes"/>
    <x v="1"/>
    <d v="2022-04-22T00:00:00"/>
    <n v="43000"/>
    <s v="yes"/>
    <d v="2022-04-22T00:00:00"/>
    <s v="yes"/>
    <d v="2022-04-22T00:00:00"/>
    <n v="4"/>
    <n v="0.03"/>
    <s v="Difference between the UNICEF budget and the disbursed amount. Flexible amount that has been reprogrammed to meet priority needs"/>
    <x v="0"/>
    <n v="76"/>
    <n v="76"/>
    <n v="76"/>
    <s v="-"/>
    <m/>
    <n v="8"/>
    <s v=""/>
    <m/>
    <s v="NO"/>
    <n v="1"/>
    <s v="Disbursed"/>
  </r>
  <r>
    <s v="Kenya1794314.444710"/>
    <x v="14"/>
    <s v="Jessica Crawford"/>
    <s v="Adidja"/>
    <n v="1794314.4"/>
    <x v="0"/>
    <n v="1490000"/>
    <x v="36"/>
    <s v="https://worldhealthorg.sharepoint.com/:x:/r/sites/COVID19VaccineDeliveryFacility/Shared%20Documents/General/02%20Workstreams/02%20Delivery%20Funding/4.%20Funding%20requests/12.%20Kenya/Copy%20of%20Campaign%20training%20budget%20akim.xlsx?d=w87f7f2f30a7f4060a984a03ed9d2a808&amp;csf=1&amp;web=1&amp;e=6hAeO4"/>
    <s v="Desk Officer"/>
    <d v="2022-05-29T00:00:00"/>
    <s v="yes"/>
    <d v="2022-05-29T00:00:00"/>
    <s v="yes"/>
    <x v="0"/>
    <d v="2022-06-08T00:00:00"/>
    <n v="1490000"/>
    <s v="yes"/>
    <d v="2002-06-08T00:00:00"/>
    <s v="yes"/>
    <d v="2022-06-09T00:00:00"/>
    <n v="6"/>
    <n v="0"/>
    <s v="Request shared by the Desk Officer in Kenya to be disscussed during the funding alignment call on Tuesday. Confirmation of disbursement from Mukaro "/>
    <x v="0"/>
    <n v="29"/>
    <n v="29"/>
    <n v="29"/>
    <s v="-"/>
    <m/>
    <n v="8"/>
    <s v=""/>
    <m/>
    <s v="NO"/>
    <n v="1"/>
    <s v="Disbursed"/>
  </r>
  <r>
    <s v="Sudan21829690.973559344650"/>
    <x v="13"/>
    <s v="Patience Musanhu"/>
    <s v="Abu"/>
    <n v="21829690.973559324"/>
    <x v="2"/>
    <n v="3600000"/>
    <x v="37"/>
    <s v="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
    <s v="Desk Officer"/>
    <d v="2022-03-30T00:00:00"/>
    <s v="no"/>
    <m/>
    <s v="yes"/>
    <x v="1"/>
    <d v="2022-05-17T00:00:00"/>
    <n v="3600000"/>
    <s v="yes"/>
    <d v="2002-05-25T00:00:00"/>
    <s v="no"/>
    <m/>
    <n v="1"/>
    <m/>
    <s v="Pending the one budget preparation from Ronke. Alignment on potential funders during the funding alignment call on May 17th. The funds will be transferred once the Sudan team finalize the budgets against envelopes provided by UNICEF, WHO and GAVI"/>
    <x v="4"/>
    <n v="44739"/>
    <n v="89"/>
    <s v="-"/>
    <n v="41"/>
    <s v="-"/>
    <s v=""/>
    <s v=""/>
    <m/>
    <s v="NO"/>
    <n v="1"/>
    <n v="8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58E9B2-3DAF-408A-A618-E46B8F8A1534}" name="PivotTable9" cacheId="3"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21:S28"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Sum of Amount tracked through this row" fld="6" baseField="0" baseItem="0"/>
  </dataFields>
  <formats count="8">
    <format dxfId="37">
      <pivotArea dataOnly="0" labelOnly="1" outline="0" fieldPosition="0">
        <references count="1">
          <reference field="5" count="0"/>
        </references>
      </pivotArea>
    </format>
    <format dxfId="36">
      <pivotArea outline="0" collapsedLevelsAreSubtotals="1" fieldPosition="0"/>
    </format>
    <format dxfId="35">
      <pivotArea outline="0" collapsedLevelsAreSubtotals="1" fieldPosition="0"/>
    </format>
    <format dxfId="34">
      <pivotArea collapsedLevelsAreSubtotals="1" fieldPosition="0">
        <references count="1">
          <reference field="24" count="0"/>
        </references>
      </pivotArea>
    </format>
    <format dxfId="33">
      <pivotArea collapsedLevelsAreSubtotals="1" fieldPosition="0">
        <references count="1">
          <reference field="24" count="0"/>
        </references>
      </pivotArea>
    </format>
    <format dxfId="32">
      <pivotArea dataOnly="0" labelOnly="1" fieldPosition="0">
        <references count="1">
          <reference field="24" count="0"/>
        </references>
      </pivotArea>
    </format>
    <format dxfId="31">
      <pivotArea grandRow="1" outline="0" collapsedLevelsAreSubtotals="1" fieldPosition="0"/>
    </format>
    <format dxfId="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74D45C-E5D3-4038-ADBF-4D28420CD0C9}" name="PivotTable8" cacheId="3"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96:F199"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multipleItemSelectionAllowed="1" showAll="0"/>
    <pivotField dataField="1" showAll="0"/>
    <pivotField axis="axisPage" multipleItemSelectionAllowed="1" showAll="0">
      <items count="64">
        <item h="1" x="9"/>
        <item h="1" x="19"/>
        <item h="1" m="1" x="49"/>
        <item h="1" x="4"/>
        <item h="1" x="7"/>
        <item h="1" x="6"/>
        <item x="1"/>
        <item h="1" m="1" x="42"/>
        <item h="1" m="1" x="50"/>
        <item h="1" m="1" x="62"/>
        <item h="1" m="1" x="39"/>
        <item h="1" x="18"/>
        <item h="1" x="20"/>
        <item h="1" x="21"/>
        <item h="1" m="1" x="61"/>
        <item h="1" m="1" x="48"/>
        <item h="1" m="1" x="43"/>
        <item h="1" x="23"/>
        <item h="1" m="1" x="40"/>
        <item h="1" x="33"/>
        <item h="1" m="1" x="51"/>
        <item h="1" x="25"/>
        <item h="1" x="15"/>
        <item h="1" m="1" x="54"/>
        <item h="1" x="29"/>
        <item h="1" m="1" x="46"/>
        <item h="1" m="1" x="55"/>
        <item h="1" m="1" x="58"/>
        <item h="1" x="26"/>
        <item h="1" m="1" x="47"/>
        <item h="1" x="22"/>
        <item h="1" x="17"/>
        <item h="1" m="1" x="45"/>
        <item h="1" x="0"/>
        <item h="1" m="1" x="44"/>
        <item h="1" x="16"/>
        <item h="1" m="1" x="57"/>
        <item h="1" x="35"/>
        <item h="1" x="10"/>
        <item h="1" x="30"/>
        <item h="1" x="31"/>
        <item h="1" m="1" x="60"/>
        <item h="1" m="1" x="41"/>
        <item h="1" x="11"/>
        <item h="1" x="12"/>
        <item h="1" m="1" x="38"/>
        <item h="1" m="1" x="52"/>
        <item h="1" x="24"/>
        <item h="1" x="37"/>
        <item h="1" x="28"/>
        <item h="1" x="34"/>
        <item h="1" m="1" x="56"/>
        <item h="1" x="13"/>
        <item h="1" x="14"/>
        <item h="1" m="1" x="53"/>
        <item h="1" x="36"/>
        <item h="1" x="27"/>
        <item h="1" x="32"/>
        <item h="1" x="5"/>
        <item h="1" x="8"/>
        <item h="1" m="1" x="59"/>
        <item h="1"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i>
    <i t="grand">
      <x/>
    </i>
  </rowItems>
  <colFields count="1">
    <field x="1"/>
  </colFields>
  <colItems count="3">
    <i>
      <x v="1"/>
    </i>
    <i>
      <x v="3"/>
    </i>
    <i t="grand">
      <x/>
    </i>
  </colItems>
  <pageFields count="1">
    <pageField fld="7" hier="-1"/>
  </pageFields>
  <dataFields count="1">
    <dataField name="Sum of Amount tracked through this row" fld="6" baseField="0" baseItem="0"/>
  </dataFields>
  <formats count="2">
    <format dxfId="39">
      <pivotArea outline="0" collapsedLevelsAreSubtotals="1" fieldPosition="0"/>
    </format>
    <format dxfId="38">
      <pivotArea dataOnly="0" labelOnly="1" outline="0"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89165E-9391-45E5-9D20-C20D54DB34C0}" name="PivotTable7" cacheId="3"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87:F190"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multipleItemSelectionAllowed="1" showAll="0"/>
    <pivotField dataField="1" showAll="0"/>
    <pivotField axis="axisPage" multipleItemSelectionAllowed="1" showAll="0">
      <items count="64">
        <item h="1" x="9"/>
        <item h="1" x="19"/>
        <item h="1" m="1" x="49"/>
        <item h="1" x="4"/>
        <item h="1" x="7"/>
        <item h="1" x="6"/>
        <item x="1"/>
        <item h="1" m="1" x="42"/>
        <item h="1" m="1" x="50"/>
        <item h="1" m="1" x="62"/>
        <item h="1" m="1" x="39"/>
        <item h="1" x="18"/>
        <item h="1" x="20"/>
        <item h="1" x="21"/>
        <item h="1" m="1" x="61"/>
        <item h="1" m="1" x="48"/>
        <item h="1" m="1" x="43"/>
        <item h="1" x="23"/>
        <item h="1" m="1" x="40"/>
        <item h="1" x="33"/>
        <item h="1" m="1" x="51"/>
        <item h="1" x="25"/>
        <item h="1" x="15"/>
        <item h="1" m="1" x="54"/>
        <item h="1" x="29"/>
        <item h="1" m="1" x="46"/>
        <item h="1" m="1" x="55"/>
        <item h="1" m="1" x="58"/>
        <item h="1" x="26"/>
        <item h="1" m="1" x="47"/>
        <item h="1" x="22"/>
        <item h="1" x="17"/>
        <item h="1" m="1" x="45"/>
        <item h="1" x="0"/>
        <item h="1" m="1" x="44"/>
        <item h="1" x="16"/>
        <item h="1" m="1" x="57"/>
        <item h="1" x="35"/>
        <item h="1" x="10"/>
        <item h="1" x="30"/>
        <item h="1" x="31"/>
        <item h="1" m="1" x="60"/>
        <item h="1" m="1" x="41"/>
        <item h="1" x="11"/>
        <item h="1" x="12"/>
        <item h="1" m="1" x="38"/>
        <item h="1" m="1" x="52"/>
        <item h="1" x="24"/>
        <item h="1" x="37"/>
        <item h="1" x="28"/>
        <item h="1" x="34"/>
        <item h="1" m="1" x="56"/>
        <item h="1" x="13"/>
        <item h="1" x="14"/>
        <item h="1" m="1" x="53"/>
        <item h="1" x="36"/>
        <item h="1" x="27"/>
        <item h="1" x="32"/>
        <item h="1" x="5"/>
        <item h="1" x="8"/>
        <item h="1" m="1" x="59"/>
        <item h="1"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i>
    <i t="grand">
      <x/>
    </i>
  </rowItems>
  <colFields count="1">
    <field x="1"/>
  </colFields>
  <colItems count="3">
    <i>
      <x v="1"/>
    </i>
    <i>
      <x v="3"/>
    </i>
    <i t="grand">
      <x/>
    </i>
  </colItems>
  <pageFields count="1">
    <pageField fld="7" hier="-1"/>
  </pageFields>
  <dataFields count="1">
    <dataField name="Count of Amount tracked through this row" fld="6" subtotal="count" baseField="0" baseItem="0"/>
  </dataFields>
  <formats count="2">
    <format dxfId="41">
      <pivotArea outline="0" collapsedLevelsAreSubtotals="1" fieldPosition="0"/>
    </format>
    <format dxfId="40">
      <pivotArea dataOnly="0" labelOnly="1" outline="0"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F0A37B7-B499-4C24-98E9-ED9369C94850}" name="PivotTable3" cacheId="3"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05:S112"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Sum of Amount tracked through this row" fld="6" baseField="0" baseItem="0"/>
  </dataFields>
  <formats count="2">
    <format dxfId="43">
      <pivotArea dataOnly="0" labelOnly="1" outline="0" fieldPosition="0">
        <references count="1">
          <reference field="5" count="0"/>
        </references>
      </pivotArea>
    </format>
    <format dxfId="4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95694D5-8175-4B48-8A9A-D33DEB874BC7}" name="PivotTable1" cacheId="3"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90:S97"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Count of Amount tracked through this row" fld="6" subtotal="count" baseField="0" baseItem="0"/>
  </dataFields>
  <formats count="2">
    <format dxfId="45">
      <pivotArea dataOnly="0" labelOnly="1" outline="0" fieldPosition="0">
        <references count="1">
          <reference field="5" count="0"/>
        </references>
      </pivotArea>
    </format>
    <format dxfId="4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5FFD55-5582-4181-BA17-1C4A3DEEF967}" name="PivotTable10" cacheId="3"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36:S43"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Count of Amount tracked through this row" fld="6" subtotal="count" baseField="0" baseItem="0"/>
  </dataFields>
  <formats count="2">
    <format dxfId="47">
      <pivotArea dataOnly="0" labelOnly="1" outline="0" fieldPosition="0">
        <references count="1">
          <reference field="5" count="0"/>
        </references>
      </pivotArea>
    </format>
    <format dxfId="4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43C6DA9-A35C-4046-ADBB-B82E9DEBFE1C}" name="PivotTable11"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C207:F228" firstHeaderRow="0" firstDataRow="1" firstDataCol="2"/>
  <pivotFields count="36">
    <pivotField compact="0" outline="0" showAll="0" defaultSubtotal="0"/>
    <pivotField axis="axisRow" compact="0" outline="0" showAll="0" defaultSubtotal="0">
      <items count="15">
        <item x="11"/>
        <item x="2"/>
        <item x="3"/>
        <item x="4"/>
        <item x="0"/>
        <item x="9"/>
        <item x="14"/>
        <item x="5"/>
        <item x="1"/>
        <item x="7"/>
        <item x="10"/>
        <item x="12"/>
        <item x="6"/>
        <item x="13"/>
        <item x="8"/>
      </items>
    </pivotField>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numFmtId="14" outline="0" showAll="0" defaultSubtotal="0"/>
    <pivotField compact="0" outline="0" showAll="0" defaultSubtotal="0"/>
    <pivotField compact="0" outline="0" showAll="0" defaultSubtotal="0"/>
    <pivotField compact="0" outline="0" showAll="0" defaultSubtotal="0"/>
    <pivotField axis="axisRow" compact="0" outline="0" showAll="0" defaultSubtotal="0">
      <items count="5">
        <item x="3"/>
        <item h="1" x="4"/>
        <item x="1"/>
        <item x="0"/>
        <item h="1" x="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 outline="0" showAll="0" defaultSubtotal="0"/>
    <pivotField dataField="1" compact="0" outline="0" subtotalTop="0" showAll="0" defaultSubtotal="0"/>
    <pivotField compact="0" outline="0" showAll="0" defaultSubtotal="0"/>
    <pivotField compact="0" outline="0" showAll="0" defaultSubtotal="0"/>
    <pivotField compact="0" numFmtId="2" outline="0" showAll="0" defaultSubtotal="0"/>
    <pivotField compact="0" numFmtId="2"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14"/>
    <field x="1"/>
  </rowFields>
  <rowItems count="21">
    <i>
      <x/>
      <x v="4"/>
    </i>
    <i r="1">
      <x v="9"/>
    </i>
    <i r="1">
      <x v="11"/>
    </i>
    <i r="1">
      <x v="12"/>
    </i>
    <i r="1">
      <x v="13"/>
    </i>
    <i>
      <x v="2"/>
      <x v="1"/>
    </i>
    <i r="1">
      <x v="2"/>
    </i>
    <i r="1">
      <x v="3"/>
    </i>
    <i r="1">
      <x v="4"/>
    </i>
    <i r="1">
      <x v="8"/>
    </i>
    <i r="1">
      <x v="9"/>
    </i>
    <i r="1">
      <x v="10"/>
    </i>
    <i r="1">
      <x v="11"/>
    </i>
    <i r="1">
      <x v="12"/>
    </i>
    <i r="1">
      <x v="13"/>
    </i>
    <i>
      <x v="3"/>
      <x v="2"/>
    </i>
    <i r="1">
      <x v="4"/>
    </i>
    <i r="1">
      <x v="6"/>
    </i>
    <i r="1">
      <x v="8"/>
    </i>
    <i r="1">
      <x v="11"/>
    </i>
    <i r="1">
      <x v="13"/>
    </i>
  </rowItems>
  <colFields count="1">
    <field x="-2"/>
  </colFields>
  <colItems count="2">
    <i>
      <x/>
    </i>
    <i i="1">
      <x v="1"/>
    </i>
  </colItems>
  <dataFields count="2">
    <dataField name="Sum of Amount tracked through this row" fld="6" baseField="1" baseItem="4" numFmtId="168"/>
    <dataField name="Average of Utilization rate" fld="22" subtotal="average" baseField="1" baseItem="4" numFmtId="9"/>
  </dataFields>
  <formats count="2">
    <format dxfId="49">
      <pivotArea outline="0" collapsedLevelsAreSubtotals="1" fieldPosition="0"/>
    </format>
    <format dxfId="48">
      <pivotArea outline="0" fieldPosition="0">
        <references count="1">
          <reference field="4294967294" count="1" selected="0">
            <x v="1"/>
          </reference>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347BD2D-EC6A-4590-96DC-7E56E434433E}" name="PivotTable5" cacheId="3"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63:G166"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h="1" x="2"/>
        <item h="1" x="0"/>
        <item h="1"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v="2"/>
    </i>
    <i t="grand">
      <x/>
    </i>
  </rowItems>
  <colFields count="1">
    <field x="1"/>
  </colFields>
  <colItems count="4">
    <i>
      <x v="4"/>
    </i>
    <i>
      <x v="7"/>
    </i>
    <i>
      <x v="12"/>
    </i>
    <i t="grand">
      <x/>
    </i>
  </colItems>
  <pageFields count="1">
    <pageField fld="5" hier="-1"/>
  </pageFields>
  <dataFields count="1">
    <dataField name="Sum of Amount tracked through this row" fld="6" baseField="0" baseItem="0"/>
  </dataFields>
  <formats count="2">
    <format dxfId="51">
      <pivotArea dataOnly="0" labelOnly="1" outline="0" fieldPosition="0">
        <references count="1">
          <reference field="5" count="0"/>
        </references>
      </pivotArea>
    </format>
    <format dxfId="5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24D518F-E944-4532-8FA4-46573B5E3DD0}" name="PivotTable2" cacheId="3"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24:S131"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Count of Amount tracked through this row" fld="6" subtotal="count" baseField="0" baseItem="0"/>
  </dataFields>
  <formats count="2">
    <format dxfId="53">
      <pivotArea dataOnly="0" labelOnly="1" outline="0" fieldPosition="0">
        <references count="1">
          <reference field="5" count="0"/>
        </references>
      </pivotArea>
    </format>
    <format dxfId="5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B06D34D-E967-4F07-BE8F-7D9DBCF93C3B}" name="PivotTable6" cacheId="3"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54:G157"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h="1" x="2"/>
        <item h="1" x="0"/>
        <item h="1"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v="2"/>
    </i>
    <i t="grand">
      <x/>
    </i>
  </rowItems>
  <colFields count="1">
    <field x="1"/>
  </colFields>
  <colItems count="4">
    <i>
      <x v="4"/>
    </i>
    <i>
      <x v="7"/>
    </i>
    <i>
      <x v="12"/>
    </i>
    <i t="grand">
      <x/>
    </i>
  </colItems>
  <pageFields count="1">
    <pageField fld="5" hier="-1"/>
  </pageFields>
  <dataFields count="1">
    <dataField name="Count of Amount tracked through this row" fld="6" subtotal="count" baseField="0" baseItem="0"/>
  </dataFields>
  <formats count="2">
    <format dxfId="55">
      <pivotArea dataOnly="0" labelOnly="1" outline="0" fieldPosition="0">
        <references count="1">
          <reference field="5" count="0"/>
        </references>
      </pivotArea>
    </format>
    <format dxfId="5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AB956CA-8B6A-4AE4-A7C2-B601FA06A7AC}" name="PivotTable4" cacheId="3"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38:G143"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h="1" x="1"/>
        <item x="2"/>
        <item h="1" x="0"/>
        <item h="1"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4">
    <i>
      <x/>
    </i>
    <i>
      <x v="1"/>
    </i>
    <i>
      <x v="4"/>
    </i>
    <i t="grand">
      <x/>
    </i>
  </rowItems>
  <colFields count="1">
    <field x="1"/>
  </colFields>
  <colItems count="4">
    <i>
      <x v="3"/>
    </i>
    <i>
      <x v="6"/>
    </i>
    <i>
      <x v="11"/>
    </i>
    <i t="grand">
      <x/>
    </i>
  </colItems>
  <pageFields count="1">
    <pageField fld="5" hier="-1"/>
  </pageFields>
  <dataFields count="1">
    <dataField name="Sum of Amount tracked through this row" fld="6" baseField="0" baseItem="0"/>
  </dataFields>
  <formats count="2">
    <format dxfId="57">
      <pivotArea dataOnly="0" labelOnly="1" outline="0" fieldPosition="0">
        <references count="1">
          <reference field="5" count="0"/>
        </references>
      </pivotArea>
    </format>
    <format dxfId="5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CD85316-1962-48CB-B11E-56F26A3CB437}" name="Table7" displayName="Table7" ref="B53:U59" totalsRowShown="0" headerRowDxfId="60" tableBorderDxfId="59">
  <tableColumns count="20">
    <tableColumn id="1" xr3:uid="{E8E3A216-192D-4D9E-BBAE-B1D42BAB296C}" name="Description of tabs"/>
    <tableColumn id="2" xr3:uid="{89251F53-2BAF-423C-9488-A694EB0C8FF0}" name="Column1" dataDxfId="58"/>
    <tableColumn id="3" xr3:uid="{ED334533-5FC0-4D35-8699-5B8B0A2E5750}" name="Column2"/>
    <tableColumn id="4" xr3:uid="{186507F2-39A2-493D-84A5-C825A173498F}" name="Column3"/>
    <tableColumn id="5" xr3:uid="{5B637BC1-57FE-4C0B-93C2-47A99E7B0E0E}" name="Column4"/>
    <tableColumn id="6" xr3:uid="{A9737CB3-9BA2-4087-A7F6-85B79301B66D}" name="Column5"/>
    <tableColumn id="7" xr3:uid="{A03E74B7-9E65-49B7-A450-3E208ACB2F1A}" name="Column6"/>
    <tableColumn id="8" xr3:uid="{B6F452B7-D3C7-4155-AC9B-5142B9BC4DE3}" name="Column7"/>
    <tableColumn id="9" xr3:uid="{544EAE59-39B1-46F3-A27B-40DE39338EAB}" name="Column8"/>
    <tableColumn id="10" xr3:uid="{96085D78-D8AE-43A0-805B-3095CAD947B8}" name="Column9"/>
    <tableColumn id="11" xr3:uid="{BA9F914A-FA06-408C-A89D-C78890B49BCD}" name="Column10"/>
    <tableColumn id="12" xr3:uid="{3F05B65F-C738-4467-B8F9-484D294B20AD}" name="Column11"/>
    <tableColumn id="13" xr3:uid="{E9405D7B-F226-4CD2-B7B8-0BF446C30642}" name="Column12"/>
    <tableColumn id="14" xr3:uid="{AB0423F1-E04D-4391-84B3-204362FD2110}" name="Column13"/>
    <tableColumn id="15" xr3:uid="{70A104C4-E03F-449A-93BC-5825B1941EEF}" name="Column14"/>
    <tableColumn id="16" xr3:uid="{9AE2A478-C1D2-42F2-915E-679C03AD16C8}" name="Column15"/>
    <tableColumn id="17" xr3:uid="{D929F1C5-EF77-4E6A-9998-277657D6D268}" name="Column16"/>
    <tableColumn id="18" xr3:uid="{8B43956F-014F-465C-9929-8C6737C62F92}" name="Column17"/>
    <tableColumn id="19" xr3:uid="{769CE366-02BA-4C27-A164-C7F0FF30001F}" name="Column18"/>
    <tableColumn id="20" xr3:uid="{9869FDB3-6575-4CDF-97C5-E1FFAD5FD80B}" name="Column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038D005-E3EC-479D-8F3A-25462756AD74}" name="Table4" displayName="Table4" ref="B3:B9" totalsRowShown="0">
  <autoFilter ref="B3:B9" xr:uid="{5038D005-E3EC-479D-8F3A-25462756AD74}"/>
  <tableColumns count="1">
    <tableColumn id="1" xr3:uid="{08FA811E-5C37-4F05-B1E6-ED05418F90E6}" name="Funding partner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E6FE1E9-8AF1-4CB7-B5ED-DEBADE40055E}" name="Table5" displayName="Table5" ref="B11:B14" totalsRowShown="0">
  <autoFilter ref="B11:B14" xr:uid="{7E6FE1E9-8AF1-4CB7-B5ED-DEBADE40055E}"/>
  <tableColumns count="1">
    <tableColumn id="1" xr3:uid="{D77B068C-10E6-46C0-A4FE-813225B3D03C}" name="Process statu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740DA41-89E6-419B-9DCF-4825C1176E7D}" name="Table6" displayName="Table6" ref="B19:C22" totalsRowShown="0">
  <autoFilter ref="B19:C22" xr:uid="{2740DA41-89E6-419B-9DCF-4825C1176E7D}"/>
  <tableColumns count="2">
    <tableColumn id="1" xr3:uid="{A0C0636D-CC42-49F1-8F9F-477BDCBABCB7}" name="Funding partners"/>
    <tableColumn id="2" xr3:uid="{DDD2189B-2C51-46AA-A426-09CF6A8F34D2}" name="Days from request received from disburseme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5C0EA96-072D-432E-A61E-13F468A7ABAC}" name="Table2" displayName="Table2" ref="A1:AK42" totalsRowShown="0">
  <autoFilter ref="A1:AK42" xr:uid="{25C0EA96-072D-432E-A61E-13F468A7ABAC}"/>
  <sortState xmlns:xlrd2="http://schemas.microsoft.com/office/spreadsheetml/2017/richdata2" ref="A2:AK42">
    <sortCondition ref="F1:F42"/>
  </sortState>
  <tableColumns count="37">
    <tableColumn id="1" xr3:uid="{71BF7046-57C0-45B2-A014-24C9E57231BE}" name="Request ID" dataDxfId="29">
      <calculatedColumnFormula>CONCATENATE(C2,F2,L2)</calculatedColumnFormula>
    </tableColumn>
    <tableColumn id="37" xr3:uid="{BEA19882-28A9-4956-B0BB-07D14F627543}" name="ISO"/>
    <tableColumn id="2" xr3:uid="{3C61D806-40DC-44F6-A34C-EC5899E36062}" name="Country supported"/>
    <tableColumn id="3" xr3:uid="{44A29FBD-3B32-4289-A865-339F901CE305}" name="GAVI SCM">
      <calculatedColumnFormula>INDEX(Table1[#All],MATCH('Funding tracker'!$C2,Table1[[#All],[Recipient country Name]],0),MATCH('Funding tracker'!D$1,Table1[#Headers],0))</calculatedColumnFormula>
    </tableColumn>
    <tableColumn id="4" xr3:uid="{D2FDA74C-D597-4EBE-BCAA-DBB973A74EDB}" name="CoVDP Desk Officer">
      <calculatedColumnFormula>INDEX(Table1[#All],MATCH('Funding tracker'!$C2,Table1[[#All],[Recipient country Name]],0),MATCH('Funding tracker'!E$1,Table1[#Headers],0))</calculatedColumnFormula>
    </tableColumn>
    <tableColumn id="25" xr3:uid="{63C3696E-5F97-4841-9462-51F775E32E43}" name="Total amount of funding request received initially (or amount of standard request discussed)" dataDxfId="1"/>
    <tableColumn id="29" xr3:uid="{C02DF2CE-43A7-4649-847E-66FD6F6285A8}" name="Type of request" dataDxfId="2"/>
    <tableColumn id="5" xr3:uid="{F13B2397-FBD8-4431-85C0-D6727B2695D3}" name="Amount tracked through this row" dataDxfId="28"/>
    <tableColumn id="6" xr3:uid="{9FF5B8B9-6794-4C77-8451-AAF13D4FFB91}" name="Details on the request"/>
    <tableColumn id="7" xr3:uid="{24B0EDA4-ADBD-4ACE-BF44-4513FE9509B5}" name="Link to documentation (WHO sharepoint)"/>
    <tableColumn id="8" xr3:uid="{836541EF-D509-4020-8E1E-372F8BB2ACF9}" name="Initial recipient of the request"/>
    <tableColumn id="9" xr3:uid="{A0126887-37E8-40DD-9A23-D8FE438AF90B}" name="Date of initial receipt of the request (Date)"/>
    <tableColumn id="10" xr3:uid="{A69848B3-EB9A-4581-A790-9CAB95B5E187}" name="Detailed / formal funding request received (yes / no)"/>
    <tableColumn id="11" xr3:uid="{3AA6179B-B393-448F-873A-2A8F48E51A4F}" name="Detailed / formal funding request received (Date)"/>
    <tableColumn id="12" xr3:uid="{69908754-E5DE-420C-BCBF-F453C770E87A}" name="Sources of funding identified (yes / no / Identified as not urgent)"/>
    <tableColumn id="13" xr3:uid="{AFD68FB6-2594-4245-864B-F030CB8310C1}" name="Source of funding identified (Details)"/>
    <tableColumn id="14" xr3:uid="{13E96A26-701E-4F16-B55A-5268BC5E8103}" name="Sources of funding identified (Date) - or standard request discussed during CoVDP Funding Alignment call"/>
    <tableColumn id="15" xr3:uid="{0F781075-04AD-43EF-83FA-0AF7677B9BD6}" name="Amount to be funded" dataDxfId="0">
      <calculatedColumnFormula>Table2[[#This Row],[Amount tracked through this row]]</calculatedColumnFormula>
    </tableColumn>
    <tableColumn id="16" xr3:uid="{3BA27A73-6B1C-4942-8576-26DC109A26E6}" name="Allocation of funds internally approved by the funder (yes / no)"/>
    <tableColumn id="17" xr3:uid="{F2392945-3B66-4DEB-B5BB-4B47A3EAAF27}" name="Allocation of funds internally approved (Date)" dataDxfId="27">
      <calculatedColumnFormula>Table2[[#This Row],[Sources of funding identified (Date) - or standard request discussed during CoVDP Funding Alignment call]]</calculatedColumnFormula>
    </tableColumn>
    <tableColumn id="18" xr3:uid="{C99F24BC-4860-4CD3-A57B-D343406657DB}" name="Funds disbursed (yes / no)"/>
    <tableColumn id="19" xr3:uid="{4FE58038-A956-41E2-844B-47A243AD2F19}" name="Funds disbursed (Date)"/>
    <tableColumn id="24" xr3:uid="{0454465A-6EFC-4843-ACC7-B6C4A571CB6F}" name="Funds disbursed (Month)" dataDxfId="26">
      <calculatedColumnFormula>MONTH(Table2[[#This Row],[Funds disbursed (Date)]])</calculatedColumnFormula>
    </tableColumn>
    <tableColumn id="36" xr3:uid="{BAC3EDCA-600F-4708-AE1B-F05676082F96}" name="Utilization rate"/>
    <tableColumn id="20" xr3:uid="{43C5ADB3-806A-4950-A577-EBD58D912F6D}" name="Comments and detailed next steps"/>
    <tableColumn id="21" xr3:uid="{865269EA-63DA-47B6-8134-04A3FC2871DC}" name="Status" dataDxfId="25">
      <calculatedColumnFormula array="1">_xlfn.IFS(Table2[[#This Row],[Sources of funding identified (yes / no / Identified as not urgent)]]=Utilities!$B$14,"Out of CoVDP scope",U2="yes",Overview!$C$13,AND(Table2[[#This Row],[Lead time from sources identified to today (if not disbursed yet)]]&lt;15,S2="yes"),Overview!$C$11,AND(Table2[[#This Row],[Lead time from sources identified to today (if not disbursed yet)]]&gt;15,S2="yes"),Overview!$C$12,O2="yes",Overview!$C$10,M2="yes",Overview!$C$9,M2="no",Overview!$C$8)</calculatedColumnFormula>
    </tableColumn>
    <tableColumn id="30" xr3:uid="{F468C48E-5D57-4F6F-A663-5DC5B0C59D31}" name="Lead time from formal request received to today (days)" dataDxfId="24">
      <calculatedColumnFormula>_xlfn.DAYS(TODAY(),$N2)</calculatedColumnFormula>
    </tableColumn>
    <tableColumn id="32" xr3:uid="{1AE1073F-4302-4BDF-8E40-948D8996B7F8}" name="Lead time from informal request received to today (days)2" dataDxfId="23">
      <calculatedColumnFormula>_xlfn.DAYS(TODAY(),$L2)</calculatedColumnFormula>
    </tableColumn>
    <tableColumn id="23" xr3:uid="{FCE42EB6-37C6-410F-9A6A-6312F172585F}" name="Lead time from formal request received to today (days - corrected)" dataDxfId="22">
      <calculatedColumnFormula>IF(Table2[[#This Row],[Lead time from formal request received to today (days)]]&lt;400,Table2[[#This Row],[Lead time from formal request received to today (days)]],"-")</calculatedColumnFormula>
    </tableColumn>
    <tableColumn id="33" xr3:uid="{7307F34E-D09E-4738-9115-8A50FA01F3EA}" name="Lead time from sources identified to today (if not disbursed yet)" dataDxfId="21">
      <calculatedColumnFormula>IF(AND(Table2[[#This Row],[Funds disbursed (Date)]]="",Table2[[#This Row],[Source of funding identified (Details)]]&lt;&gt;""),TODAY()-Table2[[#This Row],[Sources of funding identified (Date) - or standard request discussed during CoVDP Funding Alignment call]],"-")</calculatedColumnFormula>
    </tableColumn>
    <tableColumn id="22" xr3:uid="{56317051-53C7-45B4-8F49-854F909C9F65}" name="Lead time from formal request received to disbursement of funds (calendar days)" dataDxfId="20"/>
    <tableColumn id="34" xr3:uid="{59D98D4C-8935-40A3-B15C-3E648AC4A0FC}" name="Lead time from formal request received to disbursement of funds (working days)" dataDxfId="19">
      <calculatedColumnFormula>IF(V2="","",NETWORKDAYS(N2,V2)-1)</calculatedColumnFormula>
    </tableColumn>
    <tableColumn id="35" xr3:uid="{4A11E618-6119-4D51-BE52-C516B1DF5AD5}" name="Lead time from standard request discussed to disbursement of funds (working days) (for Gavi only)" dataDxfId="18">
      <calculatedColumnFormula>IF(OR(V2="",Table2[[#This Row],[Source of funding identified (Details)]]&lt;&gt;Utilities!$B$6),"",NETWORKDAYS(Q2,V2)-1)</calculatedColumnFormula>
    </tableColumn>
    <tableColumn id="26" xr3:uid="{20864EB3-9153-4FE6-BBCC-936D3420A86C}" name="Comments"/>
    <tableColumn id="27" xr3:uid="{586B9A70-292C-4DEF-A253-A96CB5096F13}" name="Link to another row in the tracker" dataDxfId="17">
      <calculatedColumnFormula>IF(Table2[[#This Row],[Column1]]=1,"NO","YES")</calculatedColumnFormula>
    </tableColumn>
    <tableColumn id="28" xr3:uid="{B5DF6ECC-EA2B-41F2-83DB-67351F91289A}" name="Column1" dataDxfId="16">
      <calculatedColumnFormula>COUNTIF(Table2[Request ID],Table2[[#This Row],[Request ID]])</calculatedColumnFormula>
    </tableColumn>
    <tableColumn id="31" xr3:uid="{5474AFA8-E9ED-4DDE-A026-020404345A22}" name="Lead time risk level (from informal request to today)" dataDxfId="15">
      <calculatedColumnFormula>IF(Table2[[#This Row],[Status]]&lt;&gt;Overview!$C$13,Table2[[#This Row],[Lead time from informal request received to today (days)2]],"Disbursed")</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2E7248E-6485-4C21-94AC-7B82A60F972D}" name="Table3" displayName="Table3" ref="A1:F3" totalsRowShown="0" headerRowDxfId="14" headerRowBorderDxfId="13" tableBorderDxfId="12">
  <autoFilter ref="A1:F3" xr:uid="{12E7248E-6485-4C21-94AC-7B82A60F972D}"/>
  <tableColumns count="6">
    <tableColumn id="1" xr3:uid="{159D67A2-96F3-4D1A-8732-896C75B0A54D}" name="Country"/>
    <tableColumn id="2" xr3:uid="{80BE6720-57ED-46EA-A4A7-2E284C5297F1}" name="GAVI SCM" dataDxfId="11">
      <calculatedColumnFormula>INDEX(Table1[#All],MATCH(Table3[[#This Row],[Country]],Table1[[#All],[Recipient country Name]],0),MATCH(Table3[[#Headers],[GAVI SCM]],Table1[#Headers],0))</calculatedColumnFormula>
    </tableColumn>
    <tableColumn id="3" xr3:uid="{9D17E42E-BFB2-4FA9-80D3-02FAC6D9C715}" name="CoVDP Desk Officer" dataDxfId="10">
      <calculatedColumnFormula>INDEX(Table1[#All],MATCH(Table3[[#This Row],[Country]],Table1[[#All],[Recipient country Name]],0),MATCH(Table3[[#Headers],[CoVDP Desk Officer]],Table1[#Headers],0))</calculatedColumnFormula>
    </tableColumn>
    <tableColumn id="4" xr3:uid="{BEB2DD93-8936-44AE-AF27-BFB8B2DE0B99}" name="Context"/>
    <tableColumn id="5" xr3:uid="{04FE9F2F-503A-4AC7-A602-45E86F5066D6}" name="Last update" dataDxfId="9"/>
    <tableColumn id="6" xr3:uid="{54DD533C-ECB8-444D-AA70-E3EBCA33FC04}" name="Actions identified"/>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F72679-34E7-4615-91B9-F2A89C020293}" name="Table1" displayName="Table1" ref="A1:H161" totalsRowShown="0" headerRowDxfId="8">
  <autoFilter ref="A1:H161" xr:uid="{51E4750B-4818-4314-9ECD-0D1CF8E87D7B}"/>
  <tableColumns count="8">
    <tableColumn id="1" xr3:uid="{CA7E8392-5410-4DBA-B4E7-D201C7B52274}" name="Recipient country Name" dataDxfId="7"/>
    <tableColumn id="2" xr3:uid="{21008817-6488-43CA-82B8-8645BA131AAB}" name="Membership" dataDxfId="6"/>
    <tableColumn id="3" xr3:uid="{7C3FC6E0-709A-4411-A25A-BF22AD151A86}" name="Surge member" dataDxfId="5"/>
    <tableColumn id="4" xr3:uid="{A9291887-C67E-41F6-B697-69B1A2E9D5CD}" name="Surge E-mail" dataDxfId="4" dataCellStyle="Hyperlink"/>
    <tableColumn id="5" xr3:uid="{8A63A839-2553-43EC-8DD0-B97FEE5A04DF}" name="GAVI SCM" dataDxfId="3"/>
    <tableColumn id="6" xr3:uid="{D303D4D9-4513-4334-8A3D-C6CF5B6905F2}" name="SCM E-mail"/>
    <tableColumn id="7" xr3:uid="{F039243B-9CC1-412E-949D-703AA59797D1}" name="CoVDP Desk Officer"/>
    <tableColumn id="8" xr3:uid="{7B3D70B5-0097-44D2-9410-E99EB9797738}" name="DO E-mai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p:/r/sites/COVID19VaccineDeliveryFacility/Shared%20Documents/General/02%20Workstreams/02%20Delivery%20Funding/5.%20CoVDP%20Funding%20process%20%26%20tracking/1.%20SOP%20and%20templates/20220311%20-%20CoVDP%20Funding%20process%20-%20Focus%20on%20Tuesday%20call%20ToRs%20v6.pptx?d=w27f4a7a5efc24add8f9362f9a2423ae2&amp;csf=1&amp;web=1&amp;e=CJUIVy"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p:/r/sites/COVID19VaccineDeliveryFacility/_layouts/15/Doc.aspx?action=view&amp;sourcedoc=%7B8132e0b7-007b-4aee-98dd-777e720d60a7%7D&amp;wdOrigin=TEAMS-WEB.teamsSdk.openFilePreview&amp;wdExp=TEAMS-CONTROL&amp;wdhostclicktime=1652272756901" TargetMode="External"/><Relationship Id="rId7" Type="http://schemas.openxmlformats.org/officeDocument/2006/relationships/hyperlink" Target="../../../../../../../../../../:x:/r/sites/COVID19VaccineDeliveryFacility/Shared%20Documents/General/02%20Workstreams/02%20Delivery%20Funding/4.%20Funding%20requests/14.%20Malawi/Copy%20of%20Malawi%20_CoVDP%20One%20Budget_Urgent%20Funding%20Request_Campaign%20July%202022.xlsx?d=we5ea515103b84f0a99f2e09fd4e22116&amp;csf=1&amp;web=1&amp;e=aQqIyl" TargetMode="External"/><Relationship Id="rId2" Type="http://schemas.openxmlformats.org/officeDocument/2006/relationships/hyperlink" Target="../../../../../../../../../../:x:/r/sites/COVID19VaccineDeliveryFacility/Shared%20Documents/General/02%20Workstreams/02%20Delivery%20Funding/4.%20Funding%20requests/02.%20South%20Sudan/01.%20CDS%20application/Initial%20South%20Sudan%20Budget%20.xlsm?d=w6ddf0b8ae2c14b1785b7e36d8ca4bfd0&amp;csf=1&amp;web=1&amp;e=h028k9" TargetMode="External"/><Relationship Id="rId1" Type="http://schemas.openxmlformats.org/officeDocument/2006/relationships/hyperlink" Target="../../../../../../../../../../:x:/r/sites/COVID19VaccineDeliveryFacility/_layouts/15/Doc.aspx?sourcedoc=%7B44CAD809-70ED-4962-B421-B2768550C8A4%7D&amp;file=New%20South%20Sudan%20CDS%20Budget%20(Only%20Gavi%27s%20share).xlsm&amp;action=default&amp;mobileredirect=true" TargetMode="External"/><Relationship Id="rId6" Type="http://schemas.openxmlformats.org/officeDocument/2006/relationships/hyperlink" Target="../../../../../../../../../../:x:/r/sites/COVID19VaccineDeliveryFacility/Shared%20Documents/General/02%20Workstreams/02%20Delivery%20Funding/4.%20Funding%20requests/14.%20Malawi/Copy%20of%20Malawi%20_CoVDP%20One%20Budget_Urgent%20Funding%20Request_Campaign%20July%202022.xlsx?d=we5ea515103b84f0a99f2e09fd4e22116&amp;csf=1&amp;web=1&amp;e=aQqIyl" TargetMode="External"/><Relationship Id="rId5" Type="http://schemas.openxmlformats.org/officeDocument/2006/relationships/hyperlink" Target="../../../../../../../../../../:w:/r/sites/COVID19VaccineDeliveryFacility/Shared%20Documents/General/02%20Workstreams/02%20Delivery%20Funding/4.%20Funding%20requests/03.%20DRC/PHASE%20II%20Strengthening%20Covid%20vaccination%2006062022%20(003).docx?d=w0d8060c7a778489695fa83e578dfa62c&amp;csf=1&amp;web=1&amp;e=5ij8tx" TargetMode="External"/><Relationship Id="rId4" Type="http://schemas.openxmlformats.org/officeDocument/2006/relationships/hyperlink" Target="../../../../../../../../../../:x:/r/sites/COVID19VaccineDeliveryFacility/Shared%20Documents/General/02%20Workstreams/02%20Delivery%20Funding/4.%20Funding%20requests/05.%20Chad/Copy%20of%20Copy%20of%20Synthese%20macroplan%20bloc%202_dose%201_v06.01.xlsx?d=wb61e72123933434cb32228b4e117e370&amp;csf=1&amp;web=1&amp;e=2rgzxx" TargetMode="External"/><Relationship Id="rId9"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26" Type="http://schemas.openxmlformats.org/officeDocument/2006/relationships/hyperlink" Target="mailto:mfaid@gavi.org" TargetMode="External"/><Relationship Id="rId21" Type="http://schemas.openxmlformats.org/officeDocument/2006/relationships/hyperlink" Target="mailto:mmeza@gavi.org" TargetMode="External"/><Relationship Id="rId42" Type="http://schemas.openxmlformats.org/officeDocument/2006/relationships/hyperlink" Target="mailto:mmeza@gavi.org" TargetMode="External"/><Relationship Id="rId47" Type="http://schemas.openxmlformats.org/officeDocument/2006/relationships/hyperlink" Target="mailto:mfaid@gavi.org" TargetMode="External"/><Relationship Id="rId63" Type="http://schemas.openxmlformats.org/officeDocument/2006/relationships/hyperlink" Target="mailto:pdimattei@gavi.org" TargetMode="External"/><Relationship Id="rId68" Type="http://schemas.openxmlformats.org/officeDocument/2006/relationships/hyperlink" Target="mailto:hkiambuthi@gavi.org" TargetMode="External"/><Relationship Id="rId84" Type="http://schemas.openxmlformats.org/officeDocument/2006/relationships/hyperlink" Target="mailto:murrutxi@gavi.org" TargetMode="External"/><Relationship Id="rId89" Type="http://schemas.openxmlformats.org/officeDocument/2006/relationships/hyperlink" Target="mailto:hkiambuthi@gavi.org" TargetMode="External"/><Relationship Id="rId112" Type="http://schemas.openxmlformats.org/officeDocument/2006/relationships/printerSettings" Target="../printerSettings/printerSettings5.bin"/><Relationship Id="rId16" Type="http://schemas.openxmlformats.org/officeDocument/2006/relationships/hyperlink" Target="mailto:rbauquerez@gavi.org" TargetMode="External"/><Relationship Id="rId107" Type="http://schemas.openxmlformats.org/officeDocument/2006/relationships/hyperlink" Target="mailto:ADELAIDE.DAVIS@ifrc.org" TargetMode="External"/><Relationship Id="rId11" Type="http://schemas.openxmlformats.org/officeDocument/2006/relationships/hyperlink" Target="mailto:mfaid@gavi.org" TargetMode="External"/><Relationship Id="rId32" Type="http://schemas.openxmlformats.org/officeDocument/2006/relationships/hyperlink" Target="mailto:hkiambuthi@gavi.org" TargetMode="External"/><Relationship Id="rId37" Type="http://schemas.openxmlformats.org/officeDocument/2006/relationships/hyperlink" Target="mailto:eawaga@gavi.org" TargetMode="External"/><Relationship Id="rId53" Type="http://schemas.openxmlformats.org/officeDocument/2006/relationships/hyperlink" Target="mailto:murrutxi@gavi.org" TargetMode="External"/><Relationship Id="rId58" Type="http://schemas.openxmlformats.org/officeDocument/2006/relationships/hyperlink" Target="mailto:smuller@gavi.org" TargetMode="External"/><Relationship Id="rId74" Type="http://schemas.openxmlformats.org/officeDocument/2006/relationships/hyperlink" Target="mailto:rmugali@gavi.org" TargetMode="External"/><Relationship Id="rId79" Type="http://schemas.openxmlformats.org/officeDocument/2006/relationships/hyperlink" Target="mailto:hkiambuthi@gavi.org" TargetMode="External"/><Relationship Id="rId102" Type="http://schemas.openxmlformats.org/officeDocument/2006/relationships/hyperlink" Target="mailto:acronin@gavi.org" TargetMode="External"/><Relationship Id="rId5" Type="http://schemas.openxmlformats.org/officeDocument/2006/relationships/hyperlink" Target="mailto:hkiambuthi@gavi.org" TargetMode="External"/><Relationship Id="rId90" Type="http://schemas.openxmlformats.org/officeDocument/2006/relationships/hyperlink" Target="mailto:murrutxi@gavi.org" TargetMode="External"/><Relationship Id="rId95" Type="http://schemas.openxmlformats.org/officeDocument/2006/relationships/hyperlink" Target="mailto:murrutxi@gavi.org" TargetMode="External"/><Relationship Id="rId22" Type="http://schemas.openxmlformats.org/officeDocument/2006/relationships/hyperlink" Target="mailto:hkiambuthi@gavi.org" TargetMode="External"/><Relationship Id="rId27" Type="http://schemas.openxmlformats.org/officeDocument/2006/relationships/hyperlink" Target="mailto:mfaid@gavi.org" TargetMode="External"/><Relationship Id="rId43" Type="http://schemas.openxmlformats.org/officeDocument/2006/relationships/hyperlink" Target="mailto:hkiambuthi@gavi.org" TargetMode="External"/><Relationship Id="rId48" Type="http://schemas.openxmlformats.org/officeDocument/2006/relationships/hyperlink" Target="mailto:mfaid@gavi.org" TargetMode="External"/><Relationship Id="rId64" Type="http://schemas.openxmlformats.org/officeDocument/2006/relationships/hyperlink" Target="mailto:hkiambuthi@gavi.org" TargetMode="External"/><Relationship Id="rId69" Type="http://schemas.openxmlformats.org/officeDocument/2006/relationships/hyperlink" Target="mailto:murrutxi@gavi.org" TargetMode="External"/><Relationship Id="rId113" Type="http://schemas.openxmlformats.org/officeDocument/2006/relationships/table" Target="../tables/table7.xml"/><Relationship Id="rId80" Type="http://schemas.openxmlformats.org/officeDocument/2006/relationships/hyperlink" Target="mailto:murrutxi@gavi.org" TargetMode="External"/><Relationship Id="rId85" Type="http://schemas.openxmlformats.org/officeDocument/2006/relationships/hyperlink" Target="mailto:acronin@gavi.org" TargetMode="External"/><Relationship Id="rId12" Type="http://schemas.openxmlformats.org/officeDocument/2006/relationships/hyperlink" Target="mailto:mfaid@gavi.org" TargetMode="External"/><Relationship Id="rId17" Type="http://schemas.openxmlformats.org/officeDocument/2006/relationships/hyperlink" Target="mailto:rbauquerez@gavi.org" TargetMode="External"/><Relationship Id="rId33" Type="http://schemas.openxmlformats.org/officeDocument/2006/relationships/hyperlink" Target="mailto:rbauquerez@gavi.org" TargetMode="External"/><Relationship Id="rId38" Type="http://schemas.openxmlformats.org/officeDocument/2006/relationships/hyperlink" Target="mailto:rbauquerez@gavi.org" TargetMode="External"/><Relationship Id="rId59" Type="http://schemas.openxmlformats.org/officeDocument/2006/relationships/hyperlink" Target="mailto:hkiambuthi@gavi.org" TargetMode="External"/><Relationship Id="rId103" Type="http://schemas.openxmlformats.org/officeDocument/2006/relationships/hyperlink" Target="mailto:murrutxi@gavi.org" TargetMode="External"/><Relationship Id="rId108" Type="http://schemas.openxmlformats.org/officeDocument/2006/relationships/hyperlink" Target="mailto:ADELAIDE.DAVIS@ifrc.org" TargetMode="External"/><Relationship Id="rId54" Type="http://schemas.openxmlformats.org/officeDocument/2006/relationships/hyperlink" Target="mailto:murrutxi@gavi.org" TargetMode="External"/><Relationship Id="rId70" Type="http://schemas.openxmlformats.org/officeDocument/2006/relationships/hyperlink" Target="mailto:anader@gavi.org" TargetMode="External"/><Relationship Id="rId75" Type="http://schemas.openxmlformats.org/officeDocument/2006/relationships/hyperlink" Target="mailto:rbauquerez@gavi.org" TargetMode="External"/><Relationship Id="rId91" Type="http://schemas.openxmlformats.org/officeDocument/2006/relationships/hyperlink" Target="mailto:hkiambuthi@gavi.org" TargetMode="External"/><Relationship Id="rId96" Type="http://schemas.openxmlformats.org/officeDocument/2006/relationships/hyperlink" Target="mailto:mfaid@gavi.org" TargetMode="External"/><Relationship Id="rId1" Type="http://schemas.openxmlformats.org/officeDocument/2006/relationships/hyperlink" Target="mailto:murrutxi@gavi.org" TargetMode="External"/><Relationship Id="rId6" Type="http://schemas.openxmlformats.org/officeDocument/2006/relationships/hyperlink" Target="mailto:rbauquerez@gavi.org" TargetMode="External"/><Relationship Id="rId15" Type="http://schemas.openxmlformats.org/officeDocument/2006/relationships/hyperlink" Target="mailto:rhafiz@gavi.org" TargetMode="External"/><Relationship Id="rId23" Type="http://schemas.openxmlformats.org/officeDocument/2006/relationships/hyperlink" Target="mailto:murrutxi@gavi.org" TargetMode="External"/><Relationship Id="rId28" Type="http://schemas.openxmlformats.org/officeDocument/2006/relationships/hyperlink" Target="mailto:mpaez-external-consultant@gavi.org" TargetMode="External"/><Relationship Id="rId36" Type="http://schemas.openxmlformats.org/officeDocument/2006/relationships/hyperlink" Target="mailto:rbauquerez@gavi.org" TargetMode="External"/><Relationship Id="rId49" Type="http://schemas.openxmlformats.org/officeDocument/2006/relationships/hyperlink" Target="mailto:hkiambuthi@gavi.org" TargetMode="External"/><Relationship Id="rId57" Type="http://schemas.openxmlformats.org/officeDocument/2006/relationships/hyperlink" Target="mailto:rbauquerez@gavi.org" TargetMode="External"/><Relationship Id="rId106" Type="http://schemas.openxmlformats.org/officeDocument/2006/relationships/hyperlink" Target="mailto:ADELAIDE.DAVIS@ifrc.org" TargetMode="External"/><Relationship Id="rId10" Type="http://schemas.openxmlformats.org/officeDocument/2006/relationships/hyperlink" Target="mailto:murrutxi@gavi.org" TargetMode="External"/><Relationship Id="rId31" Type="http://schemas.openxmlformats.org/officeDocument/2006/relationships/hyperlink" Target="mailto:hkiambuthi@gavi.org" TargetMode="External"/><Relationship Id="rId44" Type="http://schemas.openxmlformats.org/officeDocument/2006/relationships/hyperlink" Target="mailto:smuller@gavi.org" TargetMode="External"/><Relationship Id="rId52" Type="http://schemas.openxmlformats.org/officeDocument/2006/relationships/hyperlink" Target="mailto:hkiambuthi@gavi.org" TargetMode="External"/><Relationship Id="rId60" Type="http://schemas.openxmlformats.org/officeDocument/2006/relationships/hyperlink" Target="mailto:mfaid@gavi.org" TargetMode="External"/><Relationship Id="rId65" Type="http://schemas.openxmlformats.org/officeDocument/2006/relationships/hyperlink" Target="mailto:hkiambuthi@gavi.org" TargetMode="External"/><Relationship Id="rId73" Type="http://schemas.openxmlformats.org/officeDocument/2006/relationships/hyperlink" Target="mailto:rmugali@gavi.org" TargetMode="External"/><Relationship Id="rId78" Type="http://schemas.openxmlformats.org/officeDocument/2006/relationships/hyperlink" Target="mailto:hkiambuthi@gavi.org" TargetMode="External"/><Relationship Id="rId81" Type="http://schemas.openxmlformats.org/officeDocument/2006/relationships/hyperlink" Target="mailto:pmusanhu@gavi.org" TargetMode="External"/><Relationship Id="rId86" Type="http://schemas.openxmlformats.org/officeDocument/2006/relationships/hyperlink" Target="mailto:murrutxi@gavi.org" TargetMode="External"/><Relationship Id="rId94" Type="http://schemas.openxmlformats.org/officeDocument/2006/relationships/hyperlink" Target="mailto:mfaid@gavi.org" TargetMode="External"/><Relationship Id="rId99" Type="http://schemas.openxmlformats.org/officeDocument/2006/relationships/hyperlink" Target="mailto:anader@gavi.org" TargetMode="External"/><Relationship Id="rId101" Type="http://schemas.openxmlformats.org/officeDocument/2006/relationships/hyperlink" Target="mailto:murrutxi@gavi.org" TargetMode="External"/><Relationship Id="rId4" Type="http://schemas.openxmlformats.org/officeDocument/2006/relationships/hyperlink" Target="mailto:pdimattei@gavi.org" TargetMode="External"/><Relationship Id="rId9" Type="http://schemas.openxmlformats.org/officeDocument/2006/relationships/hyperlink" Target="mailto:eawaga@gavi.org" TargetMode="External"/><Relationship Id="rId13" Type="http://schemas.openxmlformats.org/officeDocument/2006/relationships/hyperlink" Target="mailto:hkiambuthi@gavi.org" TargetMode="External"/><Relationship Id="rId18" Type="http://schemas.openxmlformats.org/officeDocument/2006/relationships/hyperlink" Target="mailto:murrutxi@gavi.org" TargetMode="External"/><Relationship Id="rId39" Type="http://schemas.openxmlformats.org/officeDocument/2006/relationships/hyperlink" Target="mailto:acisse@gavi.org" TargetMode="External"/><Relationship Id="rId109" Type="http://schemas.openxmlformats.org/officeDocument/2006/relationships/hyperlink" Target="mailto:wmenson@gavi.org" TargetMode="External"/><Relationship Id="rId34" Type="http://schemas.openxmlformats.org/officeDocument/2006/relationships/hyperlink" Target="mailto:acisse@gavi.org" TargetMode="External"/><Relationship Id="rId50" Type="http://schemas.openxmlformats.org/officeDocument/2006/relationships/hyperlink" Target="mailto:hkiambuthi@gavi.org" TargetMode="External"/><Relationship Id="rId55" Type="http://schemas.openxmlformats.org/officeDocument/2006/relationships/hyperlink" Target="mailto:rbauquerez@gavi.org" TargetMode="External"/><Relationship Id="rId76" Type="http://schemas.openxmlformats.org/officeDocument/2006/relationships/hyperlink" Target="mailto:acisse@gavi.org" TargetMode="External"/><Relationship Id="rId97" Type="http://schemas.openxmlformats.org/officeDocument/2006/relationships/hyperlink" Target="mailto:mfaid@gavi.org" TargetMode="External"/><Relationship Id="rId104" Type="http://schemas.openxmlformats.org/officeDocument/2006/relationships/hyperlink" Target="mailto:murrutxi@gavi.org" TargetMode="External"/><Relationship Id="rId7" Type="http://schemas.openxmlformats.org/officeDocument/2006/relationships/hyperlink" Target="mailto:kahawo@gavi.org" TargetMode="External"/><Relationship Id="rId71" Type="http://schemas.openxmlformats.org/officeDocument/2006/relationships/hyperlink" Target="mailto:murrutxi@gavi.org" TargetMode="External"/><Relationship Id="rId92" Type="http://schemas.openxmlformats.org/officeDocument/2006/relationships/hyperlink" Target="mailto:rbauquerez@gavi.org" TargetMode="External"/><Relationship Id="rId2" Type="http://schemas.openxmlformats.org/officeDocument/2006/relationships/hyperlink" Target="mailto:smuller@gavi.org" TargetMode="External"/><Relationship Id="rId29" Type="http://schemas.openxmlformats.org/officeDocument/2006/relationships/hyperlink" Target="mailto:murrutxi@gavi.org" TargetMode="External"/><Relationship Id="rId24" Type="http://schemas.openxmlformats.org/officeDocument/2006/relationships/hyperlink" Target="mailto:jcrawford@gavi.org" TargetMode="External"/><Relationship Id="rId40" Type="http://schemas.openxmlformats.org/officeDocument/2006/relationships/hyperlink" Target="mailto:mmeza@gavi.org" TargetMode="External"/><Relationship Id="rId45" Type="http://schemas.openxmlformats.org/officeDocument/2006/relationships/hyperlink" Target="mailto:murrutxi@gavi.org" TargetMode="External"/><Relationship Id="rId66" Type="http://schemas.openxmlformats.org/officeDocument/2006/relationships/hyperlink" Target="mailto:rbauquerez@gavi.org" TargetMode="External"/><Relationship Id="rId87" Type="http://schemas.openxmlformats.org/officeDocument/2006/relationships/hyperlink" Target="mailto:murrutxi@gavi.org" TargetMode="External"/><Relationship Id="rId110" Type="http://schemas.openxmlformats.org/officeDocument/2006/relationships/hyperlink" Target="mailto:wmenson@gavi.org" TargetMode="External"/><Relationship Id="rId61" Type="http://schemas.openxmlformats.org/officeDocument/2006/relationships/hyperlink" Target="mailto:mfaid@gavi.org" TargetMode="External"/><Relationship Id="rId82" Type="http://schemas.openxmlformats.org/officeDocument/2006/relationships/hyperlink" Target="mailto:murrutxi@gavi.org" TargetMode="External"/><Relationship Id="rId19" Type="http://schemas.openxmlformats.org/officeDocument/2006/relationships/hyperlink" Target="mailto:rbauquerez@gavi.org" TargetMode="External"/><Relationship Id="rId14" Type="http://schemas.openxmlformats.org/officeDocument/2006/relationships/hyperlink" Target="mailto:rbauquerez@gavi.org" TargetMode="External"/><Relationship Id="rId30" Type="http://schemas.openxmlformats.org/officeDocument/2006/relationships/hyperlink" Target="mailto:mfaid@gavi.org" TargetMode="External"/><Relationship Id="rId35" Type="http://schemas.openxmlformats.org/officeDocument/2006/relationships/hyperlink" Target="mailto:rmugali@gavi.org" TargetMode="External"/><Relationship Id="rId56" Type="http://schemas.openxmlformats.org/officeDocument/2006/relationships/hyperlink" Target="mailto:tvincent@gavi.org" TargetMode="External"/><Relationship Id="rId77" Type="http://schemas.openxmlformats.org/officeDocument/2006/relationships/hyperlink" Target="mailto:rbauquerez@gavi.org" TargetMode="External"/><Relationship Id="rId100" Type="http://schemas.openxmlformats.org/officeDocument/2006/relationships/hyperlink" Target="mailto:mfaid@gavi.org" TargetMode="External"/><Relationship Id="rId105" Type="http://schemas.openxmlformats.org/officeDocument/2006/relationships/hyperlink" Target="mailto:cgheen@gavi.org" TargetMode="External"/><Relationship Id="rId8" Type="http://schemas.openxmlformats.org/officeDocument/2006/relationships/hyperlink" Target="mailto:rbauquerez@gavi.org" TargetMode="External"/><Relationship Id="rId51" Type="http://schemas.openxmlformats.org/officeDocument/2006/relationships/hyperlink" Target="mailto:murrutxi@gavi.org" TargetMode="External"/><Relationship Id="rId72" Type="http://schemas.openxmlformats.org/officeDocument/2006/relationships/hyperlink" Target="mailto:jsherova@gavi.org" TargetMode="External"/><Relationship Id="rId93" Type="http://schemas.openxmlformats.org/officeDocument/2006/relationships/hyperlink" Target="mailto:mfaid@gavi.org" TargetMode="External"/><Relationship Id="rId98" Type="http://schemas.openxmlformats.org/officeDocument/2006/relationships/hyperlink" Target="mailto:hkiambuthi@gavi.org" TargetMode="External"/><Relationship Id="rId3" Type="http://schemas.openxmlformats.org/officeDocument/2006/relationships/hyperlink" Target="mailto:murrutxi@gavi.org" TargetMode="External"/><Relationship Id="rId25" Type="http://schemas.openxmlformats.org/officeDocument/2006/relationships/hyperlink" Target="mailto:rmugali@gavi.org" TargetMode="External"/><Relationship Id="rId46" Type="http://schemas.openxmlformats.org/officeDocument/2006/relationships/hyperlink" Target="mailto:smuller@gavi.org" TargetMode="External"/><Relationship Id="rId67" Type="http://schemas.openxmlformats.org/officeDocument/2006/relationships/hyperlink" Target="mailto:hkiambuthi@gavi.org" TargetMode="External"/><Relationship Id="rId20" Type="http://schemas.openxmlformats.org/officeDocument/2006/relationships/hyperlink" Target="mailto:rbauquerez@gavi.org" TargetMode="External"/><Relationship Id="rId41" Type="http://schemas.openxmlformats.org/officeDocument/2006/relationships/hyperlink" Target="mailto:murrutxi@gavi.org" TargetMode="External"/><Relationship Id="rId62" Type="http://schemas.openxmlformats.org/officeDocument/2006/relationships/hyperlink" Target="mailto:murrutxi@gavi.org" TargetMode="External"/><Relationship Id="rId83" Type="http://schemas.openxmlformats.org/officeDocument/2006/relationships/hyperlink" Target="mailto:hkiambuthi@gavi.org" TargetMode="External"/><Relationship Id="rId88" Type="http://schemas.openxmlformats.org/officeDocument/2006/relationships/hyperlink" Target="mailto:murrutxi@gavi.org" TargetMode="External"/><Relationship Id="rId111" Type="http://schemas.openxmlformats.org/officeDocument/2006/relationships/hyperlink" Target="mailto:wmenson@gavi.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F5543-B06A-4095-88A0-C2F276D79245}">
  <sheetPr>
    <tabColor theme="9"/>
  </sheetPr>
  <dimension ref="B2:U59"/>
  <sheetViews>
    <sheetView showGridLines="0" zoomScale="80" zoomScaleNormal="80" workbookViewId="0">
      <selection activeCell="C4" sqref="C4"/>
    </sheetView>
  </sheetViews>
  <sheetFormatPr defaultColWidth="8.86328125" defaultRowHeight="14.25" x14ac:dyDescent="0.45"/>
  <cols>
    <col min="2" max="2" width="46.1328125" customWidth="1"/>
    <col min="3" max="3" width="30.86328125" customWidth="1"/>
    <col min="4" max="10" width="10.3984375" customWidth="1"/>
    <col min="11" max="11" width="11.86328125" customWidth="1"/>
    <col min="12" max="20" width="11.3984375" customWidth="1"/>
    <col min="21" max="21" width="14.3984375" customWidth="1"/>
  </cols>
  <sheetData>
    <row r="2" spans="2:21" ht="23.65" thickBot="1" x14ac:dyDescent="0.75">
      <c r="B2" s="53" t="s">
        <v>0</v>
      </c>
      <c r="C2" s="54"/>
      <c r="D2" s="54"/>
      <c r="E2" s="54"/>
      <c r="F2" s="54"/>
      <c r="G2" s="54"/>
      <c r="H2" s="54"/>
      <c r="I2" s="54"/>
      <c r="J2" s="54"/>
      <c r="K2" s="54"/>
      <c r="L2" s="54"/>
      <c r="M2" s="54"/>
      <c r="N2" s="54"/>
      <c r="O2" s="54"/>
      <c r="P2" s="54"/>
      <c r="Q2" s="54"/>
      <c r="R2" s="54"/>
      <c r="S2" s="54"/>
      <c r="T2" s="54"/>
      <c r="U2" s="54"/>
    </row>
    <row r="4" spans="2:21" x14ac:dyDescent="0.45">
      <c r="B4" s="49" t="s">
        <v>1</v>
      </c>
      <c r="C4" s="52">
        <v>44672</v>
      </c>
      <c r="D4" s="108" t="s">
        <v>2</v>
      </c>
      <c r="E4" s="50"/>
      <c r="F4" s="50"/>
      <c r="G4" s="50"/>
      <c r="H4" s="50"/>
      <c r="I4" s="50"/>
      <c r="J4" s="50"/>
      <c r="K4" s="51"/>
    </row>
    <row r="6" spans="2:21" x14ac:dyDescent="0.45">
      <c r="B6" s="97" t="s">
        <v>3</v>
      </c>
      <c r="C6" s="98" t="s">
        <v>4</v>
      </c>
      <c r="D6" s="98"/>
      <c r="E6" s="98"/>
      <c r="F6" s="98"/>
      <c r="G6" s="98"/>
      <c r="H6" s="98"/>
      <c r="I6" s="98"/>
      <c r="J6" s="98"/>
      <c r="K6" s="99"/>
    </row>
    <row r="7" spans="2:21" x14ac:dyDescent="0.45">
      <c r="B7" s="100" t="s">
        <v>5</v>
      </c>
      <c r="C7" t="s">
        <v>6</v>
      </c>
      <c r="K7" s="101"/>
    </row>
    <row r="8" spans="2:21" x14ac:dyDescent="0.45">
      <c r="B8" s="100" t="s">
        <v>7</v>
      </c>
      <c r="C8" s="102" t="s">
        <v>8</v>
      </c>
      <c r="K8" s="101"/>
      <c r="L8" t="s">
        <v>9</v>
      </c>
    </row>
    <row r="9" spans="2:21" x14ac:dyDescent="0.45">
      <c r="B9" s="100" t="s">
        <v>10</v>
      </c>
      <c r="K9" s="101"/>
    </row>
    <row r="10" spans="2:21" x14ac:dyDescent="0.45">
      <c r="B10" s="103"/>
      <c r="K10" s="101"/>
    </row>
    <row r="11" spans="2:21" x14ac:dyDescent="0.45">
      <c r="B11" s="103"/>
      <c r="K11" s="101"/>
    </row>
    <row r="12" spans="2:21" x14ac:dyDescent="0.45">
      <c r="B12" s="103"/>
      <c r="K12" s="101"/>
    </row>
    <row r="13" spans="2:21" x14ac:dyDescent="0.45">
      <c r="B13" s="103"/>
      <c r="K13" s="101"/>
    </row>
    <row r="14" spans="2:21" x14ac:dyDescent="0.45">
      <c r="B14" s="103"/>
      <c r="K14" s="101"/>
    </row>
    <row r="15" spans="2:21" x14ac:dyDescent="0.45">
      <c r="B15" s="103"/>
      <c r="K15" s="101"/>
    </row>
    <row r="16" spans="2:21" x14ac:dyDescent="0.45">
      <c r="B16" s="103"/>
      <c r="K16" s="101"/>
    </row>
    <row r="17" spans="2:11" x14ac:dyDescent="0.45">
      <c r="B17" s="103"/>
      <c r="K17" s="101"/>
    </row>
    <row r="18" spans="2:11" x14ac:dyDescent="0.45">
      <c r="B18" s="103"/>
      <c r="K18" s="101"/>
    </row>
    <row r="19" spans="2:11" x14ac:dyDescent="0.45">
      <c r="B19" s="103"/>
      <c r="K19" s="101"/>
    </row>
    <row r="20" spans="2:11" x14ac:dyDescent="0.45">
      <c r="B20" s="103"/>
      <c r="K20" s="101"/>
    </row>
    <row r="21" spans="2:11" x14ac:dyDescent="0.45">
      <c r="B21" s="103"/>
      <c r="K21" s="101"/>
    </row>
    <row r="22" spans="2:11" x14ac:dyDescent="0.45">
      <c r="B22" s="103"/>
      <c r="K22" s="101"/>
    </row>
    <row r="23" spans="2:11" x14ac:dyDescent="0.45">
      <c r="B23" s="103"/>
      <c r="K23" s="101"/>
    </row>
    <row r="24" spans="2:11" x14ac:dyDescent="0.45">
      <c r="B24" s="103"/>
      <c r="K24" s="101"/>
    </row>
    <row r="25" spans="2:11" x14ac:dyDescent="0.45">
      <c r="B25" s="103"/>
      <c r="K25" s="101"/>
    </row>
    <row r="26" spans="2:11" x14ac:dyDescent="0.45">
      <c r="B26" s="103"/>
      <c r="K26" s="101"/>
    </row>
    <row r="27" spans="2:11" x14ac:dyDescent="0.45">
      <c r="B27" s="103"/>
      <c r="K27" s="101"/>
    </row>
    <row r="28" spans="2:11" x14ac:dyDescent="0.45">
      <c r="B28" s="103"/>
      <c r="K28" s="101"/>
    </row>
    <row r="29" spans="2:11" x14ac:dyDescent="0.45">
      <c r="B29" s="103"/>
      <c r="K29" s="101"/>
    </row>
    <row r="30" spans="2:11" x14ac:dyDescent="0.45">
      <c r="B30" s="103"/>
      <c r="K30" s="101"/>
    </row>
    <row r="31" spans="2:11" x14ac:dyDescent="0.45">
      <c r="B31" s="103"/>
      <c r="K31" s="101"/>
    </row>
    <row r="32" spans="2:11" x14ac:dyDescent="0.45">
      <c r="B32" s="103"/>
      <c r="K32" s="101"/>
    </row>
    <row r="33" spans="2:21" x14ac:dyDescent="0.45">
      <c r="B33" s="103"/>
      <c r="K33" s="101"/>
    </row>
    <row r="34" spans="2:21" x14ac:dyDescent="0.45">
      <c r="B34" s="103"/>
      <c r="K34" s="101"/>
    </row>
    <row r="35" spans="2:21" x14ac:dyDescent="0.45">
      <c r="B35" s="103"/>
      <c r="K35" s="101"/>
    </row>
    <row r="36" spans="2:21" x14ac:dyDescent="0.45">
      <c r="B36" s="103"/>
      <c r="K36" s="101"/>
    </row>
    <row r="37" spans="2:21" x14ac:dyDescent="0.45">
      <c r="B37" s="103"/>
      <c r="K37" s="101"/>
    </row>
    <row r="38" spans="2:21" x14ac:dyDescent="0.45">
      <c r="B38" s="103"/>
      <c r="K38" s="101"/>
    </row>
    <row r="39" spans="2:21" x14ac:dyDescent="0.45">
      <c r="B39" s="103"/>
      <c r="K39" s="101"/>
    </row>
    <row r="40" spans="2:21" x14ac:dyDescent="0.45">
      <c r="B40" s="104"/>
      <c r="C40" s="105"/>
      <c r="D40" s="105"/>
      <c r="E40" s="105"/>
      <c r="F40" s="105"/>
      <c r="G40" s="105"/>
      <c r="H40" s="105"/>
      <c r="I40" s="105"/>
      <c r="J40" s="105"/>
      <c r="K40" s="106"/>
    </row>
    <row r="42" spans="2:21" x14ac:dyDescent="0.45">
      <c r="B42" s="49" t="s">
        <v>11</v>
      </c>
      <c r="C42" s="50"/>
      <c r="D42" s="50"/>
      <c r="E42" s="50"/>
      <c r="F42" s="50"/>
      <c r="G42" s="50"/>
      <c r="H42" s="50"/>
      <c r="I42" s="50"/>
      <c r="J42" s="50"/>
      <c r="K42" s="50"/>
      <c r="L42" s="50"/>
      <c r="M42" s="50"/>
      <c r="N42" s="50"/>
      <c r="O42" s="50"/>
      <c r="P42" s="50"/>
      <c r="Q42" s="50"/>
      <c r="R42" s="50"/>
      <c r="S42" s="50"/>
      <c r="T42" s="50"/>
      <c r="U42" s="51"/>
    </row>
    <row r="43" spans="2:21" x14ac:dyDescent="0.45">
      <c r="B43" s="24" t="s">
        <v>12</v>
      </c>
      <c r="C43" t="s">
        <v>13</v>
      </c>
      <c r="U43" s="25"/>
    </row>
    <row r="44" spans="2:21" x14ac:dyDescent="0.45">
      <c r="B44" s="24" t="s">
        <v>14</v>
      </c>
      <c r="C44" t="s">
        <v>15</v>
      </c>
      <c r="U44" s="25"/>
    </row>
    <row r="45" spans="2:21" x14ac:dyDescent="0.45">
      <c r="B45" s="24" t="s">
        <v>16</v>
      </c>
      <c r="C45" t="s">
        <v>17</v>
      </c>
      <c r="U45" s="25"/>
    </row>
    <row r="46" spans="2:21" x14ac:dyDescent="0.45">
      <c r="B46" s="24" t="s">
        <v>18</v>
      </c>
      <c r="C46" t="s">
        <v>19</v>
      </c>
      <c r="U46" s="25"/>
    </row>
    <row r="47" spans="2:21" x14ac:dyDescent="0.45">
      <c r="B47" s="24" t="s">
        <v>20</v>
      </c>
      <c r="C47" t="s">
        <v>21</v>
      </c>
      <c r="U47" s="25"/>
    </row>
    <row r="48" spans="2:21" x14ac:dyDescent="0.45">
      <c r="B48" s="24" t="s">
        <v>22</v>
      </c>
      <c r="C48" t="s">
        <v>23</v>
      </c>
      <c r="U48" s="25"/>
    </row>
    <row r="49" spans="2:21" x14ac:dyDescent="0.45">
      <c r="B49" s="26" t="s">
        <v>24</v>
      </c>
      <c r="C49" s="27" t="s">
        <v>25</v>
      </c>
      <c r="D49" s="27"/>
      <c r="E49" s="27"/>
      <c r="F49" s="27"/>
      <c r="G49" s="27"/>
      <c r="H49" s="27"/>
      <c r="I49" s="27"/>
      <c r="J49" s="27"/>
      <c r="K49" s="27"/>
      <c r="L49" s="27"/>
      <c r="M49" s="27"/>
      <c r="N49" s="27"/>
      <c r="O49" s="27"/>
      <c r="P49" s="27"/>
      <c r="Q49" s="27"/>
      <c r="R49" s="27"/>
      <c r="S49" s="27"/>
      <c r="T49" s="27"/>
      <c r="U49" s="28"/>
    </row>
    <row r="51" spans="2:21" x14ac:dyDescent="0.45">
      <c r="B51" s="49" t="s">
        <v>26</v>
      </c>
      <c r="C51" s="50"/>
      <c r="D51" s="50"/>
      <c r="E51" s="50"/>
      <c r="F51" s="50"/>
      <c r="G51" s="50"/>
      <c r="H51" s="50"/>
      <c r="I51" s="50"/>
      <c r="J51" s="50"/>
      <c r="K51" s="50"/>
      <c r="L51" s="50"/>
      <c r="M51" s="50"/>
      <c r="N51" s="50"/>
      <c r="O51" s="50"/>
      <c r="P51" s="50"/>
      <c r="Q51" s="50"/>
      <c r="R51" s="50"/>
      <c r="S51" s="50"/>
      <c r="T51" s="50"/>
      <c r="U51" s="51"/>
    </row>
    <row r="52" spans="2:21" x14ac:dyDescent="0.45">
      <c r="B52" s="107"/>
      <c r="U52" s="25"/>
    </row>
    <row r="53" spans="2:21" x14ac:dyDescent="0.45">
      <c r="B53" s="120" t="s">
        <v>27</v>
      </c>
      <c r="C53" s="121" t="s">
        <v>28</v>
      </c>
      <c r="D53" s="121" t="s">
        <v>29</v>
      </c>
      <c r="E53" s="121" t="s">
        <v>30</v>
      </c>
      <c r="F53" s="121" t="s">
        <v>31</v>
      </c>
      <c r="G53" s="121" t="s">
        <v>32</v>
      </c>
      <c r="H53" s="121" t="s">
        <v>33</v>
      </c>
      <c r="I53" s="121" t="s">
        <v>34</v>
      </c>
      <c r="J53" s="121" t="s">
        <v>35</v>
      </c>
      <c r="K53" s="121" t="s">
        <v>36</v>
      </c>
      <c r="L53" s="121" t="s">
        <v>37</v>
      </c>
      <c r="M53" s="121" t="s">
        <v>38</v>
      </c>
      <c r="N53" s="121" t="s">
        <v>39</v>
      </c>
      <c r="O53" s="121" t="s">
        <v>40</v>
      </c>
      <c r="P53" s="121" t="s">
        <v>41</v>
      </c>
      <c r="Q53" s="121" t="s">
        <v>42</v>
      </c>
      <c r="R53" s="121" t="s">
        <v>43</v>
      </c>
      <c r="S53" s="121" t="s">
        <v>44</v>
      </c>
      <c r="T53" s="121" t="s">
        <v>45</v>
      </c>
      <c r="U53" s="121" t="s">
        <v>46</v>
      </c>
    </row>
    <row r="54" spans="2:21" ht="42.75" x14ac:dyDescent="0.45">
      <c r="B54" t="s">
        <v>47</v>
      </c>
      <c r="C54" s="122" t="s">
        <v>48</v>
      </c>
      <c r="D54" t="s">
        <v>49</v>
      </c>
    </row>
    <row r="55" spans="2:21" ht="28.5" x14ac:dyDescent="0.45">
      <c r="B55" t="s">
        <v>50</v>
      </c>
      <c r="C55" s="122" t="s">
        <v>51</v>
      </c>
      <c r="D55" t="s">
        <v>52</v>
      </c>
    </row>
    <row r="56" spans="2:21" ht="28.5" x14ac:dyDescent="0.45">
      <c r="B56" t="s">
        <v>53</v>
      </c>
      <c r="C56" s="122" t="s">
        <v>54</v>
      </c>
      <c r="D56" t="s">
        <v>55</v>
      </c>
    </row>
    <row r="57" spans="2:21" ht="28.5" x14ac:dyDescent="0.45">
      <c r="B57" t="s">
        <v>56</v>
      </c>
      <c r="C57" s="122" t="s">
        <v>57</v>
      </c>
      <c r="D57" t="str">
        <f>Table7[[#This Row],[Column1]]</f>
        <v>Extract from Funding tracker - for WHO visibility</v>
      </c>
    </row>
    <row r="58" spans="2:21" ht="28.5" x14ac:dyDescent="0.45">
      <c r="B58" t="s">
        <v>58</v>
      </c>
      <c r="C58" s="122" t="s">
        <v>54</v>
      </c>
      <c r="D58" t="s">
        <v>59</v>
      </c>
    </row>
    <row r="59" spans="2:21" ht="28.5" x14ac:dyDescent="0.45">
      <c r="B59" s="27" t="s">
        <v>60</v>
      </c>
      <c r="C59" s="123" t="s">
        <v>61</v>
      </c>
      <c r="D59" s="27" t="s">
        <v>62</v>
      </c>
      <c r="E59" s="27"/>
      <c r="F59" s="27"/>
      <c r="G59" s="27"/>
      <c r="H59" s="27"/>
      <c r="I59" s="27"/>
      <c r="J59" s="27"/>
      <c r="K59" s="27"/>
      <c r="L59" s="27"/>
      <c r="M59" s="27"/>
      <c r="N59" s="27"/>
      <c r="O59" s="27"/>
      <c r="P59" s="27"/>
      <c r="Q59" s="27"/>
      <c r="R59" s="27"/>
      <c r="S59" s="27"/>
      <c r="T59" s="27"/>
      <c r="U59" s="27"/>
    </row>
  </sheetData>
  <hyperlinks>
    <hyperlink ref="C8" r:id="rId1" display="https://worldhealthorg.sharepoint.com/:p:/r/sites/COVID19VaccineDeliveryFacility/Shared%20Documents/General/02%20Workstreams/02%20Delivery%20Funding/5.%20CoVDP%20Funding%20process%20%26%20tracking/1.%20SOP%20and%20templates/20220311%20-%20CoVDP%20Funding%20process%20-%20Focus%20on%20Tuesday%20call%20ToRs%20v6.pptx?d=w27f4a7a5efc24add8f9362f9a2423ae2&amp;csf=1&amp;web=1&amp;e=CJUIVy" xr:uid="{47303161-94F2-4B8A-85FA-9A7D3FA0E1D2}"/>
  </hyperlinks>
  <pageMargins left="0.7" right="0.7" top="0.75" bottom="0.75" header="0.3" footer="0.3"/>
  <pageSetup paperSize="9" orientation="portrait" horizontalDpi="1200" verticalDpi="1200" r:id="rId2"/>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45F89-2E1A-423F-870F-3901518C28C5}">
  <dimension ref="B3:C26"/>
  <sheetViews>
    <sheetView topLeftCell="A13" workbookViewId="0">
      <selection activeCell="C28" sqref="C28"/>
    </sheetView>
  </sheetViews>
  <sheetFormatPr defaultColWidth="8.86328125" defaultRowHeight="14.25" x14ac:dyDescent="0.45"/>
  <cols>
    <col min="2" max="2" width="19.1328125" customWidth="1"/>
    <col min="3" max="3" width="42.1328125" customWidth="1"/>
  </cols>
  <sheetData>
    <row r="3" spans="2:2" x14ac:dyDescent="0.45">
      <c r="B3" t="s">
        <v>63</v>
      </c>
    </row>
    <row r="4" spans="2:2" x14ac:dyDescent="0.45">
      <c r="B4" t="s">
        <v>64</v>
      </c>
    </row>
    <row r="5" spans="2:2" x14ac:dyDescent="0.45">
      <c r="B5" t="s">
        <v>65</v>
      </c>
    </row>
    <row r="6" spans="2:2" x14ac:dyDescent="0.45">
      <c r="B6" t="s">
        <v>66</v>
      </c>
    </row>
    <row r="7" spans="2:2" x14ac:dyDescent="0.45">
      <c r="B7" t="s">
        <v>67</v>
      </c>
    </row>
    <row r="8" spans="2:2" x14ac:dyDescent="0.45">
      <c r="B8" t="s">
        <v>68</v>
      </c>
    </row>
    <row r="9" spans="2:2" x14ac:dyDescent="0.45">
      <c r="B9" t="s">
        <v>69</v>
      </c>
    </row>
    <row r="11" spans="2:2" x14ac:dyDescent="0.45">
      <c r="B11" t="s">
        <v>70</v>
      </c>
    </row>
    <row r="12" spans="2:2" x14ac:dyDescent="0.45">
      <c r="B12" t="s">
        <v>71</v>
      </c>
    </row>
    <row r="13" spans="2:2" x14ac:dyDescent="0.45">
      <c r="B13" t="s">
        <v>72</v>
      </c>
    </row>
    <row r="14" spans="2:2" x14ac:dyDescent="0.45">
      <c r="B14" t="s">
        <v>24</v>
      </c>
    </row>
    <row r="17" spans="2:3" x14ac:dyDescent="0.45">
      <c r="B17" s="16" t="s">
        <v>73</v>
      </c>
      <c r="C17" s="16"/>
    </row>
    <row r="18" spans="2:3" x14ac:dyDescent="0.45">
      <c r="B18" s="17"/>
      <c r="C18" s="17"/>
    </row>
    <row r="19" spans="2:3" ht="29.25" customHeight="1" x14ac:dyDescent="0.45">
      <c r="B19" t="s">
        <v>63</v>
      </c>
      <c r="C19" s="15" t="s">
        <v>74</v>
      </c>
    </row>
    <row r="20" spans="2:3" x14ac:dyDescent="0.45">
      <c r="B20" t="s">
        <v>64</v>
      </c>
      <c r="C20">
        <v>10</v>
      </c>
    </row>
    <row r="21" spans="2:3" x14ac:dyDescent="0.45">
      <c r="B21" t="s">
        <v>66</v>
      </c>
      <c r="C21">
        <v>15</v>
      </c>
    </row>
    <row r="22" spans="2:3" x14ac:dyDescent="0.45">
      <c r="B22" t="s">
        <v>65</v>
      </c>
      <c r="C22">
        <v>10</v>
      </c>
    </row>
    <row r="25" spans="2:3" x14ac:dyDescent="0.45">
      <c r="B25" s="16" t="s">
        <v>75</v>
      </c>
      <c r="C25" s="16"/>
    </row>
    <row r="26" spans="2:3" x14ac:dyDescent="0.45">
      <c r="B26" t="s">
        <v>76</v>
      </c>
    </row>
  </sheetData>
  <pageMargins left="0.7" right="0.7" top="0.75" bottom="0.75" header="0.3" footer="0.3"/>
  <pageSetup paperSize="9" orientation="portrait" horizontalDpi="1200" verticalDpi="1200"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BEF70-FF41-4D46-85ED-96CE622B81EC}">
  <sheetPr>
    <tabColor theme="9" tint="0.59999389629810485"/>
  </sheetPr>
  <dimension ref="A1"/>
  <sheetViews>
    <sheetView workbookViewId="0">
      <selection activeCell="E36" sqref="E36"/>
    </sheetView>
  </sheetViews>
  <sheetFormatPr defaultColWidth="8.86328125" defaultRowHeight="14.25" x14ac:dyDescent="0.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1729-C50C-4C99-9BDE-CEFCA639042C}">
  <dimension ref="A1:S228"/>
  <sheetViews>
    <sheetView showGridLines="0" topLeftCell="A204" zoomScale="60" zoomScaleNormal="60" workbookViewId="0">
      <selection activeCell="E224" sqref="E224"/>
    </sheetView>
  </sheetViews>
  <sheetFormatPr defaultColWidth="8.86328125" defaultRowHeight="14.25" x14ac:dyDescent="0.45"/>
  <cols>
    <col min="1" max="1" width="10.265625" bestFit="1" customWidth="1"/>
    <col min="2" max="2" width="1.86328125" customWidth="1"/>
    <col min="3" max="3" width="40.59765625" bestFit="1" customWidth="1"/>
    <col min="4" max="4" width="20" bestFit="1" customWidth="1"/>
    <col min="5" max="5" width="35.265625" bestFit="1" customWidth="1"/>
    <col min="6" max="6" width="22.86328125" bestFit="1" customWidth="1"/>
    <col min="7" max="7" width="16.1328125" customWidth="1"/>
    <col min="8" max="8" width="3.73046875" bestFit="1" customWidth="1"/>
    <col min="9" max="9" width="11.1328125" bestFit="1" customWidth="1"/>
    <col min="10" max="10" width="11.265625" bestFit="1" customWidth="1"/>
    <col min="11" max="11" width="6.3984375" bestFit="1" customWidth="1"/>
    <col min="12" max="12" width="6.1328125" bestFit="1" customWidth="1"/>
    <col min="13" max="13" width="13" bestFit="1" customWidth="1"/>
    <col min="14" max="14" width="10.73046875" bestFit="1" customWidth="1"/>
    <col min="15" max="15" width="13" bestFit="1" customWidth="1"/>
    <col min="16" max="16" width="7.3984375" bestFit="1" customWidth="1"/>
    <col min="17" max="17" width="5.86328125" bestFit="1" customWidth="1"/>
    <col min="18" max="18" width="6.86328125" bestFit="1" customWidth="1"/>
    <col min="19" max="19" width="10.59765625" bestFit="1" customWidth="1"/>
    <col min="20" max="20" width="6.86328125" bestFit="1" customWidth="1"/>
    <col min="21" max="21" width="7.1328125" bestFit="1" customWidth="1"/>
    <col min="22" max="22" width="11.3984375" bestFit="1" customWidth="1"/>
  </cols>
  <sheetData>
    <row r="1" spans="1:9" s="21" customFormat="1" ht="18" x14ac:dyDescent="0.55000000000000004">
      <c r="A1" s="19">
        <v>1</v>
      </c>
      <c r="B1" s="20"/>
      <c r="C1" s="21" t="s">
        <v>77</v>
      </c>
    </row>
    <row r="3" spans="1:9" ht="21" x14ac:dyDescent="0.65">
      <c r="C3" s="70" t="s">
        <v>78</v>
      </c>
      <c r="D3" s="59"/>
    </row>
    <row r="4" spans="1:9" ht="15.75" x14ac:dyDescent="0.5">
      <c r="C4" s="110" t="s">
        <v>79</v>
      </c>
      <c r="D4" s="59"/>
    </row>
    <row r="5" spans="1:9" x14ac:dyDescent="0.45">
      <c r="C5" s="29" t="s">
        <v>80</v>
      </c>
      <c r="D5" s="22" t="s">
        <v>81</v>
      </c>
      <c r="E5" s="22"/>
      <c r="F5" s="22"/>
      <c r="G5" s="22"/>
      <c r="H5" s="22"/>
      <c r="I5" s="23"/>
    </row>
    <row r="6" spans="1:9" x14ac:dyDescent="0.45">
      <c r="C6" s="30"/>
      <c r="D6" s="32" t="s">
        <v>82</v>
      </c>
      <c r="E6" s="32" t="s">
        <v>66</v>
      </c>
      <c r="F6" s="32" t="s">
        <v>64</v>
      </c>
      <c r="G6" s="32" t="s">
        <v>65</v>
      </c>
      <c r="H6" s="32" t="s">
        <v>69</v>
      </c>
      <c r="I6" s="33" t="s">
        <v>68</v>
      </c>
    </row>
    <row r="7" spans="1:9" x14ac:dyDescent="0.45">
      <c r="C7" s="24" t="s">
        <v>12</v>
      </c>
      <c r="D7" s="34">
        <f>SUM(Table2[Amount tracked through this row])</f>
        <v>98827044.339619935</v>
      </c>
      <c r="E7" s="35">
        <f>SUMIF(Table2[Source of funding identified (Details)],Overview!E$6,Table2[Amount to be funded])</f>
        <v>42943620.97355932</v>
      </c>
      <c r="F7" s="35">
        <f>SUMIF(Table2[Source of funding identified (Details)],Overview!F$6,Table2[Amount to be funded])</f>
        <v>32041867.366060607</v>
      </c>
      <c r="G7" s="35">
        <f>SUMIF(Table2[Source of funding identified (Details)],Overview!G$6,Table2[Amount to be funded])</f>
        <v>17841556</v>
      </c>
      <c r="H7" s="35">
        <f>SUMIF(Table2[Source of funding identified (Details)],Overview!H$6,Table2[Amount to be funded])</f>
        <v>0</v>
      </c>
      <c r="I7" s="36">
        <f>SUMIF(Table2[Source of funding identified (Details)],Overview!I$6,Table2[Amount to be funded])</f>
        <v>0</v>
      </c>
    </row>
    <row r="8" spans="1:9" x14ac:dyDescent="0.45">
      <c r="C8" s="24" t="s">
        <v>14</v>
      </c>
      <c r="D8" s="37">
        <f ca="1">SUMIF('Funding tracker'!Z:Z,Overview!$C8,'Funding tracker'!H:H)</f>
        <v>20629690.973559324</v>
      </c>
      <c r="E8" s="109"/>
      <c r="F8" s="109"/>
      <c r="G8" s="109"/>
      <c r="H8" s="109"/>
      <c r="I8" s="116"/>
    </row>
    <row r="9" spans="1:9" x14ac:dyDescent="0.45">
      <c r="C9" s="24" t="s">
        <v>16</v>
      </c>
      <c r="D9" s="37">
        <f ca="1">SUMIF('Funding tracker'!Z:Z,Overview!$C9,'Funding tracker'!H:H)</f>
        <v>0</v>
      </c>
      <c r="E9" s="109"/>
      <c r="F9" s="109"/>
      <c r="G9" s="109"/>
      <c r="H9" s="109"/>
      <c r="I9" s="116"/>
    </row>
    <row r="10" spans="1:9" x14ac:dyDescent="0.45">
      <c r="C10" s="24" t="s">
        <v>18</v>
      </c>
      <c r="D10" s="37">
        <f ca="1">SUMIF(Table2[Status],Overview!$C10,Table2[Amount to be funded])</f>
        <v>2154578.606060606</v>
      </c>
      <c r="E10" s="38">
        <f ca="1">SUMIFS(Table2[Amount to be funded],Table2[Status],Overview!$C10,Table2[Source of funding identified (Details)],Overview!E$6)</f>
        <v>0</v>
      </c>
      <c r="F10" s="38">
        <f ca="1">SUMIFS(Table2[Amount to be funded],Table2[Status],Overview!$C10,Table2[Source of funding identified (Details)],Overview!F$6)</f>
        <v>1956578.606060606</v>
      </c>
      <c r="G10" s="38">
        <f ca="1">SUMIFS(Table2[Amount to be funded],Table2[Status],Overview!$C10,Table2[Source of funding identified (Details)],Overview!G$6)</f>
        <v>198000</v>
      </c>
      <c r="H10" s="38">
        <f ca="1">SUMIFS(Table2[Amount to be funded],Table2[Status],Overview!$C10,Table2[Source of funding identified (Details)],Overview!H$6)</f>
        <v>0</v>
      </c>
      <c r="I10" s="39">
        <f ca="1">SUMIFS(Table2[Amount to be funded],Table2[Status],Overview!$C10,Table2[Source of funding identified (Details)],Overview!I$6)</f>
        <v>0</v>
      </c>
    </row>
    <row r="11" spans="1:9" x14ac:dyDescent="0.45">
      <c r="C11" s="24" t="s">
        <v>83</v>
      </c>
      <c r="D11" s="37">
        <f ca="1">SUMIF(Table2[Status],Overview!$C11,Table2[Amount to be funded])</f>
        <v>0</v>
      </c>
      <c r="E11" s="38">
        <f ca="1">SUMIFS(Table2[Amount to be funded],Table2[Status],Overview!$C11,Table2[Source of funding identified (Details)],Overview!E$6)</f>
        <v>0</v>
      </c>
      <c r="F11" s="38">
        <f ca="1">SUMIFS(Table2[Amount to be funded],Table2[Status],Overview!$C11,Table2[Source of funding identified (Details)],Overview!F$6)</f>
        <v>0</v>
      </c>
      <c r="G11" s="38">
        <f ca="1">SUMIFS(Table2[Amount to be funded],Table2[Status],Overview!$C11,Table2[Source of funding identified (Details)],Overview!G$6)</f>
        <v>0</v>
      </c>
      <c r="H11" s="38">
        <f ca="1">SUMIFS(Table2[Amount to be funded],Table2[Status],Overview!$C11,Table2[Source of funding identified (Details)],Overview!H$6)</f>
        <v>0</v>
      </c>
      <c r="I11" s="39">
        <f ca="1">SUMIFS(Table2[Amount to be funded],Table2[Status],Overview!$C11,Table2[Source of funding identified (Details)],Overview!I$6)</f>
        <v>0</v>
      </c>
    </row>
    <row r="12" spans="1:9" x14ac:dyDescent="0.45">
      <c r="C12" s="24" t="s">
        <v>84</v>
      </c>
      <c r="D12" s="37">
        <f ca="1">SUMIF(Table2[Status],Overview!$C12,Table2[Amount to be funded])</f>
        <v>23614486</v>
      </c>
      <c r="E12" s="38">
        <f ca="1">SUMIFS(Table2[Amount to be funded],Table2[Status],Overview!$C12,Table2[Source of funding identified (Details)],Overview!E$6)</f>
        <v>11752930</v>
      </c>
      <c r="F12" s="38">
        <f ca="1">SUMIFS(Table2[Amount to be funded],Table2[Status],Overview!$C12,Table2[Source of funding identified (Details)],Overview!F$6)</f>
        <v>3600000</v>
      </c>
      <c r="G12" s="38">
        <f ca="1">SUMIFS(Table2[Amount to be funded],Table2[Status],Overview!$C12,Table2[Source of funding identified (Details)],Overview!G$6)</f>
        <v>8261556</v>
      </c>
      <c r="H12" s="38">
        <f ca="1">SUMIFS(Table2[Amount to be funded],Table2[Status],Overview!$C12,Table2[Source of funding identified (Details)],Overview!H$6)</f>
        <v>0</v>
      </c>
      <c r="I12" s="39">
        <f ca="1">SUMIFS(Table2[Amount to be funded],Table2[Status],Overview!$C12,Table2[Source of funding identified (Details)],Overview!I$6)</f>
        <v>0</v>
      </c>
    </row>
    <row r="13" spans="1:9" x14ac:dyDescent="0.45">
      <c r="C13" s="26" t="s">
        <v>22</v>
      </c>
      <c r="D13" s="37">
        <f ca="1">SUMIF(Table2[Status],Overview!$C13,Table2[Amount to be funded])</f>
        <v>52203288.759999998</v>
      </c>
      <c r="E13" s="38">
        <f ca="1">SUMIFS(Table2[Amount to be funded],Table2[Status],Overview!$C13,Table2[Source of funding identified (Details)],Overview!E$6)</f>
        <v>16561000</v>
      </c>
      <c r="F13" s="38">
        <f ca="1">SUMIFS(Table2[Amount to be funded],Table2[Status],Overview!$C13,Table2[Source of funding identified (Details)],Overview!F$6)</f>
        <v>26485288.759999998</v>
      </c>
      <c r="G13" s="38">
        <f ca="1">SUMIFS(Table2[Amount to be funded],Table2[Status],Overview!$C13,Table2[Source of funding identified (Details)],Overview!G$6)</f>
        <v>9157000</v>
      </c>
      <c r="H13" s="38">
        <f ca="1">SUMIFS(Table2[Amount to be funded],Table2[Status],Overview!$C13,Table2[Source of funding identified (Details)],Overview!H$6)</f>
        <v>0</v>
      </c>
      <c r="I13" s="39">
        <f ca="1">SUMIFS(Table2[Amount to be funded],Table2[Status],Overview!$C13,Table2[Source of funding identified (Details)],Overview!I$6)</f>
        <v>0</v>
      </c>
    </row>
    <row r="14" spans="1:9" x14ac:dyDescent="0.45">
      <c r="C14" s="48" t="s">
        <v>24</v>
      </c>
      <c r="D14" s="115">
        <f ca="1">D7-SUM(D8:D13)</f>
        <v>225000</v>
      </c>
      <c r="E14" s="46"/>
      <c r="F14" s="46"/>
      <c r="G14" s="46"/>
      <c r="H14" s="46"/>
      <c r="I14" s="47"/>
    </row>
    <row r="15" spans="1:9" x14ac:dyDescent="0.45">
      <c r="D15" s="71"/>
      <c r="E15" s="72"/>
      <c r="F15" s="72"/>
      <c r="G15" s="72"/>
      <c r="H15" s="72"/>
    </row>
    <row r="16" spans="1:9" x14ac:dyDescent="0.45">
      <c r="D16" s="71"/>
      <c r="E16" s="72"/>
      <c r="F16" s="72"/>
      <c r="G16" s="72"/>
      <c r="H16" s="72"/>
    </row>
    <row r="17" spans="3:19" ht="21" x14ac:dyDescent="0.65">
      <c r="C17" s="70" t="s">
        <v>85</v>
      </c>
    </row>
    <row r="19" spans="3:19" x14ac:dyDescent="0.45">
      <c r="C19" s="66" t="s">
        <v>86</v>
      </c>
      <c r="D19" s="18" t="s">
        <v>87</v>
      </c>
      <c r="E19" s="59" t="s">
        <v>88</v>
      </c>
    </row>
    <row r="21" spans="3:19" x14ac:dyDescent="0.45">
      <c r="C21" s="66" t="s">
        <v>89</v>
      </c>
      <c r="D21" s="66" t="s">
        <v>90</v>
      </c>
    </row>
    <row r="22" spans="3:19" x14ac:dyDescent="0.45">
      <c r="C22" s="66" t="s">
        <v>91</v>
      </c>
      <c r="D22" t="s">
        <v>92</v>
      </c>
      <c r="E22" t="s">
        <v>93</v>
      </c>
      <c r="F22" t="s">
        <v>94</v>
      </c>
      <c r="G22" t="s">
        <v>95</v>
      </c>
      <c r="H22" t="s">
        <v>96</v>
      </c>
      <c r="I22" t="s">
        <v>97</v>
      </c>
      <c r="J22" t="s">
        <v>98</v>
      </c>
      <c r="K22" t="s">
        <v>99</v>
      </c>
      <c r="L22" t="s">
        <v>100</v>
      </c>
      <c r="M22" t="s">
        <v>101</v>
      </c>
      <c r="N22" t="s">
        <v>102</v>
      </c>
      <c r="O22" t="s">
        <v>103</v>
      </c>
      <c r="P22" t="s">
        <v>104</v>
      </c>
      <c r="Q22" t="s">
        <v>105</v>
      </c>
      <c r="R22" t="s">
        <v>106</v>
      </c>
      <c r="S22" t="s">
        <v>107</v>
      </c>
    </row>
    <row r="23" spans="3:19" x14ac:dyDescent="0.45">
      <c r="C23" s="140" t="s">
        <v>22</v>
      </c>
      <c r="D23" s="169">
        <v>500000</v>
      </c>
      <c r="E23" s="169">
        <v>4884012</v>
      </c>
      <c r="F23" s="169">
        <v>3458028</v>
      </c>
      <c r="G23" s="169">
        <v>16686502</v>
      </c>
      <c r="H23" s="169"/>
      <c r="I23" s="169">
        <v>1526147</v>
      </c>
      <c r="J23" s="169">
        <v>5841000</v>
      </c>
      <c r="K23" s="169"/>
      <c r="L23" s="169"/>
      <c r="M23" s="169">
        <v>5017098.76</v>
      </c>
      <c r="N23" s="169"/>
      <c r="O23" s="169">
        <v>5763000</v>
      </c>
      <c r="P23" s="169">
        <v>7037501</v>
      </c>
      <c r="Q23" s="169">
        <v>1490000</v>
      </c>
      <c r="R23" s="169"/>
      <c r="S23" s="169">
        <v>52203288.759999998</v>
      </c>
    </row>
    <row r="24" spans="3:19" x14ac:dyDescent="0.45">
      <c r="C24" s="140" t="s">
        <v>14</v>
      </c>
      <c r="D24" s="169"/>
      <c r="E24" s="169">
        <v>0</v>
      </c>
      <c r="F24" s="169">
        <v>3000000</v>
      </c>
      <c r="G24" s="169"/>
      <c r="H24" s="169"/>
      <c r="I24" s="169"/>
      <c r="J24" s="169"/>
      <c r="K24" s="169"/>
      <c r="L24" s="169">
        <v>0</v>
      </c>
      <c r="M24" s="169">
        <v>3000000</v>
      </c>
      <c r="N24" s="169">
        <v>0</v>
      </c>
      <c r="O24" s="169">
        <v>14629690.973559324</v>
      </c>
      <c r="P24" s="169"/>
      <c r="Q24" s="169"/>
      <c r="R24" s="169"/>
      <c r="S24" s="169">
        <v>20629690.973559324</v>
      </c>
    </row>
    <row r="25" spans="3:19" x14ac:dyDescent="0.45">
      <c r="C25" s="140" t="s">
        <v>24</v>
      </c>
      <c r="D25" s="169"/>
      <c r="E25" s="169"/>
      <c r="F25" s="169"/>
      <c r="G25" s="169"/>
      <c r="H25" s="169">
        <v>0</v>
      </c>
      <c r="I25" s="169"/>
      <c r="J25" s="169"/>
      <c r="K25" s="169">
        <v>0</v>
      </c>
      <c r="L25" s="169"/>
      <c r="M25" s="169"/>
      <c r="N25" s="169"/>
      <c r="O25" s="169"/>
      <c r="P25" s="169">
        <v>225000</v>
      </c>
      <c r="Q25" s="169"/>
      <c r="R25" s="169"/>
      <c r="S25" s="169">
        <v>225000</v>
      </c>
    </row>
    <row r="26" spans="3:19" x14ac:dyDescent="0.45">
      <c r="C26" s="140" t="s">
        <v>84</v>
      </c>
      <c r="D26" s="169"/>
      <c r="E26" s="169"/>
      <c r="F26" s="169"/>
      <c r="G26" s="169"/>
      <c r="H26" s="169"/>
      <c r="I26" s="169"/>
      <c r="J26" s="169"/>
      <c r="K26" s="169"/>
      <c r="L26" s="169"/>
      <c r="M26" s="169">
        <v>6200000</v>
      </c>
      <c r="N26" s="169"/>
      <c r="O26" s="169">
        <v>7200000</v>
      </c>
      <c r="P26" s="169">
        <v>10214486</v>
      </c>
      <c r="Q26" s="169"/>
      <c r="R26" s="169"/>
      <c r="S26" s="169">
        <v>23614486</v>
      </c>
    </row>
    <row r="27" spans="3:19" x14ac:dyDescent="0.45">
      <c r="C27" s="140" t="s">
        <v>18</v>
      </c>
      <c r="D27" s="169"/>
      <c r="E27" s="169"/>
      <c r="F27" s="169"/>
      <c r="G27" s="169"/>
      <c r="H27" s="169"/>
      <c r="I27" s="169"/>
      <c r="J27" s="169"/>
      <c r="K27" s="169"/>
      <c r="L27" s="169"/>
      <c r="M27" s="169"/>
      <c r="N27" s="169"/>
      <c r="O27" s="169"/>
      <c r="P27" s="169"/>
      <c r="Q27" s="169"/>
      <c r="R27" s="169">
        <v>2154578.606060606</v>
      </c>
      <c r="S27" s="169">
        <v>2154578.606060606</v>
      </c>
    </row>
    <row r="28" spans="3:19" x14ac:dyDescent="0.45">
      <c r="C28" s="67" t="s">
        <v>107</v>
      </c>
      <c r="D28" s="170">
        <v>500000</v>
      </c>
      <c r="E28" s="170">
        <v>4884012</v>
      </c>
      <c r="F28" s="170">
        <v>6458028</v>
      </c>
      <c r="G28" s="170">
        <v>16686502</v>
      </c>
      <c r="H28" s="170">
        <v>0</v>
      </c>
      <c r="I28" s="170">
        <v>1526147</v>
      </c>
      <c r="J28" s="170">
        <v>5841000</v>
      </c>
      <c r="K28" s="170">
        <v>0</v>
      </c>
      <c r="L28" s="170">
        <v>0</v>
      </c>
      <c r="M28" s="170">
        <v>14217098.76</v>
      </c>
      <c r="N28" s="170">
        <v>0</v>
      </c>
      <c r="O28" s="170">
        <v>27592690.973559324</v>
      </c>
      <c r="P28" s="170">
        <v>17476987</v>
      </c>
      <c r="Q28" s="170">
        <v>1490000</v>
      </c>
      <c r="R28" s="170">
        <v>2154578.606060606</v>
      </c>
      <c r="S28" s="170">
        <v>98827044.339619935</v>
      </c>
    </row>
    <row r="31" spans="3:19" x14ac:dyDescent="0.45">
      <c r="D31" s="71"/>
      <c r="E31" s="72"/>
      <c r="F31" s="72"/>
      <c r="G31" s="72"/>
      <c r="H31" s="72"/>
    </row>
    <row r="32" spans="3:19" ht="21" x14ac:dyDescent="0.65">
      <c r="C32" s="70" t="s">
        <v>108</v>
      </c>
    </row>
    <row r="34" spans="1:19" x14ac:dyDescent="0.45">
      <c r="C34" s="66" t="s">
        <v>86</v>
      </c>
      <c r="D34" s="18" t="s">
        <v>87</v>
      </c>
      <c r="E34" s="59" t="s">
        <v>88</v>
      </c>
    </row>
    <row r="36" spans="1:19" x14ac:dyDescent="0.45">
      <c r="C36" s="66" t="s">
        <v>109</v>
      </c>
      <c r="D36" s="66" t="s">
        <v>90</v>
      </c>
    </row>
    <row r="37" spans="1:19" x14ac:dyDescent="0.45">
      <c r="C37" s="66" t="s">
        <v>91</v>
      </c>
      <c r="D37" t="s">
        <v>92</v>
      </c>
      <c r="E37" t="s">
        <v>93</v>
      </c>
      <c r="F37" t="s">
        <v>94</v>
      </c>
      <c r="G37" t="s">
        <v>95</v>
      </c>
      <c r="H37" t="s">
        <v>96</v>
      </c>
      <c r="I37" t="s">
        <v>97</v>
      </c>
      <c r="J37" t="s">
        <v>98</v>
      </c>
      <c r="K37" t="s">
        <v>99</v>
      </c>
      <c r="L37" t="s">
        <v>100</v>
      </c>
      <c r="M37" t="s">
        <v>101</v>
      </c>
      <c r="N37" t="s">
        <v>102</v>
      </c>
      <c r="O37" t="s">
        <v>103</v>
      </c>
      <c r="P37" t="s">
        <v>104</v>
      </c>
      <c r="Q37" t="s">
        <v>105</v>
      </c>
      <c r="R37" t="s">
        <v>106</v>
      </c>
      <c r="S37" t="s">
        <v>107</v>
      </c>
    </row>
    <row r="38" spans="1:19" x14ac:dyDescent="0.45">
      <c r="C38" s="67" t="s">
        <v>22</v>
      </c>
      <c r="D38" s="55">
        <v>1</v>
      </c>
      <c r="E38" s="55">
        <v>3</v>
      </c>
      <c r="F38" s="55">
        <v>1</v>
      </c>
      <c r="G38" s="55">
        <v>6</v>
      </c>
      <c r="H38" s="55"/>
      <c r="I38" s="55">
        <v>1</v>
      </c>
      <c r="J38" s="55">
        <v>7</v>
      </c>
      <c r="K38" s="55"/>
      <c r="L38" s="55"/>
      <c r="M38" s="55">
        <v>2</v>
      </c>
      <c r="N38" s="55"/>
      <c r="O38" s="55">
        <v>1</v>
      </c>
      <c r="P38" s="55">
        <v>2</v>
      </c>
      <c r="Q38" s="55">
        <v>1</v>
      </c>
      <c r="R38" s="55"/>
      <c r="S38" s="55">
        <v>25</v>
      </c>
    </row>
    <row r="39" spans="1:19" x14ac:dyDescent="0.45">
      <c r="C39" s="67" t="s">
        <v>14</v>
      </c>
      <c r="D39" s="55"/>
      <c r="E39" s="55">
        <v>1</v>
      </c>
      <c r="F39" s="55">
        <v>1</v>
      </c>
      <c r="G39" s="55"/>
      <c r="H39" s="55"/>
      <c r="I39" s="55"/>
      <c r="J39" s="55"/>
      <c r="K39" s="55"/>
      <c r="L39" s="55">
        <v>1</v>
      </c>
      <c r="M39" s="55">
        <v>1</v>
      </c>
      <c r="N39" s="55">
        <v>1</v>
      </c>
      <c r="O39" s="55">
        <v>1</v>
      </c>
      <c r="P39" s="55"/>
      <c r="Q39" s="55"/>
      <c r="R39" s="55"/>
      <c r="S39" s="55">
        <v>6</v>
      </c>
    </row>
    <row r="40" spans="1:19" x14ac:dyDescent="0.45">
      <c r="C40" s="67" t="s">
        <v>24</v>
      </c>
      <c r="D40" s="55"/>
      <c r="E40" s="55"/>
      <c r="F40" s="55"/>
      <c r="G40" s="55"/>
      <c r="H40" s="55">
        <v>1</v>
      </c>
      <c r="I40" s="55"/>
      <c r="J40" s="55"/>
      <c r="K40" s="55">
        <v>1</v>
      </c>
      <c r="L40" s="55"/>
      <c r="M40" s="55"/>
      <c r="N40" s="55"/>
      <c r="O40" s="55"/>
      <c r="P40" s="55">
        <v>1</v>
      </c>
      <c r="Q40" s="55"/>
      <c r="R40" s="55"/>
      <c r="S40" s="55">
        <v>3</v>
      </c>
    </row>
    <row r="41" spans="1:19" x14ac:dyDescent="0.45">
      <c r="C41" s="67" t="s">
        <v>84</v>
      </c>
      <c r="D41" s="55"/>
      <c r="E41" s="55"/>
      <c r="F41" s="55"/>
      <c r="G41" s="55"/>
      <c r="H41" s="55"/>
      <c r="I41" s="55"/>
      <c r="J41" s="55"/>
      <c r="K41" s="55"/>
      <c r="L41" s="55"/>
      <c r="M41" s="55">
        <v>1</v>
      </c>
      <c r="N41" s="55"/>
      <c r="O41" s="55">
        <v>2</v>
      </c>
      <c r="P41" s="55">
        <v>2</v>
      </c>
      <c r="Q41" s="55"/>
      <c r="R41" s="55"/>
      <c r="S41" s="55">
        <v>5</v>
      </c>
    </row>
    <row r="42" spans="1:19" x14ac:dyDescent="0.45">
      <c r="C42" s="67" t="s">
        <v>18</v>
      </c>
      <c r="D42" s="55"/>
      <c r="E42" s="55"/>
      <c r="F42" s="55"/>
      <c r="G42" s="55"/>
      <c r="H42" s="55"/>
      <c r="I42" s="55"/>
      <c r="J42" s="55"/>
      <c r="K42" s="55"/>
      <c r="L42" s="55"/>
      <c r="M42" s="55"/>
      <c r="N42" s="55"/>
      <c r="O42" s="55"/>
      <c r="P42" s="55"/>
      <c r="Q42" s="55"/>
      <c r="R42" s="55">
        <v>2</v>
      </c>
      <c r="S42" s="55">
        <v>2</v>
      </c>
    </row>
    <row r="43" spans="1:19" x14ac:dyDescent="0.45">
      <c r="C43" s="67" t="s">
        <v>107</v>
      </c>
      <c r="D43" s="55">
        <v>1</v>
      </c>
      <c r="E43" s="55">
        <v>4</v>
      </c>
      <c r="F43" s="55">
        <v>2</v>
      </c>
      <c r="G43" s="55">
        <v>6</v>
      </c>
      <c r="H43" s="55">
        <v>1</v>
      </c>
      <c r="I43" s="55">
        <v>1</v>
      </c>
      <c r="J43" s="55">
        <v>7</v>
      </c>
      <c r="K43" s="55">
        <v>1</v>
      </c>
      <c r="L43" s="55">
        <v>1</v>
      </c>
      <c r="M43" s="55">
        <v>4</v>
      </c>
      <c r="N43" s="55">
        <v>1</v>
      </c>
      <c r="O43" s="55">
        <v>4</v>
      </c>
      <c r="P43" s="55">
        <v>5</v>
      </c>
      <c r="Q43" s="55">
        <v>1</v>
      </c>
      <c r="R43" s="55">
        <v>2</v>
      </c>
      <c r="S43" s="55">
        <v>41</v>
      </c>
    </row>
    <row r="46" spans="1:19" x14ac:dyDescent="0.45">
      <c r="D46" s="71"/>
      <c r="E46" s="72"/>
      <c r="F46" s="72"/>
      <c r="G46" s="72"/>
      <c r="H46" s="72"/>
    </row>
    <row r="47" spans="1:19" s="21" customFormat="1" ht="18" x14ac:dyDescent="0.55000000000000004">
      <c r="A47" s="19">
        <v>2</v>
      </c>
      <c r="B47" s="20"/>
      <c r="C47" s="21" t="s">
        <v>110</v>
      </c>
    </row>
    <row r="48" spans="1:19" s="20" customFormat="1" ht="18" x14ac:dyDescent="0.55000000000000004"/>
    <row r="49" spans="3:15" s="20" customFormat="1" ht="21" x14ac:dyDescent="0.65">
      <c r="C49" s="70" t="s">
        <v>111</v>
      </c>
    </row>
    <row r="50" spans="3:15" s="20" customFormat="1" ht="18" x14ac:dyDescent="0.55000000000000004">
      <c r="C50" s="110" t="s">
        <v>112</v>
      </c>
      <c r="G50" s="110" t="s">
        <v>113</v>
      </c>
      <c r="K50" s="110" t="s">
        <v>114</v>
      </c>
    </row>
    <row r="51" spans="3:15" s="20" customFormat="1" ht="51.75" customHeight="1" x14ac:dyDescent="0.55000000000000004">
      <c r="C51" s="92" t="s">
        <v>63</v>
      </c>
      <c r="D51" s="93" t="s">
        <v>115</v>
      </c>
      <c r="E51" s="89" t="s">
        <v>116</v>
      </c>
      <c r="G51" s="92" t="s">
        <v>63</v>
      </c>
      <c r="H51" s="93" t="s">
        <v>117</v>
      </c>
      <c r="I51" s="142" t="s">
        <v>118</v>
      </c>
      <c r="K51" s="92" t="s">
        <v>63</v>
      </c>
      <c r="L51" s="93" t="s">
        <v>117</v>
      </c>
    </row>
    <row r="52" spans="3:15" s="20" customFormat="1" ht="18" x14ac:dyDescent="0.55000000000000004">
      <c r="C52" s="78" t="s">
        <v>66</v>
      </c>
      <c r="D52" s="87">
        <f>IFERROR(AVERAGEIFS(Table2[Lead time from formal request received to disbursement of funds (calendar days)],Table2[Source of funding identified (Details)],Overview!$C52),"-")</f>
        <v>46.666666666666664</v>
      </c>
      <c r="E52" s="90"/>
      <c r="G52" s="78" t="s">
        <v>66</v>
      </c>
      <c r="H52" s="87">
        <f>IFERROR(AVERAGEIFS(Table2[Lead time from formal request received to disbursement of funds (working days)],Table2[Source of funding identified (Details)],Overview!$C52),"-")</f>
        <v>33</v>
      </c>
      <c r="I52" s="90"/>
      <c r="K52" s="78" t="s">
        <v>66</v>
      </c>
      <c r="L52" s="87">
        <f>IFERROR(AVERAGEIFS(Table2[Lead time from standard request discussed to disbursement of funds (working days) (for Gavi only)],Table2[Source of funding identified (Details)],Overview!$C52),"-")</f>
        <v>31.142857142857142</v>
      </c>
    </row>
    <row r="53" spans="3:15" s="20" customFormat="1" ht="18" x14ac:dyDescent="0.55000000000000004">
      <c r="C53" s="79" t="s">
        <v>64</v>
      </c>
      <c r="D53" s="141">
        <f>IFERROR(AVERAGEIFS(Table2[Lead time from formal request received to disbursement of funds (calendar days)],Table2[Source of funding identified (Details)],Overview!$C53),"-")</f>
        <v>7.9090909090909092</v>
      </c>
      <c r="E53" s="90"/>
      <c r="G53" s="79" t="s">
        <v>64</v>
      </c>
      <c r="H53" s="141">
        <f>IFERROR(AVERAGEIFS(Table2[Lead time from formal request received to disbursement of funds (working days)],Table2[Source of funding identified (Details)],Overview!$C53),"-")</f>
        <v>5.4615384615384617</v>
      </c>
      <c r="I53" s="90"/>
      <c r="K53" s="79" t="s">
        <v>64</v>
      </c>
      <c r="L53" s="141">
        <f>IFERROR(AVERAGEIFS(Table2[Lead time from formal request received to disbursement of funds (working days)],Table2[Source of funding identified (Details)],Overview!$C53),"-")</f>
        <v>5.4615384615384617</v>
      </c>
    </row>
    <row r="54" spans="3:15" s="20" customFormat="1" ht="18" x14ac:dyDescent="0.55000000000000004">
      <c r="C54" s="81" t="s">
        <v>65</v>
      </c>
      <c r="D54" s="88">
        <f>IFERROR(AVERAGEIFS(Table2[Lead time from formal request received to disbursement of funds (calendar days)],Table2[Source of funding identified (Details)],Overview!$C54),"-")</f>
        <v>-8</v>
      </c>
      <c r="E54" s="90"/>
      <c r="G54" s="81" t="s">
        <v>65</v>
      </c>
      <c r="H54" s="88">
        <f>IFERROR(AVERAGEIFS(Table2[Lead time from formal request received to disbursement of funds (working days)],Table2[Source of funding identified (Details)],Overview!$C54),"-")</f>
        <v>-0.8</v>
      </c>
      <c r="I54" s="90"/>
      <c r="K54" s="81" t="s">
        <v>65</v>
      </c>
      <c r="L54" s="88">
        <f>IFERROR(AVERAGEIFS(Table2[Lead time from formal request received to disbursement of funds (working days)],Table2[Source of funding identified (Details)],Overview!$C54),"-")</f>
        <v>-0.8</v>
      </c>
    </row>
    <row r="55" spans="3:15" s="20" customFormat="1" ht="18" x14ac:dyDescent="0.55000000000000004">
      <c r="C55" s="84" t="s">
        <v>82</v>
      </c>
      <c r="D55" s="85">
        <f>IFERROR(AVERAGE(Table2[Lead time from formal request received to disbursement of funds (calendar days)]),"-")</f>
        <v>11.941176470588236</v>
      </c>
      <c r="E55" s="91"/>
      <c r="G55" s="84" t="s">
        <v>82</v>
      </c>
      <c r="H55" s="85">
        <f>IFERROR(AVERAGE(Table2[Lead time from formal request received to disbursement of funds (working days)]),"-")</f>
        <v>11.92</v>
      </c>
      <c r="I55" s="91"/>
      <c r="K55" s="143" t="s">
        <v>119</v>
      </c>
    </row>
    <row r="56" spans="3:15" s="20" customFormat="1" ht="18" x14ac:dyDescent="0.55000000000000004"/>
    <row r="57" spans="3:15" s="20" customFormat="1" ht="21" x14ac:dyDescent="0.65">
      <c r="C57" s="70" t="s">
        <v>120</v>
      </c>
    </row>
    <row r="58" spans="3:15" x14ac:dyDescent="0.45">
      <c r="C58" s="31" t="s">
        <v>121</v>
      </c>
      <c r="D58" s="31">
        <v>1</v>
      </c>
      <c r="E58" s="31">
        <v>2</v>
      </c>
      <c r="F58" s="31">
        <v>3</v>
      </c>
      <c r="G58" s="31">
        <v>4</v>
      </c>
      <c r="H58" s="31">
        <v>5</v>
      </c>
      <c r="I58" s="31">
        <v>6</v>
      </c>
      <c r="J58" s="31">
        <v>7</v>
      </c>
      <c r="K58" s="31">
        <v>8</v>
      </c>
      <c r="L58" s="31">
        <v>9</v>
      </c>
      <c r="M58" s="31">
        <v>10</v>
      </c>
      <c r="N58" s="31">
        <v>11</v>
      </c>
      <c r="O58" s="31">
        <v>12</v>
      </c>
    </row>
    <row r="59" spans="3:15" x14ac:dyDescent="0.45">
      <c r="C59" s="92" t="s">
        <v>63</v>
      </c>
      <c r="D59" s="92" t="s">
        <v>122</v>
      </c>
      <c r="E59" s="22"/>
      <c r="F59" s="22"/>
      <c r="G59" s="22"/>
      <c r="H59" s="22"/>
      <c r="I59" s="22"/>
      <c r="J59" s="22"/>
      <c r="K59" s="22"/>
      <c r="L59" s="22"/>
      <c r="M59" s="22"/>
      <c r="N59" s="22"/>
      <c r="O59" s="23"/>
    </row>
    <row r="60" spans="3:15" x14ac:dyDescent="0.45">
      <c r="C60" s="74"/>
      <c r="D60" s="75">
        <v>44562</v>
      </c>
      <c r="E60" s="76">
        <v>44593</v>
      </c>
      <c r="F60" s="76">
        <v>44621</v>
      </c>
      <c r="G60" s="76">
        <v>44652</v>
      </c>
      <c r="H60" s="76">
        <v>44682</v>
      </c>
      <c r="I60" s="76">
        <v>44713</v>
      </c>
      <c r="J60" s="76">
        <v>44743</v>
      </c>
      <c r="K60" s="76">
        <v>44774</v>
      </c>
      <c r="L60" s="76">
        <v>44805</v>
      </c>
      <c r="M60" s="76">
        <v>44835</v>
      </c>
      <c r="N60" s="76">
        <v>44866</v>
      </c>
      <c r="O60" s="77">
        <v>44896</v>
      </c>
    </row>
    <row r="61" spans="3:15" x14ac:dyDescent="0.45">
      <c r="C61" s="78" t="s">
        <v>66</v>
      </c>
      <c r="D61" s="79" t="str">
        <f>IFERROR(AVERAGEIFS(Table2[Lead time from formal request received to disbursement of funds (calendar days)],Table2[Source of funding identified (Details)],Overview!$C61,Table2[Funds disbursed (Month)],Overview!D$58),"-")</f>
        <v>-</v>
      </c>
      <c r="E61" s="62" t="str">
        <f>IFERROR(AVERAGEIFS(Table2[Lead time from formal request received to disbursement of funds (calendar days)],Table2[Source of funding identified (Details)],Overview!$C61,Table2[Funds disbursed (Month)],Overview!E$58),"-")</f>
        <v>-</v>
      </c>
      <c r="F61" s="62">
        <f>IFERROR(AVERAGEIFS(Table2[Lead time from formal request received to disbursement of funds (calendar days)],Table2[Source of funding identified (Details)],Overview!$C61,Table2[Funds disbursed (Month)],Overview!F$58),"-")</f>
        <v>49</v>
      </c>
      <c r="G61" s="62" t="str">
        <f>IFERROR(AVERAGEIFS(Table2[Lead time from formal request received to disbursement of funds (calendar days)],Table2[Source of funding identified (Details)],Overview!$C61,Table2[Funds disbursed (Month)],Overview!G$58),"-")</f>
        <v>-</v>
      </c>
      <c r="H61" s="62">
        <f>IFERROR(AVERAGEIFS(Table2[Lead time from formal request received to disbursement of funds (calendar days)],Table2[Source of funding identified (Details)],Overview!$C61,Table2[Funds disbursed (Month)],Overview!H$58),"-")</f>
        <v>45.5</v>
      </c>
      <c r="I61" s="62" t="str">
        <f>IFERROR(AVERAGEIFS(Table2[Lead time from formal request received to disbursement of funds (calendar days)],Table2[Source of funding identified (Details)],Overview!$C61,Table2[Funds disbursed (Month)],Overview!I$58),"-")</f>
        <v>-</v>
      </c>
      <c r="J61" s="62" t="str">
        <f>IFERROR(AVERAGEIFS(Table2[Lead time from formal request received to disbursement of funds (calendar days)],Table2[Source of funding identified (Details)],Overview!$C61,Table2[Funds disbursed (Month)],Overview!J$58),"-")</f>
        <v>-</v>
      </c>
      <c r="K61" s="62" t="str">
        <f>IFERROR(AVERAGEIFS(Table2[Lead time from formal request received to disbursement of funds (calendar days)],Table2[Source of funding identified (Details)],Overview!$C61,Table2[Funds disbursed (Month)],Overview!K$58),"-")</f>
        <v>-</v>
      </c>
      <c r="L61" s="62" t="str">
        <f>IFERROR(AVERAGEIFS(Table2[Lead time from formal request received to disbursement of funds (calendar days)],Table2[Source of funding identified (Details)],Overview!$C61,Table2[Funds disbursed (Month)],Overview!L$58),"-")</f>
        <v>-</v>
      </c>
      <c r="M61" s="62" t="str">
        <f>IFERROR(AVERAGEIFS(Table2[Lead time from formal request received to disbursement of funds (calendar days)],Table2[Source of funding identified (Details)],Overview!$C61,Table2[Funds disbursed (Month)],Overview!M$58),"-")</f>
        <v>-</v>
      </c>
      <c r="N61" s="62" t="str">
        <f>IFERROR(AVERAGEIFS(Table2[Lead time from formal request received to disbursement of funds (calendar days)],Table2[Source of funding identified (Details)],Overview!$C61,Table2[Funds disbursed (Month)],Overview!N$58),"-")</f>
        <v>-</v>
      </c>
      <c r="O61" s="80" t="str">
        <f>IFERROR(AVERAGEIFS(Table2[Lead time from formal request received to disbursement of funds (calendar days)],Table2[Source of funding identified (Details)],Overview!$C61,Table2[Funds disbursed (Month)],Overview!O$58),"-")</f>
        <v>-</v>
      </c>
    </row>
    <row r="62" spans="3:15" x14ac:dyDescent="0.45">
      <c r="C62" s="79" t="s">
        <v>64</v>
      </c>
      <c r="D62" s="79">
        <f>IFERROR(AVERAGEIFS(Table2[Lead time from formal request received to disbursement of funds (calendar days)],Table2[Source of funding identified (Details)],Overview!$C62,Table2[Funds disbursed (Month)],Overview!D$58),"-")</f>
        <v>5</v>
      </c>
      <c r="E62" s="62">
        <f>IFERROR(AVERAGEIFS(Table2[Lead time from formal request received to disbursement of funds (calendar days)],Table2[Source of funding identified (Details)],Overview!$C62,Table2[Funds disbursed (Month)],Overview!E$58),"-")</f>
        <v>10</v>
      </c>
      <c r="F62" s="62">
        <f>IFERROR(AVERAGEIFS(Table2[Lead time from formal request received to disbursement of funds (calendar days)],Table2[Source of funding identified (Details)],Overview!$C62,Table2[Funds disbursed (Month)],Overview!F$58),"-")</f>
        <v>12</v>
      </c>
      <c r="G62" s="62">
        <f>IFERROR(AVERAGEIFS(Table2[Lead time from formal request received to disbursement of funds (calendar days)],Table2[Source of funding identified (Details)],Overview!$C62,Table2[Funds disbursed (Month)],Overview!G$58),"-")</f>
        <v>7</v>
      </c>
      <c r="H62" s="62" t="str">
        <f>IFERROR(AVERAGEIFS(Table2[Lead time from formal request received to disbursement of funds (calendar days)],Table2[Source of funding identified (Details)],Overview!$C62,Table2[Funds disbursed (Month)],Overview!H$58),"-")</f>
        <v>-</v>
      </c>
      <c r="I62" s="62">
        <f>IFERROR(AVERAGEIFS(Table2[Lead time from formal request received to disbursement of funds (calendar days)],Table2[Source of funding identified (Details)],Overview!$C62,Table2[Funds disbursed (Month)],Overview!I$58),"-")</f>
        <v>1</v>
      </c>
      <c r="J62" s="62" t="str">
        <f>IFERROR(AVERAGEIFS(Table2[Lead time from formal request received to disbursement of funds (calendar days)],Table2[Source of funding identified (Details)],Overview!$C62,Table2[Funds disbursed (Month)],Overview!J$58),"-")</f>
        <v>-</v>
      </c>
      <c r="K62" s="62" t="str">
        <f>IFERROR(AVERAGEIFS(Table2[Lead time from formal request received to disbursement of funds (calendar days)],Table2[Source of funding identified (Details)],Overview!$C62,Table2[Funds disbursed (Month)],Overview!K$58),"-")</f>
        <v>-</v>
      </c>
      <c r="L62" s="62" t="str">
        <f>IFERROR(AVERAGEIFS(Table2[Lead time from formal request received to disbursement of funds (calendar days)],Table2[Source of funding identified (Details)],Overview!$C62,Table2[Funds disbursed (Month)],Overview!L$58),"-")</f>
        <v>-</v>
      </c>
      <c r="M62" s="62" t="str">
        <f>IFERROR(AVERAGEIFS(Table2[Lead time from formal request received to disbursement of funds (calendar days)],Table2[Source of funding identified (Details)],Overview!$C62,Table2[Funds disbursed (Month)],Overview!M$58),"-")</f>
        <v>-</v>
      </c>
      <c r="N62" s="62" t="str">
        <f>IFERROR(AVERAGEIFS(Table2[Lead time from formal request received to disbursement of funds (calendar days)],Table2[Source of funding identified (Details)],Overview!$C62,Table2[Funds disbursed (Month)],Overview!N$58),"-")</f>
        <v>-</v>
      </c>
      <c r="O62" s="80" t="str">
        <f>IFERROR(AVERAGEIFS(Table2[Lead time from formal request received to disbursement of funds (calendar days)],Table2[Source of funding identified (Details)],Overview!$C62,Table2[Funds disbursed (Month)],Overview!O$58),"-")</f>
        <v>-</v>
      </c>
    </row>
    <row r="63" spans="3:15" x14ac:dyDescent="0.45">
      <c r="C63" s="81" t="s">
        <v>65</v>
      </c>
      <c r="D63" s="81" t="str">
        <f>IFERROR(AVERAGEIFS(Table2[Lead time from formal request received to disbursement of funds (calendar days)],Table2[Source of funding identified (Details)],Overview!$C63,Table2[Funds disbursed (Month)],Overview!D$58),"-")</f>
        <v>-</v>
      </c>
      <c r="E63" s="82" t="str">
        <f>IFERROR(AVERAGEIFS(Table2[Lead time from formal request received to disbursement of funds (calendar days)],Table2[Source of funding identified (Details)],Overview!$C63,Table2[Funds disbursed (Month)],Overview!E$58),"-")</f>
        <v>-</v>
      </c>
      <c r="F63" s="82">
        <f>IFERROR(AVERAGEIFS(Table2[Lead time from formal request received to disbursement of funds (calendar days)],Table2[Source of funding identified (Details)],Overview!$C63,Table2[Funds disbursed (Month)],Overview!F$58),"-")</f>
        <v>2</v>
      </c>
      <c r="G63" s="82">
        <f>IFERROR(AVERAGEIFS(Table2[Lead time from formal request received to disbursement of funds (calendar days)],Table2[Source of funding identified (Details)],Overview!$C63,Table2[Funds disbursed (Month)],Overview!G$58),"-")</f>
        <v>-13</v>
      </c>
      <c r="H63" s="82" t="str">
        <f>IFERROR(AVERAGEIFS(Table2[Lead time from formal request received to disbursement of funds (calendar days)],Table2[Source of funding identified (Details)],Overview!$C63,Table2[Funds disbursed (Month)],Overview!H$58),"-")</f>
        <v>-</v>
      </c>
      <c r="I63" s="82" t="str">
        <f>IFERROR(AVERAGEIFS(Table2[Lead time from formal request received to disbursement of funds (calendar days)],Table2[Source of funding identified (Details)],Overview!$C63,Table2[Funds disbursed (Month)],Overview!I$58),"-")</f>
        <v>-</v>
      </c>
      <c r="J63" s="82" t="str">
        <f>IFERROR(AVERAGEIFS(Table2[Lead time from formal request received to disbursement of funds (calendar days)],Table2[Source of funding identified (Details)],Overview!$C63,Table2[Funds disbursed (Month)],Overview!J$58),"-")</f>
        <v>-</v>
      </c>
      <c r="K63" s="82" t="str">
        <f>IFERROR(AVERAGEIFS(Table2[Lead time from formal request received to disbursement of funds (calendar days)],Table2[Source of funding identified (Details)],Overview!$C63,Table2[Funds disbursed (Month)],Overview!K$58),"-")</f>
        <v>-</v>
      </c>
      <c r="L63" s="82" t="str">
        <f>IFERROR(AVERAGEIFS(Table2[Lead time from formal request received to disbursement of funds (calendar days)],Table2[Source of funding identified (Details)],Overview!$C63,Table2[Funds disbursed (Month)],Overview!L$58),"-")</f>
        <v>-</v>
      </c>
      <c r="M63" s="82" t="str">
        <f>IFERROR(AVERAGEIFS(Table2[Lead time from formal request received to disbursement of funds (calendar days)],Table2[Source of funding identified (Details)],Overview!$C63,Table2[Funds disbursed (Month)],Overview!M$58),"-")</f>
        <v>-</v>
      </c>
      <c r="N63" s="82" t="str">
        <f>IFERROR(AVERAGEIFS(Table2[Lead time from formal request received to disbursement of funds (calendar days)],Table2[Source of funding identified (Details)],Overview!$C63,Table2[Funds disbursed (Month)],Overview!N$58),"-")</f>
        <v>-</v>
      </c>
      <c r="O63" s="83" t="str">
        <f>IFERROR(AVERAGEIFS(Table2[Lead time from formal request received to disbursement of funds (calendar days)],Table2[Source of funding identified (Details)],Overview!$C63,Table2[Funds disbursed (Month)],Overview!O$58),"-")</f>
        <v>-</v>
      </c>
    </row>
    <row r="64" spans="3:15" x14ac:dyDescent="0.45">
      <c r="C64" s="84" t="s">
        <v>82</v>
      </c>
      <c r="D64" s="85">
        <f>IFERROR(AVERAGEIFS(Table2[Lead time from formal request received to disbursement of funds (calendar days)],Table2[Funds disbursed (Month)],Overview!D$58),"-")</f>
        <v>5</v>
      </c>
      <c r="E64" s="85">
        <f>IFERROR(AVERAGEIFS(Table2[Lead time from formal request received to disbursement of funds (calendar days)],Table2[Funds disbursed (Month)],Overview!E$58),"-")</f>
        <v>10</v>
      </c>
      <c r="F64" s="85">
        <f>IFERROR(AVERAGEIFS(Table2[Lead time from formal request received to disbursement of funds (calendar days)],Table2[Funds disbursed (Month)],Overview!F$58),"-")</f>
        <v>17.399999999999999</v>
      </c>
      <c r="G64" s="85">
        <f>IFERROR(AVERAGEIFS(Table2[Lead time from formal request received to disbursement of funds (calendar days)],Table2[Funds disbursed (Month)],Overview!G$58),"-")</f>
        <v>1.2857142857142858</v>
      </c>
      <c r="H64" s="85">
        <f>IFERROR(AVERAGEIFS(Table2[Lead time from formal request received to disbursement of funds (calendar days)],Table2[Funds disbursed (Month)],Overview!H$58),"-")</f>
        <v>45.5</v>
      </c>
      <c r="I64" s="85">
        <f>IFERROR(AVERAGEIFS(Table2[Lead time from formal request received to disbursement of funds (calendar days)],Table2[Funds disbursed (Month)],Overview!I$58),"-")</f>
        <v>1</v>
      </c>
      <c r="J64" s="85" t="str">
        <f>IFERROR(AVERAGEIFS(Table2[Lead time from formal request received to disbursement of funds (calendar days)],Table2[Funds disbursed (Month)],Overview!J$58),"-")</f>
        <v>-</v>
      </c>
      <c r="K64" s="85" t="str">
        <f>IFERROR(AVERAGEIFS(Table2[Lead time from formal request received to disbursement of funds (calendar days)],Table2[Funds disbursed (Month)],Overview!K$58),"-")</f>
        <v>-</v>
      </c>
      <c r="L64" s="85" t="str">
        <f>IFERROR(AVERAGEIFS(Table2[Lead time from formal request received to disbursement of funds (calendar days)],Table2[Funds disbursed (Month)],Overview!L$58),"-")</f>
        <v>-</v>
      </c>
      <c r="M64" s="85" t="str">
        <f>IFERROR(AVERAGEIFS(Table2[Lead time from formal request received to disbursement of funds (calendar days)],Table2[Funds disbursed (Month)],Overview!M$58),"-")</f>
        <v>-</v>
      </c>
      <c r="N64" s="85" t="str">
        <f>IFERROR(AVERAGEIFS(Table2[Lead time from formal request received to disbursement of funds (calendar days)],Table2[Funds disbursed (Month)],Overview!N$58),"-")</f>
        <v>-</v>
      </c>
      <c r="O64" s="86" t="str">
        <f>IFERROR(AVERAGEIFS(Table2[Lead time from formal request received to disbursement of funds (calendar days)],Table2[Funds disbursed (Month)],Overview!O$58),"-")</f>
        <v>-</v>
      </c>
    </row>
    <row r="65" spans="1:9" x14ac:dyDescent="0.45">
      <c r="C65" s="73"/>
      <c r="D65" s="73"/>
      <c r="E65" s="73"/>
      <c r="F65" s="73"/>
      <c r="G65" s="73"/>
      <c r="H65" s="73"/>
      <c r="I65" s="73"/>
    </row>
    <row r="67" spans="1:9" s="21" customFormat="1" ht="18" x14ac:dyDescent="0.55000000000000004">
      <c r="A67" s="19">
        <v>3</v>
      </c>
      <c r="B67" s="20"/>
      <c r="C67" s="21" t="s">
        <v>123</v>
      </c>
    </row>
    <row r="69" spans="1:9" x14ac:dyDescent="0.45">
      <c r="C69" t="s">
        <v>124</v>
      </c>
      <c r="D69" s="18" t="s">
        <v>103</v>
      </c>
      <c r="E69" s="94" t="s">
        <v>125</v>
      </c>
    </row>
    <row r="70" spans="1:9" ht="15.75" x14ac:dyDescent="0.5">
      <c r="C70" s="110" t="s">
        <v>126</v>
      </c>
    </row>
    <row r="71" spans="1:9" x14ac:dyDescent="0.45">
      <c r="C71" s="29" t="s">
        <v>80</v>
      </c>
      <c r="D71" s="22" t="s">
        <v>81</v>
      </c>
      <c r="E71" s="22"/>
      <c r="F71" s="22"/>
      <c r="G71" s="22"/>
      <c r="H71" s="22"/>
      <c r="I71" s="23"/>
    </row>
    <row r="72" spans="1:9" x14ac:dyDescent="0.45">
      <c r="C72" s="30"/>
      <c r="D72" s="32" t="s">
        <v>82</v>
      </c>
      <c r="E72" s="32" t="s">
        <v>66</v>
      </c>
      <c r="F72" s="32" t="s">
        <v>64</v>
      </c>
      <c r="G72" s="32" t="s">
        <v>65</v>
      </c>
      <c r="H72" s="32" t="s">
        <v>69</v>
      </c>
      <c r="I72" s="33" t="s">
        <v>68</v>
      </c>
    </row>
    <row r="73" spans="1:9" x14ac:dyDescent="0.45">
      <c r="C73" s="24" t="s">
        <v>127</v>
      </c>
      <c r="D73" s="34">
        <f>SUMIFS(Table2[Amount tracked through this row],Table2[Country supported],Overview!$D$69)</f>
        <v>27592690.973559324</v>
      </c>
      <c r="E73" s="35">
        <f>SUMIFS(Table2[Amount tracked through this row],Table2[Country supported],Overview!$D$69,Table2[Source of funding identified (Details)],Overview!E$72)</f>
        <v>20392690.973559324</v>
      </c>
      <c r="F73" s="35">
        <f>SUMIFS(Table2[Amount tracked through this row],Table2[Country supported],Overview!$D$69,Table2[Source of funding identified (Details)],Overview!F$72)</f>
        <v>3600000</v>
      </c>
      <c r="G73" s="35">
        <f>SUMIFS(Table2[Amount tracked through this row],Table2[Country supported],Overview!$D$69,Table2[Source of funding identified (Details)],Overview!G$72)</f>
        <v>3600000</v>
      </c>
      <c r="H73" s="35">
        <f>SUMIFS(Table2[Amount tracked through this row],Table2[Country supported],Overview!$D$69,Table2[Source of funding identified (Details)],Overview!H$72)</f>
        <v>0</v>
      </c>
      <c r="I73" s="36">
        <f>SUMIFS(Table2[Amount tracked through this row],Table2[Country supported],Overview!$D$69,Table2[Source of funding identified (Details)],Overview!I$72)</f>
        <v>0</v>
      </c>
    </row>
    <row r="74" spans="1:9" x14ac:dyDescent="0.45">
      <c r="C74" s="24" t="s">
        <v>14</v>
      </c>
      <c r="D74" s="37">
        <f ca="1">SUMIFS(Table2[Amount tracked through this row],Table2[Country supported],Overview!$D$69,Table2[Status],Overview!$C74)</f>
        <v>14629690.973559324</v>
      </c>
      <c r="E74" s="43"/>
      <c r="F74" s="43"/>
      <c r="G74" s="43"/>
      <c r="H74" s="43"/>
      <c r="I74" s="44"/>
    </row>
    <row r="75" spans="1:9" x14ac:dyDescent="0.45">
      <c r="C75" s="24" t="s">
        <v>16</v>
      </c>
      <c r="D75" s="37">
        <f ca="1">SUMIFS(Table2[Amount tracked through this row],Table2[Country supported],Overview!$D$69,Table2[Status],Overview!$C75)</f>
        <v>0</v>
      </c>
      <c r="E75" s="43"/>
      <c r="F75" s="43"/>
      <c r="G75" s="43"/>
      <c r="H75" s="43"/>
      <c r="I75" s="44"/>
    </row>
    <row r="76" spans="1:9" x14ac:dyDescent="0.45">
      <c r="C76" s="24" t="s">
        <v>18</v>
      </c>
      <c r="D76" s="37">
        <f ca="1">SUMIFS(Table2[Amount to be funded],Table2[Country supported],Overview!$D$69,Table2[Status],Overview!$C76)</f>
        <v>0</v>
      </c>
      <c r="E76" s="38">
        <f ca="1">SUMIFS(Table2[Amount to be funded],Table2[Country supported],Overview!$D$69,Table2[Status],Overview!$C76,Table2[Source of funding identified (Details)],Overview!E$72)</f>
        <v>0</v>
      </c>
      <c r="F76" s="38">
        <f ca="1">SUMIFS(Table2[Amount to be funded],Table2[Country supported],Overview!$D$69,Table2[Status],Overview!$C76,Table2[Source of funding identified (Details)],Overview!F$72)</f>
        <v>0</v>
      </c>
      <c r="G76" s="38">
        <f ca="1">SUMIFS(Table2[Amount to be funded],Table2[Country supported],Overview!$D$69,Table2[Status],Overview!$C76,Table2[Source of funding identified (Details)],Overview!G$72)</f>
        <v>0</v>
      </c>
      <c r="H76" s="38">
        <f ca="1">SUMIFS(Table2[Amount to be funded],Table2[Country supported],Overview!$D$69,Table2[Status],Overview!$C76,Table2[Source of funding identified (Details)],Overview!H$72)</f>
        <v>0</v>
      </c>
      <c r="I76" s="39">
        <f ca="1">SUMIFS(Table2[Amount to be funded],Table2[Country supported],Overview!$D$69,Table2[Status],Overview!$C76,Table2[Source of funding identified (Details)],Overview!I$72)</f>
        <v>0</v>
      </c>
    </row>
    <row r="77" spans="1:9" x14ac:dyDescent="0.45">
      <c r="C77" s="24" t="s">
        <v>83</v>
      </c>
      <c r="D77" s="37">
        <f ca="1">SUMIFS(Table2[Amount to be funded],Table2[Country supported],Overview!$D$69,Table2[Status],Overview!$C77)</f>
        <v>0</v>
      </c>
      <c r="E77" s="38">
        <f ca="1">SUMIFS(Table2[Amount to be funded],Table2[Country supported],Overview!$D$69,Table2[Status],Overview!$C77,Table2[Source of funding identified (Details)],Overview!E$72)</f>
        <v>0</v>
      </c>
      <c r="F77" s="38">
        <f ca="1">SUMIFS(Table2[Amount to be funded],Table2[Country supported],Overview!$D$69,Table2[Status],Overview!$C77,Table2[Source of funding identified (Details)],Overview!F$72)</f>
        <v>0</v>
      </c>
      <c r="G77" s="38">
        <f ca="1">SUMIFS(Table2[Amount to be funded],Table2[Country supported],Overview!$D$69,Table2[Status],Overview!$C77,Table2[Source of funding identified (Details)],Overview!G$72)</f>
        <v>0</v>
      </c>
      <c r="H77" s="38">
        <f ca="1">SUMIFS(Table2[Amount to be funded],Table2[Country supported],Overview!$D$69,Table2[Status],Overview!$C77,Table2[Source of funding identified (Details)],Overview!H$72)</f>
        <v>0</v>
      </c>
      <c r="I77" s="39">
        <f ca="1">SUMIFS(Table2[Amount to be funded],Table2[Country supported],Overview!$D$69,Table2[Status],Overview!$C77,Table2[Source of funding identified (Details)],Overview!I$72)</f>
        <v>0</v>
      </c>
    </row>
    <row r="78" spans="1:9" x14ac:dyDescent="0.45">
      <c r="C78" s="24" t="s">
        <v>84</v>
      </c>
      <c r="D78" s="37">
        <f ca="1">SUMIFS(Table2[Amount to be funded],Table2[Country supported],Overview!$D$69,Table2[Status],Overview!$C78)</f>
        <v>7200000</v>
      </c>
      <c r="E78" s="38">
        <f ca="1">SUMIFS(Table2[Amount to be funded],Table2[Country supported],Overview!$D$69,Table2[Status],Overview!$C78,Table2[Source of funding identified (Details)],Overview!E$72)</f>
        <v>0</v>
      </c>
      <c r="F78" s="38">
        <f ca="1">SUMIFS(Table2[Amount to be funded],Table2[Country supported],Overview!$D$69,Table2[Status],Overview!$C78,Table2[Source of funding identified (Details)],Overview!F$72)</f>
        <v>3600000</v>
      </c>
      <c r="G78" s="38">
        <f ca="1">SUMIFS(Table2[Amount to be funded],Table2[Country supported],Overview!$D$69,Table2[Status],Overview!$C78,Table2[Source of funding identified (Details)],Overview!G$72)</f>
        <v>3600000</v>
      </c>
      <c r="H78" s="38">
        <f ca="1">SUMIFS(Table2[Amount to be funded],Table2[Country supported],Overview!$D$69,Table2[Status],Overview!$C78,Table2[Source of funding identified (Details)],Overview!H$72)</f>
        <v>0</v>
      </c>
      <c r="I78" s="39">
        <f ca="1">SUMIFS(Table2[Amount to be funded],Table2[Country supported],Overview!$D$69,Table2[Status],Overview!$C78,Table2[Source of funding identified (Details)],Overview!I$72)</f>
        <v>0</v>
      </c>
    </row>
    <row r="79" spans="1:9" x14ac:dyDescent="0.45">
      <c r="C79" s="26" t="s">
        <v>22</v>
      </c>
      <c r="D79" s="40">
        <f ca="1">SUMIFS(Table2[Amount to be funded],Table2[Country supported],Overview!$D$69,Table2[Status],Overview!$C79)</f>
        <v>5763000</v>
      </c>
      <c r="E79" s="41">
        <f ca="1">SUMIFS(Table2[Amount to be funded],Table2[Country supported],Overview!$D$69,Table2[Status],Overview!$C79,Table2[Source of funding identified (Details)],Overview!E$72)</f>
        <v>5763000</v>
      </c>
      <c r="F79" s="41">
        <f ca="1">SUMIFS(Table2[Amount to be funded],Table2[Country supported],Overview!$D$69,Table2[Status],Overview!$C79,Table2[Source of funding identified (Details)],Overview!F$72)</f>
        <v>0</v>
      </c>
      <c r="G79" s="41">
        <f ca="1">SUMIFS(Table2[Amount to be funded],Table2[Country supported],Overview!$D$69,Table2[Status],Overview!$C79,Table2[Source of funding identified (Details)],Overview!G$72)</f>
        <v>0</v>
      </c>
      <c r="H79" s="41">
        <f ca="1">SUMIFS(Table2[Amount to be funded],Table2[Country supported],Overview!$D$69,Table2[Status],Overview!$C79,Table2[Source of funding identified (Details)],Overview!H$72)</f>
        <v>0</v>
      </c>
      <c r="I79" s="42">
        <f ca="1">SUMIFS(Table2[Amount to be funded],Table2[Country supported],Overview!$D$69,Table2[Status],Overview!$C79,Table2[Source of funding identified (Details)],Overview!I$72)</f>
        <v>0</v>
      </c>
    </row>
    <row r="80" spans="1:9" x14ac:dyDescent="0.45">
      <c r="C80" s="48" t="s">
        <v>24</v>
      </c>
      <c r="D80" s="45">
        <f ca="1">D73-SUM(D74:D79)</f>
        <v>0</v>
      </c>
      <c r="E80" s="46"/>
      <c r="F80" s="46"/>
      <c r="G80" s="46"/>
      <c r="H80" s="46"/>
      <c r="I80" s="47"/>
    </row>
    <row r="84" spans="1:19" s="21" customFormat="1" ht="18" x14ac:dyDescent="0.55000000000000004">
      <c r="A84" s="19">
        <v>4</v>
      </c>
      <c r="B84" s="20"/>
      <c r="C84" s="21" t="s">
        <v>128</v>
      </c>
    </row>
    <row r="86" spans="1:19" ht="21" x14ac:dyDescent="0.65">
      <c r="C86" s="70" t="s">
        <v>129</v>
      </c>
    </row>
    <row r="87" spans="1:19" x14ac:dyDescent="0.45">
      <c r="E87" s="59" t="s">
        <v>88</v>
      </c>
    </row>
    <row r="88" spans="1:19" x14ac:dyDescent="0.45">
      <c r="C88" s="66" t="s">
        <v>86</v>
      </c>
      <c r="D88" s="18" t="s">
        <v>87</v>
      </c>
    </row>
    <row r="90" spans="1:19" x14ac:dyDescent="0.45">
      <c r="C90" s="66" t="s">
        <v>109</v>
      </c>
      <c r="D90" s="66" t="s">
        <v>90</v>
      </c>
    </row>
    <row r="91" spans="1:19" x14ac:dyDescent="0.45">
      <c r="C91" s="66" t="s">
        <v>91</v>
      </c>
      <c r="D91" t="s">
        <v>92</v>
      </c>
      <c r="E91" t="s">
        <v>93</v>
      </c>
      <c r="F91" t="s">
        <v>94</v>
      </c>
      <c r="G91" t="s">
        <v>95</v>
      </c>
      <c r="H91" t="s">
        <v>96</v>
      </c>
      <c r="I91" t="s">
        <v>97</v>
      </c>
      <c r="J91" t="s">
        <v>98</v>
      </c>
      <c r="K91" t="s">
        <v>99</v>
      </c>
      <c r="L91" t="s">
        <v>100</v>
      </c>
      <c r="M91" t="s">
        <v>101</v>
      </c>
      <c r="N91" t="s">
        <v>102</v>
      </c>
      <c r="O91" t="s">
        <v>103</v>
      </c>
      <c r="P91" t="s">
        <v>104</v>
      </c>
      <c r="Q91" t="s">
        <v>105</v>
      </c>
      <c r="R91" t="s">
        <v>106</v>
      </c>
      <c r="S91" t="s">
        <v>107</v>
      </c>
    </row>
    <row r="92" spans="1:19" x14ac:dyDescent="0.45">
      <c r="C92" s="67" t="s">
        <v>22</v>
      </c>
      <c r="D92" s="55">
        <v>1</v>
      </c>
      <c r="E92" s="55">
        <v>3</v>
      </c>
      <c r="F92" s="55">
        <v>1</v>
      </c>
      <c r="G92" s="55">
        <v>6</v>
      </c>
      <c r="H92" s="55"/>
      <c r="I92" s="55">
        <v>1</v>
      </c>
      <c r="J92" s="55">
        <v>7</v>
      </c>
      <c r="K92" s="55"/>
      <c r="L92" s="55"/>
      <c r="M92" s="55">
        <v>2</v>
      </c>
      <c r="N92" s="55"/>
      <c r="O92" s="55">
        <v>1</v>
      </c>
      <c r="P92" s="55">
        <v>2</v>
      </c>
      <c r="Q92" s="55">
        <v>1</v>
      </c>
      <c r="R92" s="55"/>
      <c r="S92" s="55">
        <v>25</v>
      </c>
    </row>
    <row r="93" spans="1:19" x14ac:dyDescent="0.45">
      <c r="C93" s="67" t="s">
        <v>14</v>
      </c>
      <c r="D93" s="55"/>
      <c r="E93" s="55">
        <v>1</v>
      </c>
      <c r="F93" s="55">
        <v>1</v>
      </c>
      <c r="G93" s="55"/>
      <c r="H93" s="55"/>
      <c r="I93" s="55"/>
      <c r="J93" s="55"/>
      <c r="K93" s="55"/>
      <c r="L93" s="55">
        <v>1</v>
      </c>
      <c r="M93" s="55">
        <v>1</v>
      </c>
      <c r="N93" s="55">
        <v>1</v>
      </c>
      <c r="O93" s="55">
        <v>1</v>
      </c>
      <c r="P93" s="55"/>
      <c r="Q93" s="55"/>
      <c r="R93" s="55"/>
      <c r="S93" s="55">
        <v>6</v>
      </c>
    </row>
    <row r="94" spans="1:19" x14ac:dyDescent="0.45">
      <c r="C94" s="67" t="s">
        <v>24</v>
      </c>
      <c r="D94" s="55"/>
      <c r="E94" s="55"/>
      <c r="F94" s="55"/>
      <c r="G94" s="55"/>
      <c r="H94" s="55">
        <v>1</v>
      </c>
      <c r="I94" s="55"/>
      <c r="J94" s="55"/>
      <c r="K94" s="55">
        <v>1</v>
      </c>
      <c r="L94" s="55"/>
      <c r="M94" s="55"/>
      <c r="N94" s="55"/>
      <c r="O94" s="55"/>
      <c r="P94" s="55">
        <v>1</v>
      </c>
      <c r="Q94" s="55"/>
      <c r="R94" s="55"/>
      <c r="S94" s="55">
        <v>3</v>
      </c>
    </row>
    <row r="95" spans="1:19" x14ac:dyDescent="0.45">
      <c r="C95" s="67" t="s">
        <v>84</v>
      </c>
      <c r="D95" s="55"/>
      <c r="E95" s="55"/>
      <c r="F95" s="55"/>
      <c r="G95" s="55"/>
      <c r="H95" s="55"/>
      <c r="I95" s="55"/>
      <c r="J95" s="55"/>
      <c r="K95" s="55"/>
      <c r="L95" s="55"/>
      <c r="M95" s="55">
        <v>1</v>
      </c>
      <c r="N95" s="55"/>
      <c r="O95" s="55">
        <v>2</v>
      </c>
      <c r="P95" s="55">
        <v>2</v>
      </c>
      <c r="Q95" s="55"/>
      <c r="R95" s="55"/>
      <c r="S95" s="55">
        <v>5</v>
      </c>
    </row>
    <row r="96" spans="1:19" x14ac:dyDescent="0.45">
      <c r="C96" s="67" t="s">
        <v>18</v>
      </c>
      <c r="D96" s="55"/>
      <c r="E96" s="55"/>
      <c r="F96" s="55"/>
      <c r="G96" s="55"/>
      <c r="H96" s="55"/>
      <c r="I96" s="55"/>
      <c r="J96" s="55"/>
      <c r="K96" s="55"/>
      <c r="L96" s="55"/>
      <c r="M96" s="55"/>
      <c r="N96" s="55"/>
      <c r="O96" s="55"/>
      <c r="P96" s="55"/>
      <c r="Q96" s="55"/>
      <c r="R96" s="55">
        <v>2</v>
      </c>
      <c r="S96" s="55">
        <v>2</v>
      </c>
    </row>
    <row r="97" spans="3:19" x14ac:dyDescent="0.45">
      <c r="C97" s="67" t="s">
        <v>107</v>
      </c>
      <c r="D97" s="55">
        <v>1</v>
      </c>
      <c r="E97" s="55">
        <v>4</v>
      </c>
      <c r="F97" s="55">
        <v>2</v>
      </c>
      <c r="G97" s="55">
        <v>6</v>
      </c>
      <c r="H97" s="55">
        <v>1</v>
      </c>
      <c r="I97" s="55">
        <v>1</v>
      </c>
      <c r="J97" s="55">
        <v>7</v>
      </c>
      <c r="K97" s="55">
        <v>1</v>
      </c>
      <c r="L97" s="55">
        <v>1</v>
      </c>
      <c r="M97" s="55">
        <v>4</v>
      </c>
      <c r="N97" s="55">
        <v>1</v>
      </c>
      <c r="O97" s="55">
        <v>4</v>
      </c>
      <c r="P97" s="55">
        <v>5</v>
      </c>
      <c r="Q97" s="55">
        <v>1</v>
      </c>
      <c r="R97" s="55">
        <v>2</v>
      </c>
      <c r="S97" s="55">
        <v>41</v>
      </c>
    </row>
    <row r="100" spans="3:19" x14ac:dyDescent="0.45">
      <c r="C100" s="67"/>
      <c r="D100" s="55"/>
      <c r="E100" s="55"/>
      <c r="F100" s="55"/>
      <c r="G100" s="55"/>
      <c r="H100" s="55"/>
      <c r="I100" s="55"/>
    </row>
    <row r="101" spans="3:19" ht="21" x14ac:dyDescent="0.65">
      <c r="C101" s="70" t="s">
        <v>130</v>
      </c>
      <c r="D101" s="55"/>
      <c r="E101" s="55"/>
      <c r="F101" s="55"/>
      <c r="G101" s="55"/>
      <c r="H101" s="55"/>
      <c r="I101" s="55"/>
    </row>
    <row r="102" spans="3:19" x14ac:dyDescent="0.45">
      <c r="E102" s="59" t="s">
        <v>88</v>
      </c>
    </row>
    <row r="103" spans="3:19" x14ac:dyDescent="0.45">
      <c r="C103" s="66" t="s">
        <v>86</v>
      </c>
      <c r="D103" s="18" t="s">
        <v>87</v>
      </c>
    </row>
    <row r="105" spans="3:19" x14ac:dyDescent="0.45">
      <c r="C105" s="66" t="s">
        <v>89</v>
      </c>
      <c r="D105" s="66" t="s">
        <v>90</v>
      </c>
    </row>
    <row r="106" spans="3:19" x14ac:dyDescent="0.45">
      <c r="C106" s="66" t="s">
        <v>91</v>
      </c>
      <c r="D106" t="s">
        <v>92</v>
      </c>
      <c r="E106" t="s">
        <v>93</v>
      </c>
      <c r="F106" t="s">
        <v>94</v>
      </c>
      <c r="G106" t="s">
        <v>95</v>
      </c>
      <c r="H106" t="s">
        <v>96</v>
      </c>
      <c r="I106" t="s">
        <v>97</v>
      </c>
      <c r="J106" t="s">
        <v>98</v>
      </c>
      <c r="K106" t="s">
        <v>99</v>
      </c>
      <c r="L106" t="s">
        <v>100</v>
      </c>
      <c r="M106" t="s">
        <v>101</v>
      </c>
      <c r="N106" t="s">
        <v>102</v>
      </c>
      <c r="O106" t="s">
        <v>103</v>
      </c>
      <c r="P106" t="s">
        <v>104</v>
      </c>
      <c r="Q106" t="s">
        <v>105</v>
      </c>
      <c r="R106" t="s">
        <v>106</v>
      </c>
      <c r="S106" t="s">
        <v>107</v>
      </c>
    </row>
    <row r="107" spans="3:19" x14ac:dyDescent="0.45">
      <c r="C107" s="67" t="s">
        <v>22</v>
      </c>
      <c r="D107" s="55">
        <v>500000</v>
      </c>
      <c r="E107" s="55">
        <v>4884012</v>
      </c>
      <c r="F107" s="55">
        <v>3458028</v>
      </c>
      <c r="G107" s="55">
        <v>16686502</v>
      </c>
      <c r="H107" s="55"/>
      <c r="I107" s="55">
        <v>1526147</v>
      </c>
      <c r="J107" s="55">
        <v>5841000</v>
      </c>
      <c r="K107" s="55"/>
      <c r="L107" s="55"/>
      <c r="M107" s="55">
        <v>5017098.76</v>
      </c>
      <c r="N107" s="55"/>
      <c r="O107" s="55">
        <v>5763000</v>
      </c>
      <c r="P107" s="55">
        <v>7037501</v>
      </c>
      <c r="Q107" s="55">
        <v>1490000</v>
      </c>
      <c r="R107" s="55"/>
      <c r="S107" s="55">
        <v>52203288.759999998</v>
      </c>
    </row>
    <row r="108" spans="3:19" x14ac:dyDescent="0.45">
      <c r="C108" s="67" t="s">
        <v>14</v>
      </c>
      <c r="D108" s="55"/>
      <c r="E108" s="55">
        <v>0</v>
      </c>
      <c r="F108" s="55">
        <v>3000000</v>
      </c>
      <c r="G108" s="55"/>
      <c r="H108" s="55"/>
      <c r="I108" s="55"/>
      <c r="J108" s="55"/>
      <c r="K108" s="55"/>
      <c r="L108" s="55">
        <v>0</v>
      </c>
      <c r="M108" s="55">
        <v>3000000</v>
      </c>
      <c r="N108" s="55">
        <v>0</v>
      </c>
      <c r="O108" s="55">
        <v>14629690.973559324</v>
      </c>
      <c r="P108" s="55"/>
      <c r="Q108" s="55"/>
      <c r="R108" s="55"/>
      <c r="S108" s="55">
        <v>20629690.973559324</v>
      </c>
    </row>
    <row r="109" spans="3:19" x14ac:dyDescent="0.45">
      <c r="C109" s="67" t="s">
        <v>24</v>
      </c>
      <c r="D109" s="55"/>
      <c r="E109" s="55"/>
      <c r="F109" s="55"/>
      <c r="G109" s="55"/>
      <c r="H109" s="55">
        <v>0</v>
      </c>
      <c r="I109" s="55"/>
      <c r="J109" s="55"/>
      <c r="K109" s="55">
        <v>0</v>
      </c>
      <c r="L109" s="55"/>
      <c r="M109" s="55"/>
      <c r="N109" s="55"/>
      <c r="O109" s="55"/>
      <c r="P109" s="55">
        <v>225000</v>
      </c>
      <c r="Q109" s="55"/>
      <c r="R109" s="55"/>
      <c r="S109" s="55">
        <v>225000</v>
      </c>
    </row>
    <row r="110" spans="3:19" x14ac:dyDescent="0.45">
      <c r="C110" s="67" t="s">
        <v>84</v>
      </c>
      <c r="D110" s="55"/>
      <c r="E110" s="55"/>
      <c r="F110" s="55"/>
      <c r="G110" s="55"/>
      <c r="H110" s="55"/>
      <c r="I110" s="55"/>
      <c r="J110" s="55"/>
      <c r="K110" s="55"/>
      <c r="L110" s="55"/>
      <c r="M110" s="55">
        <v>6200000</v>
      </c>
      <c r="N110" s="55"/>
      <c r="O110" s="55">
        <v>7200000</v>
      </c>
      <c r="P110" s="55">
        <v>10214486</v>
      </c>
      <c r="Q110" s="55"/>
      <c r="R110" s="55"/>
      <c r="S110" s="55">
        <v>23614486</v>
      </c>
    </row>
    <row r="111" spans="3:19" x14ac:dyDescent="0.45">
      <c r="C111" s="67" t="s">
        <v>18</v>
      </c>
      <c r="D111" s="55"/>
      <c r="E111" s="55"/>
      <c r="F111" s="55"/>
      <c r="G111" s="55"/>
      <c r="H111" s="55"/>
      <c r="I111" s="55"/>
      <c r="J111" s="55"/>
      <c r="K111" s="55"/>
      <c r="L111" s="55"/>
      <c r="M111" s="55"/>
      <c r="N111" s="55"/>
      <c r="O111" s="55"/>
      <c r="P111" s="55"/>
      <c r="Q111" s="55"/>
      <c r="R111" s="55">
        <v>2154578.606060606</v>
      </c>
      <c r="S111" s="55">
        <v>2154578.606060606</v>
      </c>
    </row>
    <row r="112" spans="3:19" x14ac:dyDescent="0.45">
      <c r="C112" s="67" t="s">
        <v>107</v>
      </c>
      <c r="D112" s="55">
        <v>500000</v>
      </c>
      <c r="E112" s="55">
        <v>4884012</v>
      </c>
      <c r="F112" s="55">
        <v>6458028</v>
      </c>
      <c r="G112" s="55">
        <v>16686502</v>
      </c>
      <c r="H112" s="55">
        <v>0</v>
      </c>
      <c r="I112" s="55">
        <v>1526147</v>
      </c>
      <c r="J112" s="55">
        <v>5841000</v>
      </c>
      <c r="K112" s="55">
        <v>0</v>
      </c>
      <c r="L112" s="55">
        <v>0</v>
      </c>
      <c r="M112" s="55">
        <v>14217098.76</v>
      </c>
      <c r="N112" s="55">
        <v>0</v>
      </c>
      <c r="O112" s="55">
        <v>27592690.973559324</v>
      </c>
      <c r="P112" s="55">
        <v>17476987</v>
      </c>
      <c r="Q112" s="55">
        <v>1490000</v>
      </c>
      <c r="R112" s="55">
        <v>2154578.606060606</v>
      </c>
      <c r="S112" s="55">
        <v>98827044.339619935</v>
      </c>
    </row>
    <row r="115" spans="1:19" x14ac:dyDescent="0.45">
      <c r="C115" s="67"/>
      <c r="D115" s="55"/>
      <c r="E115" s="55"/>
      <c r="F115" s="55"/>
      <c r="G115" s="55"/>
      <c r="H115" s="55"/>
      <c r="I115" s="55"/>
    </row>
    <row r="116" spans="1:19" x14ac:dyDescent="0.45">
      <c r="C116" s="67"/>
      <c r="D116" s="55"/>
      <c r="E116" s="55"/>
      <c r="F116" s="55"/>
      <c r="G116" s="55"/>
      <c r="H116" s="55"/>
      <c r="I116" s="55"/>
    </row>
    <row r="118" spans="1:19" s="21" customFormat="1" ht="18" x14ac:dyDescent="0.55000000000000004">
      <c r="A118" s="19">
        <v>5</v>
      </c>
      <c r="B118" s="20"/>
      <c r="C118" s="21" t="s">
        <v>131</v>
      </c>
    </row>
    <row r="119" spans="1:19" s="20" customFormat="1" ht="18" x14ac:dyDescent="0.55000000000000004"/>
    <row r="120" spans="1:19" ht="21" x14ac:dyDescent="0.65">
      <c r="C120" s="70" t="s">
        <v>132</v>
      </c>
    </row>
    <row r="121" spans="1:19" x14ac:dyDescent="0.45">
      <c r="E121" s="59" t="s">
        <v>88</v>
      </c>
    </row>
    <row r="122" spans="1:19" x14ac:dyDescent="0.45">
      <c r="C122" s="66" t="s">
        <v>86</v>
      </c>
      <c r="D122" s="18" t="s">
        <v>87</v>
      </c>
    </row>
    <row r="124" spans="1:19" x14ac:dyDescent="0.45">
      <c r="C124" s="66" t="s">
        <v>109</v>
      </c>
      <c r="D124" s="66" t="s">
        <v>90</v>
      </c>
    </row>
    <row r="125" spans="1:19" x14ac:dyDescent="0.45">
      <c r="C125" s="66" t="s">
        <v>91</v>
      </c>
      <c r="D125" t="s">
        <v>92</v>
      </c>
      <c r="E125" t="s">
        <v>93</v>
      </c>
      <c r="F125" t="s">
        <v>94</v>
      </c>
      <c r="G125" t="s">
        <v>95</v>
      </c>
      <c r="H125" t="s">
        <v>96</v>
      </c>
      <c r="I125" t="s">
        <v>97</v>
      </c>
      <c r="J125" t="s">
        <v>98</v>
      </c>
      <c r="K125" t="s">
        <v>99</v>
      </c>
      <c r="L125" t="s">
        <v>100</v>
      </c>
      <c r="M125" t="s">
        <v>101</v>
      </c>
      <c r="N125" t="s">
        <v>102</v>
      </c>
      <c r="O125" t="s">
        <v>103</v>
      </c>
      <c r="P125" t="s">
        <v>104</v>
      </c>
      <c r="Q125" t="s">
        <v>105</v>
      </c>
      <c r="R125" t="s">
        <v>106</v>
      </c>
      <c r="S125" t="s">
        <v>107</v>
      </c>
    </row>
    <row r="126" spans="1:19" x14ac:dyDescent="0.45">
      <c r="C126" s="67" t="s">
        <v>22</v>
      </c>
      <c r="D126" s="55">
        <v>1</v>
      </c>
      <c r="E126" s="55">
        <v>3</v>
      </c>
      <c r="F126" s="55">
        <v>1</v>
      </c>
      <c r="G126" s="55">
        <v>6</v>
      </c>
      <c r="H126" s="55"/>
      <c r="I126" s="55">
        <v>1</v>
      </c>
      <c r="J126" s="55">
        <v>7</v>
      </c>
      <c r="K126" s="55"/>
      <c r="L126" s="55"/>
      <c r="M126" s="55">
        <v>2</v>
      </c>
      <c r="N126" s="55"/>
      <c r="O126" s="55">
        <v>1</v>
      </c>
      <c r="P126" s="55">
        <v>2</v>
      </c>
      <c r="Q126" s="55">
        <v>1</v>
      </c>
      <c r="R126" s="55"/>
      <c r="S126" s="55">
        <v>25</v>
      </c>
    </row>
    <row r="127" spans="1:19" x14ac:dyDescent="0.45">
      <c r="C127" s="67" t="s">
        <v>14</v>
      </c>
      <c r="D127" s="55"/>
      <c r="E127" s="55">
        <v>1</v>
      </c>
      <c r="F127" s="55">
        <v>1</v>
      </c>
      <c r="G127" s="55"/>
      <c r="H127" s="55"/>
      <c r="I127" s="55"/>
      <c r="J127" s="55"/>
      <c r="K127" s="55"/>
      <c r="L127" s="55">
        <v>1</v>
      </c>
      <c r="M127" s="55">
        <v>1</v>
      </c>
      <c r="N127" s="55">
        <v>1</v>
      </c>
      <c r="O127" s="55">
        <v>1</v>
      </c>
      <c r="P127" s="55"/>
      <c r="Q127" s="55"/>
      <c r="R127" s="55"/>
      <c r="S127" s="55">
        <v>6</v>
      </c>
    </row>
    <row r="128" spans="1:19" x14ac:dyDescent="0.45">
      <c r="C128" s="67" t="s">
        <v>24</v>
      </c>
      <c r="D128" s="55"/>
      <c r="E128" s="55"/>
      <c r="F128" s="55"/>
      <c r="G128" s="55"/>
      <c r="H128" s="55">
        <v>1</v>
      </c>
      <c r="I128" s="55"/>
      <c r="J128" s="55"/>
      <c r="K128" s="55">
        <v>1</v>
      </c>
      <c r="L128" s="55"/>
      <c r="M128" s="55"/>
      <c r="N128" s="55"/>
      <c r="O128" s="55"/>
      <c r="P128" s="55">
        <v>1</v>
      </c>
      <c r="Q128" s="55"/>
      <c r="R128" s="55"/>
      <c r="S128" s="55">
        <v>3</v>
      </c>
    </row>
    <row r="129" spans="3:19" x14ac:dyDescent="0.45">
      <c r="C129" s="67" t="s">
        <v>84</v>
      </c>
      <c r="D129" s="55"/>
      <c r="E129" s="55"/>
      <c r="F129" s="55"/>
      <c r="G129" s="55"/>
      <c r="H129" s="55"/>
      <c r="I129" s="55"/>
      <c r="J129" s="55"/>
      <c r="K129" s="55"/>
      <c r="L129" s="55"/>
      <c r="M129" s="55">
        <v>1</v>
      </c>
      <c r="N129" s="55"/>
      <c r="O129" s="55">
        <v>2</v>
      </c>
      <c r="P129" s="55">
        <v>2</v>
      </c>
      <c r="Q129" s="55"/>
      <c r="R129" s="55"/>
      <c r="S129" s="55">
        <v>5</v>
      </c>
    </row>
    <row r="130" spans="3:19" x14ac:dyDescent="0.45">
      <c r="C130" s="67" t="s">
        <v>18</v>
      </c>
      <c r="D130" s="55"/>
      <c r="E130" s="55"/>
      <c r="F130" s="55"/>
      <c r="G130" s="55"/>
      <c r="H130" s="55"/>
      <c r="I130" s="55"/>
      <c r="J130" s="55"/>
      <c r="K130" s="55"/>
      <c r="L130" s="55"/>
      <c r="M130" s="55"/>
      <c r="N130" s="55"/>
      <c r="O130" s="55"/>
      <c r="P130" s="55"/>
      <c r="Q130" s="55"/>
      <c r="R130" s="55">
        <v>2</v>
      </c>
      <c r="S130" s="55">
        <v>2</v>
      </c>
    </row>
    <row r="131" spans="3:19" x14ac:dyDescent="0.45">
      <c r="C131" s="67" t="s">
        <v>107</v>
      </c>
      <c r="D131" s="55">
        <v>1</v>
      </c>
      <c r="E131" s="55">
        <v>4</v>
      </c>
      <c r="F131" s="55">
        <v>2</v>
      </c>
      <c r="G131" s="55">
        <v>6</v>
      </c>
      <c r="H131" s="55">
        <v>1</v>
      </c>
      <c r="I131" s="55">
        <v>1</v>
      </c>
      <c r="J131" s="55">
        <v>7</v>
      </c>
      <c r="K131" s="55">
        <v>1</v>
      </c>
      <c r="L131" s="55">
        <v>1</v>
      </c>
      <c r="M131" s="55">
        <v>4</v>
      </c>
      <c r="N131" s="55">
        <v>1</v>
      </c>
      <c r="O131" s="55">
        <v>4</v>
      </c>
      <c r="P131" s="55">
        <v>5</v>
      </c>
      <c r="Q131" s="55">
        <v>1</v>
      </c>
      <c r="R131" s="55">
        <v>2</v>
      </c>
      <c r="S131" s="55">
        <v>41</v>
      </c>
    </row>
    <row r="134" spans="3:19" ht="21" x14ac:dyDescent="0.65">
      <c r="C134" s="70" t="s">
        <v>78</v>
      </c>
    </row>
    <row r="135" spans="3:19" x14ac:dyDescent="0.45">
      <c r="E135" s="59" t="s">
        <v>88</v>
      </c>
    </row>
    <row r="136" spans="3:19" x14ac:dyDescent="0.45">
      <c r="C136" s="66" t="s">
        <v>86</v>
      </c>
      <c r="D136" s="18" t="s">
        <v>133</v>
      </c>
    </row>
    <row r="138" spans="3:19" x14ac:dyDescent="0.45">
      <c r="C138" s="66" t="s">
        <v>89</v>
      </c>
      <c r="D138" s="66" t="s">
        <v>90</v>
      </c>
    </row>
    <row r="139" spans="3:19" x14ac:dyDescent="0.45">
      <c r="C139" s="66" t="s">
        <v>91</v>
      </c>
      <c r="D139" t="s">
        <v>95</v>
      </c>
      <c r="E139" t="s">
        <v>98</v>
      </c>
      <c r="F139" t="s">
        <v>103</v>
      </c>
      <c r="G139" t="s">
        <v>107</v>
      </c>
    </row>
    <row r="140" spans="3:19" x14ac:dyDescent="0.45">
      <c r="C140" s="67" t="s">
        <v>22</v>
      </c>
      <c r="D140" s="55">
        <v>8000000</v>
      </c>
      <c r="E140" s="55">
        <v>368295</v>
      </c>
      <c r="F140" s="55">
        <v>5763000</v>
      </c>
      <c r="G140" s="55">
        <v>14131295</v>
      </c>
    </row>
    <row r="141" spans="3:19" x14ac:dyDescent="0.45">
      <c r="C141" s="67" t="s">
        <v>14</v>
      </c>
      <c r="D141" s="55"/>
      <c r="E141" s="55"/>
      <c r="F141" s="55">
        <v>14629690.973559324</v>
      </c>
      <c r="G141" s="55">
        <v>14629690.973559324</v>
      </c>
    </row>
    <row r="142" spans="3:19" x14ac:dyDescent="0.45">
      <c r="C142" s="67" t="s">
        <v>84</v>
      </c>
      <c r="D142" s="55"/>
      <c r="E142" s="55"/>
      <c r="F142" s="55">
        <v>7200000</v>
      </c>
      <c r="G142" s="55">
        <v>7200000</v>
      </c>
    </row>
    <row r="143" spans="3:19" x14ac:dyDescent="0.45">
      <c r="C143" s="67" t="s">
        <v>107</v>
      </c>
      <c r="D143" s="55">
        <v>8000000</v>
      </c>
      <c r="E143" s="55">
        <v>368295</v>
      </c>
      <c r="F143" s="55">
        <v>27592690.973559324</v>
      </c>
      <c r="G143" s="55">
        <v>35960985.97355932</v>
      </c>
    </row>
    <row r="148" spans="1:7" s="21" customFormat="1" ht="18" x14ac:dyDescent="0.55000000000000004">
      <c r="A148" s="19">
        <v>6</v>
      </c>
      <c r="B148" s="20"/>
      <c r="C148" s="21" t="s">
        <v>134</v>
      </c>
    </row>
    <row r="150" spans="1:7" ht="21" x14ac:dyDescent="0.65">
      <c r="C150" s="70" t="s">
        <v>132</v>
      </c>
    </row>
    <row r="151" spans="1:7" x14ac:dyDescent="0.45">
      <c r="E151" s="59" t="s">
        <v>88</v>
      </c>
    </row>
    <row r="152" spans="1:7" x14ac:dyDescent="0.45">
      <c r="C152" s="66" t="s">
        <v>86</v>
      </c>
      <c r="D152" s="18" t="s">
        <v>135</v>
      </c>
    </row>
    <row r="154" spans="1:7" x14ac:dyDescent="0.45">
      <c r="C154" s="66" t="s">
        <v>109</v>
      </c>
      <c r="D154" s="66" t="s">
        <v>90</v>
      </c>
    </row>
    <row r="155" spans="1:7" x14ac:dyDescent="0.45">
      <c r="C155" s="66" t="s">
        <v>91</v>
      </c>
      <c r="D155" t="s">
        <v>96</v>
      </c>
      <c r="E155" t="s">
        <v>99</v>
      </c>
      <c r="F155" t="s">
        <v>104</v>
      </c>
      <c r="G155" t="s">
        <v>107</v>
      </c>
    </row>
    <row r="156" spans="1:7" x14ac:dyDescent="0.45">
      <c r="C156" s="67" t="s">
        <v>24</v>
      </c>
      <c r="D156" s="55">
        <v>1</v>
      </c>
      <c r="E156" s="55">
        <v>1</v>
      </c>
      <c r="F156" s="55">
        <v>1</v>
      </c>
      <c r="G156" s="55">
        <v>3</v>
      </c>
    </row>
    <row r="157" spans="1:7" x14ac:dyDescent="0.45">
      <c r="C157" s="67" t="s">
        <v>107</v>
      </c>
      <c r="D157" s="55">
        <v>1</v>
      </c>
      <c r="E157" s="55">
        <v>1</v>
      </c>
      <c r="F157" s="55">
        <v>1</v>
      </c>
      <c r="G157" s="55">
        <v>3</v>
      </c>
    </row>
    <row r="159" spans="1:7" ht="21" x14ac:dyDescent="0.65">
      <c r="C159" s="70" t="s">
        <v>78</v>
      </c>
    </row>
    <row r="160" spans="1:7" x14ac:dyDescent="0.45">
      <c r="E160" s="59" t="s">
        <v>88</v>
      </c>
    </row>
    <row r="161" spans="1:16" x14ac:dyDescent="0.45">
      <c r="C161" s="66" t="s">
        <v>86</v>
      </c>
      <c r="D161" s="18" t="s">
        <v>135</v>
      </c>
    </row>
    <row r="163" spans="1:16" x14ac:dyDescent="0.45">
      <c r="C163" s="66" t="s">
        <v>89</v>
      </c>
      <c r="D163" s="66" t="s">
        <v>90</v>
      </c>
    </row>
    <row r="164" spans="1:16" x14ac:dyDescent="0.45">
      <c r="C164" s="66" t="s">
        <v>91</v>
      </c>
      <c r="D164" t="s">
        <v>96</v>
      </c>
      <c r="E164" t="s">
        <v>99</v>
      </c>
      <c r="F164" t="s">
        <v>104</v>
      </c>
      <c r="G164" t="s">
        <v>107</v>
      </c>
    </row>
    <row r="165" spans="1:16" x14ac:dyDescent="0.45">
      <c r="C165" s="67" t="s">
        <v>24</v>
      </c>
      <c r="D165" s="55">
        <v>0</v>
      </c>
      <c r="E165" s="55">
        <v>0</v>
      </c>
      <c r="F165" s="55">
        <v>225000</v>
      </c>
      <c r="G165" s="55">
        <v>225000</v>
      </c>
    </row>
    <row r="166" spans="1:16" x14ac:dyDescent="0.45">
      <c r="C166" s="67" t="s">
        <v>107</v>
      </c>
      <c r="D166" s="55">
        <v>0</v>
      </c>
      <c r="E166" s="55">
        <v>0</v>
      </c>
      <c r="F166" s="55">
        <v>225000</v>
      </c>
      <c r="G166" s="55">
        <v>225000</v>
      </c>
    </row>
    <row r="169" spans="1:16" s="21" customFormat="1" ht="18" x14ac:dyDescent="0.55000000000000004">
      <c r="A169" s="19">
        <v>7</v>
      </c>
      <c r="B169" s="20"/>
      <c r="C169" s="21" t="s">
        <v>136</v>
      </c>
    </row>
    <row r="171" spans="1:16" ht="15.75" x14ac:dyDescent="0.5">
      <c r="K171" s="110" t="s">
        <v>137</v>
      </c>
    </row>
    <row r="172" spans="1:16" x14ac:dyDescent="0.45">
      <c r="C172" s="29" t="s">
        <v>80</v>
      </c>
      <c r="D172" s="22" t="s">
        <v>138</v>
      </c>
      <c r="E172" s="22"/>
      <c r="F172" s="22"/>
      <c r="G172" s="22"/>
      <c r="H172" s="22"/>
      <c r="I172" s="23"/>
      <c r="K172" s="92" t="s">
        <v>139</v>
      </c>
      <c r="L172" s="22"/>
      <c r="M172" s="22"/>
      <c r="N172" s="22"/>
      <c r="O172" s="22"/>
      <c r="P172" s="23"/>
    </row>
    <row r="173" spans="1:16" x14ac:dyDescent="0.45">
      <c r="C173" s="30"/>
      <c r="D173" s="32" t="s">
        <v>82</v>
      </c>
      <c r="E173" s="32" t="s">
        <v>66</v>
      </c>
      <c r="F173" s="32" t="s">
        <v>64</v>
      </c>
      <c r="G173" s="32" t="s">
        <v>65</v>
      </c>
      <c r="H173" s="32" t="s">
        <v>69</v>
      </c>
      <c r="I173" s="33" t="s">
        <v>68</v>
      </c>
      <c r="K173" s="24" t="s">
        <v>140</v>
      </c>
      <c r="P173" s="25"/>
    </row>
    <row r="174" spans="1:16" x14ac:dyDescent="0.45">
      <c r="C174" s="24" t="s">
        <v>127</v>
      </c>
      <c r="D174" s="34">
        <f>SUMIFS(Table2[Amount tracked through this row],Table2[Details on the request],Utilities!$B$26)</f>
        <v>4500514</v>
      </c>
      <c r="E174" s="35">
        <f>SUMIFS(Table2[Amount tracked through this row],Table2[Details on the request],Utilities!$B$26,Table2[Source of funding identified (Details)],Overview!E$173)</f>
        <v>0</v>
      </c>
      <c r="F174" s="35">
        <f>SUMIFS(Table2[Amount tracked through this row],Table2[Details on the request],Utilities!$B$26,Table2[Source of funding identified (Details)],Overview!F$173)</f>
        <v>956514</v>
      </c>
      <c r="G174" s="35">
        <f>SUMIFS(Table2[Amount tracked through this row],Table2[Details on the request],Utilities!$B$26,Table2[Source of funding identified (Details)],Overview!G$173)</f>
        <v>3544000</v>
      </c>
      <c r="H174" s="35">
        <f>SUMIFS(Table2[Amount tracked through this row],Table2[Details on the request],Utilities!$B$26,Table2[Source of funding identified (Details)],Overview!H$173)</f>
        <v>0</v>
      </c>
      <c r="I174" s="36">
        <f>SUMIFS(Table2[Amount tracked through this row],Table2[Details on the request],Utilities!$B$26,Table2[Source of funding identified (Details)],Overview!I$173)</f>
        <v>0</v>
      </c>
      <c r="K174" s="96">
        <f ca="1">D180/D174</f>
        <v>1</v>
      </c>
      <c r="L174" s="27"/>
      <c r="M174" s="27"/>
      <c r="N174" s="27"/>
      <c r="O174" s="27"/>
      <c r="P174" s="28"/>
    </row>
    <row r="175" spans="1:16" x14ac:dyDescent="0.45">
      <c r="C175" s="24" t="s">
        <v>14</v>
      </c>
      <c r="D175" s="37">
        <f ca="1">SUMIFS(Table2[Amount tracked through this row],Table2[Status],Overview!$C175,Table2[Details on the request],Utilities!$B$26)</f>
        <v>0</v>
      </c>
      <c r="E175" s="95"/>
      <c r="F175" s="95"/>
      <c r="G175" s="95"/>
      <c r="H175" s="95"/>
      <c r="I175" s="44"/>
    </row>
    <row r="176" spans="1:16" x14ac:dyDescent="0.45">
      <c r="C176" s="24" t="s">
        <v>16</v>
      </c>
      <c r="D176" s="37">
        <f ca="1">SUMIFS(Table2[Amount tracked through this row],Table2[Status],Overview!$C176,Table2[Details on the request],Utilities!$B$26)</f>
        <v>0</v>
      </c>
      <c r="E176" s="95"/>
      <c r="F176" s="95"/>
      <c r="G176" s="95"/>
      <c r="H176" s="95"/>
      <c r="I176" s="44"/>
    </row>
    <row r="177" spans="3:9" x14ac:dyDescent="0.45">
      <c r="C177" s="24" t="s">
        <v>18</v>
      </c>
      <c r="D177" s="37">
        <f ca="1">SUMIFS(Table2[Amount tracked through this row],Table2[Status],Overview!$C177,Table2[Details on the request],Utilities!$B$26)</f>
        <v>0</v>
      </c>
      <c r="E177" s="1">
        <f ca="1">SUMIFS(Table2[Amount tracked through this row],Table2[Status],Overview!$C177,Table2[Details on the request],Utilities!$B$26,Table2[Source of funding identified (Details)],Overview!E$173)</f>
        <v>0</v>
      </c>
      <c r="F177" s="1">
        <f ca="1">SUMIFS(Table2[Amount tracked through this row],Table2[Status],Overview!$C177,Table2[Details on the request],Utilities!$B$26,Table2[Source of funding identified (Details)],Overview!F$173)</f>
        <v>0</v>
      </c>
      <c r="G177" s="1">
        <f ca="1">SUMIFS(Table2[Amount tracked through this row],Table2[Status],Overview!$C177,Table2[Details on the request],Utilities!$B$26,Table2[Source of funding identified (Details)],Overview!G$173)</f>
        <v>0</v>
      </c>
      <c r="H177" s="1">
        <f ca="1">SUMIFS(Table2[Amount tracked through this row],Table2[Status],Overview!$C177,Table2[Details on the request],Utilities!$B$26,Table2[Source of funding identified (Details)],Overview!H$173)</f>
        <v>0</v>
      </c>
      <c r="I177" s="39">
        <f ca="1">SUMIFS(Table2[Amount tracked through this row],Table2[Status],Overview!$C177,Table2[Details on the request],Utilities!$B$26,Table2[Source of funding identified (Details)],Overview!I$173)</f>
        <v>0</v>
      </c>
    </row>
    <row r="178" spans="3:9" x14ac:dyDescent="0.45">
      <c r="C178" s="24" t="s">
        <v>83</v>
      </c>
      <c r="D178" s="37"/>
      <c r="E178" s="1"/>
      <c r="F178" s="1"/>
      <c r="G178" s="1"/>
      <c r="H178" s="1"/>
      <c r="I178" s="39"/>
    </row>
    <row r="179" spans="3:9" x14ac:dyDescent="0.45">
      <c r="C179" s="24" t="s">
        <v>84</v>
      </c>
      <c r="D179" s="37">
        <f ca="1">SUMIFS(Table2[Amount tracked through this row],Table2[Status],Overview!$C179,Table2[Details on the request],Utilities!$B$26)</f>
        <v>0</v>
      </c>
      <c r="E179" s="1">
        <f ca="1">SUMIFS(Table2[Amount tracked through this row],Table2[Status],Overview!$C179,Table2[Details on the request],Utilities!$B$26,Table2[Source of funding identified (Details)],Overview!E$173)</f>
        <v>0</v>
      </c>
      <c r="F179" s="1">
        <f ca="1">SUMIFS(Table2[Amount tracked through this row],Table2[Status],Overview!$C179,Table2[Details on the request],Utilities!$B$26,Table2[Source of funding identified (Details)],Overview!F$173)</f>
        <v>0</v>
      </c>
      <c r="G179" s="1">
        <f ca="1">SUMIFS(Table2[Amount tracked through this row],Table2[Status],Overview!$C179,Table2[Details on the request],Utilities!$B$26,Table2[Source of funding identified (Details)],Overview!G$173)</f>
        <v>0</v>
      </c>
      <c r="H179" s="1">
        <f ca="1">SUMIFS(Table2[Amount tracked through this row],Table2[Status],Overview!$C179,Table2[Details on the request],Utilities!$B$26,Table2[Source of funding identified (Details)],Overview!H$173)</f>
        <v>0</v>
      </c>
      <c r="I179" s="39">
        <f ca="1">SUMIFS(Table2[Amount tracked through this row],Table2[Status],Overview!$C179,Table2[Details on the request],Utilities!$B$26,Table2[Source of funding identified (Details)],Overview!I$173)</f>
        <v>0</v>
      </c>
    </row>
    <row r="180" spans="3:9" x14ac:dyDescent="0.45">
      <c r="C180" s="26" t="s">
        <v>22</v>
      </c>
      <c r="D180" s="40">
        <f ca="1">SUMIFS(Table2[Amount tracked through this row],Table2[Status],Overview!$C180,Table2[Details on the request],Utilities!$B$26)</f>
        <v>4500514</v>
      </c>
      <c r="E180" s="41">
        <f ca="1">SUMIFS(Table2[Amount tracked through this row],Table2[Status],Overview!$C180,Table2[Details on the request],Utilities!$B$26,Table2[Source of funding identified (Details)],Overview!E$173)</f>
        <v>0</v>
      </c>
      <c r="F180" s="41">
        <f ca="1">SUMIFS(Table2[Amount tracked through this row],Table2[Status],Overview!$C180,Table2[Details on the request],Utilities!$B$26,Table2[Source of funding identified (Details)],Overview!F$173)</f>
        <v>956514</v>
      </c>
      <c r="G180" s="41">
        <f ca="1">SUMIFS(Table2[Amount tracked through this row],Table2[Status],Overview!$C180,Table2[Details on the request],Utilities!$B$26,Table2[Source of funding identified (Details)],Overview!G$173)</f>
        <v>3544000</v>
      </c>
      <c r="H180" s="41">
        <f ca="1">SUMIFS(Table2[Amount tracked through this row],Table2[Status],Overview!$C180,Table2[Details on the request],Utilities!$B$26,Table2[Source of funding identified (Details)],Overview!H$173)</f>
        <v>0</v>
      </c>
      <c r="I180" s="42">
        <f ca="1">SUMIFS(Table2[Amount tracked through this row],Table2[Status],Overview!$C180,Table2[Details on the request],Utilities!$B$26,Table2[Source of funding identified (Details)],Overview!I$173)</f>
        <v>0</v>
      </c>
    </row>
    <row r="181" spans="3:9" x14ac:dyDescent="0.45">
      <c r="C181" s="48" t="s">
        <v>24</v>
      </c>
      <c r="D181" s="45">
        <f ca="1">D174-SUM(D175:D180)</f>
        <v>0</v>
      </c>
      <c r="E181" s="46"/>
      <c r="F181" s="46"/>
      <c r="G181" s="46"/>
      <c r="H181" s="46"/>
      <c r="I181" s="47"/>
    </row>
    <row r="183" spans="3:9" ht="21" x14ac:dyDescent="0.65">
      <c r="C183" s="70" t="s">
        <v>132</v>
      </c>
    </row>
    <row r="185" spans="3:9" x14ac:dyDescent="0.45">
      <c r="C185" s="66" t="s">
        <v>141</v>
      </c>
      <c r="D185" s="18" t="s">
        <v>76</v>
      </c>
      <c r="E185" s="59" t="s">
        <v>88</v>
      </c>
    </row>
    <row r="187" spans="3:9" x14ac:dyDescent="0.45">
      <c r="C187" s="66" t="s">
        <v>109</v>
      </c>
      <c r="D187" s="66" t="s">
        <v>90</v>
      </c>
    </row>
    <row r="188" spans="3:9" x14ac:dyDescent="0.45">
      <c r="C188" s="66" t="s">
        <v>91</v>
      </c>
      <c r="D188" t="s">
        <v>93</v>
      </c>
      <c r="E188" t="s">
        <v>95</v>
      </c>
      <c r="F188" t="s">
        <v>107</v>
      </c>
    </row>
    <row r="189" spans="3:9" x14ac:dyDescent="0.45">
      <c r="C189" s="67" t="s">
        <v>22</v>
      </c>
      <c r="D189" s="55">
        <v>2</v>
      </c>
      <c r="E189" s="55">
        <v>2</v>
      </c>
      <c r="F189" s="55">
        <v>4</v>
      </c>
    </row>
    <row r="190" spans="3:9" x14ac:dyDescent="0.45">
      <c r="C190" s="67" t="s">
        <v>107</v>
      </c>
      <c r="D190" s="55">
        <v>2</v>
      </c>
      <c r="E190" s="55">
        <v>2</v>
      </c>
      <c r="F190" s="55">
        <v>4</v>
      </c>
    </row>
    <row r="192" spans="3:9" ht="21" x14ac:dyDescent="0.65">
      <c r="C192" s="70" t="s">
        <v>78</v>
      </c>
      <c r="D192" s="55"/>
      <c r="E192" s="55"/>
      <c r="F192" s="55"/>
      <c r="G192" s="55"/>
      <c r="H192" s="55"/>
      <c r="I192" s="55"/>
    </row>
    <row r="194" spans="1:6" x14ac:dyDescent="0.45">
      <c r="C194" s="66" t="s">
        <v>141</v>
      </c>
      <c r="D194" s="18" t="s">
        <v>76</v>
      </c>
      <c r="E194" s="59" t="s">
        <v>88</v>
      </c>
    </row>
    <row r="196" spans="1:6" x14ac:dyDescent="0.45">
      <c r="C196" s="66" t="s">
        <v>89</v>
      </c>
      <c r="D196" s="66" t="s">
        <v>90</v>
      </c>
    </row>
    <row r="197" spans="1:6" x14ac:dyDescent="0.45">
      <c r="C197" s="66" t="s">
        <v>91</v>
      </c>
      <c r="D197" t="s">
        <v>93</v>
      </c>
      <c r="E197" t="s">
        <v>95</v>
      </c>
      <c r="F197" t="s">
        <v>107</v>
      </c>
    </row>
    <row r="198" spans="1:6" x14ac:dyDescent="0.45">
      <c r="C198" s="67" t="s">
        <v>22</v>
      </c>
      <c r="D198" s="55">
        <v>1884012</v>
      </c>
      <c r="E198" s="55">
        <v>2616502</v>
      </c>
      <c r="F198" s="55">
        <v>4500514</v>
      </c>
    </row>
    <row r="199" spans="1:6" x14ac:dyDescent="0.45">
      <c r="C199" s="67" t="s">
        <v>107</v>
      </c>
      <c r="D199" s="55">
        <v>1884012</v>
      </c>
      <c r="E199" s="55">
        <v>2616502</v>
      </c>
      <c r="F199" s="55">
        <v>4500514</v>
      </c>
    </row>
    <row r="203" spans="1:6" s="21" customFormat="1" ht="18" x14ac:dyDescent="0.55000000000000004">
      <c r="A203" s="19">
        <v>8</v>
      </c>
      <c r="B203" s="20"/>
      <c r="C203" s="21" t="s">
        <v>142</v>
      </c>
    </row>
    <row r="205" spans="1:6" x14ac:dyDescent="0.45">
      <c r="C205" s="18"/>
      <c r="D205" s="59" t="s">
        <v>143</v>
      </c>
    </row>
    <row r="207" spans="1:6" x14ac:dyDescent="0.45">
      <c r="C207" s="66" t="s">
        <v>144</v>
      </c>
      <c r="D207" s="66" t="s">
        <v>145</v>
      </c>
      <c r="E207" t="s">
        <v>89</v>
      </c>
      <c r="F207" t="s">
        <v>146</v>
      </c>
    </row>
    <row r="208" spans="1:6" x14ac:dyDescent="0.45">
      <c r="C208" t="s">
        <v>66</v>
      </c>
      <c r="D208" t="s">
        <v>95</v>
      </c>
      <c r="E208" s="55">
        <v>8000000</v>
      </c>
      <c r="F208" s="199"/>
    </row>
    <row r="209" spans="3:6" x14ac:dyDescent="0.45">
      <c r="D209" t="s">
        <v>101</v>
      </c>
      <c r="E209" s="55">
        <v>6200000</v>
      </c>
      <c r="F209" s="199"/>
    </row>
    <row r="210" spans="3:6" x14ac:dyDescent="0.45">
      <c r="D210" t="s">
        <v>104</v>
      </c>
      <c r="E210" s="55">
        <v>5552930</v>
      </c>
      <c r="F210" s="199"/>
    </row>
    <row r="211" spans="3:6" x14ac:dyDescent="0.45">
      <c r="D211" t="s">
        <v>98</v>
      </c>
      <c r="E211" s="55">
        <v>2798000</v>
      </c>
      <c r="F211" s="199"/>
    </row>
    <row r="212" spans="3:6" x14ac:dyDescent="0.45">
      <c r="D212" t="s">
        <v>103</v>
      </c>
      <c r="E212" s="55">
        <v>20392690.973559324</v>
      </c>
      <c r="F212" s="199"/>
    </row>
    <row r="213" spans="3:6" x14ac:dyDescent="0.45">
      <c r="C213" t="s">
        <v>64</v>
      </c>
      <c r="D213" t="s">
        <v>92</v>
      </c>
      <c r="E213" s="55">
        <v>500000</v>
      </c>
      <c r="F213" s="199">
        <v>0.24</v>
      </c>
    </row>
    <row r="214" spans="3:6" x14ac:dyDescent="0.45">
      <c r="D214" t="s">
        <v>93</v>
      </c>
      <c r="E214" s="55">
        <v>3740012</v>
      </c>
      <c r="F214" s="199">
        <v>0.79</v>
      </c>
    </row>
    <row r="215" spans="3:6" x14ac:dyDescent="0.45">
      <c r="D215" t="s">
        <v>94</v>
      </c>
      <c r="E215" s="55">
        <v>3458028</v>
      </c>
      <c r="F215" s="199">
        <v>0.49</v>
      </c>
    </row>
    <row r="216" spans="3:6" x14ac:dyDescent="0.45">
      <c r="D216" t="s">
        <v>95</v>
      </c>
      <c r="E216" s="55">
        <v>4086502</v>
      </c>
      <c r="F216" s="199">
        <v>0.80000000000000016</v>
      </c>
    </row>
    <row r="217" spans="3:6" x14ac:dyDescent="0.45">
      <c r="D217" t="s">
        <v>106</v>
      </c>
      <c r="E217" s="55">
        <v>1956578.606060606</v>
      </c>
      <c r="F217" s="199"/>
    </row>
    <row r="218" spans="3:6" x14ac:dyDescent="0.45">
      <c r="D218" t="s">
        <v>101</v>
      </c>
      <c r="E218" s="55">
        <v>5017098.76</v>
      </c>
      <c r="F218" s="199">
        <v>0.33</v>
      </c>
    </row>
    <row r="219" spans="3:6" x14ac:dyDescent="0.45">
      <c r="D219" t="s">
        <v>97</v>
      </c>
      <c r="E219" s="55">
        <v>1526147</v>
      </c>
      <c r="F219" s="199">
        <v>0.54</v>
      </c>
    </row>
    <row r="220" spans="3:6" x14ac:dyDescent="0.45">
      <c r="D220" t="s">
        <v>104</v>
      </c>
      <c r="E220" s="55">
        <v>5114501</v>
      </c>
      <c r="F220" s="199">
        <v>0</v>
      </c>
    </row>
    <row r="221" spans="3:6" x14ac:dyDescent="0.45">
      <c r="D221" t="s">
        <v>98</v>
      </c>
      <c r="E221" s="55">
        <v>3043000</v>
      </c>
      <c r="F221" s="199">
        <v>0.03</v>
      </c>
    </row>
    <row r="222" spans="3:6" x14ac:dyDescent="0.45">
      <c r="D222" t="s">
        <v>103</v>
      </c>
      <c r="E222" s="55">
        <v>3600000</v>
      </c>
      <c r="F222" s="199"/>
    </row>
    <row r="223" spans="3:6" x14ac:dyDescent="0.45">
      <c r="C223" t="s">
        <v>65</v>
      </c>
      <c r="D223" t="s">
        <v>93</v>
      </c>
      <c r="E223" s="55">
        <v>1144000</v>
      </c>
      <c r="F223" s="199">
        <v>0.56000000000000005</v>
      </c>
    </row>
    <row r="224" spans="3:6" x14ac:dyDescent="0.45">
      <c r="D224" t="s">
        <v>95</v>
      </c>
      <c r="E224" s="55">
        <v>4600000</v>
      </c>
      <c r="F224" s="199">
        <v>0.05</v>
      </c>
    </row>
    <row r="225" spans="4:6" x14ac:dyDescent="0.45">
      <c r="D225" t="s">
        <v>105</v>
      </c>
      <c r="E225" s="55">
        <v>1490000</v>
      </c>
      <c r="F225" s="199">
        <v>0</v>
      </c>
    </row>
    <row r="226" spans="4:6" x14ac:dyDescent="0.45">
      <c r="D226" t="s">
        <v>106</v>
      </c>
      <c r="E226" s="55">
        <v>198000</v>
      </c>
      <c r="F226" s="199"/>
    </row>
    <row r="227" spans="4:6" x14ac:dyDescent="0.45">
      <c r="D227" t="s">
        <v>104</v>
      </c>
      <c r="E227" s="55">
        <v>6809556</v>
      </c>
      <c r="F227" s="199">
        <v>0.45</v>
      </c>
    </row>
    <row r="228" spans="4:6" x14ac:dyDescent="0.45">
      <c r="D228" t="s">
        <v>103</v>
      </c>
      <c r="E228" s="55">
        <v>3600000</v>
      </c>
      <c r="F228" s="199"/>
    </row>
  </sheetData>
  <conditionalFormatting pivot="1" sqref="F208:F228">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horizontalDpi="1200" verticalDpi="1200" r:id="rId12"/>
  <extLst>
    <ext xmlns:x14="http://schemas.microsoft.com/office/spreadsheetml/2009/9/main" uri="{CCE6A557-97BC-4b89-ADB6-D9C93CAAB3DF}">
      <x14:dataValidations xmlns:xm="http://schemas.microsoft.com/office/excel/2006/main" count="1">
        <x14:dataValidation type="list" allowBlank="1" showInputMessage="1" showErrorMessage="1" xr:uid="{846CE9A2-D4BC-493D-B0C1-E3D2FE3C722F}">
          <x14:formula1>
            <xm:f>'SCM &amp; DO contact list'!$A$2:$A$161</xm:f>
          </x14:formula1>
          <xm:sqref>D69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B435D-7ADE-46F5-A962-A8F0E9EC6DF3}">
  <dimension ref="A1:AK42"/>
  <sheetViews>
    <sheetView tabSelected="1" zoomScale="70" zoomScaleNormal="70" workbookViewId="0">
      <pane xSplit="1" topLeftCell="M1" activePane="topRight" state="frozen"/>
      <selection pane="topRight" activeCell="Q15" sqref="Q15"/>
    </sheetView>
  </sheetViews>
  <sheetFormatPr defaultColWidth="8.86328125" defaultRowHeight="14.25" outlineLevelCol="1" x14ac:dyDescent="0.45"/>
  <cols>
    <col min="1" max="2" width="32.1328125" customWidth="1"/>
    <col min="3" max="3" width="19.86328125" customWidth="1"/>
    <col min="4" max="4" width="16.86328125" hidden="1" customWidth="1" outlineLevel="1"/>
    <col min="5" max="5" width="20.1328125" hidden="1" customWidth="1" outlineLevel="1"/>
    <col min="6" max="6" width="14.3984375" style="210" customWidth="1" collapsed="1"/>
    <col min="7" max="7" width="13.1328125" style="181" customWidth="1"/>
    <col min="8" max="8" width="33.1328125" style="173" customWidth="1"/>
    <col min="9" max="9" width="241.86328125" bestFit="1" customWidth="1"/>
    <col min="10" max="10" width="38.86328125" customWidth="1" outlineLevel="1"/>
    <col min="11" max="11" width="29.1328125" customWidth="1" outlineLevel="1"/>
    <col min="12" max="12" width="34.86328125" customWidth="1" outlineLevel="1"/>
    <col min="13" max="13" width="14.1328125" customWidth="1" outlineLevel="1"/>
    <col min="14" max="14" width="21" customWidth="1" outlineLevel="1"/>
    <col min="15" max="15" width="36.86328125" customWidth="1" outlineLevel="1"/>
    <col min="16" max="16" width="34.86328125" customWidth="1" outlineLevel="1"/>
    <col min="17" max="17" width="33.86328125" customWidth="1" outlineLevel="1"/>
    <col min="18" max="18" width="21.86328125" style="13" customWidth="1" outlineLevel="1"/>
    <col min="19" max="19" width="57.86328125" customWidth="1" outlineLevel="1"/>
    <col min="20" max="20" width="42.3984375" customWidth="1" outlineLevel="1"/>
    <col min="21" max="21" width="25.86328125" customWidth="1" outlineLevel="1"/>
    <col min="22" max="24" width="33.1328125" customWidth="1" outlineLevel="1"/>
    <col min="25" max="25" width="255.86328125" bestFit="1" customWidth="1"/>
    <col min="26" max="26" width="34.265625" customWidth="1"/>
    <col min="27" max="27" width="0.86328125" customWidth="1"/>
    <col min="28" max="28" width="25" customWidth="1"/>
    <col min="29" max="30" width="40.1328125" customWidth="1"/>
    <col min="31" max="33" width="63.3984375" customWidth="1"/>
    <col min="34" max="34" width="15.86328125" customWidth="1"/>
    <col min="35" max="35" width="15.1328125" customWidth="1"/>
    <col min="36" max="36" width="2.86328125" style="31" customWidth="1"/>
  </cols>
  <sheetData>
    <row r="1" spans="1:37" x14ac:dyDescent="0.45">
      <c r="A1" s="118" t="s">
        <v>147</v>
      </c>
      <c r="B1" s="118" t="s">
        <v>148</v>
      </c>
      <c r="C1" s="3" t="s">
        <v>145</v>
      </c>
      <c r="D1" s="118" t="s">
        <v>149</v>
      </c>
      <c r="E1" s="118" t="s">
        <v>150</v>
      </c>
      <c r="F1" s="200" t="s">
        <v>151</v>
      </c>
      <c r="G1" s="178" t="s">
        <v>86</v>
      </c>
      <c r="H1" s="188" t="s">
        <v>152</v>
      </c>
      <c r="I1" s="3" t="s">
        <v>141</v>
      </c>
      <c r="J1" s="3" t="s">
        <v>153</v>
      </c>
      <c r="K1" s="3" t="s">
        <v>154</v>
      </c>
      <c r="L1" s="14" t="s">
        <v>155</v>
      </c>
      <c r="M1" s="14" t="s">
        <v>156</v>
      </c>
      <c r="N1" s="14" t="s">
        <v>157</v>
      </c>
      <c r="O1" s="14" t="s">
        <v>158</v>
      </c>
      <c r="P1" s="14" t="s">
        <v>144</v>
      </c>
      <c r="Q1" s="14" t="s">
        <v>159</v>
      </c>
      <c r="R1" s="211" t="s">
        <v>160</v>
      </c>
      <c r="S1" s="14" t="s">
        <v>161</v>
      </c>
      <c r="T1" s="14" t="s">
        <v>162</v>
      </c>
      <c r="U1" s="14" t="s">
        <v>163</v>
      </c>
      <c r="V1" s="14" t="s">
        <v>164</v>
      </c>
      <c r="W1" s="118" t="s">
        <v>165</v>
      </c>
      <c r="X1" s="118" t="s">
        <v>166</v>
      </c>
      <c r="Y1" s="119" t="s">
        <v>167</v>
      </c>
      <c r="Z1" s="118" t="s">
        <v>168</v>
      </c>
      <c r="AA1" s="118" t="s">
        <v>169</v>
      </c>
      <c r="AB1" s="118" t="s">
        <v>170</v>
      </c>
      <c r="AC1" s="118" t="s">
        <v>171</v>
      </c>
      <c r="AD1" s="118" t="s">
        <v>172</v>
      </c>
      <c r="AE1" s="118" t="s">
        <v>173</v>
      </c>
      <c r="AF1" s="118" t="s">
        <v>174</v>
      </c>
      <c r="AG1" s="118" t="s">
        <v>175</v>
      </c>
      <c r="AH1" s="60" t="s">
        <v>176</v>
      </c>
      <c r="AI1" s="60" t="s">
        <v>177</v>
      </c>
      <c r="AJ1" s="61" t="s">
        <v>28</v>
      </c>
      <c r="AK1" s="69" t="s">
        <v>178</v>
      </c>
    </row>
    <row r="2" spans="1:37" x14ac:dyDescent="0.45">
      <c r="A2" t="str">
        <f>CONCATENATE(C2,F2,L2)</f>
        <v>Somalia36600044670</v>
      </c>
      <c r="B2" t="s">
        <v>255</v>
      </c>
      <c r="C2" t="s">
        <v>104</v>
      </c>
      <c r="D2" t="str">
        <f>INDEX(Table1[#All],MATCH('Funding tracker'!$C36,Table1[[#All],[Recipient country Name]],0),MATCH('Funding tracker'!D$1,Table1[#Headers],0))</f>
        <v>Patience Musanhu</v>
      </c>
      <c r="E2" t="str">
        <f>INDEX(Table1[#All],MATCH('Funding tracker'!$C36,Table1[[#All],[Recipient country Name]],0),MATCH('Funding tracker'!E$1,Table1[#Headers],0))</f>
        <v>Abu</v>
      </c>
      <c r="F2" s="201">
        <v>366000</v>
      </c>
      <c r="G2" s="181" t="s">
        <v>135</v>
      </c>
      <c r="H2" s="173">
        <v>225000</v>
      </c>
      <c r="I2" t="s">
        <v>264</v>
      </c>
      <c r="J2" t="s">
        <v>265</v>
      </c>
      <c r="K2" t="s">
        <v>218</v>
      </c>
      <c r="L2" s="63">
        <v>44670</v>
      </c>
      <c r="M2" t="s">
        <v>71</v>
      </c>
      <c r="N2" s="2">
        <v>44678</v>
      </c>
      <c r="O2" t="s">
        <v>71</v>
      </c>
      <c r="P2" t="s">
        <v>65</v>
      </c>
      <c r="Q2" s="2">
        <v>44670</v>
      </c>
      <c r="R2" s="13">
        <f>Table2[[#This Row],[Amount tracked through this row]]</f>
        <v>225000</v>
      </c>
      <c r="S2" t="s">
        <v>71</v>
      </c>
      <c r="T2" s="2">
        <v>44699</v>
      </c>
      <c r="U2" t="s">
        <v>72</v>
      </c>
      <c r="V2" s="2"/>
      <c r="W2" s="13">
        <f>MONTH(Table2[[#This Row],[Funds disbursed (Date)]])</f>
        <v>1</v>
      </c>
      <c r="X2" s="192"/>
      <c r="Y2" t="s">
        <v>266</v>
      </c>
      <c r="Z2" s="59" t="s">
        <v>24</v>
      </c>
      <c r="AA2" s="65">
        <f ca="1">_xlfn.DAYS(TODAY(),$N2)</f>
        <v>205</v>
      </c>
      <c r="AB2" s="65">
        <f ca="1">_xlfn.DAYS(TODAY(),$L2)</f>
        <v>213</v>
      </c>
      <c r="AC2" s="12">
        <f ca="1">IF(Table2[[#This Row],[Lead time from formal request received to today (days)]]&lt;400,Table2[[#This Row],[Lead time from formal request received to today (days)]],"-")</f>
        <v>205</v>
      </c>
      <c r="AD2" s="12">
        <f ca="1">IF(AND(Table2[[#This Row],[Funds disbursed (Date)]]="",Table2[[#This Row],[Source of funding identified (Details)]]&lt;&gt;""),TODAY()-Table2[[#This Row],[Sources of funding identified (Date) - or standard request discussed during CoVDP Funding Alignment call]],"-")</f>
        <v>213</v>
      </c>
      <c r="AE2" s="12"/>
      <c r="AF2" s="12" t="str">
        <f>IF(V2="","",NETWORKDAYS(N2,V2)-1)</f>
        <v/>
      </c>
      <c r="AG2" s="12" t="str">
        <f>IF(OR(V2="",Table2[[#This Row],[Source of funding identified (Details)]]&lt;&gt;Utilities!$B$6),"",NETWORKDAYS(Q2,V2)-1)</f>
        <v/>
      </c>
      <c r="AI2" t="str">
        <f>IF(Table2[[#This Row],[Column1]]=1,"NO","YES")</f>
        <v>NO</v>
      </c>
      <c r="AJ2" s="31">
        <f>COUNTIF(Table2[Request ID],Table2[[#This Row],[Request ID]])</f>
        <v>1</v>
      </c>
      <c r="AK2" s="62">
        <f ca="1">IF(Table2[[#This Row],[Status]]&lt;&gt;Overview!$C$13,Table2[[#This Row],[Lead time from informal request received to today (days)2]],"Disbursed")</f>
        <v>213</v>
      </c>
    </row>
    <row r="3" spans="1:37" ht="15.75" customHeight="1" x14ac:dyDescent="0.45">
      <c r="A3" t="str">
        <f>CONCATENATE(C3,F3,L3)</f>
        <v>Burkina Faso50000044515</v>
      </c>
      <c r="B3" t="s">
        <v>185</v>
      </c>
      <c r="C3" t="s">
        <v>92</v>
      </c>
      <c r="D3" t="str">
        <f>INDEX(Table1[#All],MATCH('Funding tracker'!$C22,Table1[[#All],[Recipient country Name]],0),MATCH('Funding tracker'!D$1,Table1[#Headers],0))</f>
        <v>Tito Rwamushaija</v>
      </c>
      <c r="E3" t="str">
        <f>INDEX(Table1[#All],MATCH('Funding tracker'!$C22,Table1[[#All],[Recipient country Name]],0),MATCH('Funding tracker'!E$1,Table1[#Headers],0))</f>
        <v>William</v>
      </c>
      <c r="F3" s="202">
        <v>500000</v>
      </c>
      <c r="G3" s="179" t="s">
        <v>181</v>
      </c>
      <c r="H3" s="172">
        <v>500000</v>
      </c>
      <c r="I3" t="s">
        <v>186</v>
      </c>
      <c r="J3" t="s">
        <v>187</v>
      </c>
      <c r="L3" s="2">
        <v>44515</v>
      </c>
      <c r="M3" t="s">
        <v>71</v>
      </c>
      <c r="N3" s="2">
        <v>44558</v>
      </c>
      <c r="O3" t="s">
        <v>71</v>
      </c>
      <c r="P3" t="s">
        <v>64</v>
      </c>
      <c r="Q3" s="2">
        <v>44560</v>
      </c>
      <c r="R3" s="13">
        <f>Table2[[#This Row],[Amount tracked through this row]]</f>
        <v>500000</v>
      </c>
      <c r="S3" t="s">
        <v>71</v>
      </c>
      <c r="T3" s="2">
        <v>44924</v>
      </c>
      <c r="U3" t="s">
        <v>71</v>
      </c>
      <c r="V3" s="2">
        <v>44563</v>
      </c>
      <c r="W3" s="13">
        <f>MONTH(Table2[[#This Row],[Funds disbursed (Date)]])</f>
        <v>1</v>
      </c>
      <c r="X3" s="192">
        <v>0.24</v>
      </c>
      <c r="Z3" s="62" t="str" cm="1">
        <f t="array" aca="1" ref="Z3" ca="1">_xlfn.IFS(Table2[[#This Row],[Sources of funding identified (yes / no / Identified as not urgent)]]=Utilities!$B$14,"Out of CoVDP scope",U3="yes",Overview!$C$13,AND(Table2[[#This Row],[Lead time from sources identified to today (if not disbursed yet)]]&lt;=15,S3="yes"),Overview!$C$11,AND(Table2[[#This Row],[Lead time from sources identified to today (if not disbursed yet)]]&gt;15,S3="yes"),Overview!$C$12,O3="yes",Overview!$C$10,M3="yes",Overview!$C$9,M3="no",Overview!$C$8)</f>
        <v>Funds disbursed</v>
      </c>
      <c r="AA3" s="12">
        <f ca="1">_xlfn.DAYS(TODAY(),$N3)</f>
        <v>325</v>
      </c>
      <c r="AB3" s="12">
        <f ca="1">_xlfn.DAYS(TODAY(),$L3)</f>
        <v>368</v>
      </c>
      <c r="AC3" s="12">
        <f ca="1">IF(Table2[[#This Row],[Lead time from formal request received to today (days)]]&lt;400,Table2[[#This Row],[Lead time from formal request received to today (days)]],"-")</f>
        <v>325</v>
      </c>
      <c r="AD3" s="12" t="str">
        <f ca="1">IF(AND(Table2[[#This Row],[Funds disbursed (Date)]]="",Table2[[#This Row],[Source of funding identified (Details)]]&lt;&gt;""),TODAY()-Table2[[#This Row],[Sources of funding identified (Date) - or standard request discussed during CoVDP Funding Alignment call]],"-")</f>
        <v>-</v>
      </c>
      <c r="AE3" s="12">
        <f>IF(V3="","-",_xlfn.DAYS(V3,N3))</f>
        <v>5</v>
      </c>
      <c r="AF3" s="12">
        <f>IF(V3="","",NETWORKDAYS(N3,V3)-1)</f>
        <v>3</v>
      </c>
      <c r="AG3" s="12" t="str">
        <f>IF(OR(V3="",Table2[[#This Row],[Source of funding identified (Details)]]&lt;&gt;Utilities!$B$6),"",NETWORKDAYS(Q3,V3)-1)</f>
        <v/>
      </c>
      <c r="AI3" t="str">
        <f>IF(Table2[[#This Row],[Column1]]=1,"NO","YES")</f>
        <v>NO</v>
      </c>
      <c r="AJ3" s="31">
        <f>COUNTIF(Table2[Request ID],Table2[[#This Row],[Request ID]])</f>
        <v>1</v>
      </c>
      <c r="AK3" s="62" t="str">
        <f ca="1">IF(Table2[[#This Row],[Status]]&lt;&gt;Overview!$C$13,Table2[[#This Row],[Lead time from informal request received to today (days)2]],"Disbursed")</f>
        <v>Disbursed</v>
      </c>
    </row>
    <row r="4" spans="1:37" ht="15.75" customHeight="1" x14ac:dyDescent="0.45">
      <c r="A4" t="str">
        <f>CONCATENATE(C4,F4,L4)</f>
        <v>Sierra Leone152000044624</v>
      </c>
      <c r="B4" t="s">
        <v>251</v>
      </c>
      <c r="C4" t="s">
        <v>97</v>
      </c>
      <c r="D4" t="str">
        <f>INDEX(Table1[#All],MATCH('Funding tracker'!$C21,Table1[[#All],[Recipient country Name]],0),MATCH('Funding tracker'!D$1,Table1[#Headers],0))</f>
        <v>Hamidreza Setayesh</v>
      </c>
      <c r="E4" t="str">
        <f>INDEX(Table1[#All],MATCH('Funding tracker'!$C21,Table1[[#All],[Recipient country Name]],0),MATCH('Funding tracker'!E$1,Table1[#Headers],0))</f>
        <v>William</v>
      </c>
      <c r="F4" s="201">
        <v>1520000</v>
      </c>
      <c r="G4" s="186" t="s">
        <v>181</v>
      </c>
      <c r="H4" s="173">
        <v>1526147</v>
      </c>
      <c r="I4" t="s">
        <v>252</v>
      </c>
      <c r="J4" s="62" t="s">
        <v>253</v>
      </c>
      <c r="K4" t="s">
        <v>183</v>
      </c>
      <c r="L4" s="2">
        <v>44624</v>
      </c>
      <c r="M4" t="s">
        <v>71</v>
      </c>
      <c r="N4" s="2">
        <v>44650</v>
      </c>
      <c r="O4" t="s">
        <v>71</v>
      </c>
      <c r="P4" t="s">
        <v>64</v>
      </c>
      <c r="Q4" s="2">
        <v>44662</v>
      </c>
      <c r="R4" s="13">
        <f>Table2[[#This Row],[Amount tracked through this row]]</f>
        <v>1526147</v>
      </c>
      <c r="S4" t="s">
        <v>71</v>
      </c>
      <c r="T4" s="2">
        <v>44662</v>
      </c>
      <c r="U4" t="s">
        <v>71</v>
      </c>
      <c r="V4" s="2">
        <v>44662</v>
      </c>
      <c r="W4" s="13">
        <f>MONTH(Table2[[#This Row],[Funds disbursed (Date)]])</f>
        <v>4</v>
      </c>
      <c r="X4" s="192">
        <v>0.54</v>
      </c>
      <c r="Y4" s="15" t="s">
        <v>254</v>
      </c>
      <c r="Z4" s="62" t="str" cm="1">
        <f t="array" aca="1" ref="Z4" ca="1">_xlfn.IFS(Table2[[#This Row],[Sources of funding identified (yes / no / Identified as not urgent)]]=Utilities!$B$14,"Out of CoVDP scope",U4="yes",Overview!$C$13,AND(Table2[[#This Row],[Lead time from sources identified to today (if not disbursed yet)]]&lt;=15,S4="yes"),Overview!$C$11,AND(Table2[[#This Row],[Lead time from sources identified to today (if not disbursed yet)]]&gt;15,S4="yes"),Overview!$C$12,O4="yes",Overview!$C$10,M4="yes",Overview!$C$9,M4="no",Overview!$C$8)</f>
        <v>Funds disbursed</v>
      </c>
      <c r="AA4" s="12">
        <f ca="1">_xlfn.DAYS(TODAY(),$N4)</f>
        <v>233</v>
      </c>
      <c r="AB4" s="12">
        <f ca="1">_xlfn.DAYS(TODAY(),$L4)</f>
        <v>259</v>
      </c>
      <c r="AC4" s="12">
        <f ca="1">IF(Table2[[#This Row],[Lead time from formal request received to today (days)]]&lt;400,Table2[[#This Row],[Lead time from formal request received to today (days)]],"-")</f>
        <v>233</v>
      </c>
      <c r="AD4" s="12" t="str">
        <f ca="1">IF(AND(Table2[[#This Row],[Funds disbursed (Date)]]="",Table2[[#This Row],[Source of funding identified (Details)]]&lt;&gt;""),TODAY()-Table2[[#This Row],[Sources of funding identified (Date) - or standard request discussed during CoVDP Funding Alignment call]],"-")</f>
        <v>-</v>
      </c>
      <c r="AE4" s="12">
        <f>IF(V4="","-",_xlfn.DAYS(V4,N4))</f>
        <v>12</v>
      </c>
      <c r="AF4" s="12">
        <f>IF(V4="","",NETWORKDAYS(N4,V4)-1)</f>
        <v>8</v>
      </c>
      <c r="AG4" s="12" t="str">
        <f>IF(OR(V4="",Table2[[#This Row],[Source of funding identified (Details)]]&lt;&gt;Utilities!$B$6),"",NETWORKDAYS(Q4,V4)-1)</f>
        <v/>
      </c>
      <c r="AI4" t="str">
        <f>IF(Table2[[#This Row],[Column1]]=1,"NO","YES")</f>
        <v>NO</v>
      </c>
      <c r="AJ4" s="31">
        <f>COUNTIF(Table2[Request ID],Table2[[#This Row],[Request ID]])</f>
        <v>1</v>
      </c>
      <c r="AK4" s="62" t="str">
        <f ca="1">IF(Table2[[#This Row],[Status]]&lt;&gt;Overview!$C$13,Table2[[#This Row],[Lead time from informal request received to today (days)2]],"Disbursed")</f>
        <v>Disbursed</v>
      </c>
    </row>
    <row r="5" spans="1:37" x14ac:dyDescent="0.45">
      <c r="A5" t="str">
        <f>CONCATENATE(C5,F5,L5)</f>
        <v>Kenya1794314.444710</v>
      </c>
      <c r="B5" t="s">
        <v>224</v>
      </c>
      <c r="C5" t="s">
        <v>105</v>
      </c>
      <c r="D5" t="str">
        <f>INDEX(Table1[#All],MATCH('Funding tracker'!$C41,Table1[[#All],[Recipient country Name]],0),MATCH('Funding tracker'!D$1,Table1[#Headers],0))</f>
        <v>Aichatou Cisse</v>
      </c>
      <c r="E5" t="str">
        <f>INDEX(Table1[#All],MATCH('Funding tracker'!$C41,Table1[[#All],[Recipient country Name]],0),MATCH('Funding tracker'!E$1,Table1[#Headers],0))</f>
        <v>Imran</v>
      </c>
      <c r="F5" s="201">
        <v>1794314.4</v>
      </c>
      <c r="G5" s="181" t="s">
        <v>181</v>
      </c>
      <c r="H5" s="173">
        <v>1490000</v>
      </c>
      <c r="I5" t="s">
        <v>225</v>
      </c>
      <c r="J5" t="s">
        <v>226</v>
      </c>
      <c r="K5" t="s">
        <v>183</v>
      </c>
      <c r="L5" s="63">
        <v>44710</v>
      </c>
      <c r="M5" t="s">
        <v>71</v>
      </c>
      <c r="N5" s="2">
        <v>44710</v>
      </c>
      <c r="O5" t="s">
        <v>71</v>
      </c>
      <c r="P5" t="s">
        <v>65</v>
      </c>
      <c r="Q5" s="2">
        <v>44720</v>
      </c>
      <c r="R5" s="13">
        <f>Table2[[#This Row],[Amount tracked through this row]]</f>
        <v>1490000</v>
      </c>
      <c r="S5" t="s">
        <v>71</v>
      </c>
      <c r="T5" s="2">
        <v>37415</v>
      </c>
      <c r="U5" t="s">
        <v>71</v>
      </c>
      <c r="V5" s="2">
        <v>44721</v>
      </c>
      <c r="W5" s="13">
        <f>MONTH(Table2[[#This Row],[Funds disbursed (Date)]])</f>
        <v>6</v>
      </c>
      <c r="X5" s="192">
        <v>0</v>
      </c>
      <c r="Y5" t="s">
        <v>227</v>
      </c>
      <c r="Z5" s="62" t="str" cm="1">
        <f t="array" aca="1" ref="Z5" ca="1">_xlfn.IFS(Table2[[#This Row],[Sources of funding identified (yes / no / Identified as not urgent)]]=Utilities!$B$14,"Out of CoVDP scope",U5="yes",Overview!$C$13,AND(Table2[[#This Row],[Lead time from sources identified to today (if not disbursed yet)]]&lt;15,S5="yes"),Overview!$C$11,AND(Table2[[#This Row],[Lead time from sources identified to today (if not disbursed yet)]]&gt;15,S5="yes"),Overview!$C$12,O5="yes",Overview!$C$10,M5="yes",Overview!$C$9,M5="no",Overview!$C$8)</f>
        <v>Funds disbursed</v>
      </c>
      <c r="AA5" s="65">
        <f ca="1">_xlfn.DAYS(TODAY(),$N5)</f>
        <v>173</v>
      </c>
      <c r="AB5" s="65">
        <f ca="1">_xlfn.DAYS(TODAY(),$L5)</f>
        <v>173</v>
      </c>
      <c r="AC5" s="12">
        <f ca="1">IF(Table2[[#This Row],[Lead time from formal request received to today (days)]]&lt;400,Table2[[#This Row],[Lead time from formal request received to today (days)]],"-")</f>
        <v>173</v>
      </c>
      <c r="AD5" s="12" t="str">
        <f ca="1">IF(AND(Table2[[#This Row],[Funds disbursed (Date)]]="",Table2[[#This Row],[Source of funding identified (Details)]]&lt;&gt;""),TODAY()-Table2[[#This Row],[Sources of funding identified (Date) - or standard request discussed during CoVDP Funding Alignment call]],"-")</f>
        <v>-</v>
      </c>
      <c r="AE5" s="12"/>
      <c r="AF5" s="12">
        <f>IF(V5="","",NETWORKDAYS(N5,V5)-1)</f>
        <v>8</v>
      </c>
      <c r="AG5" s="12" t="str">
        <f>IF(OR(V5="",Table2[[#This Row],[Source of funding identified (Details)]]&lt;&gt;Utilities!$B$6),"",NETWORKDAYS(Q5,V5)-1)</f>
        <v/>
      </c>
      <c r="AI5" t="str">
        <f>IF(Table2[[#This Row],[Column1]]=1,"NO","YES")</f>
        <v>NO</v>
      </c>
      <c r="AJ5" s="31">
        <f>COUNTIF(Table2[Request ID],Table2[[#This Row],[Request ID]])</f>
        <v>1</v>
      </c>
      <c r="AK5" s="62" t="str">
        <f ca="1">IF(Table2[[#This Row],[Status]]&lt;&gt;Overview!$C$13,Table2[[#This Row],[Lead time from informal request received to today (days)2]],"Disbursed")</f>
        <v>Disbursed</v>
      </c>
    </row>
    <row r="6" spans="1:37" x14ac:dyDescent="0.45">
      <c r="A6" t="str">
        <f>CONCATENATE(C6,F6,L6)</f>
        <v>Malawi2154578.6060606144729</v>
      </c>
      <c r="B6" t="s">
        <v>232</v>
      </c>
      <c r="C6" t="s">
        <v>106</v>
      </c>
      <c r="D6" t="str">
        <f>INDEX(Table1[#All],MATCH('Funding tracker'!$C4,Table1[[#All],[Recipient country Name]],0),MATCH('Funding tracker'!D$1,Table1[#Headers],0))</f>
        <v>Tarek Elshimi</v>
      </c>
      <c r="E6" t="str">
        <f>INDEX(Table1[#All],MATCH('Funding tracker'!$C4,Table1[[#All],[Recipient country Name]],0),MATCH('Funding tracker'!E$1,Table1[#Headers],0))</f>
        <v>Imran</v>
      </c>
      <c r="F6" s="202">
        <v>2154578.606060606</v>
      </c>
      <c r="G6" s="179" t="s">
        <v>181</v>
      </c>
      <c r="H6" s="172">
        <v>198000</v>
      </c>
      <c r="I6" t="s">
        <v>233</v>
      </c>
      <c r="J6" s="8" t="s">
        <v>234</v>
      </c>
      <c r="K6" t="s">
        <v>183</v>
      </c>
      <c r="L6" s="2">
        <v>44729</v>
      </c>
      <c r="M6" t="s">
        <v>71</v>
      </c>
      <c r="N6" s="2">
        <v>44734</v>
      </c>
      <c r="O6" s="2" t="s">
        <v>71</v>
      </c>
      <c r="P6" s="2" t="s">
        <v>65</v>
      </c>
      <c r="Q6" s="2">
        <v>44736</v>
      </c>
      <c r="R6" s="13">
        <f>Table2[[#This Row],[Amount tracked through this row]]</f>
        <v>198000</v>
      </c>
      <c r="S6" s="139" t="s">
        <v>72</v>
      </c>
      <c r="T6" s="171">
        <f>Table2[[#This Row],[Sources of funding identified (Date) - or standard request discussed during CoVDP Funding Alignment call]]</f>
        <v>44736</v>
      </c>
      <c r="U6" s="139" t="s">
        <v>72</v>
      </c>
      <c r="V6" s="171"/>
      <c r="W6" s="13">
        <f>MONTH(Table2[[#This Row],[Funds disbursed (Date)]])</f>
        <v>1</v>
      </c>
      <c r="X6" s="193"/>
      <c r="Y6" s="15" t="s">
        <v>235</v>
      </c>
      <c r="Z6" s="62" t="str" cm="1">
        <f t="array" aca="1" ref="Z6" ca="1">_xlfn.IFS(Table2[[#This Row],[Sources of funding identified (yes / no / Identified as not urgent)]]=Utilities!$B$14,"Out of CoVDP scope",U6="yes",Overview!$C$13,AND(Table2[[#This Row],[Lead time from sources identified to today (if not disbursed yet)]]&lt;15,S6="yes"),Overview!$C$11,AND(Table2[[#This Row],[Lead time from sources identified to today (if not disbursed yet)]]&gt;15,S6="yes"),Overview!$C$12,O6="yes",Overview!$C$10,M6="yes",Overview!$C$9,M6="no",Overview!$C$8)</f>
        <v>Pending partners internal approval</v>
      </c>
      <c r="AA6" s="65">
        <f ca="1">_xlfn.DAYS(TODAY(),$N6)</f>
        <v>149</v>
      </c>
      <c r="AB6" s="65">
        <f ca="1">_xlfn.DAYS(TODAY(),$L6)</f>
        <v>154</v>
      </c>
      <c r="AC6" s="12">
        <f ca="1">IF(Table2[[#This Row],[Lead time from formal request received to today (days)]]&lt;400,Table2[[#This Row],[Lead time from formal request received to today (days)]],"-")</f>
        <v>149</v>
      </c>
      <c r="AD6" s="12">
        <f ca="1">IF(AND(Table2[[#This Row],[Funds disbursed (Date)]]="",Table2[[#This Row],[Source of funding identified (Details)]]&lt;&gt;""),TODAY()-Table2[[#This Row],[Sources of funding identified (Date) - or standard request discussed during CoVDP Funding Alignment call]],"-")</f>
        <v>147</v>
      </c>
      <c r="AE6" s="12"/>
      <c r="AF6" s="12" t="str">
        <f>IF(V6="","",NETWORKDAYS(N6,V6)-1)</f>
        <v/>
      </c>
      <c r="AG6" s="12" t="str">
        <f>IF(OR(V6="",Table2[[#This Row],[Source of funding identified (Details)]]&lt;&gt;Utilities!$B$6),"",NETWORKDAYS(Q6,V6)-1)</f>
        <v/>
      </c>
      <c r="AI6" t="str">
        <f>IF(Table2[[#This Row],[Column1]]=1,"NO","YES")</f>
        <v>YES</v>
      </c>
      <c r="AJ6" s="31">
        <f>COUNTIF(Table2[Request ID],Table2[[#This Row],[Request ID]])</f>
        <v>2</v>
      </c>
      <c r="AK6" s="62">
        <f ca="1">IF(Table2[[#This Row],[Status]]&lt;&gt;Overview!$C$13,Table2[[#This Row],[Lead time from informal request received to today (days)2]],"Disbursed")</f>
        <v>154</v>
      </c>
    </row>
    <row r="7" spans="1:37" x14ac:dyDescent="0.45">
      <c r="A7" t="str">
        <f>CONCATENATE(C7,F7,L7)</f>
        <v>Malawi2154578.6060606144729</v>
      </c>
      <c r="B7" t="s">
        <v>232</v>
      </c>
      <c r="C7" t="s">
        <v>106</v>
      </c>
      <c r="D7" t="str">
        <f>INDEX(Table1[#All],MATCH('Funding tracker'!$C5,Table1[[#All],[Recipient country Name]],0),MATCH('Funding tracker'!D$1,Table1[#Headers],0))</f>
        <v>Jessica Crawford</v>
      </c>
      <c r="E7" t="str">
        <f>INDEX(Table1[#All],MATCH('Funding tracker'!$C5,Table1[[#All],[Recipient country Name]],0),MATCH('Funding tracker'!E$1,Table1[#Headers],0))</f>
        <v>Adidja</v>
      </c>
      <c r="F7" s="202">
        <v>2154578.606060606</v>
      </c>
      <c r="G7" s="179" t="s">
        <v>181</v>
      </c>
      <c r="H7" s="172">
        <v>1956578.606060606</v>
      </c>
      <c r="I7" t="s">
        <v>236</v>
      </c>
      <c r="J7" s="8" t="s">
        <v>234</v>
      </c>
      <c r="K7" t="s">
        <v>183</v>
      </c>
      <c r="L7" s="2">
        <v>44729</v>
      </c>
      <c r="M7" t="s">
        <v>71</v>
      </c>
      <c r="N7" s="2">
        <v>44734</v>
      </c>
      <c r="O7" s="2" t="s">
        <v>71</v>
      </c>
      <c r="P7" s="2" t="s">
        <v>64</v>
      </c>
      <c r="Q7" s="2">
        <v>44736</v>
      </c>
      <c r="R7" s="13">
        <f>Table2[[#This Row],[Amount tracked through this row]]</f>
        <v>1956578.606060606</v>
      </c>
      <c r="S7" s="139" t="s">
        <v>72</v>
      </c>
      <c r="T7" s="171"/>
      <c r="U7" s="139" t="s">
        <v>72</v>
      </c>
      <c r="V7" s="171"/>
      <c r="W7" s="13">
        <f>MONTH(Table2[[#This Row],[Funds disbursed (Date)]])</f>
        <v>1</v>
      </c>
      <c r="X7" s="192"/>
      <c r="Y7" s="15" t="s">
        <v>237</v>
      </c>
      <c r="Z7" s="62" t="str" cm="1">
        <f t="array" aca="1" ref="Z7" ca="1">_xlfn.IFS(Table2[[#This Row],[Sources of funding identified (yes / no / Identified as not urgent)]]=Utilities!$B$14,"Out of CoVDP scope",U7="yes",Overview!$C$13,AND(Table2[[#This Row],[Lead time from sources identified to today (if not disbursed yet)]]&lt;15,S7="yes"),Overview!$C$11,AND(Table2[[#This Row],[Lead time from sources identified to today (if not disbursed yet)]]&gt;15,S7="yes"),Overview!$C$12,O7="yes",Overview!$C$10,M7="yes",Overview!$C$9,M7="no",Overview!$C$8)</f>
        <v>Pending partners internal approval</v>
      </c>
      <c r="AA7" s="65">
        <f ca="1">_xlfn.DAYS(TODAY(),$N7)</f>
        <v>149</v>
      </c>
      <c r="AB7" s="65">
        <f ca="1">_xlfn.DAYS(TODAY(),$L7)</f>
        <v>154</v>
      </c>
      <c r="AC7" s="12">
        <f ca="1">IF(Table2[[#This Row],[Lead time from formal request received to today (days)]]&lt;400,Table2[[#This Row],[Lead time from formal request received to today (days)]],"-")</f>
        <v>149</v>
      </c>
      <c r="AD7" s="12">
        <f ca="1">IF(AND(Table2[[#This Row],[Funds disbursed (Date)]]="",Table2[[#This Row],[Source of funding identified (Details)]]&lt;&gt;""),TODAY()-Table2[[#This Row],[Sources of funding identified (Date) - or standard request discussed during CoVDP Funding Alignment call]],"-")</f>
        <v>147</v>
      </c>
      <c r="AE7" s="12"/>
      <c r="AF7" s="12" t="str">
        <f>IF(V7="","",NETWORKDAYS(N7,V7)-1)</f>
        <v/>
      </c>
      <c r="AG7" s="12" t="str">
        <f>IF(OR(V7="",Table2[[#This Row],[Source of funding identified (Details)]]&lt;&gt;Utilities!$B$6),"",NETWORKDAYS(Q7,V7)-1)</f>
        <v/>
      </c>
      <c r="AI7" t="str">
        <f>IF(Table2[[#This Row],[Column1]]=1,"NO","YES")</f>
        <v>YES</v>
      </c>
      <c r="AJ7" s="31">
        <f>COUNTIF(Table2[Request ID],Table2[[#This Row],[Request ID]])</f>
        <v>2</v>
      </c>
      <c r="AK7" s="62">
        <f ca="1">IF(Table2[[#This Row],[Status]]&lt;&gt;Overview!$C$13,Table2[[#This Row],[Lead time from informal request received to today (days)2]],"Disbursed")</f>
        <v>154</v>
      </c>
    </row>
    <row r="8" spans="1:37" x14ac:dyDescent="0.45">
      <c r="A8" t="str">
        <f>CONCATENATE(C8,F8,L8)</f>
        <v>Nigeria280000044670</v>
      </c>
      <c r="B8" t="s">
        <v>238</v>
      </c>
      <c r="C8" t="s">
        <v>101</v>
      </c>
      <c r="D8" t="e">
        <f>INDEX(Table1[#All],MATCH('Funding tracker'!#REF!,Table1[[#All],[Recipient country Name]],0),MATCH('Funding tracker'!D$1,Table1[#Headers],0))</f>
        <v>#REF!</v>
      </c>
      <c r="E8" t="e">
        <f>INDEX(Table1[#All],MATCH('Funding tracker'!#REF!,Table1[[#All],[Recipient country Name]],0),MATCH('Funding tracker'!E$1,Table1[#Headers],0))</f>
        <v>#REF!</v>
      </c>
      <c r="F8" s="203">
        <v>2800000</v>
      </c>
      <c r="G8" s="181" t="s">
        <v>181</v>
      </c>
      <c r="H8" s="173">
        <v>1417098.76</v>
      </c>
      <c r="I8" t="s">
        <v>239</v>
      </c>
      <c r="J8" t="s">
        <v>240</v>
      </c>
      <c r="K8" t="s">
        <v>218</v>
      </c>
      <c r="L8" s="63">
        <v>44670</v>
      </c>
      <c r="M8" t="s">
        <v>71</v>
      </c>
      <c r="N8" s="2">
        <v>44670</v>
      </c>
      <c r="O8" t="s">
        <v>71</v>
      </c>
      <c r="P8" t="s">
        <v>64</v>
      </c>
      <c r="Q8" s="2">
        <v>44671</v>
      </c>
      <c r="R8" s="13">
        <f>Table2[[#This Row],[Amount tracked through this row]]</f>
        <v>1417098.76</v>
      </c>
      <c r="S8" t="s">
        <v>71</v>
      </c>
      <c r="T8" s="2">
        <f>Table2[[#This Row],[Sources of funding identified (Date) - or standard request discussed during CoVDP Funding Alignment call]]</f>
        <v>44671</v>
      </c>
      <c r="U8" t="s">
        <v>71</v>
      </c>
      <c r="V8" s="2">
        <v>44676</v>
      </c>
      <c r="W8" s="13">
        <f>MONTH(Table2[[#This Row],[Funds disbursed (Date)]])</f>
        <v>4</v>
      </c>
      <c r="X8" s="192">
        <v>0.33</v>
      </c>
      <c r="Y8" t="s">
        <v>241</v>
      </c>
      <c r="Z8" s="62" t="str" cm="1">
        <f t="array" aca="1" ref="Z8" ca="1">_xlfn.IFS(Table2[[#This Row],[Sources of funding identified (yes / no / Identified as not urgent)]]=Utilities!$B$14,"Out of CoVDP scope",U8="yes",Overview!$C$13,AND(Table2[[#This Row],[Lead time from sources identified to today (if not disbursed yet)]]&lt;15,S8="yes"),Overview!$C$11,AND(Table2[[#This Row],[Lead time from sources identified to today (if not disbursed yet)]]&gt;15,S8="yes"),Overview!$C$12,O8="yes",Overview!$C$10,M8="yes",Overview!$C$9,M8="no",Overview!$C$8)</f>
        <v>Funds disbursed</v>
      </c>
      <c r="AA8" s="65">
        <f ca="1">_xlfn.DAYS(TODAY(),$N8)</f>
        <v>213</v>
      </c>
      <c r="AB8" s="65">
        <f ca="1">_xlfn.DAYS(TODAY(),$L8)</f>
        <v>213</v>
      </c>
      <c r="AC8" s="12">
        <f ca="1">IF(Table2[[#This Row],[Lead time from formal request received to today (days)]]&lt;400,Table2[[#This Row],[Lead time from formal request received to today (days)]],"-")</f>
        <v>213</v>
      </c>
      <c r="AD8" s="12" t="str">
        <f ca="1">IF(AND(Table2[[#This Row],[Funds disbursed (Date)]]="",Table2[[#This Row],[Source of funding identified (Details)]]&lt;&gt;""),TODAY()-Table2[[#This Row],[Sources of funding identified (Date) - or standard request discussed during CoVDP Funding Alignment call]],"-")</f>
        <v>-</v>
      </c>
      <c r="AE8" s="12">
        <f>IF(V8="","-",_xlfn.DAYS(V8,N8))</f>
        <v>6</v>
      </c>
      <c r="AF8" s="12">
        <f>IF(V8="","",NETWORKDAYS(N8,V8)-1)</f>
        <v>4</v>
      </c>
      <c r="AG8" s="12" t="str">
        <f>IF(OR(V8="",Table2[[#This Row],[Source of funding identified (Details)]]&lt;&gt;Utilities!$B$6),"",NETWORKDAYS(Q8,V8)-1)</f>
        <v/>
      </c>
      <c r="AI8" t="str">
        <f>IF(Table2[[#This Row],[Column1]]=1,"NO","YES")</f>
        <v>NO</v>
      </c>
      <c r="AJ8" s="31">
        <f>COUNTIF(Table2[Request ID],Table2[[#This Row],[Request ID]])</f>
        <v>1</v>
      </c>
      <c r="AK8" s="62" t="str">
        <f ca="1">IF(Table2[[#This Row],[Status]]&lt;&gt;Overview!$C$13,Table2[[#This Row],[Lead time from informal request received to today (days)2]],"Disbursed")</f>
        <v>Disbursed</v>
      </c>
    </row>
    <row r="9" spans="1:37" x14ac:dyDescent="0.45">
      <c r="A9" t="str">
        <f>CONCATENATE(C9,F9,L9)</f>
        <v>DRC300000044721</v>
      </c>
      <c r="B9" t="s">
        <v>199</v>
      </c>
      <c r="C9" t="s">
        <v>94</v>
      </c>
      <c r="D9" t="str">
        <f>INDEX(Table1[#All],MATCH('Funding tracker'!$C11,Table1[[#All],[Recipient country Name]],0),MATCH('Funding tracker'!D$1,Table1[#Headers],0))</f>
        <v>Tito Rwamushaija</v>
      </c>
      <c r="E9" t="str">
        <f>INDEX(Table1[#All],MATCH('Funding tracker'!$C11,Table1[[#All],[Recipient country Name]],0),MATCH('Funding tracker'!E$1,Table1[#Headers],0))</f>
        <v>William</v>
      </c>
      <c r="F9" s="201">
        <v>3000000</v>
      </c>
      <c r="G9" s="179" t="s">
        <v>181</v>
      </c>
      <c r="H9" s="173">
        <v>3000000</v>
      </c>
      <c r="I9" t="s">
        <v>203</v>
      </c>
      <c r="J9" s="8" t="s">
        <v>204</v>
      </c>
      <c r="K9" t="s">
        <v>183</v>
      </c>
      <c r="L9" s="2">
        <v>44721</v>
      </c>
      <c r="M9" t="s">
        <v>72</v>
      </c>
      <c r="N9" s="2"/>
      <c r="O9" t="s">
        <v>72</v>
      </c>
      <c r="Q9" s="2"/>
      <c r="R9" s="13">
        <f>Table2[[#This Row],[Amount tracked through this row]]</f>
        <v>3000000</v>
      </c>
      <c r="S9" t="s">
        <v>72</v>
      </c>
      <c r="T9" s="2"/>
      <c r="U9" t="s">
        <v>72</v>
      </c>
      <c r="V9" s="2"/>
      <c r="W9" s="13">
        <f>MONTH(Table2[[#This Row],[Funds disbursed (Date)]])</f>
        <v>1</v>
      </c>
      <c r="X9" s="192"/>
      <c r="Y9" t="s">
        <v>205</v>
      </c>
      <c r="Z9" s="62" t="str" cm="1">
        <f t="array" aca="1" ref="Z9" ca="1">_xlfn.IFS(Table2[[#This Row],[Sources of funding identified (yes / no / Identified as not urgent)]]=Utilities!$B$14,"Out of CoVDP scope",U9="yes",Overview!$C$13,AND(Table2[[#This Row],[Lead time from sources identified to today (if not disbursed yet)]]&lt;15,S9="yes"),Overview!$C$11,AND(Table2[[#This Row],[Lead time from sources identified to today (if not disbursed yet)]]&gt;15,S9="yes"),Overview!$C$12,O9="yes",Overview!$C$10,M9="yes",Overview!$C$9,M9="no",Overview!$C$8)</f>
        <v>Pending additional details and/or formal request</v>
      </c>
      <c r="AA9" s="65">
        <f ca="1">_xlfn.DAYS(TODAY(),$N9)</f>
        <v>44883</v>
      </c>
      <c r="AB9" s="65">
        <f ca="1">_xlfn.DAYS(TODAY(),$L9)</f>
        <v>162</v>
      </c>
      <c r="AC9" s="12" t="str">
        <f ca="1">IF(Table2[[#This Row],[Lead time from formal request received to today (days)]]&lt;400,Table2[[#This Row],[Lead time from formal request received to today (days)]],"-")</f>
        <v>-</v>
      </c>
      <c r="AD9" s="12" t="str">
        <f ca="1">IF(AND(Table2[[#This Row],[Funds disbursed (Date)]]="",Table2[[#This Row],[Source of funding identified (Details)]]&lt;&gt;""),TODAY()-Table2[[#This Row],[Sources of funding identified (Date) - or standard request discussed during CoVDP Funding Alignment call]],"-")</f>
        <v>-</v>
      </c>
      <c r="AE9" s="12"/>
      <c r="AF9" s="12" t="str">
        <f>IF(V9="","",NETWORKDAYS(N9,V9)-1)</f>
        <v/>
      </c>
      <c r="AG9" s="12" t="str">
        <f>IF(OR(V9="",Table2[[#This Row],[Source of funding identified (Details)]]&lt;&gt;Utilities!$B$6),"",NETWORKDAYS(Q9,V9)-1)</f>
        <v/>
      </c>
      <c r="AI9" t="str">
        <f>IF(Table2[[#This Row],[Column1]]=1,"NO","YES")</f>
        <v>NO</v>
      </c>
      <c r="AJ9" s="31">
        <f>COUNTIF(Table2[Request ID],Table2[[#This Row],[Request ID]])</f>
        <v>1</v>
      </c>
      <c r="AK9" s="62">
        <f ca="1">IF(Table2[[#This Row],[Status]]&lt;&gt;Overview!$C$13,Table2[[#This Row],[Lead time from informal request received to today (days)2]],"Disbursed")</f>
        <v>162</v>
      </c>
    </row>
    <row r="10" spans="1:37" x14ac:dyDescent="0.45">
      <c r="A10" t="str">
        <f>CONCATENATE(C10,F10,L10)</f>
        <v>Nigeria300000044631</v>
      </c>
      <c r="B10" t="s">
        <v>238</v>
      </c>
      <c r="C10" t="s">
        <v>101</v>
      </c>
      <c r="D10" t="str">
        <f>INDEX(Table1[#All],MATCH('Funding tracker'!$C26,Table1[[#All],[Recipient country Name]],0),MATCH('Funding tracker'!D$1,Table1[#Headers],0))</f>
        <v>Patience Musanhu</v>
      </c>
      <c r="E10" t="str">
        <f>INDEX(Table1[#All],MATCH('Funding tracker'!$C26,Table1[[#All],[Recipient country Name]],0),MATCH('Funding tracker'!E$1,Table1[#Headers],0))</f>
        <v>Ida Marie</v>
      </c>
      <c r="F10" s="201">
        <v>3000000</v>
      </c>
      <c r="G10" s="181" t="s">
        <v>242</v>
      </c>
      <c r="H10" s="173">
        <v>3000000</v>
      </c>
      <c r="I10" t="s">
        <v>243</v>
      </c>
      <c r="J10" t="s">
        <v>244</v>
      </c>
      <c r="K10" t="s">
        <v>245</v>
      </c>
      <c r="L10" s="2">
        <v>44631</v>
      </c>
      <c r="M10" t="s">
        <v>72</v>
      </c>
      <c r="R10" s="13">
        <f>Table2[[#This Row],[Amount tracked through this row]]</f>
        <v>3000000</v>
      </c>
      <c r="T10" s="2"/>
      <c r="W10" s="13">
        <f>MONTH(Table2[[#This Row],[Funds disbursed (Date)]])</f>
        <v>1</v>
      </c>
      <c r="X10" s="192"/>
      <c r="Y10" s="15" t="s">
        <v>246</v>
      </c>
      <c r="Z10" s="62" t="str" cm="1">
        <f t="array" aca="1" ref="Z10" ca="1">_xlfn.IFS(Table2[[#This Row],[Sources of funding identified (yes / no / Identified as not urgent)]]=Utilities!$B$14,"Out of CoVDP scope",U10="yes",Overview!$C$13,AND(Table2[[#This Row],[Lead time from sources identified to today (if not disbursed yet)]]&lt;=15,S10="yes"),Overview!$C$11,AND(Table2[[#This Row],[Lead time from sources identified to today (if not disbursed yet)]]&gt;15,S10="yes"),Overview!$C$12,O10="yes",Overview!$C$10,M10="yes",Overview!$C$9,M10="no",Overview!$C$8)</f>
        <v>Pending additional details and/or formal request</v>
      </c>
      <c r="AA10" s="65">
        <f ca="1">_xlfn.DAYS(TODAY(),$N10)</f>
        <v>44883</v>
      </c>
      <c r="AB10" s="65">
        <f ca="1">_xlfn.DAYS(TODAY(),$L10)</f>
        <v>252</v>
      </c>
      <c r="AC10" s="12" t="str">
        <f ca="1">IF(Table2[[#This Row],[Lead time from formal request received to today (days)]]&lt;400,Table2[[#This Row],[Lead time from formal request received to today (days)]],"-")</f>
        <v>-</v>
      </c>
      <c r="AD10" s="12" t="str">
        <f ca="1">IF(AND(Table2[[#This Row],[Funds disbursed (Date)]]="",Table2[[#This Row],[Source of funding identified (Details)]]&lt;&gt;""),TODAY()-Table2[[#This Row],[Sources of funding identified (Date) - or standard request discussed during CoVDP Funding Alignment call]],"-")</f>
        <v>-</v>
      </c>
      <c r="AE10" s="12" t="str">
        <f>IF(V10="","-",_xlfn.DAYS(V10,N10))</f>
        <v>-</v>
      </c>
      <c r="AF10" s="65" t="str">
        <f>IF(V10="","",NETWORKDAYS(N10,V10)-1)</f>
        <v/>
      </c>
      <c r="AG10" s="65" t="str">
        <f>IF(OR(V10="",Table2[[#This Row],[Source of funding identified (Details)]]&lt;&gt;Utilities!$B$6),"",NETWORKDAYS(Q10,V10)-1)</f>
        <v/>
      </c>
      <c r="AI10" t="str">
        <f>IF(Table2[[#This Row],[Column1]]=1,"NO","YES")</f>
        <v>NO</v>
      </c>
      <c r="AJ10" s="31">
        <f>COUNTIF(Table2[Request ID],Table2[[#This Row],[Request ID]])</f>
        <v>1</v>
      </c>
      <c r="AK10" s="62">
        <f ca="1">IF(Table2[[#This Row],[Status]]&lt;&gt;Overview!$C$13,Table2[[#This Row],[Lead time from informal request received to today (days)2]],"Disbursed")</f>
        <v>252</v>
      </c>
    </row>
    <row r="11" spans="1:37" x14ac:dyDescent="0.45">
      <c r="A11" t="str">
        <f>CONCATENATE(C11,F11,L11)</f>
        <v>Ethiopia340000044677</v>
      </c>
      <c r="B11" t="s">
        <v>206</v>
      </c>
      <c r="C11" t="s">
        <v>95</v>
      </c>
      <c r="D11" t="str">
        <f>INDEX(Table1[#All],MATCH('Funding tracker'!$C27,Table1[[#All],[Recipient country Name]],0),MATCH('Funding tracker'!D$1,Table1[#Headers],0))</f>
        <v>Patience Musanhu</v>
      </c>
      <c r="E11" t="str">
        <f>INDEX(Table1[#All],MATCH('Funding tracker'!$C27,Table1[[#All],[Recipient country Name]],0),MATCH('Funding tracker'!E$1,Table1[#Headers],0))</f>
        <v>Ida Marie</v>
      </c>
      <c r="F11" s="201">
        <v>3400000</v>
      </c>
      <c r="G11" s="181" t="s">
        <v>181</v>
      </c>
      <c r="H11" s="173">
        <v>1700000</v>
      </c>
      <c r="I11" t="s">
        <v>214</v>
      </c>
      <c r="J11" t="s">
        <v>215</v>
      </c>
      <c r="K11" t="s">
        <v>149</v>
      </c>
      <c r="L11" s="2">
        <v>44677</v>
      </c>
      <c r="M11" t="s">
        <v>71</v>
      </c>
      <c r="N11" s="2">
        <v>44677</v>
      </c>
      <c r="O11" t="s">
        <v>71</v>
      </c>
      <c r="P11" t="s">
        <v>64</v>
      </c>
      <c r="Q11" s="2">
        <v>44677</v>
      </c>
      <c r="R11" s="13">
        <f>Table2[[#This Row],[Amount tracked through this row]]</f>
        <v>1700000</v>
      </c>
      <c r="S11" t="s">
        <v>71</v>
      </c>
      <c r="T11" s="2">
        <f>Table2[[#This Row],[Sources of funding identified (Date) - or standard request discussed during CoVDP Funding Alignment call]]</f>
        <v>44677</v>
      </c>
      <c r="U11" t="s">
        <v>71</v>
      </c>
      <c r="V11" s="2">
        <v>44679</v>
      </c>
      <c r="W11" s="13">
        <f>MONTH(Table2[[#This Row],[Funds disbursed (Date)]])</f>
        <v>4</v>
      </c>
      <c r="X11" s="192">
        <v>0.8</v>
      </c>
      <c r="Y11" s="15" t="s">
        <v>216</v>
      </c>
      <c r="Z11" s="62" t="str" cm="1">
        <f t="array" aca="1" ref="Z11" ca="1">_xlfn.IFS(Table2[[#This Row],[Sources of funding identified (yes / no / Identified as not urgent)]]=Utilities!$B$14,"Out of CoVDP scope",U11="yes",Overview!$C$13,AND(Table2[[#This Row],[Lead time from sources identified to today (if not disbursed yet)]]&lt;15,S11="yes"),Overview!$C$11,AND(Table2[[#This Row],[Lead time from sources identified to today (if not disbursed yet)]]&gt;15,S11="yes"),Overview!$C$12,O11="yes",Overview!$C$10,M11="yes",Overview!$C$9,M11="no",Overview!$C$8)</f>
        <v>Funds disbursed</v>
      </c>
      <c r="AA11" s="65">
        <f ca="1">_xlfn.DAYS(TODAY(),$N11)</f>
        <v>206</v>
      </c>
      <c r="AB11" s="65">
        <f ca="1">_xlfn.DAYS(TODAY(),$L11)</f>
        <v>206</v>
      </c>
      <c r="AC11" s="12">
        <f ca="1">IF(Table2[[#This Row],[Lead time from formal request received to today (days)]]&lt;400,Table2[[#This Row],[Lead time from formal request received to today (days)]],"-")</f>
        <v>206</v>
      </c>
      <c r="AD11" s="12" t="str">
        <f ca="1">IF(AND(Table2[[#This Row],[Funds disbursed (Date)]]="",Table2[[#This Row],[Source of funding identified (Details)]]&lt;&gt;""),TODAY()-Table2[[#This Row],[Sources of funding identified (Date) - or standard request discussed during CoVDP Funding Alignment call]],"-")</f>
        <v>-</v>
      </c>
      <c r="AE11" s="12"/>
      <c r="AF11" s="65">
        <f>IF(V11="","",NETWORKDAYS(N11,V11)-1)</f>
        <v>2</v>
      </c>
      <c r="AG11" s="65" t="str">
        <f>IF(OR(V11="",Table2[[#This Row],[Source of funding identified (Details)]]&lt;&gt;Utilities!$B$6),"",NETWORKDAYS(Q11,V11)-1)</f>
        <v/>
      </c>
      <c r="AI11" t="str">
        <f>IF(Table2[[#This Row],[Column1]]=1,"NO","YES")</f>
        <v>NO</v>
      </c>
      <c r="AJ11" s="31">
        <f>COUNTIF(Table2[Request ID],Table2[[#This Row],[Request ID]])</f>
        <v>1</v>
      </c>
      <c r="AK11" s="62" t="str">
        <f ca="1">IF(Table2[[#This Row],[Status]]&lt;&gt;Overview!$C$13,Table2[[#This Row],[Lead time from informal request received to today (days)2]],"Disbursed")</f>
        <v>Disbursed</v>
      </c>
    </row>
    <row r="12" spans="1:37" x14ac:dyDescent="0.45">
      <c r="A12" t="str">
        <f>CONCATENATE(C12,F12,L12)</f>
        <v>DRC345802844600</v>
      </c>
      <c r="B12" t="s">
        <v>199</v>
      </c>
      <c r="C12" t="s">
        <v>94</v>
      </c>
      <c r="D12" t="str">
        <f>INDEX(Table1[#All],MATCH('Funding tracker'!$C8,Table1[[#All],[Recipient country Name]],0),MATCH('Funding tracker'!D$1,Table1[#Headers],0))</f>
        <v>Hamidreza Setayesh</v>
      </c>
      <c r="E12" t="str">
        <f>INDEX(Table1[#All],MATCH('Funding tracker'!$C8,Table1[[#All],[Recipient country Name]],0),MATCH('Funding tracker'!E$1,Table1[#Headers],0))</f>
        <v>William</v>
      </c>
      <c r="F12" s="201">
        <v>3458028</v>
      </c>
      <c r="G12" s="179" t="s">
        <v>181</v>
      </c>
      <c r="H12" s="173">
        <v>3458028</v>
      </c>
      <c r="I12" t="s">
        <v>200</v>
      </c>
      <c r="J12" t="s">
        <v>201</v>
      </c>
      <c r="K12" t="s">
        <v>183</v>
      </c>
      <c r="L12" s="2">
        <v>44600</v>
      </c>
      <c r="M12" t="s">
        <v>71</v>
      </c>
      <c r="N12" s="2">
        <v>44610</v>
      </c>
      <c r="O12" t="s">
        <v>71</v>
      </c>
      <c r="P12" t="s">
        <v>64</v>
      </c>
      <c r="Q12" s="2">
        <v>44614</v>
      </c>
      <c r="R12" s="13">
        <f>Table2[[#This Row],[Amount tracked through this row]]</f>
        <v>3458028</v>
      </c>
      <c r="S12" t="s">
        <v>71</v>
      </c>
      <c r="T12" s="2">
        <v>44614</v>
      </c>
      <c r="U12" t="s">
        <v>71</v>
      </c>
      <c r="V12" s="2">
        <v>44620</v>
      </c>
      <c r="W12" s="13">
        <f>MONTH(Table2[[#This Row],[Funds disbursed (Date)]])</f>
        <v>2</v>
      </c>
      <c r="X12" s="192">
        <v>0.49</v>
      </c>
      <c r="Y12" t="s">
        <v>202</v>
      </c>
      <c r="Z12" s="62" t="str" cm="1">
        <f t="array" aca="1" ref="Z12" ca="1">_xlfn.IFS(Table2[[#This Row],[Sources of funding identified (yes / no / Identified as not urgent)]]=Utilities!$B$14,"Out of CoVDP scope",U12="yes",Overview!$C$13,AND(Table2[[#This Row],[Lead time from sources identified to today (if not disbursed yet)]]&lt;=15,S12="yes"),Overview!$C$11,AND(Table2[[#This Row],[Lead time from sources identified to today (if not disbursed yet)]]&gt;15,S12="yes"),Overview!$C$12,O12="yes",Overview!$C$10,M12="yes",Overview!$C$9,M12="no",Overview!$C$8)</f>
        <v>Funds disbursed</v>
      </c>
      <c r="AA12" s="12">
        <f ca="1">_xlfn.DAYS(TODAY(),$N12)</f>
        <v>273</v>
      </c>
      <c r="AB12" s="12">
        <f ca="1">_xlfn.DAYS(TODAY(),$L12)</f>
        <v>283</v>
      </c>
      <c r="AC12" s="12">
        <f ca="1">IF(Table2[[#This Row],[Lead time from formal request received to today (days)]]&lt;400,Table2[[#This Row],[Lead time from formal request received to today (days)]],"-")</f>
        <v>273</v>
      </c>
      <c r="AD12" s="12" t="str">
        <f ca="1">IF(AND(Table2[[#This Row],[Funds disbursed (Date)]]="",Table2[[#This Row],[Source of funding identified (Details)]]&lt;&gt;""),TODAY()-Table2[[#This Row],[Sources of funding identified (Date) - or standard request discussed during CoVDP Funding Alignment call]],"-")</f>
        <v>-</v>
      </c>
      <c r="AE12" s="12">
        <f>IF(V12="","-",_xlfn.DAYS(V12,N12))</f>
        <v>10</v>
      </c>
      <c r="AF12" s="12">
        <f>IF(V12="","",NETWORKDAYS(N12,V12)-1)</f>
        <v>6</v>
      </c>
      <c r="AG12" s="12" t="str">
        <f>IF(OR(V12="",Table2[[#This Row],[Source of funding identified (Details)]]&lt;&gt;Utilities!$B$6),"",NETWORKDAYS(Q12,V12)-1)</f>
        <v/>
      </c>
      <c r="AI12" t="str">
        <f>IF(Table2[[#This Row],[Column1]]=1,"NO","YES")</f>
        <v>NO</v>
      </c>
      <c r="AJ12" s="31">
        <f>COUNTIF(Table2[Request ID],Table2[[#This Row],[Request ID]])</f>
        <v>1</v>
      </c>
      <c r="AK12" s="62" t="str">
        <f ca="1">IF(Table2[[#This Row],[Status]]&lt;&gt;Overview!$C$13,Table2[[#This Row],[Lead time from informal request received to today (days)2]],"Disbursed")</f>
        <v>Disbursed</v>
      </c>
    </row>
    <row r="13" spans="1:37" s="62" customFormat="1" x14ac:dyDescent="0.45">
      <c r="A13" t="str">
        <f>CONCATENATE(C13,F13,L13)</f>
        <v>Ethiopia440000044677</v>
      </c>
      <c r="B13" t="s">
        <v>206</v>
      </c>
      <c r="C13" t="s">
        <v>95</v>
      </c>
      <c r="D13" t="str">
        <f>INDEX(Table1[#All],MATCH('Funding tracker'!$C2,Table1[[#All],[Recipient country Name]],0),MATCH('Funding tracker'!D$1,Table1[#Headers],0))</f>
        <v>Patience Musanhu</v>
      </c>
      <c r="E13" t="str">
        <f>INDEX(Table1[#All],MATCH('Funding tracker'!$C2,Table1[[#All],[Recipient country Name]],0),MATCH('Funding tracker'!E$1,Table1[#Headers],0))</f>
        <v>Abu</v>
      </c>
      <c r="F13" s="202">
        <v>4400000</v>
      </c>
      <c r="G13" s="179" t="s">
        <v>181</v>
      </c>
      <c r="H13" s="172">
        <v>2200000</v>
      </c>
      <c r="I13" t="s">
        <v>207</v>
      </c>
      <c r="J13" t="s">
        <v>208</v>
      </c>
      <c r="K13" t="s">
        <v>149</v>
      </c>
      <c r="L13" s="2">
        <v>44677</v>
      </c>
      <c r="M13" t="s">
        <v>71</v>
      </c>
      <c r="N13" s="2">
        <v>44677</v>
      </c>
      <c r="O13" s="2" t="s">
        <v>71</v>
      </c>
      <c r="P13" s="2" t="s">
        <v>65</v>
      </c>
      <c r="Q13" s="2">
        <v>44677</v>
      </c>
      <c r="R13" s="13">
        <f>Table2[[#This Row],[Amount tracked through this row]]</f>
        <v>2200000</v>
      </c>
      <c r="S13" t="s">
        <v>71</v>
      </c>
      <c r="T13" s="2">
        <v>44678</v>
      </c>
      <c r="U13" t="s">
        <v>71</v>
      </c>
      <c r="V13" s="2">
        <v>44680</v>
      </c>
      <c r="W13" s="13">
        <f>MONTH(Table2[[#This Row],[Funds disbursed (Date)]])</f>
        <v>4</v>
      </c>
      <c r="X13" s="192">
        <v>0.05</v>
      </c>
      <c r="Y13" s="15" t="s">
        <v>209</v>
      </c>
      <c r="Z13" s="62" t="str" cm="1">
        <f t="array" aca="1" ref="Z13" ca="1">_xlfn.IFS(Table2[[#This Row],[Sources of funding identified (yes / no / Identified as not urgent)]]=Utilities!$B$14,"Out of CoVDP scope",U13="yes",Overview!$C$13,AND(Table2[[#This Row],[Lead time from sources identified to today (if not disbursed yet)]]&lt;=15,S13="yes"),Overview!$C$11,AND(Table2[[#This Row],[Lead time from sources identified to today (if not disbursed yet)]]&gt;15,S13="yes"),Overview!$C$12,O13="yes",Overview!$C$10,M13="yes",Overview!$C$9,M13="no",Overview!$C$8)</f>
        <v>Funds disbursed</v>
      </c>
      <c r="AA13" s="12">
        <f ca="1">_xlfn.DAYS(TODAY(),$N13)</f>
        <v>206</v>
      </c>
      <c r="AB13" s="12">
        <f ca="1">_xlfn.DAYS(TODAY(),$L13)</f>
        <v>206</v>
      </c>
      <c r="AC13" s="12">
        <f ca="1">IF(Table2[[#This Row],[Lead time from formal request received to today (days)]]&lt;400,Table2[[#This Row],[Lead time from formal request received to today (days)]],"-")</f>
        <v>206</v>
      </c>
      <c r="AD13" s="12" t="str">
        <f ca="1">IF(AND(Table2[[#This Row],[Funds disbursed (Date)]]="",Table2[[#This Row],[Source of funding identified (Details)]]&lt;&gt;""),TODAY()-Table2[[#This Row],[Sources of funding identified (Date) - or standard request discussed during CoVDP Funding Alignment call]],"-")</f>
        <v>-</v>
      </c>
      <c r="AE13" s="12">
        <f>IF(V13="","",_xlfn.DAYS(V13,N13))</f>
        <v>3</v>
      </c>
      <c r="AF13" s="12">
        <f>IF(V13="","",NETWORKDAYS(N13,V13)-1)</f>
        <v>3</v>
      </c>
      <c r="AG13" s="12" t="str">
        <f>IF(OR(V13="",Table2[[#This Row],[Source of funding identified (Details)]]&lt;&gt;Utilities!$B$6),"",NETWORKDAYS(Q13,V13)-1)</f>
        <v/>
      </c>
      <c r="AH13"/>
      <c r="AI13" t="str">
        <f>IF(Table2[[#This Row],[Column1]]=1,"NO","YES")</f>
        <v>YES</v>
      </c>
      <c r="AJ13" s="31">
        <f>COUNTIF(Table2[Request ID],Table2[[#This Row],[Request ID]])</f>
        <v>2</v>
      </c>
      <c r="AK13" s="62" t="str">
        <f ca="1">IF(Table2[[#This Row],[Status]]&lt;&gt;Overview!$C$13,Table2[[#This Row],[Lead time from informal request received to today (days)2]],"Disbursed")</f>
        <v>Disbursed</v>
      </c>
    </row>
    <row r="14" spans="1:37" s="155" customFormat="1" ht="14.25" customHeight="1" x14ac:dyDescent="0.45">
      <c r="A14" t="str">
        <f>CONCATENATE(C14,F14,L14)</f>
        <v>Ethiopia440000044677</v>
      </c>
      <c r="B14" t="s">
        <v>206</v>
      </c>
      <c r="C14" t="s">
        <v>95</v>
      </c>
      <c r="D14" t="str">
        <f>INDEX(Table1[#All],MATCH('Funding tracker'!$C28,Table1[[#All],[Recipient country Name]],0),MATCH('Funding tracker'!D$1,Table1[#Headers],0))</f>
        <v>Patience Musanhu</v>
      </c>
      <c r="E14" t="str">
        <f>INDEX(Table1[#All],MATCH('Funding tracker'!$C28,Table1[[#All],[Recipient country Name]],0),MATCH('Funding tracker'!E$1,Table1[#Headers],0))</f>
        <v>Ida Marie</v>
      </c>
      <c r="F14" s="201">
        <v>4400000</v>
      </c>
      <c r="G14" s="181" t="s">
        <v>181</v>
      </c>
      <c r="H14" s="173">
        <v>2170000</v>
      </c>
      <c r="I14" t="s">
        <v>217</v>
      </c>
      <c r="J14" t="s">
        <v>208</v>
      </c>
      <c r="K14" t="s">
        <v>218</v>
      </c>
      <c r="L14" s="2">
        <v>44677</v>
      </c>
      <c r="M14" t="s">
        <v>71</v>
      </c>
      <c r="N14" s="2">
        <v>44677</v>
      </c>
      <c r="O14" t="s">
        <v>71</v>
      </c>
      <c r="P14" t="s">
        <v>64</v>
      </c>
      <c r="Q14" s="2">
        <v>44677</v>
      </c>
      <c r="R14" s="13">
        <f>Table2[[#This Row],[Amount tracked through this row]]</f>
        <v>2170000</v>
      </c>
      <c r="S14" t="s">
        <v>71</v>
      </c>
      <c r="T14" s="2">
        <v>44677</v>
      </c>
      <c r="U14" t="s">
        <v>71</v>
      </c>
      <c r="V14" s="2">
        <v>44678</v>
      </c>
      <c r="W14" s="13">
        <f>MONTH(Table2[[#This Row],[Funds disbursed (Date)]])</f>
        <v>4</v>
      </c>
      <c r="X14" s="192">
        <v>0.8</v>
      </c>
      <c r="Y14" s="15" t="s">
        <v>219</v>
      </c>
      <c r="Z14" s="62" t="str" cm="1">
        <f t="array" aca="1" ref="Z14" ca="1">_xlfn.IFS(Table2[[#This Row],[Sources of funding identified (yes / no / Identified as not urgent)]]=Utilities!$B$14,"Out of CoVDP scope",U14="yes",Overview!$C$13,AND(Table2[[#This Row],[Lead time from sources identified to today (if not disbursed yet)]]&lt;=15,S14="yes"),Overview!$C$11,AND(Table2[[#This Row],[Lead time from sources identified to today (if not disbursed yet)]]&gt;15,S14="yes"),Overview!$C$12,O14="yes",Overview!$C$10,M14="yes",Overview!$C$9,M14="no",Overview!$C$8)</f>
        <v>Funds disbursed</v>
      </c>
      <c r="AA14" s="65">
        <f ca="1">_xlfn.DAYS(TODAY(),$N14)</f>
        <v>206</v>
      </c>
      <c r="AB14" s="65">
        <f ca="1">_xlfn.DAYS(TODAY(),$L14)</f>
        <v>206</v>
      </c>
      <c r="AC14" s="12">
        <f ca="1">IF(Table2[[#This Row],[Lead time from formal request received to today (days)]]&lt;400,Table2[[#This Row],[Lead time from formal request received to today (days)]],"-")</f>
        <v>206</v>
      </c>
      <c r="AD14" s="12" t="str">
        <f ca="1">IF(AND(Table2[[#This Row],[Funds disbursed (Date)]]="",Table2[[#This Row],[Source of funding identified (Details)]]&lt;&gt;""),TODAY()-Table2[[#This Row],[Sources of funding identified (Date) - or standard request discussed during CoVDP Funding Alignment call]],"-")</f>
        <v>-</v>
      </c>
      <c r="AE14" s="12">
        <f>IF(V14="","-",_xlfn.DAYS(V14,N14))</f>
        <v>1</v>
      </c>
      <c r="AF14" s="65">
        <f>IF(V14="","",NETWORKDAYS(N14,V14)-1)</f>
        <v>1</v>
      </c>
      <c r="AG14" s="65" t="str">
        <f>IF(OR(V14="",Table2[[#This Row],[Source of funding identified (Details)]]&lt;&gt;Utilities!$B$6),"",NETWORKDAYS(Q14,V14)-1)</f>
        <v/>
      </c>
      <c r="AH14" t="s">
        <v>220</v>
      </c>
      <c r="AI14" t="str">
        <f>IF(Table2[[#This Row],[Column1]]=1,"NO","YES")</f>
        <v>YES</v>
      </c>
      <c r="AJ14" s="31">
        <f>COUNTIF(Table2[Request ID],Table2[[#This Row],[Request ID]])</f>
        <v>2</v>
      </c>
      <c r="AK14" s="62" t="str">
        <f ca="1">IF(Table2[[#This Row],[Status]]&lt;&gt;Overview!$C$13,Table2[[#This Row],[Lead time from informal request received to today (days)2]],"Disbursed")</f>
        <v>Disbursed</v>
      </c>
    </row>
    <row r="15" spans="1:37" s="132" customFormat="1" ht="13.5" customHeight="1" x14ac:dyDescent="0.45">
      <c r="A15" s="62" t="str">
        <f>CONCATENATE(C15,F15,L15)</f>
        <v>Yemen480000044621</v>
      </c>
      <c r="B15" s="62" t="s">
        <v>300</v>
      </c>
      <c r="C15" s="62" t="s">
        <v>99</v>
      </c>
      <c r="D15" s="62" t="str">
        <f>INDEX(Table1[#All],MATCH('Funding tracker'!$C23,Table1[[#All],[Recipient country Name]],0),MATCH('Funding tracker'!D$1,Table1[#Headers],0))</f>
        <v>Thierry Vincent</v>
      </c>
      <c r="E15" s="62" t="str">
        <f>INDEX(Table1[#All],MATCH('Funding tracker'!$C23,Table1[[#All],[Recipient country Name]],0),MATCH('Funding tracker'!E$1,Table1[#Headers],0))</f>
        <v>Simon</v>
      </c>
      <c r="F15" s="204">
        <v>4800000</v>
      </c>
      <c r="G15" s="180" t="s">
        <v>135</v>
      </c>
      <c r="H15" s="174">
        <v>0</v>
      </c>
      <c r="I15" s="62" t="s">
        <v>301</v>
      </c>
      <c r="J15" t="s">
        <v>302</v>
      </c>
      <c r="K15" s="62" t="s">
        <v>218</v>
      </c>
      <c r="L15" s="2">
        <v>44621</v>
      </c>
      <c r="M15" s="62" t="s">
        <v>72</v>
      </c>
      <c r="N15" s="62"/>
      <c r="O15" s="62"/>
      <c r="P15" s="62" t="s">
        <v>24</v>
      </c>
      <c r="Q15" s="62"/>
      <c r="R15" s="64">
        <f>Table2[[#This Row],[Amount tracked through this row]]</f>
        <v>0</v>
      </c>
      <c r="S15" s="62"/>
      <c r="T15" s="63"/>
      <c r="U15" s="62"/>
      <c r="V15" s="62"/>
      <c r="W15" s="64">
        <f>MONTH(Table2[[#This Row],[Funds disbursed (Date)]])</f>
        <v>1</v>
      </c>
      <c r="X15" s="194"/>
      <c r="Y15" s="68" t="s">
        <v>303</v>
      </c>
      <c r="Z15" s="62" t="s">
        <v>24</v>
      </c>
      <c r="AA15" s="65">
        <f ca="1">_xlfn.DAYS(TODAY(),$N15)</f>
        <v>44883</v>
      </c>
      <c r="AB15" s="65">
        <f ca="1">_xlfn.DAYS(TODAY(),$L15)</f>
        <v>262</v>
      </c>
      <c r="AC15" s="65" t="str">
        <f ca="1">IF(Table2[[#This Row],[Lead time from formal request received to today (days)]]&lt;400,Table2[[#This Row],[Lead time from formal request received to today (days)]],"-")</f>
        <v>-</v>
      </c>
      <c r="AD15" s="65">
        <f ca="1">IF(AND(Table2[[#This Row],[Funds disbursed (Date)]]="",Table2[[#This Row],[Source of funding identified (Details)]]&lt;&gt;""),TODAY()-Table2[[#This Row],[Sources of funding identified (Date) - or standard request discussed during CoVDP Funding Alignment call]],"-")</f>
        <v>44883</v>
      </c>
      <c r="AE15" s="12" t="str">
        <f>IF(V15="","-",_xlfn.DAYS(V15,N15))</f>
        <v>-</v>
      </c>
      <c r="AF15" s="65" t="str">
        <f>IF(V15="","",NETWORKDAYS(N15,V15)-1)</f>
        <v/>
      </c>
      <c r="AG15" s="65" t="str">
        <f>IF(OR(V15="",Table2[[#This Row],[Source of funding identified (Details)]]&lt;&gt;Utilities!$B$6),"",NETWORKDAYS(Q15,V15)-1)</f>
        <v/>
      </c>
      <c r="AH15" s="62"/>
      <c r="AI15" s="62" t="str">
        <f>IF(Table2[[#This Row],[Column1]]=1,"NO","YES")</f>
        <v>NO</v>
      </c>
      <c r="AJ15" s="62">
        <f>COUNTIF(Table2[Request ID],Table2[[#This Row],[Request ID]])</f>
        <v>1</v>
      </c>
      <c r="AK15" s="62">
        <f ca="1">IF(Table2[[#This Row],[Status]]&lt;&gt;Overview!$C$13,Table2[[#This Row],[Lead time from informal request received to today (days)2]],"Disbursed")</f>
        <v>262</v>
      </c>
    </row>
    <row r="16" spans="1:37" s="155" customFormat="1" ht="17.25" customHeight="1" x14ac:dyDescent="0.45">
      <c r="A16" t="str">
        <f>CONCATENATE(C16,F16,L16)</f>
        <v>Sudan510000044648</v>
      </c>
      <c r="B16" t="s">
        <v>289</v>
      </c>
      <c r="C16" t="s">
        <v>103</v>
      </c>
      <c r="D16" t="str">
        <f>INDEX(Table1[#All],MATCH('Funding tracker'!$C34,Table1[[#All],[Recipient country Name]],0),MATCH('Funding tracker'!D$1,Table1[#Headers],0))</f>
        <v>Patience Musanhu</v>
      </c>
      <c r="E16" t="str">
        <f>INDEX(Table1[#All],MATCH('Funding tracker'!$C34,Table1[[#All],[Recipient country Name]],0),MATCH('Funding tracker'!E$1,Table1[#Headers],0))</f>
        <v>Abu</v>
      </c>
      <c r="F16" s="201">
        <v>5100000</v>
      </c>
      <c r="G16" s="181" t="s">
        <v>133</v>
      </c>
      <c r="H16" s="177">
        <v>5763000</v>
      </c>
      <c r="I16" t="s">
        <v>293</v>
      </c>
      <c r="J16" t="s">
        <v>294</v>
      </c>
      <c r="K16" t="s">
        <v>218</v>
      </c>
      <c r="L16" s="63">
        <v>44648</v>
      </c>
      <c r="M16" t="s">
        <v>71</v>
      </c>
      <c r="N16" s="2">
        <v>44648</v>
      </c>
      <c r="O16" t="s">
        <v>71</v>
      </c>
      <c r="P16" t="s">
        <v>66</v>
      </c>
      <c r="Q16" s="2">
        <v>44648</v>
      </c>
      <c r="R16" s="13">
        <f>Table2[[#This Row],[Amount tracked through this row]]</f>
        <v>5763000</v>
      </c>
      <c r="S16" t="s">
        <v>71</v>
      </c>
      <c r="T16" s="2">
        <v>44683</v>
      </c>
      <c r="U16" t="s">
        <v>71</v>
      </c>
      <c r="V16" s="2">
        <v>44698</v>
      </c>
      <c r="W16" s="13">
        <f>MONTH(Table2[[#This Row],[Funds disbursed (Date)]])</f>
        <v>5</v>
      </c>
      <c r="X16" s="192"/>
      <c r="Y16" t="s">
        <v>295</v>
      </c>
      <c r="Z16" s="62" t="str" cm="1">
        <f t="array" aca="1" ref="Z16" ca="1">_xlfn.IFS(Table2[[#This Row],[Sources of funding identified (yes / no / Identified as not urgent)]]=Utilities!$B$14,"Out of CoVDP scope",U16="yes",Overview!$C$13,AND(Table2[[#This Row],[Lead time from sources identified to today (if not disbursed yet)]]&lt;=15,S16="yes"),Overview!$C$11,AND(Table2[[#This Row],[Lead time from sources identified to today (if not disbursed yet)]]&gt;15,S16="yes"),Overview!$C$12,O16="yes",Overview!$C$10,M16="yes",Overview!$C$9,M16="no",Overview!$C$8)</f>
        <v>Funds disbursed</v>
      </c>
      <c r="AA16" s="65">
        <f ca="1">_xlfn.DAYS(TODAY(),$N16)</f>
        <v>235</v>
      </c>
      <c r="AB16" s="65">
        <f ca="1">_xlfn.DAYS(TODAY(),$L16)</f>
        <v>235</v>
      </c>
      <c r="AC16" s="12">
        <f ca="1">IF(Table2[[#This Row],[Lead time from formal request received to today (days)]]&lt;400,Table2[[#This Row],[Lead time from formal request received to today (days)]],"-")</f>
        <v>235</v>
      </c>
      <c r="AD16" s="12" t="str">
        <f ca="1">IF(AND(Table2[[#This Row],[Funds disbursed (Date)]]="",Table2[[#This Row],[Source of funding identified (Details)]]&lt;&gt;""),TODAY()-Table2[[#This Row],[Sources of funding identified (Date) - or standard request discussed during CoVDP Funding Alignment call]],"-")</f>
        <v>-</v>
      </c>
      <c r="AE16" s="12">
        <f>IF(V16="","-",_xlfn.DAYS(V16,N16))</f>
        <v>50</v>
      </c>
      <c r="AF16" s="12">
        <f>IF(V16="","",NETWORKDAYS(N16,V16)-1)</f>
        <v>36</v>
      </c>
      <c r="AG16" s="12">
        <f>IF(OR(V16="",Table2[[#This Row],[Source of funding identified (Details)]]&lt;&gt;Utilities!$B$6),"",NETWORKDAYS(Q16,V16)-1)</f>
        <v>36</v>
      </c>
      <c r="AH16"/>
      <c r="AI16" t="str">
        <f>IF(Table2[[#This Row],[Column1]]=1,"NO","YES")</f>
        <v>NO</v>
      </c>
      <c r="AJ16" s="31">
        <f>COUNTIF(Table2[Request ID],Table2[[#This Row],[Request ID]])</f>
        <v>1</v>
      </c>
      <c r="AK16" s="62" t="str">
        <f ca="1">IF(Table2[[#This Row],[Status]]&lt;&gt;Overview!$C$13,Table2[[#This Row],[Lead time from informal request received to today (days)2]],"Disbursed")</f>
        <v>Disbursed</v>
      </c>
    </row>
    <row r="17" spans="1:37" s="167" customFormat="1" ht="15.75" customHeight="1" x14ac:dyDescent="0.45">
      <c r="A17" t="str">
        <f>CONCATENATE(C17,F17,L17)</f>
        <v>Chad539093844725</v>
      </c>
      <c r="B17" t="s">
        <v>188</v>
      </c>
      <c r="C17" t="s">
        <v>93</v>
      </c>
      <c r="D17" t="str">
        <f>INDEX(Table1[#All],MATCH('Funding tracker'!$C7,Table1[[#All],[Recipient country Name]],0),MATCH('Funding tracker'!D$1,Table1[#Headers],0))</f>
        <v>Billie Nieuwenhuys</v>
      </c>
      <c r="E17">
        <f>INDEX(Table1[#All],MATCH('Funding tracker'!$C7,Table1[[#All],[Recipient country Name]],0),MATCH('Funding tracker'!E$1,Table1[#Headers],0))</f>
        <v>0</v>
      </c>
      <c r="F17" s="201">
        <v>5390938</v>
      </c>
      <c r="G17" s="179" t="s">
        <v>181</v>
      </c>
      <c r="H17" s="172">
        <v>0</v>
      </c>
      <c r="I17" t="s">
        <v>189</v>
      </c>
      <c r="J17" s="8" t="s">
        <v>190</v>
      </c>
      <c r="K17" t="s">
        <v>149</v>
      </c>
      <c r="L17" s="2">
        <v>44725</v>
      </c>
      <c r="M17" t="s">
        <v>72</v>
      </c>
      <c r="N17" s="2"/>
      <c r="O17" t="s">
        <v>72</v>
      </c>
      <c r="P17"/>
      <c r="Q17" s="2"/>
      <c r="R17" s="13">
        <f>Table2[[#This Row],[Amount tracked through this row]]</f>
        <v>0</v>
      </c>
      <c r="S17" t="s">
        <v>72</v>
      </c>
      <c r="T17" s="2"/>
      <c r="U17" t="s">
        <v>72</v>
      </c>
      <c r="V17" s="2"/>
      <c r="W17" s="13">
        <f>MONTH(Table2[[#This Row],[Funds disbursed (Date)]])</f>
        <v>1</v>
      </c>
      <c r="X17" s="192"/>
      <c r="Y17" t="s">
        <v>191</v>
      </c>
      <c r="Z17" s="62" t="str" cm="1">
        <f t="array" aca="1" ref="Z17" ca="1">_xlfn.IFS(Table2[[#This Row],[Sources of funding identified (yes / no / Identified as not urgent)]]=Utilities!$B$14,"Out of CoVDP scope",U17="yes",Overview!$C$13,AND(Table2[[#This Row],[Lead time from sources identified to today (if not disbursed yet)]]&lt;15,S17="yes"),Overview!$C$11,AND(Table2[[#This Row],[Lead time from sources identified to today (if not disbursed yet)]]&gt;15,S17="yes"),Overview!$C$12,O17="yes",Overview!$C$10,M17="yes",Overview!$C$9,M17="no",Overview!$C$8)</f>
        <v>Pending additional details and/or formal request</v>
      </c>
      <c r="AA17" s="65">
        <f ca="1">_xlfn.DAYS(TODAY(),$N17)</f>
        <v>44883</v>
      </c>
      <c r="AB17" s="65">
        <f ca="1">_xlfn.DAYS(TODAY(),$L17)</f>
        <v>158</v>
      </c>
      <c r="AC17" s="12" t="str">
        <f ca="1">IF(Table2[[#This Row],[Lead time from formal request received to today (days)]]&lt;400,Table2[[#This Row],[Lead time from formal request received to today (days)]],"-")</f>
        <v>-</v>
      </c>
      <c r="AD17" s="12" t="str">
        <f ca="1">IF(AND(Table2[[#This Row],[Funds disbursed (Date)]]="",Table2[[#This Row],[Source of funding identified (Details)]]&lt;&gt;""),TODAY()-Table2[[#This Row],[Sources of funding identified (Date) - or standard request discussed during CoVDP Funding Alignment call]],"-")</f>
        <v>-</v>
      </c>
      <c r="AE17" s="12"/>
      <c r="AF17" s="12" t="str">
        <f>IF(V17="","",NETWORKDAYS(N17,V17)-1)</f>
        <v/>
      </c>
      <c r="AG17" s="12" t="str">
        <f>IF(OR(V17="",Table2[[#This Row],[Source of funding identified (Details)]]&lt;&gt;Utilities!$B$6),"",NETWORKDAYS(Q17,V17)-1)</f>
        <v/>
      </c>
      <c r="AH17"/>
      <c r="AI17" t="str">
        <f>IF(Table2[[#This Row],[Column1]]=1,"NO","YES")</f>
        <v>NO</v>
      </c>
      <c r="AJ17" s="31">
        <f>COUNTIF(Table2[Request ID],Table2[[#This Row],[Request ID]])</f>
        <v>1</v>
      </c>
      <c r="AK17" s="62">
        <f ca="1">IF(Table2[[#This Row],[Status]]&lt;&gt;Overview!$C$13,Table2[[#This Row],[Lead time from informal request received to today (days)2]],"Disbursed")</f>
        <v>158</v>
      </c>
    </row>
    <row r="18" spans="1:37" s="155" customFormat="1" ht="15" customHeight="1" x14ac:dyDescent="0.45">
      <c r="A18" t="str">
        <f>CONCATENATE(C18,F18,L18)</f>
        <v>Ethiopia540000044604</v>
      </c>
      <c r="B18" t="s">
        <v>206</v>
      </c>
      <c r="C18" t="s">
        <v>95</v>
      </c>
      <c r="D18" t="str">
        <f>INDEX(Table1[#All],MATCH('Funding tracker'!$C3,Table1[[#All],[Recipient country Name]],0),MATCH('Funding tracker'!D$1,Table1[#Headers],0))</f>
        <v>Antoinette Awaga</v>
      </c>
      <c r="E18" t="str">
        <f>INDEX(Table1[#All],MATCH('Funding tracker'!$C3,Table1[[#All],[Recipient country Name]],0),MATCH('Funding tracker'!E$1,Table1[#Headers],0))</f>
        <v>Edinam</v>
      </c>
      <c r="F18" s="202">
        <v>5400000</v>
      </c>
      <c r="G18" s="179" t="s">
        <v>181</v>
      </c>
      <c r="H18" s="172">
        <v>2400000</v>
      </c>
      <c r="I18" t="s">
        <v>76</v>
      </c>
      <c r="J18" s="128" t="s">
        <v>210</v>
      </c>
      <c r="K18" t="s">
        <v>149</v>
      </c>
      <c r="L18" s="2">
        <v>44604</v>
      </c>
      <c r="M18" t="s">
        <v>71</v>
      </c>
      <c r="N18" s="2">
        <f>N21</f>
        <v>44692</v>
      </c>
      <c r="O18" s="2" t="s">
        <v>71</v>
      </c>
      <c r="P18" s="2" t="s">
        <v>65</v>
      </c>
      <c r="Q18" s="2">
        <v>44620</v>
      </c>
      <c r="R18" s="13">
        <f>Table2[[#This Row],[Amount tracked through this row]]</f>
        <v>2400000</v>
      </c>
      <c r="S18" s="139" t="s">
        <v>71</v>
      </c>
      <c r="T18" s="171">
        <v>44663</v>
      </c>
      <c r="U18" s="139" t="s">
        <v>71</v>
      </c>
      <c r="V18" s="171">
        <v>44663</v>
      </c>
      <c r="W18" s="13">
        <f>MONTH(Table2[[#This Row],[Funds disbursed (Date)]])</f>
        <v>4</v>
      </c>
      <c r="X18" s="192">
        <v>0.05</v>
      </c>
      <c r="Y18" s="15" t="s">
        <v>211</v>
      </c>
      <c r="Z18" s="62" t="str" cm="1">
        <f t="array" aca="1" ref="Z18" ca="1">_xlfn.IFS(Table2[[#This Row],[Sources of funding identified (yes / no / Identified as not urgent)]]=Utilities!$B$14,"Out of CoVDP scope",U18="yes",Overview!$C$13,AND(Table2[[#This Row],[Lead time from sources identified to today (if not disbursed yet)]]&lt;=15,S18="yes"),Overview!$C$11,AND(Table2[[#This Row],[Lead time from sources identified to today (if not disbursed yet)]]&gt;15,S18="yes"),Overview!$C$12,O18="yes",Overview!$C$10,M18="yes",Overview!$C$9,M18="no",Overview!$C$8)</f>
        <v>Funds disbursed</v>
      </c>
      <c r="AA18" s="65">
        <f ca="1">_xlfn.DAYS(TODAY(),$N18)</f>
        <v>191</v>
      </c>
      <c r="AB18" s="65">
        <f ca="1">_xlfn.DAYS(TODAY(),$L18)</f>
        <v>279</v>
      </c>
      <c r="AC18" s="12">
        <f ca="1">IF(Table2[[#This Row],[Lead time from formal request received to today (days)]]&lt;400,Table2[[#This Row],[Lead time from formal request received to today (days)]],"-")</f>
        <v>191</v>
      </c>
      <c r="AD18" s="12" t="str">
        <f ca="1">IF(AND(Table2[[#This Row],[Funds disbursed (Date)]]="",Table2[[#This Row],[Source of funding identified (Details)]]&lt;&gt;""),TODAY()-Table2[[#This Row],[Sources of funding identified (Date) - or standard request discussed during CoVDP Funding Alignment call]],"-")</f>
        <v>-</v>
      </c>
      <c r="AE18" s="12">
        <f>IF(V18="","",_xlfn.DAYS(V18,N18))</f>
        <v>-29</v>
      </c>
      <c r="AF18" s="12">
        <f>IF(V18="","",NETWORKDAYS(N18,V18)-1)</f>
        <v>-23</v>
      </c>
      <c r="AG18" s="12" t="str">
        <f>IF(OR(V18="",Table2[[#This Row],[Source of funding identified (Details)]]&lt;&gt;Utilities!$B$6),"",NETWORKDAYS(Q18,V18)-1)</f>
        <v/>
      </c>
      <c r="AH18"/>
      <c r="AI18" t="str">
        <f>IF(Table2[[#This Row],[Column1]]=1,"NO","YES")</f>
        <v>YES</v>
      </c>
      <c r="AJ18" s="31">
        <f>COUNTIF(Table2[Request ID],Table2[[#This Row],[Request ID]])</f>
        <v>2</v>
      </c>
      <c r="AK18" s="62" t="str">
        <f ca="1">IF(Table2[[#This Row],[Status]]&lt;&gt;Overview!$C$13,Table2[[#This Row],[Lead time from informal request received to today (days)2]],"Disbursed")</f>
        <v>Disbursed</v>
      </c>
    </row>
    <row r="19" spans="1:37" s="167" customFormat="1" ht="12.75" customHeight="1" x14ac:dyDescent="0.45">
      <c r="A19" t="str">
        <f>CONCATENATE(C19,F19,L19)</f>
        <v>Ethiopia540000044604</v>
      </c>
      <c r="B19" t="s">
        <v>206</v>
      </c>
      <c r="C19" t="s">
        <v>95</v>
      </c>
      <c r="D19" t="str">
        <f>INDEX(Table1[#All],MATCH('Funding tracker'!$C6,Table1[[#All],[Recipient country Name]],0),MATCH('Funding tracker'!D$1,Table1[#Headers],0))</f>
        <v>Billie Nieuwenhuys</v>
      </c>
      <c r="E19">
        <f>INDEX(Table1[#All],MATCH('Funding tracker'!$C6,Table1[[#All],[Recipient country Name]],0),MATCH('Funding tracker'!E$1,Table1[#Headers],0))</f>
        <v>0</v>
      </c>
      <c r="F19" s="202">
        <f>F18</f>
        <v>5400000</v>
      </c>
      <c r="G19" s="179" t="s">
        <v>181</v>
      </c>
      <c r="H19" s="172">
        <f>Table2[[#This Row],[Amount to be funded]]</f>
        <v>216502</v>
      </c>
      <c r="I19" t="s">
        <v>76</v>
      </c>
      <c r="J19" t="s">
        <v>212</v>
      </c>
      <c r="K19" t="s">
        <v>149</v>
      </c>
      <c r="L19" s="2">
        <v>44604</v>
      </c>
      <c r="M19" t="s">
        <v>71</v>
      </c>
      <c r="N19" s="2">
        <v>44614</v>
      </c>
      <c r="O19" s="2" t="s">
        <v>71</v>
      </c>
      <c r="P19" s="2" t="s">
        <v>64</v>
      </c>
      <c r="Q19" s="2">
        <v>44621</v>
      </c>
      <c r="R19" s="13">
        <v>216502</v>
      </c>
      <c r="S19" t="s">
        <v>71</v>
      </c>
      <c r="T19" s="2">
        <v>44624</v>
      </c>
      <c r="U19" t="s">
        <v>71</v>
      </c>
      <c r="V19" s="2">
        <v>44631</v>
      </c>
      <c r="W19" s="13">
        <f>MONTH(Table2[[#This Row],[Funds disbursed (Date)]])</f>
        <v>3</v>
      </c>
      <c r="X19" s="192">
        <v>0.8</v>
      </c>
      <c r="Y19" t="s">
        <v>213</v>
      </c>
      <c r="Z19" s="62" t="str" cm="1">
        <f t="array" aca="1" ref="Z19" ca="1">_xlfn.IFS(Table2[[#This Row],[Sources of funding identified (yes / no / Identified as not urgent)]]=Utilities!$B$14,"Out of CoVDP scope",U19="yes",Overview!$C$13,AND(Table2[[#This Row],[Lead time from sources identified to today (if not disbursed yet)]]&lt;=15,S19="yes"),Overview!$C$11,AND(Table2[[#This Row],[Lead time from sources identified to today (if not disbursed yet)]]&gt;15,S19="yes"),Overview!$C$12,O19="yes",Overview!$C$10,M19="yes",Overview!$C$9,M19="no",Overview!$C$8)</f>
        <v>Funds disbursed</v>
      </c>
      <c r="AA19" s="12">
        <f ca="1">_xlfn.DAYS(TODAY(),$N19)</f>
        <v>269</v>
      </c>
      <c r="AB19" s="12">
        <f ca="1">_xlfn.DAYS(TODAY(),$L19)</f>
        <v>279</v>
      </c>
      <c r="AC19" s="12">
        <f ca="1">IF(Table2[[#This Row],[Lead time from formal request received to today (days)]]&lt;400,Table2[[#This Row],[Lead time from formal request received to today (days)]],"-")</f>
        <v>269</v>
      </c>
      <c r="AD19" s="12" t="str">
        <f ca="1">IF(AND(Table2[[#This Row],[Funds disbursed (Date)]]="",Table2[[#This Row],[Source of funding identified (Details)]]&lt;&gt;""),TODAY()-Table2[[#This Row],[Sources of funding identified (Date) - or standard request discussed during CoVDP Funding Alignment call]],"-")</f>
        <v>-</v>
      </c>
      <c r="AE19" s="12">
        <f>IF(V19="","",_xlfn.DAYS(V19,N19))</f>
        <v>17</v>
      </c>
      <c r="AF19" s="12">
        <f>IF(V19="","",NETWORKDAYS(N19,V19)-1)</f>
        <v>13</v>
      </c>
      <c r="AG19" s="12" t="str">
        <f>IF(OR(V19="",Table2[[#This Row],[Source of funding identified (Details)]]&lt;&gt;Utilities!$B$6),"",NETWORKDAYS(Q19,V19)-1)</f>
        <v/>
      </c>
      <c r="AH19"/>
      <c r="AI19" t="str">
        <f>IF(Table2[[#This Row],[Column1]]=1,"NO","YES")</f>
        <v>YES</v>
      </c>
      <c r="AJ19" s="31">
        <f>COUNTIF(Table2[Request ID],Table2[[#This Row],[Request ID]])</f>
        <v>2</v>
      </c>
      <c r="AK19" s="62" t="str">
        <f ca="1">IF(Table2[[#This Row],[Status]]&lt;&gt;Overview!$C$13,Table2[[#This Row],[Lead time from informal request received to today (days)2]],"Disbursed")</f>
        <v>Disbursed</v>
      </c>
    </row>
    <row r="20" spans="1:37" s="133" customFormat="1" x14ac:dyDescent="0.45">
      <c r="A20" t="str">
        <f>CONCATENATE(C20,F20,L20)</f>
        <v>Nigeria610000044670</v>
      </c>
      <c r="B20" t="s">
        <v>238</v>
      </c>
      <c r="C20" t="s">
        <v>101</v>
      </c>
      <c r="D20" t="e">
        <f>INDEX(Table1[#All],MATCH('Funding tracker'!#REF!,Table1[[#All],[Recipient country Name]],0),MATCH('Funding tracker'!D$1,Table1[#Headers],0))</f>
        <v>#REF!</v>
      </c>
      <c r="E20" t="e">
        <f>INDEX(Table1[#All],MATCH('Funding tracker'!#REF!,Table1[[#All],[Recipient country Name]],0),MATCH('Funding tracker'!E$1,Table1[#Headers],0))</f>
        <v>#REF!</v>
      </c>
      <c r="F20" s="203">
        <v>6100000</v>
      </c>
      <c r="G20" s="181" t="s">
        <v>181</v>
      </c>
      <c r="H20" s="173">
        <v>3600000</v>
      </c>
      <c r="I20" t="s">
        <v>247</v>
      </c>
      <c r="J20" t="s">
        <v>240</v>
      </c>
      <c r="K20" t="s">
        <v>218</v>
      </c>
      <c r="L20" s="63">
        <v>44670</v>
      </c>
      <c r="M20" t="s">
        <v>71</v>
      </c>
      <c r="N20" s="2">
        <v>44670</v>
      </c>
      <c r="O20" t="s">
        <v>71</v>
      </c>
      <c r="P20" t="s">
        <v>64</v>
      </c>
      <c r="Q20" s="2">
        <v>44671</v>
      </c>
      <c r="R20" s="13">
        <f>Table2[[#This Row],[Amount tracked through this row]]</f>
        <v>3600000</v>
      </c>
      <c r="S20" t="s">
        <v>71</v>
      </c>
      <c r="T20" s="2">
        <f>Table2[[#This Row],[Sources of funding identified (Date) - or standard request discussed during CoVDP Funding Alignment call]]</f>
        <v>44671</v>
      </c>
      <c r="U20" t="s">
        <v>71</v>
      </c>
      <c r="V20" s="2">
        <v>44675</v>
      </c>
      <c r="W20" s="13">
        <f>MONTH(Table2[[#This Row],[Funds disbursed (Date)]])</f>
        <v>4</v>
      </c>
      <c r="X20" s="192">
        <v>0.33</v>
      </c>
      <c r="Y20" t="s">
        <v>241</v>
      </c>
      <c r="Z20" s="62" t="str" cm="1">
        <f t="array" aca="1" ref="Z20" ca="1">_xlfn.IFS(Table2[[#This Row],[Sources of funding identified (yes / no / Identified as not urgent)]]=Utilities!$B$14,"Out of CoVDP scope",U20="yes",Overview!$C$13,AND(Table2[[#This Row],[Lead time from sources identified to today (if not disbursed yet)]]&lt;15,S20="yes"),Overview!$C$11,AND(Table2[[#This Row],[Lead time from sources identified to today (if not disbursed yet)]]&gt;15,S20="yes"),Overview!$C$12,O20="yes",Overview!$C$10,M20="yes",Overview!$C$9,M20="no",Overview!$C$8)</f>
        <v>Funds disbursed</v>
      </c>
      <c r="AA20" s="65">
        <f ca="1">_xlfn.DAYS(TODAY(),$N20)</f>
        <v>213</v>
      </c>
      <c r="AB20" s="65">
        <f ca="1">_xlfn.DAYS(TODAY(),$L20)</f>
        <v>213</v>
      </c>
      <c r="AC20" s="12">
        <f ca="1">IF(Table2[[#This Row],[Lead time from formal request received to today (days)]]&lt;400,Table2[[#This Row],[Lead time from formal request received to today (days)]],"-")</f>
        <v>213</v>
      </c>
      <c r="AD20" s="12" t="str">
        <f ca="1">IF(AND(Table2[[#This Row],[Funds disbursed (Date)]]="",Table2[[#This Row],[Source of funding identified (Details)]]&lt;&gt;""),TODAY()-Table2[[#This Row],[Sources of funding identified (Date) - or standard request discussed during CoVDP Funding Alignment call]],"-")</f>
        <v>-</v>
      </c>
      <c r="AE20" s="12">
        <f>IF(V20="","-",_xlfn.DAYS(V20,N20))</f>
        <v>5</v>
      </c>
      <c r="AF20" s="12">
        <f>IF(V20="","",NETWORKDAYS(N20,V20)-1)</f>
        <v>3</v>
      </c>
      <c r="AG20" s="12" t="str">
        <f>IF(OR(V20="",Table2[[#This Row],[Source of funding identified (Details)]]&lt;&gt;Utilities!$B$6),"",NETWORKDAYS(Q20,V20)-1)</f>
        <v/>
      </c>
      <c r="AH20"/>
      <c r="AI20" t="str">
        <f>IF(Table2[[#This Row],[Column1]]=1,"NO","YES")</f>
        <v>NO</v>
      </c>
      <c r="AJ20" s="31">
        <f>COUNTIF(Table2[Request ID],Table2[[#This Row],[Request ID]])</f>
        <v>1</v>
      </c>
      <c r="AK20" s="62" t="str">
        <f ca="1">IF(Table2[[#This Row],[Status]]&lt;&gt;Overview!$C$13,Table2[[#This Row],[Lead time from informal request received to today (days)2]],"Disbursed")</f>
        <v>Disbursed</v>
      </c>
    </row>
    <row r="21" spans="1:37" ht="9.75" customHeight="1" x14ac:dyDescent="0.45">
      <c r="A21" t="str">
        <f>CONCATENATE(C21,F21,L21)</f>
        <v>Nigeria620000044677</v>
      </c>
      <c r="B21" t="s">
        <v>238</v>
      </c>
      <c r="C21" t="s">
        <v>101</v>
      </c>
      <c r="D21" t="str">
        <f>INDEX(Table1[#All],MATCH('Funding tracker'!$C29,Table1[[#All],[Recipient country Name]],0),MATCH('Funding tracker'!D$1,Table1[#Headers],0))</f>
        <v>Patience Musanhu</v>
      </c>
      <c r="E21" t="str">
        <f>INDEX(Table1[#All],MATCH('Funding tracker'!$C29,Table1[[#All],[Recipient country Name]],0),MATCH('Funding tracker'!E$1,Table1[#Headers],0))</f>
        <v>Ida Marie</v>
      </c>
      <c r="F21" s="201">
        <v>6200000</v>
      </c>
      <c r="G21" s="181" t="s">
        <v>181</v>
      </c>
      <c r="H21" s="173">
        <v>6200000</v>
      </c>
      <c r="I21" t="s">
        <v>248</v>
      </c>
      <c r="J21" s="8" t="s">
        <v>249</v>
      </c>
      <c r="K21" t="s">
        <v>183</v>
      </c>
      <c r="L21" s="2">
        <v>44677</v>
      </c>
      <c r="M21" t="s">
        <v>71</v>
      </c>
      <c r="N21" s="2">
        <v>44692</v>
      </c>
      <c r="O21" t="s">
        <v>71</v>
      </c>
      <c r="P21" t="s">
        <v>66</v>
      </c>
      <c r="Q21" s="2">
        <v>44714</v>
      </c>
      <c r="R21" s="13">
        <f>Table2[[#This Row],[Amount tracked through this row]]</f>
        <v>6200000</v>
      </c>
      <c r="S21" t="s">
        <v>71</v>
      </c>
      <c r="T21" s="2">
        <v>44734</v>
      </c>
      <c r="U21" t="s">
        <v>72</v>
      </c>
      <c r="W21" s="13">
        <f>MONTH(Table2[[#This Row],[Funds disbursed (Date)]])</f>
        <v>1</v>
      </c>
      <c r="X21" s="192"/>
      <c r="Y21" t="s">
        <v>250</v>
      </c>
      <c r="Z21" s="62" t="str" cm="1">
        <f t="array" aca="1" ref="Z21" ca="1">_xlfn.IFS(Table2[[#This Row],[Sources of funding identified (yes / no / Identified as not urgent)]]=Utilities!$B$14,"Out of CoVDP scope",U21="yes",Overview!$C$13,AND(Table2[[#This Row],[Lead time from sources identified to today (if not disbursed yet)]]&lt;=15,S21="yes"),Overview!$C$11,AND(Table2[[#This Row],[Lead time from sources identified to today (if not disbursed yet)]]&gt;15,S21="yes"),Overview!$C$12,O21="yes",Overview!$C$10,M21="yes",Overview!$C$9,M21="no",Overview!$C$8)</f>
        <v>Approved pending disbursement &gt;15 days</v>
      </c>
      <c r="AA21" s="65">
        <f ca="1">_xlfn.DAYS(TODAY(),$N21)</f>
        <v>191</v>
      </c>
      <c r="AB21" s="65">
        <f ca="1">_xlfn.DAYS(TODAY(),$L21)</f>
        <v>206</v>
      </c>
      <c r="AC21" s="12">
        <f ca="1">IF(Table2[[#This Row],[Lead time from formal request received to today (days)]]&lt;400,Table2[[#This Row],[Lead time from formal request received to today (days)]],"-")</f>
        <v>191</v>
      </c>
      <c r="AD21" s="12">
        <f ca="1">IF(AND(Table2[[#This Row],[Funds disbursed (Date)]]="",Table2[[#This Row],[Source of funding identified (Details)]]&lt;&gt;""),TODAY()-Table2[[#This Row],[Sources of funding identified (Date) - or standard request discussed during CoVDP Funding Alignment call]],"-")</f>
        <v>169</v>
      </c>
      <c r="AE21" s="12" t="str">
        <f>IF(V21="","-",_xlfn.DAYS(V21,N21))</f>
        <v>-</v>
      </c>
      <c r="AF21" s="12" t="str">
        <f>IF(V21="","",NETWORKDAYS(N21,V21)-1)</f>
        <v/>
      </c>
      <c r="AG21" s="12" t="str">
        <f>IF(OR(V21="",Table2[[#This Row],[Source of funding identified (Details)]]&lt;&gt;Utilities!$B$6),"",NETWORKDAYS(Q21,V21)-1)</f>
        <v/>
      </c>
      <c r="AI21" t="str">
        <f>IF(Table2[[#This Row],[Column1]]=1,"NO","YES")</f>
        <v>NO</v>
      </c>
      <c r="AJ21" s="31">
        <f>COUNTIF(Table2[Request ID],Table2[[#This Row],[Request ID]])</f>
        <v>1</v>
      </c>
      <c r="AK21" s="62">
        <f ca="1">IF(Table2[[#This Row],[Status]]&lt;&gt;Overview!$C$13,Table2[[#This Row],[Lead time from informal request received to today (days)2]],"Disbursed")</f>
        <v>206</v>
      </c>
    </row>
    <row r="22" spans="1:37" x14ac:dyDescent="0.45">
      <c r="A22" s="62" t="str">
        <f>CONCATENATE(C22,F22,L22)</f>
        <v>Ethiopia800000044587</v>
      </c>
      <c r="B22" t="s">
        <v>206</v>
      </c>
      <c r="C22" s="62" t="s">
        <v>95</v>
      </c>
      <c r="D22" s="62" t="str">
        <f>INDEX(Table1[#All],MATCH('Funding tracker'!$C24,Table1[[#All],[Recipient country Name]],0),MATCH('Funding tracker'!D$1,Table1[#Headers],0))</f>
        <v>Thierry Vincent</v>
      </c>
      <c r="E22" s="62" t="str">
        <f>INDEX(Table1[#All],MATCH('Funding tracker'!$C24,Table1[[#All],[Recipient country Name]],0),MATCH('Funding tracker'!E$1,Table1[#Headers],0))</f>
        <v>Simon</v>
      </c>
      <c r="F22" s="205">
        <v>8000000</v>
      </c>
      <c r="G22" s="180" t="s">
        <v>133</v>
      </c>
      <c r="H22" s="175">
        <v>8000000</v>
      </c>
      <c r="I22" s="62" t="s">
        <v>221</v>
      </c>
      <c r="J22" s="62"/>
      <c r="K22" s="62" t="s">
        <v>218</v>
      </c>
      <c r="L22" s="63">
        <v>44587</v>
      </c>
      <c r="M22" s="62" t="s">
        <v>71</v>
      </c>
      <c r="N22" s="63">
        <v>44589</v>
      </c>
      <c r="O22" s="62" t="s">
        <v>71</v>
      </c>
      <c r="P22" s="62" t="s">
        <v>66</v>
      </c>
      <c r="Q22" s="63">
        <v>44608</v>
      </c>
      <c r="R22" s="64">
        <f>Table2[[#This Row],[Amount tracked through this row]]</f>
        <v>8000000</v>
      </c>
      <c r="S22" s="62" t="s">
        <v>71</v>
      </c>
      <c r="T22" s="63">
        <v>44624</v>
      </c>
      <c r="U22" s="62" t="s">
        <v>71</v>
      </c>
      <c r="V22" s="63">
        <v>44638</v>
      </c>
      <c r="W22" s="64">
        <f>MONTH(Table2[[#This Row],[Funds disbursed (Date)]])</f>
        <v>3</v>
      </c>
      <c r="X22" s="194"/>
      <c r="Y22" s="68"/>
      <c r="Z22" s="62" t="str" cm="1">
        <f t="array" aca="1" ref="Z22" ca="1">_xlfn.IFS(Table2[[#This Row],[Sources of funding identified (yes / no / Identified as not urgent)]]=Utilities!$B$14,"Out of CoVDP scope",U22="yes",Overview!$C$13,AND(Table2[[#This Row],[Lead time from sources identified to today (if not disbursed yet)]]&lt;=15,S22="yes"),Overview!$C$11,AND(Table2[[#This Row],[Lead time from sources identified to today (if not disbursed yet)]]&gt;15,S22="yes"),Overview!$C$12,O22="yes",Overview!$C$10,M22="yes",Overview!$C$9,M22="no",Overview!$C$8)</f>
        <v>Funds disbursed</v>
      </c>
      <c r="AA22" s="65">
        <f ca="1">_xlfn.DAYS(TODAY(),$N22)</f>
        <v>294</v>
      </c>
      <c r="AB22" s="65">
        <f ca="1">_xlfn.DAYS(TODAY(),$L22)</f>
        <v>296</v>
      </c>
      <c r="AC22" s="65">
        <f ca="1">IF(Table2[[#This Row],[Lead time from formal request received to today (days)]]&lt;400,Table2[[#This Row],[Lead time from formal request received to today (days)]],"-")</f>
        <v>294</v>
      </c>
      <c r="AD22" s="65" t="str">
        <f ca="1">IF(AND(Table2[[#This Row],[Funds disbursed (Date)]]="",Table2[[#This Row],[Source of funding identified (Details)]]&lt;&gt;""),TODAY()-Table2[[#This Row],[Sources of funding identified (Date) - or standard request discussed during CoVDP Funding Alignment call]],"-")</f>
        <v>-</v>
      </c>
      <c r="AE22" s="12">
        <f>IF(V22="","-",_xlfn.DAYS(V22,N22))</f>
        <v>49</v>
      </c>
      <c r="AF22" s="65">
        <f>IF(V22="","",NETWORKDAYS(N22,V22)-1)</f>
        <v>35</v>
      </c>
      <c r="AG22" s="65">
        <f>IF(OR(V22="",Table2[[#This Row],[Source of funding identified (Details)]]&lt;&gt;Utilities!$B$6),"",NETWORKDAYS(Q22,V22)-1)</f>
        <v>22</v>
      </c>
      <c r="AH22" s="62"/>
      <c r="AI22" s="62" t="str">
        <f>IF(Table2[[#This Row],[Column1]]=1,"NO","YES")</f>
        <v>NO</v>
      </c>
      <c r="AJ22" s="62">
        <f>COUNTIF(Table2[Request ID],Table2[[#This Row],[Request ID]])</f>
        <v>1</v>
      </c>
      <c r="AK22" s="62" t="str">
        <f ca="1">IF(Table2[[#This Row],[Status]]&lt;&gt;Overview!$C$13,Table2[[#This Row],[Lead time from informal request received to today (days)2]],"Disbursed")</f>
        <v>Disbursed</v>
      </c>
    </row>
    <row r="23" spans="1:37" s="59" customFormat="1" ht="12" customHeight="1" x14ac:dyDescent="0.45">
      <c r="A23" t="str">
        <f>CONCATENATE(C23,F23,L23)</f>
        <v>Chad804861444613</v>
      </c>
      <c r="B23" t="s">
        <v>188</v>
      </c>
      <c r="C23" t="s">
        <v>93</v>
      </c>
      <c r="D23" t="str">
        <f>INDEX(Table1[#All],MATCH('Funding tracker'!$C9,Table1[[#All],[Recipient country Name]],0),MATCH('Funding tracker'!D$1,Table1[#Headers],0))</f>
        <v>Cyril Nogier</v>
      </c>
      <c r="E23" t="str">
        <f>INDEX(Table1[#All],MATCH('Funding tracker'!$C9,Table1[[#All],[Recipient country Name]],0),MATCH('Funding tracker'!E$1,Table1[#Headers],0))</f>
        <v>Adelaide</v>
      </c>
      <c r="F23" s="201">
        <v>8048614</v>
      </c>
      <c r="G23" s="179" t="s">
        <v>181</v>
      </c>
      <c r="H23" s="173">
        <v>3000000</v>
      </c>
      <c r="I23" t="s">
        <v>192</v>
      </c>
      <c r="J23" t="s">
        <v>193</v>
      </c>
      <c r="K23" t="s">
        <v>194</v>
      </c>
      <c r="L23" s="2">
        <v>44613</v>
      </c>
      <c r="M23" t="s">
        <v>71</v>
      </c>
      <c r="N23" s="2">
        <v>44627</v>
      </c>
      <c r="O23" t="s">
        <v>71</v>
      </c>
      <c r="P23" t="s">
        <v>64</v>
      </c>
      <c r="Q23" s="2">
        <v>44628</v>
      </c>
      <c r="R23" s="13">
        <f>Table2[[#This Row],[Amount tracked through this row]]</f>
        <v>3000000</v>
      </c>
      <c r="S23" t="s">
        <v>71</v>
      </c>
      <c r="T23" s="2">
        <v>44631</v>
      </c>
      <c r="U23" t="s">
        <v>71</v>
      </c>
      <c r="V23" s="2">
        <v>44635</v>
      </c>
      <c r="W23" s="13">
        <f>MONTH(Table2[[#This Row],[Funds disbursed (Date)]])</f>
        <v>3</v>
      </c>
      <c r="X23" s="192">
        <v>0.79</v>
      </c>
      <c r="Y23" t="s">
        <v>195</v>
      </c>
      <c r="Z23" s="62" t="str" cm="1">
        <f t="array" aca="1" ref="Z23" ca="1">_xlfn.IFS(Table2[[#This Row],[Sources of funding identified (yes / no / Identified as not urgent)]]=Utilities!$B$14,"Out of CoVDP scope",U23="yes",Overview!$C$13,AND(Table2[[#This Row],[Lead time from sources identified to today (if not disbursed yet)]]&lt;=15,S23="yes"),Overview!$C$11,AND(Table2[[#This Row],[Lead time from sources identified to today (if not disbursed yet)]]&gt;15,S23="yes"),Overview!$C$12,O23="yes",Overview!$C$10,M23="yes",Overview!$C$9,M23="no",Overview!$C$8)</f>
        <v>Funds disbursed</v>
      </c>
      <c r="AA23" s="12">
        <f ca="1">_xlfn.DAYS(TODAY(),$N23)</f>
        <v>256</v>
      </c>
      <c r="AB23" s="12">
        <f ca="1">_xlfn.DAYS(TODAY(),$L23)</f>
        <v>270</v>
      </c>
      <c r="AC23" s="12">
        <f ca="1">IF(Table2[[#This Row],[Lead time from formal request received to today (days)]]&lt;400,Table2[[#This Row],[Lead time from formal request received to today (days)]],"-")</f>
        <v>256</v>
      </c>
      <c r="AD23" s="12" t="str">
        <f ca="1">IF(AND(Table2[[#This Row],[Funds disbursed (Date)]]="",Table2[[#This Row],[Source of funding identified (Details)]]&lt;&gt;""),TODAY()-Table2[[#This Row],[Sources of funding identified (Date) - or standard request discussed during CoVDP Funding Alignment call]],"-")</f>
        <v>-</v>
      </c>
      <c r="AE23" s="12">
        <f>IF(V23="","-",_xlfn.DAYS(V23,N23))</f>
        <v>8</v>
      </c>
      <c r="AF23" s="12">
        <f>IF(V23="","",NETWORKDAYS(N23,V23)-1)</f>
        <v>6</v>
      </c>
      <c r="AG23" s="12" t="str">
        <f>IF(OR(V23="",Table2[[#This Row],[Source of funding identified (Details)]]&lt;&gt;Utilities!$B$6),"",NETWORKDAYS(Q23,V23)-1)</f>
        <v/>
      </c>
      <c r="AH23"/>
      <c r="AI23" t="str">
        <f>IF(Table2[[#This Row],[Column1]]=1,"NO","YES")</f>
        <v>YES</v>
      </c>
      <c r="AJ23" s="31">
        <f>COUNTIF(Table2[Request ID],Table2[[#This Row],[Request ID]])</f>
        <v>3</v>
      </c>
      <c r="AK23" s="62" t="str">
        <f ca="1">IF(Table2[[#This Row],[Status]]&lt;&gt;Overview!$C$13,Table2[[#This Row],[Lead time from informal request received to today (days)2]],"Disbursed")</f>
        <v>Disbursed</v>
      </c>
    </row>
    <row r="24" spans="1:37" s="62" customFormat="1" x14ac:dyDescent="0.45">
      <c r="A24" t="str">
        <f>CONCATENATE(C24,F24,L24)</f>
        <v>Chad804861444613</v>
      </c>
      <c r="B24" t="s">
        <v>188</v>
      </c>
      <c r="C24" t="s">
        <v>93</v>
      </c>
      <c r="D24" t="str">
        <f>INDEX(Table1[#All],MATCH('Funding tracker'!$C10,Table1[[#All],[Recipient country Name]],0),MATCH('Funding tracker'!D$1,Table1[#Headers],0))</f>
        <v>Hamidreza Setayesh</v>
      </c>
      <c r="E24" t="str">
        <f>INDEX(Table1[#All],MATCH('Funding tracker'!$C10,Table1[[#All],[Recipient country Name]],0),MATCH('Funding tracker'!E$1,Table1[#Headers],0))</f>
        <v>William</v>
      </c>
      <c r="F24" s="201">
        <v>8048614</v>
      </c>
      <c r="G24" s="179" t="s">
        <v>181</v>
      </c>
      <c r="H24" s="173">
        <v>740012</v>
      </c>
      <c r="I24" t="s">
        <v>76</v>
      </c>
      <c r="J24" t="s">
        <v>193</v>
      </c>
      <c r="K24" t="s">
        <v>149</v>
      </c>
      <c r="L24" s="2">
        <v>44613</v>
      </c>
      <c r="M24" t="s">
        <v>71</v>
      </c>
      <c r="N24" s="2">
        <v>44627</v>
      </c>
      <c r="O24" t="s">
        <v>71</v>
      </c>
      <c r="P24" t="s">
        <v>64</v>
      </c>
      <c r="Q24" s="2">
        <v>44628</v>
      </c>
      <c r="R24" s="13">
        <f>Table2[[#This Row],[Amount tracked through this row]]</f>
        <v>740012</v>
      </c>
      <c r="S24" t="s">
        <v>71</v>
      </c>
      <c r="T24" s="2">
        <v>44641</v>
      </c>
      <c r="U24" t="s">
        <v>71</v>
      </c>
      <c r="V24" s="2">
        <v>44638</v>
      </c>
      <c r="W24" s="13">
        <f>MONTH(Table2[[#This Row],[Funds disbursed (Date)]])</f>
        <v>3</v>
      </c>
      <c r="X24" s="192">
        <v>0.79</v>
      </c>
      <c r="Y24" s="15"/>
      <c r="Z24" s="62" t="str" cm="1">
        <f t="array" aca="1" ref="Z24" ca="1">_xlfn.IFS(Table2[[#This Row],[Sources of funding identified (yes / no / Identified as not urgent)]]=Utilities!$B$14,"Out of CoVDP scope",U24="yes",Overview!$C$13,AND(Table2[[#This Row],[Lead time from sources identified to today (if not disbursed yet)]]&lt;=15,S24="yes"),Overview!$C$11,AND(Table2[[#This Row],[Lead time from sources identified to today (if not disbursed yet)]]&gt;15,S24="yes"),Overview!$C$12,O24="yes",Overview!$C$10,M24="yes",Overview!$C$9,M24="no",Overview!$C$8)</f>
        <v>Funds disbursed</v>
      </c>
      <c r="AA24" s="12">
        <f ca="1">_xlfn.DAYS(TODAY(),$N24)</f>
        <v>256</v>
      </c>
      <c r="AB24" s="12">
        <f ca="1">_xlfn.DAYS(TODAY(),$L24)</f>
        <v>270</v>
      </c>
      <c r="AC24" s="12">
        <f ca="1">IF(Table2[[#This Row],[Lead time from formal request received to today (days)]]&lt;400,Table2[[#This Row],[Lead time from formal request received to today (days)]],"-")</f>
        <v>256</v>
      </c>
      <c r="AD24" s="12" t="str">
        <f ca="1">IF(AND(Table2[[#This Row],[Funds disbursed (Date)]]="",Table2[[#This Row],[Source of funding identified (Details)]]&lt;&gt;""),TODAY()-Table2[[#This Row],[Sources of funding identified (Date) - or standard request discussed during CoVDP Funding Alignment call]],"-")</f>
        <v>-</v>
      </c>
      <c r="AE24" s="12">
        <f>IF(V24="","-",_xlfn.DAYS(V24,N24))</f>
        <v>11</v>
      </c>
      <c r="AF24" s="12">
        <f>IF(V24="","",NETWORKDAYS(N24,V24)-1)</f>
        <v>9</v>
      </c>
      <c r="AG24" s="12" t="str">
        <f>IF(OR(V24="",Table2[[#This Row],[Source of funding identified (Details)]]&lt;&gt;Utilities!$B$6),"",NETWORKDAYS(Q24,V24)-1)</f>
        <v/>
      </c>
      <c r="AH24" t="s">
        <v>196</v>
      </c>
      <c r="AI24" t="str">
        <f>IF(Table2[[#This Row],[Column1]]=1,"NO","YES")</f>
        <v>YES</v>
      </c>
      <c r="AJ24" s="31">
        <f>COUNTIF(Table2[Request ID],Table2[[#This Row],[Request ID]])</f>
        <v>3</v>
      </c>
      <c r="AK24" s="62" t="str">
        <f ca="1">IF(Table2[[#This Row],[Status]]&lt;&gt;Overview!$C$13,Table2[[#This Row],[Lead time from informal request received to today (days)2]],"Disbursed")</f>
        <v>Disbursed</v>
      </c>
    </row>
    <row r="25" spans="1:37" x14ac:dyDescent="0.45">
      <c r="A25" t="str">
        <f>CONCATENATE(C25,F25,L25)</f>
        <v>Chad804861444613</v>
      </c>
      <c r="B25" t="s">
        <v>188</v>
      </c>
      <c r="C25" t="s">
        <v>93</v>
      </c>
      <c r="D25" t="str">
        <f>INDEX(Table1[#All],MATCH('Funding tracker'!$C12,Table1[[#All],[Recipient country Name]],0),MATCH('Funding tracker'!D$1,Table1[#Headers],0))</f>
        <v>Cyril Nogier</v>
      </c>
      <c r="E25" t="str">
        <f>INDEX(Table1[#All],MATCH('Funding tracker'!$C12,Table1[[#All],[Recipient country Name]],0),MATCH('Funding tracker'!E$1,Table1[#Headers],0))</f>
        <v>Adelaide</v>
      </c>
      <c r="F25" s="201">
        <v>8048614</v>
      </c>
      <c r="G25" s="179" t="s">
        <v>181</v>
      </c>
      <c r="H25" s="173">
        <v>1144000</v>
      </c>
      <c r="I25" t="s">
        <v>76</v>
      </c>
      <c r="J25" t="s">
        <v>193</v>
      </c>
      <c r="K25" t="s">
        <v>149</v>
      </c>
      <c r="L25" s="2">
        <v>44613</v>
      </c>
      <c r="M25" t="s">
        <v>71</v>
      </c>
      <c r="N25" s="2">
        <v>44627</v>
      </c>
      <c r="O25" t="s">
        <v>71</v>
      </c>
      <c r="P25" t="s">
        <v>65</v>
      </c>
      <c r="Q25" s="2">
        <v>44628</v>
      </c>
      <c r="R25" s="13">
        <f>Table2[[#This Row],[Amount tracked through this row]]</f>
        <v>1144000</v>
      </c>
      <c r="S25" t="s">
        <v>71</v>
      </c>
      <c r="T25" s="2">
        <v>44631</v>
      </c>
      <c r="U25" t="s">
        <v>71</v>
      </c>
      <c r="V25" s="2">
        <v>44629</v>
      </c>
      <c r="W25" s="13">
        <f>MONTH(Table2[[#This Row],[Funds disbursed (Date)]])</f>
        <v>3</v>
      </c>
      <c r="X25" s="192">
        <v>0.56000000000000005</v>
      </c>
      <c r="Y25" s="15" t="s">
        <v>197</v>
      </c>
      <c r="Z25" s="62" t="str" cm="1">
        <f t="array" aca="1" ref="Z25" ca="1">_xlfn.IFS(Table2[[#This Row],[Sources of funding identified (yes / no / Identified as not urgent)]]=Utilities!$B$14,"Out of CoVDP scope",U25="yes",Overview!$C$13,AND(Table2[[#This Row],[Lead time from sources identified to today (if not disbursed yet)]]&lt;=15,S25="yes"),Overview!$C$11,AND(Table2[[#This Row],[Lead time from sources identified to today (if not disbursed yet)]]&gt;15,S25="yes"),Overview!$C$12,O25="yes",Overview!$C$10,M25="yes",Overview!$C$9,M25="no",Overview!$C$8)</f>
        <v>Funds disbursed</v>
      </c>
      <c r="AA25" s="12">
        <f ca="1">_xlfn.DAYS(TODAY(),$N25)</f>
        <v>256</v>
      </c>
      <c r="AB25" s="12">
        <f ca="1">_xlfn.DAYS(TODAY(),$L25)</f>
        <v>270</v>
      </c>
      <c r="AC25" s="12">
        <f ca="1">IF(Table2[[#This Row],[Lead time from formal request received to today (days)]]&lt;400,Table2[[#This Row],[Lead time from formal request received to today (days)]],"-")</f>
        <v>256</v>
      </c>
      <c r="AD25" s="12" t="str">
        <f ca="1">IF(AND(Table2[[#This Row],[Funds disbursed (Date)]]="",Table2[[#This Row],[Source of funding identified (Details)]]&lt;&gt;""),TODAY()-Table2[[#This Row],[Sources of funding identified (Date) - or standard request discussed during CoVDP Funding Alignment call]],"-")</f>
        <v>-</v>
      </c>
      <c r="AE25" s="12">
        <f>IF(V25="","-",_xlfn.DAYS(V25,N25))</f>
        <v>2</v>
      </c>
      <c r="AF25" s="12">
        <f>IF(V25="","",NETWORKDAYS(N25,V25)-1)</f>
        <v>2</v>
      </c>
      <c r="AG25" s="12" t="str">
        <f>IF(OR(V25="",Table2[[#This Row],[Source of funding identified (Details)]]&lt;&gt;Utilities!$B$6),"",NETWORKDAYS(Q25,V25)-1)</f>
        <v/>
      </c>
      <c r="AH25" t="s">
        <v>198</v>
      </c>
      <c r="AI25" t="str">
        <f>IF(Table2[[#This Row],[Column1]]=1,"NO","YES")</f>
        <v>YES</v>
      </c>
      <c r="AJ25" s="31">
        <f>COUNTIF(Table2[Request ID],Table2[[#This Row],[Request ID]])</f>
        <v>3</v>
      </c>
      <c r="AK25" s="62" t="str">
        <f ca="1">IF(Table2[[#This Row],[Status]]&lt;&gt;Overview!$C$13,Table2[[#This Row],[Lead time from informal request received to today (days)2]],"Disbursed")</f>
        <v>Disbursed</v>
      </c>
    </row>
    <row r="26" spans="1:37" x14ac:dyDescent="0.45">
      <c r="A26" s="145" t="str">
        <f>CONCATENATE(C26,F26,L26)</f>
        <v>South Sudan1488200044620</v>
      </c>
      <c r="B26" t="s">
        <v>269</v>
      </c>
      <c r="C26" s="146" t="s">
        <v>98</v>
      </c>
      <c r="D26" s="145" t="str">
        <f>INDEX(Table1[#All],MATCH('Funding tracker'!$C16,Table1[[#All],[Recipient country Name]],0),MATCH('Funding tracker'!D$1,Table1[#Headers],0))</f>
        <v>Anne Cronin</v>
      </c>
      <c r="E26" s="145" t="str">
        <f>INDEX(Table1[#All],MATCH('Funding tracker'!$C16,Table1[[#All],[Recipient country Name]],0),MATCH('Funding tracker'!E$1,Table1[#Headers],0))</f>
        <v>Abu</v>
      </c>
      <c r="F26" s="206">
        <v>14882000</v>
      </c>
      <c r="G26" s="182" t="s">
        <v>181</v>
      </c>
      <c r="H26" s="189">
        <v>915854</v>
      </c>
      <c r="I26" s="147" t="s">
        <v>270</v>
      </c>
      <c r="J26" s="148" t="s">
        <v>271</v>
      </c>
      <c r="K26" s="145" t="s">
        <v>149</v>
      </c>
      <c r="L26" s="149">
        <v>44620</v>
      </c>
      <c r="M26" s="145" t="s">
        <v>71</v>
      </c>
      <c r="N26" s="135">
        <v>44644</v>
      </c>
      <c r="O26" s="145" t="s">
        <v>71</v>
      </c>
      <c r="P26" s="145" t="s">
        <v>66</v>
      </c>
      <c r="Q26" s="135">
        <v>44644</v>
      </c>
      <c r="R26" s="150">
        <f>Table2[[#This Row],[Amount tracked through this row]]</f>
        <v>915854</v>
      </c>
      <c r="S26" s="145" t="s">
        <v>71</v>
      </c>
      <c r="T26" s="149">
        <f>Table2[[#This Row],[Sources of funding identified (Date) - or standard request discussed during CoVDP Funding Alignment call]]</f>
        <v>44644</v>
      </c>
      <c r="U26" s="145" t="s">
        <v>71</v>
      </c>
      <c r="V26" s="135">
        <v>44685</v>
      </c>
      <c r="W26" s="150">
        <f>MONTH(Table2[[#This Row],[Funds disbursed (Date)]])</f>
        <v>5</v>
      </c>
      <c r="X26" s="195"/>
      <c r="Y26" s="151" t="s">
        <v>272</v>
      </c>
      <c r="Z26" s="145" t="str" cm="1">
        <f t="array" aca="1" ref="Z26" ca="1">_xlfn.IFS(Table2[[#This Row],[Sources of funding identified (yes / no / Identified as not urgent)]]=Utilities!$B$14,"Out of CoVDP scope",U26="yes",Overview!$C$13,AND(Table2[[#This Row],[Lead time from sources identified to today (if not disbursed yet)]]&lt;15,S26="yes"),Overview!$C$11,AND(Table2[[#This Row],[Lead time from sources identified to today (if not disbursed yet)]]&gt;15,S26="yes"),Overview!$C$12,O26="yes",Overview!$C$10,M26="yes",Overview!$C$9,M26="no",Overview!$C$8)</f>
        <v>Funds disbursed</v>
      </c>
      <c r="AA26" s="152">
        <f ca="1">_xlfn.DAYS(TODAY(),$N26)</f>
        <v>239</v>
      </c>
      <c r="AB26" s="152">
        <f ca="1">_xlfn.DAYS(TODAY(),$L26)</f>
        <v>263</v>
      </c>
      <c r="AC26" s="152">
        <f ca="1">IF(Table2[[#This Row],[Lead time from formal request received to today (days)]]&lt;400,Table2[[#This Row],[Lead time from formal request received to today (days)]],"-")</f>
        <v>239</v>
      </c>
      <c r="AD26" s="152" t="str">
        <f ca="1">IF(AND(Table2[[#This Row],[Funds disbursed (Date)]]="",Table2[[#This Row],[Source of funding identified (Details)]]&lt;&gt;""),TODAY()-Table2[[#This Row],[Sources of funding identified (Date) - or standard request discussed during CoVDP Funding Alignment call]],"-")</f>
        <v>-</v>
      </c>
      <c r="AE26" s="153"/>
      <c r="AF26" s="152">
        <f>IF(V26="","",NETWORKDAYS(N26,V26)-1)</f>
        <v>29</v>
      </c>
      <c r="AG26" s="152">
        <f>IF(OR(V26="",Table2[[#This Row],[Source of funding identified (Details)]]&lt;&gt;Utilities!$B$6),"",NETWORKDAYS(Q26,V26)-1)</f>
        <v>29</v>
      </c>
      <c r="AH26" s="145"/>
      <c r="AI26" s="145" t="str">
        <f>IF(Table2[[#This Row],[Column1]]=1,"NO","YES")</f>
        <v>YES</v>
      </c>
      <c r="AJ26" s="154">
        <f>COUNTIF(Table2[Request ID],Table2[[#This Row],[Request ID]])</f>
        <v>6</v>
      </c>
      <c r="AK26" s="145" t="str">
        <f ca="1">IF(Table2[[#This Row],[Status]]&lt;&gt;Overview!$C$13,Table2[[#This Row],[Lead time from informal request received to today (days)2]],"Disbursed")</f>
        <v>Disbursed</v>
      </c>
    </row>
    <row r="27" spans="1:37" x14ac:dyDescent="0.45">
      <c r="A27" s="157" t="str">
        <f>CONCATENATE(C27,F27,L27)</f>
        <v>South Sudan1488200044620</v>
      </c>
      <c r="B27" t="s">
        <v>269</v>
      </c>
      <c r="C27" s="158" t="s">
        <v>98</v>
      </c>
      <c r="D27" s="158" t="str">
        <f>INDEX(Table1[#All],MATCH('Funding tracker'!$C17,Table1[[#All],[Recipient country Name]],0),MATCH('Funding tracker'!D$1,Table1[#Headers],0))</f>
        <v>Thierry Vincent</v>
      </c>
      <c r="E27" s="158" t="str">
        <f>INDEX(Table1[#All],MATCH('Funding tracker'!$C17,Table1[[#All],[Recipient country Name]],0),MATCH('Funding tracker'!E$1,Table1[#Headers],0))</f>
        <v>Simon</v>
      </c>
      <c r="F27" s="207">
        <v>14882000</v>
      </c>
      <c r="G27" s="183" t="s">
        <v>181</v>
      </c>
      <c r="H27" s="190">
        <v>322452</v>
      </c>
      <c r="I27" s="158" t="s">
        <v>273</v>
      </c>
      <c r="J27" s="159" t="s">
        <v>274</v>
      </c>
      <c r="K27" s="157" t="s">
        <v>149</v>
      </c>
      <c r="L27" s="161">
        <v>44620</v>
      </c>
      <c r="M27" s="157" t="s">
        <v>71</v>
      </c>
      <c r="N27" s="160">
        <v>44644</v>
      </c>
      <c r="O27" s="157" t="s">
        <v>71</v>
      </c>
      <c r="P27" s="157" t="s">
        <v>66</v>
      </c>
      <c r="Q27" s="160">
        <v>44644</v>
      </c>
      <c r="R27" s="162">
        <f>Table2[[#This Row],[Amount tracked through this row]]</f>
        <v>322452</v>
      </c>
      <c r="S27" s="157" t="s">
        <v>71</v>
      </c>
      <c r="T27" s="161">
        <f>Table2[[#This Row],[Sources of funding identified (Date) - or standard request discussed during CoVDP Funding Alignment call]]</f>
        <v>44644</v>
      </c>
      <c r="U27" s="157" t="s">
        <v>71</v>
      </c>
      <c r="V27" s="160">
        <v>44685</v>
      </c>
      <c r="W27" s="162">
        <f>MONTH(Table2[[#This Row],[Funds disbursed (Date)]])</f>
        <v>5</v>
      </c>
      <c r="X27" s="196"/>
      <c r="Y27" s="163" t="s">
        <v>275</v>
      </c>
      <c r="Z27" s="157" t="str" cm="1">
        <f t="array" aca="1" ref="Z27" ca="1">_xlfn.IFS(Table2[[#This Row],[Sources of funding identified (yes / no / Identified as not urgent)]]=Utilities!$B$14,"Out of CoVDP scope",U27="yes",Overview!$C$13,AND(Table2[[#This Row],[Lead time from sources identified to today (if not disbursed yet)]]&lt;15,S27="yes"),Overview!$C$11,AND(Table2[[#This Row],[Lead time from sources identified to today (if not disbursed yet)]]&gt;15,S27="yes"),Overview!$C$12,O27="yes",Overview!$C$10,M27="yes",Overview!$C$9,M27="no",Overview!$C$8)</f>
        <v>Funds disbursed</v>
      </c>
      <c r="AA27" s="164">
        <f ca="1">_xlfn.DAYS(TODAY(),$N27)</f>
        <v>239</v>
      </c>
      <c r="AB27" s="164">
        <f ca="1">_xlfn.DAYS(TODAY(),$L27)</f>
        <v>263</v>
      </c>
      <c r="AC27" s="164">
        <f ca="1">IF(Table2[[#This Row],[Lead time from formal request received to today (days)]]&lt;400,Table2[[#This Row],[Lead time from formal request received to today (days)]],"-")</f>
        <v>239</v>
      </c>
      <c r="AD27" s="164" t="str">
        <f ca="1">IF(AND(Table2[[#This Row],[Funds disbursed (Date)]]="",Table2[[#This Row],[Source of funding identified (Details)]]&lt;&gt;""),TODAY()-Table2[[#This Row],[Sources of funding identified (Date) - or standard request discussed during CoVDP Funding Alignment call]],"-")</f>
        <v>-</v>
      </c>
      <c r="AE27" s="165"/>
      <c r="AF27" s="164">
        <f>IF(V27="","",NETWORKDAYS(N27,V27)-1)</f>
        <v>29</v>
      </c>
      <c r="AG27" s="164">
        <f>IF(OR(V27="",Table2[[#This Row],[Source of funding identified (Details)]]&lt;&gt;Utilities!$B$6),"",NETWORKDAYS(Q27,V27)-1)</f>
        <v>29</v>
      </c>
      <c r="AH27" s="157"/>
      <c r="AI27" s="157" t="str">
        <f>IF(Table2[[#This Row],[Column1]]=1,"NO","YES")</f>
        <v>YES</v>
      </c>
      <c r="AJ27" s="166">
        <f>COUNTIF(Table2[Request ID],Table2[[#This Row],[Request ID]])</f>
        <v>6</v>
      </c>
      <c r="AK27" s="157" t="str">
        <f ca="1">IF(Table2[[#This Row],[Status]]&lt;&gt;Overview!$C$13,Table2[[#This Row],[Lead time from informal request received to today (days)2]],"Disbursed")</f>
        <v>Disbursed</v>
      </c>
    </row>
    <row r="28" spans="1:37" ht="12.75" customHeight="1" x14ac:dyDescent="0.45">
      <c r="A28" s="145" t="str">
        <f>CONCATENATE(C28,F28,L28)</f>
        <v>South Sudan1488200044620</v>
      </c>
      <c r="B28" t="s">
        <v>269</v>
      </c>
      <c r="C28" s="146" t="s">
        <v>98</v>
      </c>
      <c r="D28" s="146" t="str">
        <f>INDEX(Table1[#All],MATCH('Funding tracker'!$C18,Table1[[#All],[Recipient country Name]],0),MATCH('Funding tracker'!D$1,Table1[#Headers],0))</f>
        <v>Tito Rwamushaija</v>
      </c>
      <c r="E28" s="146" t="str">
        <f>INDEX(Table1[#All],MATCH('Funding tracker'!$C18,Table1[[#All],[Recipient country Name]],0),MATCH('Funding tracker'!E$1,Table1[#Headers],0))</f>
        <v>William</v>
      </c>
      <c r="F28" s="206">
        <v>14882000</v>
      </c>
      <c r="G28" s="184" t="s">
        <v>181</v>
      </c>
      <c r="H28" s="189">
        <v>65590</v>
      </c>
      <c r="I28" s="146" t="s">
        <v>276</v>
      </c>
      <c r="J28" s="148" t="s">
        <v>274</v>
      </c>
      <c r="K28" s="145" t="s">
        <v>149</v>
      </c>
      <c r="L28" s="149">
        <v>44620</v>
      </c>
      <c r="M28" s="145" t="s">
        <v>71</v>
      </c>
      <c r="N28" s="135">
        <v>44644</v>
      </c>
      <c r="O28" s="145" t="s">
        <v>71</v>
      </c>
      <c r="P28" s="145" t="s">
        <v>66</v>
      </c>
      <c r="Q28" s="135">
        <v>44644</v>
      </c>
      <c r="R28" s="150">
        <f>Table2[[#This Row],[Amount tracked through this row]]</f>
        <v>65590</v>
      </c>
      <c r="S28" s="145" t="s">
        <v>71</v>
      </c>
      <c r="T28" s="149">
        <f>Table2[[#This Row],[Sources of funding identified (Date) - or standard request discussed during CoVDP Funding Alignment call]]</f>
        <v>44644</v>
      </c>
      <c r="U28" s="145" t="s">
        <v>71</v>
      </c>
      <c r="V28" s="135">
        <v>44685</v>
      </c>
      <c r="W28" s="150">
        <f>MONTH(Table2[[#This Row],[Funds disbursed (Date)]])</f>
        <v>5</v>
      </c>
      <c r="X28" s="195"/>
      <c r="Y28" s="151" t="s">
        <v>277</v>
      </c>
      <c r="Z28" s="145" t="str" cm="1">
        <f t="array" aca="1" ref="Z28" ca="1">_xlfn.IFS(Table2[[#This Row],[Sources of funding identified (yes / no / Identified as not urgent)]]=Utilities!$B$14,"Out of CoVDP scope",U28="yes",Overview!$C$13,AND(Table2[[#This Row],[Lead time from sources identified to today (if not disbursed yet)]]&lt;15,S28="yes"),Overview!$C$11,AND(Table2[[#This Row],[Lead time from sources identified to today (if not disbursed yet)]]&gt;15,S28="yes"),Overview!$C$12,O28="yes",Overview!$C$10,M28="yes",Overview!$C$9,M28="no",Overview!$C$8)</f>
        <v>Funds disbursed</v>
      </c>
      <c r="AA28" s="152">
        <f ca="1">_xlfn.DAYS(TODAY(),$N28)</f>
        <v>239</v>
      </c>
      <c r="AB28" s="152">
        <f ca="1">_xlfn.DAYS(TODAY(),$L28)</f>
        <v>263</v>
      </c>
      <c r="AC28" s="152">
        <f ca="1">IF(Table2[[#This Row],[Lead time from formal request received to today (days)]]&lt;400,Table2[[#This Row],[Lead time from formal request received to today (days)]],"-")</f>
        <v>239</v>
      </c>
      <c r="AD28" s="152" t="str">
        <f ca="1">IF(AND(Table2[[#This Row],[Funds disbursed (Date)]]="",Table2[[#This Row],[Source of funding identified (Details)]]&lt;&gt;""),TODAY()-Table2[[#This Row],[Sources of funding identified (Date) - or standard request discussed during CoVDP Funding Alignment call]],"-")</f>
        <v>-</v>
      </c>
      <c r="AE28" s="153"/>
      <c r="AF28" s="152">
        <f>IF(V28="","",NETWORKDAYS(N28,V28)-1)</f>
        <v>29</v>
      </c>
      <c r="AG28" s="152">
        <f>IF(OR(V28="",Table2[[#This Row],[Source of funding identified (Details)]]&lt;&gt;Utilities!$B$6),"",NETWORKDAYS(Q28,V28)-1)</f>
        <v>29</v>
      </c>
      <c r="AH28" s="145"/>
      <c r="AI28" s="145" t="str">
        <f>IF(Table2[[#This Row],[Column1]]=1,"NO","YES")</f>
        <v>YES</v>
      </c>
      <c r="AJ28" s="154">
        <f>COUNTIF(Table2[Request ID],Table2[[#This Row],[Request ID]])</f>
        <v>6</v>
      </c>
      <c r="AK28" s="145" t="str">
        <f ca="1">IF(Table2[[#This Row],[Status]]&lt;&gt;Overview!$C$13,Table2[[#This Row],[Lead time from informal request received to today (days)2]],"Disbursed")</f>
        <v>Disbursed</v>
      </c>
    </row>
    <row r="29" spans="1:37" ht="13.35" customHeight="1" x14ac:dyDescent="0.45">
      <c r="A29" s="127" t="str">
        <f>CONCATENATE(C29,F29,L29)</f>
        <v>South Sudan1488200044620</v>
      </c>
      <c r="B29" t="s">
        <v>269</v>
      </c>
      <c r="C29" s="158" t="s">
        <v>98</v>
      </c>
      <c r="D29" s="158" t="str">
        <f>INDEX(Table1[#All],MATCH('Funding tracker'!$C19,Table1[[#All],[Recipient country Name]],0),MATCH('Funding tracker'!D$1,Table1[#Headers],0))</f>
        <v>Tito Rwamushaija</v>
      </c>
      <c r="E29" s="158" t="str">
        <f>INDEX(Table1[#All],MATCH('Funding tracker'!$C19,Table1[[#All],[Recipient country Name]],0),MATCH('Funding tracker'!E$1,Table1[#Headers],0))</f>
        <v>William</v>
      </c>
      <c r="F29" s="207">
        <v>14882000</v>
      </c>
      <c r="G29" s="183" t="s">
        <v>181</v>
      </c>
      <c r="H29" s="190">
        <v>1125809</v>
      </c>
      <c r="I29" s="158" t="s">
        <v>278</v>
      </c>
      <c r="J29" s="159" t="s">
        <v>279</v>
      </c>
      <c r="K29" s="157" t="s">
        <v>149</v>
      </c>
      <c r="L29" s="161">
        <v>44620</v>
      </c>
      <c r="M29" s="157" t="s">
        <v>71</v>
      </c>
      <c r="N29" s="160">
        <v>44644</v>
      </c>
      <c r="O29" s="157" t="s">
        <v>71</v>
      </c>
      <c r="P29" s="157" t="s">
        <v>66</v>
      </c>
      <c r="Q29" s="160">
        <v>44644</v>
      </c>
      <c r="R29" s="162">
        <f>Table2[[#This Row],[Amount tracked through this row]]</f>
        <v>1125809</v>
      </c>
      <c r="S29" s="157" t="s">
        <v>71</v>
      </c>
      <c r="T29" s="161">
        <f>Table2[[#This Row],[Sources of funding identified (Date) - or standard request discussed during CoVDP Funding Alignment call]]</f>
        <v>44644</v>
      </c>
      <c r="U29" s="157" t="s">
        <v>71</v>
      </c>
      <c r="V29" s="160">
        <v>44706</v>
      </c>
      <c r="W29" s="129">
        <f>MONTH(Table2[[#This Row],[Funds disbursed (Date)]])</f>
        <v>5</v>
      </c>
      <c r="X29" s="197"/>
      <c r="Y29" s="163" t="s">
        <v>280</v>
      </c>
      <c r="Z29" s="157" t="str" cm="1">
        <f t="array" aca="1" ref="Z29" ca="1">_xlfn.IFS(Table2[[#This Row],[Sources of funding identified (yes / no / Identified as not urgent)]]=Utilities!$B$14,"Out of CoVDP scope",U29="yes",Overview!$C$13,AND(Table2[[#This Row],[Lead time from sources identified to today (if not disbursed yet)]]&lt;15,S29="yes"),Overview!$C$11,AND(Table2[[#This Row],[Lead time from sources identified to today (if not disbursed yet)]]&gt;15,S29="yes"),Overview!$C$12,O29="yes",Overview!$C$10,M29="yes",Overview!$C$9,M29="no",Overview!$C$8)</f>
        <v>Funds disbursed</v>
      </c>
      <c r="AA29" s="164">
        <f ca="1">_xlfn.DAYS(TODAY(),$N29)</f>
        <v>239</v>
      </c>
      <c r="AB29" s="164">
        <f ca="1">_xlfn.DAYS(TODAY(),$L29)</f>
        <v>263</v>
      </c>
      <c r="AC29" s="164">
        <f ca="1">IF(Table2[[#This Row],[Lead time from formal request received to today (days)]]&lt;400,Table2[[#This Row],[Lead time from formal request received to today (days)]],"-")</f>
        <v>239</v>
      </c>
      <c r="AD29" s="164" t="str">
        <f ca="1">IF(AND(Table2[[#This Row],[Funds disbursed (Date)]]="",Table2[[#This Row],[Source of funding identified (Details)]]&lt;&gt;""),TODAY()-Table2[[#This Row],[Sources of funding identified (Date) - or standard request discussed during CoVDP Funding Alignment call]],"-")</f>
        <v>-</v>
      </c>
      <c r="AE29" s="12"/>
      <c r="AF29" s="131">
        <f>IF(V29="","",NETWORKDAYS(N29,V29)-1)</f>
        <v>44</v>
      </c>
      <c r="AG29" s="131">
        <f>IF(OR(V29="",Table2[[#This Row],[Source of funding identified (Details)]]&lt;&gt;Utilities!$B$6),"",NETWORKDAYS(Q29,V29)-1)</f>
        <v>44</v>
      </c>
      <c r="AH29" s="157"/>
      <c r="AI29" s="157" t="str">
        <f>IF(Table2[[#This Row],[Column1]]=1,"NO","YES")</f>
        <v>YES</v>
      </c>
      <c r="AJ29" s="166">
        <f>COUNTIF(Table2[Request ID],Table2[[#This Row],[Request ID]])</f>
        <v>6</v>
      </c>
      <c r="AK29" s="157" t="str">
        <f ca="1">IF(Table2[[#This Row],[Status]]&lt;&gt;Overview!$C$13,Table2[[#This Row],[Lead time from informal request received to today (days)2]],"Disbursed")</f>
        <v>Disbursed</v>
      </c>
    </row>
    <row r="30" spans="1:37" x14ac:dyDescent="0.45">
      <c r="A30" s="133" t="str">
        <f>CONCATENATE(C30,F30,L30)</f>
        <v>South Sudan1488200044620</v>
      </c>
      <c r="B30" t="s">
        <v>269</v>
      </c>
      <c r="C30" s="133" t="s">
        <v>98</v>
      </c>
      <c r="D30" s="133" t="str">
        <f>INDEX(Table1[#All],MATCH('Funding tracker'!$C20,Table1[[#All],[Recipient country Name]],0),MATCH('Funding tracker'!D$1,Table1[#Headers],0))</f>
        <v>Hamidreza Setayesh</v>
      </c>
      <c r="E30" s="133" t="str">
        <f>INDEX(Table1[#All],MATCH('Funding tracker'!$C20,Table1[[#All],[Recipient country Name]],0),MATCH('Funding tracker'!E$1,Table1[#Headers],0))</f>
        <v>William</v>
      </c>
      <c r="F30" s="208">
        <v>14882000</v>
      </c>
      <c r="G30" s="185" t="s">
        <v>133</v>
      </c>
      <c r="H30" s="191">
        <f>2798000-H26-H27-H28-H29</f>
        <v>368295</v>
      </c>
      <c r="I30" s="133" t="s">
        <v>281</v>
      </c>
      <c r="J30" s="128" t="s">
        <v>282</v>
      </c>
      <c r="K30" s="157" t="s">
        <v>149</v>
      </c>
      <c r="L30" s="161">
        <v>44620</v>
      </c>
      <c r="M30" s="133" t="s">
        <v>71</v>
      </c>
      <c r="N30" s="134">
        <v>44644</v>
      </c>
      <c r="O30" s="133" t="s">
        <v>71</v>
      </c>
      <c r="P30" s="133" t="s">
        <v>66</v>
      </c>
      <c r="Q30" s="134">
        <v>44644</v>
      </c>
      <c r="R30" s="137">
        <f>Table2[[#This Row],[Amount tracked through this row]]</f>
        <v>368295</v>
      </c>
      <c r="S30" s="133" t="s">
        <v>71</v>
      </c>
      <c r="T30" s="134">
        <f>Table2[[#This Row],[Sources of funding identified (Date) - or standard request discussed during CoVDP Funding Alignment call]]</f>
        <v>44644</v>
      </c>
      <c r="U30" s="133" t="s">
        <v>71</v>
      </c>
      <c r="V30" s="134">
        <v>44685</v>
      </c>
      <c r="W30" s="137">
        <f>MONTH(Table2[[#This Row],[Funds disbursed (Date)]])</f>
        <v>5</v>
      </c>
      <c r="X30" s="198"/>
      <c r="Y30" s="156" t="s">
        <v>283</v>
      </c>
      <c r="Z30" s="127" t="str" cm="1">
        <f t="array" aca="1" ref="Z30" ca="1">_xlfn.IFS(Table2[[#This Row],[Sources of funding identified (yes / no / Identified as not urgent)]]=Utilities!$B$14,"Out of CoVDP scope",U30="yes",Overview!$C$13,AND(Table2[[#This Row],[Lead time from sources identified to today (if not disbursed yet)]]&lt;=15,S30="yes"),Overview!$C$11,AND(Table2[[#This Row],[Lead time from sources identified to today (if not disbursed yet)]]&gt;15,S30="yes"),Overview!$C$12,O30="yes",Overview!$C$10,M30="yes",Overview!$C$9,M30="no",Overview!$C$8)</f>
        <v>Funds disbursed</v>
      </c>
      <c r="AA30" s="131">
        <f ca="1">_xlfn.DAYS(TODAY(),$N30)</f>
        <v>239</v>
      </c>
      <c r="AB30" s="131">
        <f ca="1">_xlfn.DAYS(TODAY(),$L30)</f>
        <v>263</v>
      </c>
      <c r="AC30" s="138">
        <f ca="1">IF(Table2[[#This Row],[Lead time from formal request received to today (days)]]&lt;400,Table2[[#This Row],[Lead time from formal request received to today (days)]],"-")</f>
        <v>239</v>
      </c>
      <c r="AD30" s="138" t="str">
        <f ca="1">IF(AND(Table2[[#This Row],[Funds disbursed (Date)]]="",Table2[[#This Row],[Source of funding identified (Details)]]&lt;&gt;""),TODAY()-Table2[[#This Row],[Sources of funding identified (Date) - or standard request discussed during CoVDP Funding Alignment call]],"-")</f>
        <v>-</v>
      </c>
      <c r="AE30" s="12">
        <f>IF(V30="","-",_xlfn.DAYS(V30,N30))</f>
        <v>41</v>
      </c>
      <c r="AF30" s="138">
        <f>IF(V30="","",NETWORKDAYS(N30,V30)-1)</f>
        <v>29</v>
      </c>
      <c r="AG30" s="138">
        <f>IF(OR(V30="",Table2[[#This Row],[Source of funding identified (Details)]]&lt;&gt;Utilities!$B$6),"",NETWORKDAYS(Q30,V30)-1)</f>
        <v>29</v>
      </c>
      <c r="AH30" s="133"/>
      <c r="AI30" s="133" t="str">
        <f>IF(Table2[[#This Row],[Column1]]=1,"NO","YES")</f>
        <v>YES</v>
      </c>
      <c r="AJ30" s="136">
        <f>COUNTIF(Table2[Request ID],Table2[[#This Row],[Request ID]])</f>
        <v>6</v>
      </c>
      <c r="AK30" s="127" t="str">
        <f ca="1">IF(Table2[[#This Row],[Status]]&lt;&gt;Overview!$C$13,Table2[[#This Row],[Lead time from informal request received to today (days)2]],"Disbursed")</f>
        <v>Disbursed</v>
      </c>
    </row>
    <row r="31" spans="1:37" x14ac:dyDescent="0.45">
      <c r="A31" s="145" t="str">
        <f>CONCATENATE(C31,F31,L31)</f>
        <v>South Sudan1488200044620</v>
      </c>
      <c r="B31" t="s">
        <v>269</v>
      </c>
      <c r="C31" s="146" t="s">
        <v>98</v>
      </c>
      <c r="D31" s="145" t="str">
        <f>INDEX(Table1[#All],MATCH('Funding tracker'!$C14,Table1[[#All],[Recipient country Name]],0),MATCH('Funding tracker'!D$1,Table1[#Headers],0))</f>
        <v>Tito Rwamushaija</v>
      </c>
      <c r="E31" s="145" t="str">
        <f>INDEX(Table1[#All],MATCH('Funding tracker'!$C14,Table1[[#All],[Recipient country Name]],0),MATCH('Funding tracker'!E$1,Table1[#Headers],0))</f>
        <v>William</v>
      </c>
      <c r="F31" s="206">
        <v>14882000</v>
      </c>
      <c r="G31" s="182" t="s">
        <v>181</v>
      </c>
      <c r="H31" s="189">
        <v>3000000</v>
      </c>
      <c r="I31" s="145" t="s">
        <v>284</v>
      </c>
      <c r="J31" s="148" t="s">
        <v>285</v>
      </c>
      <c r="K31" s="145" t="s">
        <v>149</v>
      </c>
      <c r="L31" s="149">
        <v>44620</v>
      </c>
      <c r="M31" s="145" t="s">
        <v>71</v>
      </c>
      <c r="N31" s="135">
        <v>44644</v>
      </c>
      <c r="O31" s="145" t="s">
        <v>71</v>
      </c>
      <c r="P31" s="145" t="s">
        <v>64</v>
      </c>
      <c r="Q31" s="135">
        <v>44649</v>
      </c>
      <c r="R31" s="150">
        <f>Table2[[#This Row],[Amount tracked through this row]]</f>
        <v>3000000</v>
      </c>
      <c r="S31" s="145" t="s">
        <v>71</v>
      </c>
      <c r="T31" s="149">
        <f>Table2[[#This Row],[Sources of funding identified (Date) - or standard request discussed during CoVDP Funding Alignment call]]</f>
        <v>44649</v>
      </c>
      <c r="U31" s="145" t="s">
        <v>71</v>
      </c>
      <c r="V31" s="135">
        <v>44655</v>
      </c>
      <c r="W31" s="150">
        <f>MONTH(Table2[[#This Row],[Funds disbursed (Date)]])</f>
        <v>4</v>
      </c>
      <c r="X31" s="195">
        <v>0.03</v>
      </c>
      <c r="Y31" s="151" t="s">
        <v>286</v>
      </c>
      <c r="Z31" s="145" t="str" cm="1">
        <f t="array" aca="1" ref="Z31" ca="1">_xlfn.IFS(Table2[[#This Row],[Sources of funding identified (yes / no / Identified as not urgent)]]=Utilities!$B$14,"Out of CoVDP scope",U31="yes",Overview!$C$13,AND(Table2[[#This Row],[Lead time from sources identified to today (if not disbursed yet)]]&lt;15,S31="yes"),Overview!$C$11,AND(Table2[[#This Row],[Lead time from sources identified to today (if not disbursed yet)]]&gt;15,S31="yes"),Overview!$C$12,O31="yes",Overview!$C$10,M31="yes",Overview!$C$9,M31="no",Overview!$C$8)</f>
        <v>Funds disbursed</v>
      </c>
      <c r="AA31" s="152">
        <f ca="1">_xlfn.DAYS(TODAY(),$N31)</f>
        <v>239</v>
      </c>
      <c r="AB31" s="152">
        <f ca="1">_xlfn.DAYS(TODAY(),$L31)</f>
        <v>263</v>
      </c>
      <c r="AC31" s="152">
        <f ca="1">IF(Table2[[#This Row],[Lead time from formal request received to today (days)]]&lt;400,Table2[[#This Row],[Lead time from formal request received to today (days)]],"-")</f>
        <v>239</v>
      </c>
      <c r="AD31" s="152" t="str">
        <f ca="1">IF(AND(Table2[[#This Row],[Funds disbursed (Date)]]="",Table2[[#This Row],[Source of funding identified (Details)]]&lt;&gt;""),TODAY()-Table2[[#This Row],[Sources of funding identified (Date) - or standard request discussed during CoVDP Funding Alignment call]],"-")</f>
        <v>-</v>
      </c>
      <c r="AE31" s="153">
        <f>IF(V31="","-",_xlfn.DAYS(V31,N31))</f>
        <v>11</v>
      </c>
      <c r="AF31" s="152">
        <f>IF(V31="","",NETWORKDAYS(N31,V31)-1)</f>
        <v>7</v>
      </c>
      <c r="AG31" s="152" t="str">
        <f>IF(OR(V31="",Table2[[#This Row],[Source of funding identified (Details)]]&lt;&gt;Utilities!$B$6),"",NETWORKDAYS(Q31,V31)-1)</f>
        <v/>
      </c>
      <c r="AH31" s="145"/>
      <c r="AI31" s="145" t="str">
        <f>IF(Table2[[#This Row],[Column1]]=1,"NO","YES")</f>
        <v>YES</v>
      </c>
      <c r="AJ31" s="154">
        <f>COUNTIF(Table2[Request ID],Table2[[#This Row],[Request ID]])</f>
        <v>6</v>
      </c>
      <c r="AK31" s="145" t="str">
        <f ca="1">IF(Table2[[#This Row],[Status]]&lt;&gt;Overview!$C$13,Table2[[#This Row],[Lead time from informal request received to today (days)2]],"Disbursed")</f>
        <v>Disbursed</v>
      </c>
    </row>
    <row r="32" spans="1:37" x14ac:dyDescent="0.45">
      <c r="A32" s="127" t="str">
        <f>CONCATENATE(C32,F32,L32)</f>
        <v>South Sudan1488200044663</v>
      </c>
      <c r="B32" t="s">
        <v>269</v>
      </c>
      <c r="C32" s="133" t="s">
        <v>98</v>
      </c>
      <c r="D32" s="127" t="str">
        <f>INDEX(Table1[#All],MATCH('Funding tracker'!$C15,Table1[[#All],[Recipient country Name]],0),MATCH('Funding tracker'!D$1,Table1[#Headers],0))</f>
        <v>Anne Cronin</v>
      </c>
      <c r="E32" s="127">
        <f>INDEX(Table1[#All],MATCH('Funding tracker'!$C15,Table1[[#All],[Recipient country Name]],0),MATCH('Funding tracker'!E$1,Table1[#Headers],0))</f>
        <v>0</v>
      </c>
      <c r="F32" s="208">
        <v>14882000</v>
      </c>
      <c r="G32" s="187" t="s">
        <v>181</v>
      </c>
      <c r="H32" s="191">
        <v>43000</v>
      </c>
      <c r="I32" s="127" t="s">
        <v>287</v>
      </c>
      <c r="J32" s="128"/>
      <c r="K32" s="127" t="s">
        <v>149</v>
      </c>
      <c r="L32" s="144">
        <v>44663</v>
      </c>
      <c r="M32" s="127" t="s">
        <v>71</v>
      </c>
      <c r="N32" s="134">
        <v>44663</v>
      </c>
      <c r="O32" s="127" t="s">
        <v>71</v>
      </c>
      <c r="P32" s="127" t="s">
        <v>64</v>
      </c>
      <c r="Q32" s="134">
        <v>44673</v>
      </c>
      <c r="R32" s="129">
        <f>Table2[[#This Row],[Amount tracked through this row]]</f>
        <v>43000</v>
      </c>
      <c r="S32" s="127" t="s">
        <v>71</v>
      </c>
      <c r="T32" s="144">
        <f>Table2[[#This Row],[Sources of funding identified (Date) - or standard request discussed during CoVDP Funding Alignment call]]</f>
        <v>44673</v>
      </c>
      <c r="U32" s="127" t="s">
        <v>71</v>
      </c>
      <c r="V32" s="135">
        <v>44673</v>
      </c>
      <c r="W32" s="129">
        <f>MONTH(Table2[[#This Row],[Funds disbursed (Date)]])</f>
        <v>4</v>
      </c>
      <c r="X32" s="197">
        <v>0.03</v>
      </c>
      <c r="Y32" s="130" t="s">
        <v>288</v>
      </c>
      <c r="Z32" s="127" t="str" cm="1">
        <f t="array" aca="1" ref="Z32" ca="1">_xlfn.IFS(Table2[[#This Row],[Sources of funding identified (yes / no / Identified as not urgent)]]=Utilities!$B$14,"Out of CoVDP scope",U32="yes",Overview!$C$13,AND(Table2[[#This Row],[Lead time from sources identified to today (if not disbursed yet)]]&lt;15,S32="yes"),Overview!$C$11,AND(Table2[[#This Row],[Lead time from sources identified to today (if not disbursed yet)]]&gt;15,S32="yes"),Overview!$C$12,O32="yes",Overview!$C$10,M32="yes",Overview!$C$9,M32="no",Overview!$C$8)</f>
        <v>Funds disbursed</v>
      </c>
      <c r="AA32" s="131">
        <f ca="1">_xlfn.DAYS(TODAY(),$N32)</f>
        <v>220</v>
      </c>
      <c r="AB32" s="131">
        <f ca="1">_xlfn.DAYS(TODAY(),$L32)</f>
        <v>220</v>
      </c>
      <c r="AC32" s="131">
        <f ca="1">IF(Table2[[#This Row],[Lead time from formal request received to today (days)]]&lt;400,Table2[[#This Row],[Lead time from formal request received to today (days)]],"-")</f>
        <v>220</v>
      </c>
      <c r="AD32" s="131" t="str">
        <f ca="1">IF(AND(Table2[[#This Row],[Funds disbursed (Date)]]="",Table2[[#This Row],[Source of funding identified (Details)]]&lt;&gt;""),TODAY()-Table2[[#This Row],[Sources of funding identified (Date) - or standard request discussed during CoVDP Funding Alignment call]],"-")</f>
        <v>-</v>
      </c>
      <c r="AE32" s="12"/>
      <c r="AF32" s="131">
        <f>IF(V32="","",NETWORKDAYS(N32,V32)-1)</f>
        <v>8</v>
      </c>
      <c r="AG32" s="131" t="str">
        <f>IF(OR(V32="",Table2[[#This Row],[Source of funding identified (Details)]]&lt;&gt;Utilities!$B$6),"",NETWORKDAYS(Q32,V32)-1)</f>
        <v/>
      </c>
      <c r="AH32" s="127"/>
      <c r="AI32" s="127" t="str">
        <f>IF(Table2[[#This Row],[Column1]]=1,"NO","YES")</f>
        <v>NO</v>
      </c>
      <c r="AJ32" s="136">
        <f>COUNTIF(Table2[Request ID],Table2[[#This Row],[Request ID]])</f>
        <v>1</v>
      </c>
      <c r="AK32" s="127" t="str">
        <f ca="1">IF(Table2[[#This Row],[Status]]&lt;&gt;Overview!$C$13,Table2[[#This Row],[Lead time from informal request received to today (days)2]],"Disbursed")</f>
        <v>Disbursed</v>
      </c>
    </row>
    <row r="33" spans="1:37" x14ac:dyDescent="0.45">
      <c r="A33" t="str">
        <f>CONCATENATE(C33,F33,L33)</f>
        <v>Somalia1743000044670</v>
      </c>
      <c r="B33" t="s">
        <v>255</v>
      </c>
      <c r="C33" t="s">
        <v>104</v>
      </c>
      <c r="D33" t="e">
        <f>INDEX(Table1[#All],MATCH('Funding tracker'!#REF!,Table1[[#All],[Recipient country Name]],0),MATCH('Funding tracker'!D$1,Table1[#Headers],0))</f>
        <v>#REF!</v>
      </c>
      <c r="E33" t="e">
        <f>INDEX(Table1[#All],MATCH('Funding tracker'!#REF!,Table1[[#All],[Recipient country Name]],0),MATCH('Funding tracker'!E$1,Table1[#Headers],0))</f>
        <v>#REF!</v>
      </c>
      <c r="F33" s="201">
        <v>17430000</v>
      </c>
      <c r="G33" s="181" t="s">
        <v>181</v>
      </c>
      <c r="H33" s="173">
        <v>5552930</v>
      </c>
      <c r="I33" t="s">
        <v>256</v>
      </c>
      <c r="J33" t="s">
        <v>257</v>
      </c>
      <c r="K33" t="s">
        <v>218</v>
      </c>
      <c r="L33" s="63">
        <v>44670</v>
      </c>
      <c r="M33" t="s">
        <v>71</v>
      </c>
      <c r="N33" s="2">
        <v>44670</v>
      </c>
      <c r="O33" t="s">
        <v>71</v>
      </c>
      <c r="P33" t="s">
        <v>66</v>
      </c>
      <c r="Q33" s="2">
        <v>44670</v>
      </c>
      <c r="R33" s="13">
        <f>Table2[[#This Row],[Amount tracked through this row]]</f>
        <v>5552930</v>
      </c>
      <c r="S33" t="s">
        <v>71</v>
      </c>
      <c r="T33" s="2">
        <f>Table2[[#This Row],[Sources of funding identified (Date) - or standard request discussed during CoVDP Funding Alignment call]]</f>
        <v>44670</v>
      </c>
      <c r="U33" t="s">
        <v>72</v>
      </c>
      <c r="V33" s="2"/>
      <c r="W33" s="13">
        <f>MONTH(Table2[[#This Row],[Funds disbursed (Date)]])</f>
        <v>1</v>
      </c>
      <c r="X33" s="192"/>
      <c r="Y33" s="59" t="s">
        <v>258</v>
      </c>
      <c r="Z33" s="62" t="str" cm="1">
        <f t="array" aca="1" ref="Z33" ca="1">_xlfn.IFS(Table2[[#This Row],[Sources of funding identified (yes / no / Identified as not urgent)]]=Utilities!$B$14,"Out of CoVDP scope",U33="yes",Overview!$C$13,AND(Table2[[#This Row],[Lead time from sources identified to today (if not disbursed yet)]]&lt;15,S33="yes"),Overview!$C$11,AND(Table2[[#This Row],[Lead time from sources identified to today (if not disbursed yet)]]&gt;15,S33="yes"),Overview!$C$12,O33="yes",Overview!$C$10,M33="yes",Overview!$C$9,M33="no",Overview!$C$8)</f>
        <v>Approved pending disbursement &gt;15 days</v>
      </c>
      <c r="AA33" s="65">
        <f ca="1">_xlfn.DAYS(TODAY(),$N33)</f>
        <v>213</v>
      </c>
      <c r="AB33" s="65">
        <f ca="1">_xlfn.DAYS(TODAY(),$L33)</f>
        <v>213</v>
      </c>
      <c r="AC33" s="12">
        <f ca="1">IF(Table2[[#This Row],[Lead time from formal request received to today (days)]]&lt;400,Table2[[#This Row],[Lead time from formal request received to today (days)]],"-")</f>
        <v>213</v>
      </c>
      <c r="AD33" s="12">
        <f ca="1">IF(AND(Table2[[#This Row],[Funds disbursed (Date)]]="",Table2[[#This Row],[Source of funding identified (Details)]]&lt;&gt;""),TODAY()-Table2[[#This Row],[Sources of funding identified (Date) - or standard request discussed during CoVDP Funding Alignment call]],"-")</f>
        <v>213</v>
      </c>
      <c r="AE33" s="12" t="str">
        <f>IF(V33="","-",_xlfn.DAYS(V33,N33))</f>
        <v>-</v>
      </c>
      <c r="AF33" s="12" t="str">
        <f>IF(V33="","",NETWORKDAYS(N33,V33)-1)</f>
        <v/>
      </c>
      <c r="AG33" s="12" t="str">
        <f>IF(OR(V33="",Table2[[#This Row],[Source of funding identified (Details)]]&lt;&gt;Utilities!$B$6),"",NETWORKDAYS(Q33,V33)-1)</f>
        <v/>
      </c>
      <c r="AI33" t="str">
        <f>IF(Table2[[#This Row],[Column1]]=1,"NO","YES")</f>
        <v>YES</v>
      </c>
      <c r="AJ33" s="31">
        <f>COUNTIF(Table2[Request ID],Table2[[#This Row],[Request ID]])</f>
        <v>3</v>
      </c>
      <c r="AK33" s="62">
        <f ca="1">IF(Table2[[#This Row],[Status]]&lt;&gt;Overview!$C$13,Table2[[#This Row],[Lead time from informal request received to today (days)2]],"Disbursed")</f>
        <v>213</v>
      </c>
    </row>
    <row r="34" spans="1:37" x14ac:dyDescent="0.45">
      <c r="A34" t="str">
        <f>CONCATENATE(C34,F34,L34)</f>
        <v>Somalia1743000044670</v>
      </c>
      <c r="B34" t="s">
        <v>255</v>
      </c>
      <c r="C34" t="s">
        <v>104</v>
      </c>
      <c r="D34" t="str">
        <f>INDEX(Table1[#All],MATCH('Funding tracker'!$C39,Table1[[#All],[Recipient country Name]],0),MATCH('Funding tracker'!D$1,Table1[#Headers],0))</f>
        <v>Anne Cronin</v>
      </c>
      <c r="E34" t="str">
        <f>INDEX(Table1[#All],MATCH('Funding tracker'!$C39,Table1[[#All],[Recipient country Name]],0),MATCH('Funding tracker'!E$1,Table1[#Headers],0))</f>
        <v>Abu</v>
      </c>
      <c r="F34" s="201">
        <v>17430000</v>
      </c>
      <c r="G34" s="181" t="s">
        <v>181</v>
      </c>
      <c r="H34" s="173">
        <v>4661556</v>
      </c>
      <c r="I34" t="s">
        <v>259</v>
      </c>
      <c r="J34" t="s">
        <v>260</v>
      </c>
      <c r="K34" t="s">
        <v>218</v>
      </c>
      <c r="L34" s="168">
        <v>44670</v>
      </c>
      <c r="M34" t="s">
        <v>71</v>
      </c>
      <c r="N34" s="2">
        <v>44670</v>
      </c>
      <c r="O34" t="s">
        <v>71</v>
      </c>
      <c r="P34" t="s">
        <v>65</v>
      </c>
      <c r="Q34" s="2">
        <v>44711</v>
      </c>
      <c r="R34" s="13">
        <f>Table2[[#This Row],[Amount tracked through this row]]</f>
        <v>4661556</v>
      </c>
      <c r="S34" t="s">
        <v>71</v>
      </c>
      <c r="T34" s="2">
        <f>Table2[[#This Row],[Sources of funding identified (Date) - or standard request discussed during CoVDP Funding Alignment call]]</f>
        <v>44711</v>
      </c>
      <c r="U34" t="s">
        <v>72</v>
      </c>
      <c r="V34" s="2"/>
      <c r="W34" s="13">
        <f>MONTH(Table2[[#This Row],[Funds disbursed (Date)]])</f>
        <v>1</v>
      </c>
      <c r="X34" s="192"/>
      <c r="Z34" s="62" t="str" cm="1">
        <f t="array" aca="1" ref="Z34" ca="1">_xlfn.IFS(Table2[[#This Row],[Sources of funding identified (yes / no / Identified as not urgent)]]=Utilities!$B$14,"Out of CoVDP scope",U34="yes",Overview!$C$13,AND(Table2[[#This Row],[Lead time from sources identified to today (if not disbursed yet)]]&lt;15,S34="yes"),Overview!$C$11,AND(Table2[[#This Row],[Lead time from sources identified to today (if not disbursed yet)]]&gt;15,S34="yes"),Overview!$C$12,O34="yes",Overview!$C$10,M34="yes",Overview!$C$9,M34="no",Overview!$C$8)</f>
        <v>Approved pending disbursement &gt;15 days</v>
      </c>
      <c r="AA34" s="65">
        <f ca="1">_xlfn.DAYS(TODAY(),$N34)</f>
        <v>213</v>
      </c>
      <c r="AB34" s="65">
        <f ca="1">_xlfn.DAYS(TODAY(),$L34)</f>
        <v>213</v>
      </c>
      <c r="AC34" s="12">
        <f ca="1">IF(Table2[[#This Row],[Lead time from formal request received to today (days)]]&lt;400,Table2[[#This Row],[Lead time from formal request received to today (days)]],"-")</f>
        <v>213</v>
      </c>
      <c r="AD34" s="12">
        <f ca="1">IF(AND(Table2[[#This Row],[Funds disbursed (Date)]]="",Table2[[#This Row],[Source of funding identified (Details)]]&lt;&gt;""),TODAY()-Table2[[#This Row],[Sources of funding identified (Date) - or standard request discussed during CoVDP Funding Alignment call]],"-")</f>
        <v>172</v>
      </c>
      <c r="AE34" s="12"/>
      <c r="AF34" s="12" t="str">
        <f>IF(V34="","",NETWORKDAYS(N34,V34)-1)</f>
        <v/>
      </c>
      <c r="AG34" s="12" t="str">
        <f>IF(OR(V34="",Table2[[#This Row],[Source of funding identified (Details)]]&lt;&gt;Utilities!$B$6),"",NETWORKDAYS(Q34,V34)-1)</f>
        <v/>
      </c>
      <c r="AI34" t="str">
        <f>IF(Table2[[#This Row],[Column1]]=1,"NO","YES")</f>
        <v>YES</v>
      </c>
      <c r="AJ34" s="31">
        <f>COUNTIF(Table2[Request ID],Table2[[#This Row],[Request ID]])</f>
        <v>3</v>
      </c>
      <c r="AK34" s="62">
        <f ca="1">IF(Table2[[#This Row],[Status]]&lt;&gt;Overview!$C$13,Table2[[#This Row],[Lead time from informal request received to today (days)2]],"Disbursed")</f>
        <v>213</v>
      </c>
    </row>
    <row r="35" spans="1:37" x14ac:dyDescent="0.45">
      <c r="A35" t="str">
        <f>CONCATENATE(C35,F35,L35)</f>
        <v>Somalia1743000044670</v>
      </c>
      <c r="B35" t="s">
        <v>255</v>
      </c>
      <c r="C35" t="s">
        <v>104</v>
      </c>
      <c r="D35" t="str">
        <f>INDEX(Table1[#All],MATCH('Funding tracker'!$C35,Table1[[#All],[Recipient country Name]],0),MATCH('Funding tracker'!D$1,Table1[#Headers],0))</f>
        <v>Patience Musanhu</v>
      </c>
      <c r="E35" t="str">
        <f>INDEX(Table1[#All],MATCH('Funding tracker'!$C35,Table1[[#All],[Recipient country Name]],0),MATCH('Funding tracker'!E$1,Table1[#Headers],0))</f>
        <v>Abu</v>
      </c>
      <c r="F35" s="201">
        <v>17430000</v>
      </c>
      <c r="G35" s="181" t="s">
        <v>181</v>
      </c>
      <c r="H35" s="173">
        <v>1923000</v>
      </c>
      <c r="I35" t="s">
        <v>261</v>
      </c>
      <c r="J35" t="s">
        <v>262</v>
      </c>
      <c r="K35" t="s">
        <v>218</v>
      </c>
      <c r="L35" s="63">
        <v>44670</v>
      </c>
      <c r="M35" t="s">
        <v>71</v>
      </c>
      <c r="N35" s="2">
        <v>44670</v>
      </c>
      <c r="O35" t="s">
        <v>71</v>
      </c>
      <c r="P35" t="s">
        <v>65</v>
      </c>
      <c r="Q35" s="2">
        <v>44670</v>
      </c>
      <c r="R35" s="13">
        <f>Table2[[#This Row],[Amount tracked through this row]]</f>
        <v>1923000</v>
      </c>
      <c r="S35" t="s">
        <v>71</v>
      </c>
      <c r="T35" s="2">
        <f>Table2[[#This Row],[Sources of funding identified (Date) - or standard request discussed during CoVDP Funding Alignment call]]</f>
        <v>44670</v>
      </c>
      <c r="U35" t="s">
        <v>71</v>
      </c>
      <c r="V35" s="2">
        <v>44678</v>
      </c>
      <c r="W35" s="13">
        <f>MONTH(Table2[[#This Row],[Funds disbursed (Date)]])</f>
        <v>4</v>
      </c>
      <c r="X35" s="192">
        <v>0.45</v>
      </c>
      <c r="Y35" t="s">
        <v>263</v>
      </c>
      <c r="Z35" s="62" t="str" cm="1">
        <f t="array" aca="1" ref="Z35" ca="1">_xlfn.IFS(Table2[[#This Row],[Sources of funding identified (yes / no / Identified as not urgent)]]=Utilities!$B$14,"Out of CoVDP scope",U35="yes",Overview!$C$13,AND(Table2[[#This Row],[Lead time from sources identified to today (if not disbursed yet)]]&lt;15,S35="yes"),Overview!$C$11,AND(Table2[[#This Row],[Lead time from sources identified to today (if not disbursed yet)]]&gt;15,S35="yes"),Overview!$C$12,O35="yes",Overview!$C$10,M35="yes",Overview!$C$9,M35="no",Overview!$C$8)</f>
        <v>Funds disbursed</v>
      </c>
      <c r="AA35" s="65">
        <f ca="1">_xlfn.DAYS(TODAY(),$N35)</f>
        <v>213</v>
      </c>
      <c r="AB35" s="65">
        <f ca="1">_xlfn.DAYS(TODAY(),$L35)</f>
        <v>213</v>
      </c>
      <c r="AC35" s="12">
        <f ca="1">IF(Table2[[#This Row],[Lead time from formal request received to today (days)]]&lt;400,Table2[[#This Row],[Lead time from formal request received to today (days)]],"-")</f>
        <v>213</v>
      </c>
      <c r="AD35" s="12" t="str">
        <f ca="1">IF(AND(Table2[[#This Row],[Funds disbursed (Date)]]="",Table2[[#This Row],[Source of funding identified (Details)]]&lt;&gt;""),TODAY()-Table2[[#This Row],[Sources of funding identified (Date) - or standard request discussed during CoVDP Funding Alignment call]],"-")</f>
        <v>-</v>
      </c>
      <c r="AE35" s="12"/>
      <c r="AF35" s="12">
        <f>IF(V35="","",NETWORKDAYS(N35,V35)-1)</f>
        <v>6</v>
      </c>
      <c r="AG35" s="12" t="str">
        <f>IF(OR(V35="",Table2[[#This Row],[Source of funding identified (Details)]]&lt;&gt;Utilities!$B$6),"",NETWORKDAYS(Q35,V35)-1)</f>
        <v/>
      </c>
      <c r="AI35" t="str">
        <f>IF(Table2[[#This Row],[Column1]]=1,"NO","YES")</f>
        <v>YES</v>
      </c>
      <c r="AJ35" s="31">
        <f>COUNTIF(Table2[Request ID],Table2[[#This Row],[Request ID]])</f>
        <v>3</v>
      </c>
      <c r="AK35" s="62" t="str">
        <f ca="1">IF(Table2[[#This Row],[Status]]&lt;&gt;Overview!$C$13,Table2[[#This Row],[Lead time from informal request received to today (days)2]],"Disbursed")</f>
        <v>Disbursed</v>
      </c>
    </row>
    <row r="36" spans="1:37" x14ac:dyDescent="0.45">
      <c r="A36" t="str">
        <f>CONCATENATE(C36,F36,L36)</f>
        <v>Somalia1743000044711</v>
      </c>
      <c r="B36" t="s">
        <v>255</v>
      </c>
      <c r="C36" t="s">
        <v>104</v>
      </c>
      <c r="D36" t="str">
        <f>INDEX(Table1[#All],MATCH('Funding tracker'!$C40,Table1[[#All],[Recipient country Name]],0),MATCH('Funding tracker'!D$1,Table1[#Headers],0))</f>
        <v>Veronique Maeva Fages</v>
      </c>
      <c r="E36" t="str">
        <f>INDEX(Table1[#All],MATCH('Funding tracker'!$C40,Table1[[#All],[Recipient country Name]],0),MATCH('Funding tracker'!E$1,Table1[#Headers],0))</f>
        <v>Imran</v>
      </c>
      <c r="F36" s="201">
        <v>17430000</v>
      </c>
      <c r="G36" s="181" t="s">
        <v>181</v>
      </c>
      <c r="H36" s="173">
        <v>5114501</v>
      </c>
      <c r="I36" t="s">
        <v>267</v>
      </c>
      <c r="J36" t="s">
        <v>260</v>
      </c>
      <c r="K36" t="s">
        <v>218</v>
      </c>
      <c r="L36" s="63">
        <v>44711</v>
      </c>
      <c r="M36" t="s">
        <v>71</v>
      </c>
      <c r="N36" s="2">
        <v>44712</v>
      </c>
      <c r="O36" t="s">
        <v>71</v>
      </c>
      <c r="P36" t="s">
        <v>64</v>
      </c>
      <c r="Q36" s="2">
        <v>44712</v>
      </c>
      <c r="R36" s="13">
        <f>Table2[[#This Row],[Amount tracked through this row]]</f>
        <v>5114501</v>
      </c>
      <c r="S36" t="s">
        <v>71</v>
      </c>
      <c r="T36" s="2">
        <f>Table2[[#This Row],[Sources of funding identified (Date) - or standard request discussed during CoVDP Funding Alignment call]]</f>
        <v>44712</v>
      </c>
      <c r="U36" t="s">
        <v>71</v>
      </c>
      <c r="V36" s="2">
        <v>44713</v>
      </c>
      <c r="W36" s="13">
        <f>MONTH(Table2[[#This Row],[Funds disbursed (Date)]])</f>
        <v>6</v>
      </c>
      <c r="X36" s="192">
        <v>0</v>
      </c>
      <c r="Y36" t="s">
        <v>268</v>
      </c>
      <c r="Z36" s="62" t="str" cm="1">
        <f t="array" aca="1" ref="Z36" ca="1">_xlfn.IFS(Table2[[#This Row],[Sources of funding identified (yes / no / Identified as not urgent)]]=Utilities!$B$14,"Out of CoVDP scope",U36="yes",Overview!$C$13,AND(Table2[[#This Row],[Lead time from sources identified to today (if not disbursed yet)]]&lt;15,S36="yes"),Overview!$C$11,AND(Table2[[#This Row],[Lead time from sources identified to today (if not disbursed yet)]]&gt;15,S36="yes"),Overview!$C$12,O36="yes",Overview!$C$10,M36="yes",Overview!$C$9,M36="no",Overview!$C$8)</f>
        <v>Funds disbursed</v>
      </c>
      <c r="AA36" s="65">
        <f ca="1">_xlfn.DAYS(TODAY(),$N36)</f>
        <v>171</v>
      </c>
      <c r="AB36" s="65">
        <f ca="1">_xlfn.DAYS(TODAY(),$L36)</f>
        <v>172</v>
      </c>
      <c r="AC36" s="12">
        <f ca="1">IF(Table2[[#This Row],[Lead time from formal request received to today (days)]]&lt;400,Table2[[#This Row],[Lead time from formal request received to today (days)]],"-")</f>
        <v>171</v>
      </c>
      <c r="AD36" s="12" t="str">
        <f ca="1">IF(AND(Table2[[#This Row],[Funds disbursed (Date)]]="",Table2[[#This Row],[Source of funding identified (Details)]]&lt;&gt;""),TODAY()-Table2[[#This Row],[Sources of funding identified (Date) - or standard request discussed during CoVDP Funding Alignment call]],"-")</f>
        <v>-</v>
      </c>
      <c r="AE36" s="12">
        <f>IF(V36="","-",_xlfn.DAYS(V36,N36))</f>
        <v>1</v>
      </c>
      <c r="AF36" s="12">
        <f>IF(V36="","",NETWORKDAYS(N36,V36)-1)</f>
        <v>1</v>
      </c>
      <c r="AG36" s="12" t="str">
        <f>IF(OR(V36="",Table2[[#This Row],[Source of funding identified (Details)]]&lt;&gt;Utilities!$B$6),"",NETWORKDAYS(Q36,V36)-1)</f>
        <v/>
      </c>
      <c r="AI36" t="str">
        <f>IF(Table2[[#This Row],[Column1]]=1,"NO","YES")</f>
        <v>NO</v>
      </c>
      <c r="AJ36" s="31">
        <f>COUNTIF(Table2[Request ID],Table2[[#This Row],[Request ID]])</f>
        <v>1</v>
      </c>
      <c r="AK36" s="62" t="str">
        <f ca="1">IF(Table2[[#This Row],[Status]]&lt;&gt;Overview!$C$13,Table2[[#This Row],[Lead time from informal request received to today (days)2]],"Disbursed")</f>
        <v>Disbursed</v>
      </c>
    </row>
    <row r="37" spans="1:37" x14ac:dyDescent="0.45">
      <c r="A37" t="str">
        <f>CONCATENATE(C37,F37,L37)</f>
        <v>Sudan21829690.973559344640</v>
      </c>
      <c r="B37" t="s">
        <v>289</v>
      </c>
      <c r="C37" t="s">
        <v>103</v>
      </c>
      <c r="D37" t="str">
        <f>INDEX(Table1[#All],MATCH('Funding tracker'!$C32,Table1[[#All],[Recipient country Name]],0),MATCH('Funding tracker'!D$1,Table1[#Headers],0))</f>
        <v>Patience Musanhu</v>
      </c>
      <c r="E37" t="str">
        <f>INDEX(Table1[#All],MATCH('Funding tracker'!$C32,Table1[[#All],[Recipient country Name]],0),MATCH('Funding tracker'!E$1,Table1[#Headers],0))</f>
        <v>Ida Marie</v>
      </c>
      <c r="F37" s="209">
        <v>21829690.973559324</v>
      </c>
      <c r="G37" s="181" t="s">
        <v>133</v>
      </c>
      <c r="H37" s="177">
        <v>3600000</v>
      </c>
      <c r="I37" t="s">
        <v>290</v>
      </c>
      <c r="J37" t="s">
        <v>291</v>
      </c>
      <c r="K37" t="s">
        <v>183</v>
      </c>
      <c r="L37" s="2">
        <v>44640</v>
      </c>
      <c r="M37" t="s">
        <v>71</v>
      </c>
      <c r="N37" s="2">
        <v>44712</v>
      </c>
      <c r="O37" t="s">
        <v>71</v>
      </c>
      <c r="P37" t="s">
        <v>65</v>
      </c>
      <c r="Q37" s="2">
        <v>44712</v>
      </c>
      <c r="R37" s="13">
        <f>Table2[[#This Row],[Amount tracked through this row]]</f>
        <v>3600000</v>
      </c>
      <c r="S37" t="s">
        <v>71</v>
      </c>
      <c r="T37" s="2">
        <v>44720</v>
      </c>
      <c r="U37" t="s">
        <v>72</v>
      </c>
      <c r="W37" s="13">
        <f>MONTH(Table2[[#This Row],[Funds disbursed (Date)]])</f>
        <v>1</v>
      </c>
      <c r="X37" s="192"/>
      <c r="Y37" t="s">
        <v>292</v>
      </c>
      <c r="Z37" s="62" t="str" cm="1">
        <f t="array" aca="1" ref="Z37" ca="1">_xlfn.IFS(Table2[[#This Row],[Sources of funding identified (yes / no / Identified as not urgent)]]=Utilities!$B$14,"Out of CoVDP scope",U37="yes",Overview!$C$13,AND(Table2[[#This Row],[Lead time from sources identified to today (if not disbursed yet)]]&lt;15,S37="yes"),Overview!$C$11,AND(Table2[[#This Row],[Lead time from sources identified to today (if not disbursed yet)]]&gt;15,S37="yes"),Overview!$C$12,O37="yes",Overview!$C$10,M37="yes",Overview!$C$9,M37="no",Overview!$C$8)</f>
        <v>Approved pending disbursement &gt;15 days</v>
      </c>
      <c r="AA37" s="65">
        <f ca="1">_xlfn.DAYS(TODAY(),$N37)</f>
        <v>171</v>
      </c>
      <c r="AB37" s="65">
        <f ca="1">_xlfn.DAYS(TODAY(),$L37)</f>
        <v>243</v>
      </c>
      <c r="AC37" s="12">
        <f ca="1">IF(Table2[[#This Row],[Lead time from formal request received to today (days)]]&lt;400,Table2[[#This Row],[Lead time from formal request received to today (days)]],"-")</f>
        <v>171</v>
      </c>
      <c r="AD37" s="12">
        <f ca="1">IF(AND(Table2[[#This Row],[Funds disbursed (Date)]]="",Table2[[#This Row],[Source of funding identified (Details)]]&lt;&gt;""),TODAY()-Table2[[#This Row],[Sources of funding identified (Date) - or standard request discussed during CoVDP Funding Alignment call]],"-")</f>
        <v>171</v>
      </c>
      <c r="AE37" s="12"/>
      <c r="AF37" s="12" t="str">
        <f>IF(V37="","",NETWORKDAYS(N37,V37)-1)</f>
        <v/>
      </c>
      <c r="AG37" s="12" t="str">
        <f>IF(OR(V37="",Table2[[#This Row],[Source of funding identified (Details)]]&lt;&gt;Utilities!$B$6),"",NETWORKDAYS(Q37,V37)-1)</f>
        <v/>
      </c>
      <c r="AI37" t="str">
        <f>IF(Table2[[#This Row],[Column1]]=1,"NO","YES")</f>
        <v>YES</v>
      </c>
      <c r="AJ37" s="31">
        <f>COUNTIF(Table2[Request ID],Table2[[#This Row],[Request ID]])</f>
        <v>2</v>
      </c>
      <c r="AK37" s="62">
        <f ca="1">IF(Table2[[#This Row],[Status]]&lt;&gt;Overview!$C$13,Table2[[#This Row],[Lead time from informal request received to today (days)2]],"Disbursed")</f>
        <v>243</v>
      </c>
    </row>
    <row r="38" spans="1:37" x14ac:dyDescent="0.45">
      <c r="A38" t="str">
        <f>CONCATENATE(C38,F38,L38)</f>
        <v>Sudan21829690.973559344640</v>
      </c>
      <c r="B38" t="s">
        <v>289</v>
      </c>
      <c r="C38" t="s">
        <v>103</v>
      </c>
      <c r="D38" t="str">
        <f>INDEX(Table1[#All],MATCH('Funding tracker'!$C33,Table1[[#All],[Recipient country Name]],0),MATCH('Funding tracker'!D$1,Table1[#Headers],0))</f>
        <v>Patience Musanhu</v>
      </c>
      <c r="E38" t="str">
        <f>INDEX(Table1[#All],MATCH('Funding tracker'!$C33,Table1[[#All],[Recipient country Name]],0),MATCH('Funding tracker'!E$1,Table1[#Headers],0))</f>
        <v>Abu</v>
      </c>
      <c r="F38" s="210">
        <v>21829690.973559324</v>
      </c>
      <c r="G38" s="181" t="s">
        <v>133</v>
      </c>
      <c r="H38" s="176">
        <v>14629690.973559324</v>
      </c>
      <c r="I38" t="s">
        <v>296</v>
      </c>
      <c r="J38" t="s">
        <v>291</v>
      </c>
      <c r="K38" t="s">
        <v>183</v>
      </c>
      <c r="L38" s="2">
        <v>44640</v>
      </c>
      <c r="M38" t="s">
        <v>72</v>
      </c>
      <c r="N38" s="2"/>
      <c r="O38" t="s">
        <v>72</v>
      </c>
      <c r="P38" t="s">
        <v>66</v>
      </c>
      <c r="Q38" s="2"/>
      <c r="R38" s="13">
        <f>Table2[[#This Row],[Amount tracked through this row]]</f>
        <v>14629690.973559324</v>
      </c>
      <c r="S38" t="s">
        <v>72</v>
      </c>
      <c r="T38" s="2"/>
      <c r="U38" t="s">
        <v>72</v>
      </c>
      <c r="W38" s="13">
        <f>MONTH(Table2[[#This Row],[Funds disbursed (Date)]])</f>
        <v>1</v>
      </c>
      <c r="X38" s="192"/>
      <c r="Y38" t="s">
        <v>297</v>
      </c>
      <c r="Z38" s="62" t="str" cm="1">
        <f t="array" aca="1" ref="Z38" ca="1">_xlfn.IFS(Table2[[#This Row],[Sources of funding identified (yes / no / Identified as not urgent)]]=Utilities!$B$14,"Out of CoVDP scope",U38="yes",Overview!$C$13,AND(Table2[[#This Row],[Lead time from sources identified to today (if not disbursed yet)]]&lt;15,S38="yes"),Overview!$C$11,AND(Table2[[#This Row],[Lead time from sources identified to today (if not disbursed yet)]]&gt;15,S38="yes"),Overview!$C$12,O38="yes",Overview!$C$10,M38="yes",Overview!$C$9,M38="no",Overview!$C$8)</f>
        <v>Pending additional details and/or formal request</v>
      </c>
      <c r="AA38" s="65">
        <f ca="1">_xlfn.DAYS(TODAY(),$N38)</f>
        <v>44883</v>
      </c>
      <c r="AB38" s="65">
        <f ca="1">_xlfn.DAYS(TODAY(),$L38)</f>
        <v>243</v>
      </c>
      <c r="AC38" s="12" t="str">
        <f ca="1">IF(Table2[[#This Row],[Lead time from formal request received to today (days)]]&lt;400,Table2[[#This Row],[Lead time from formal request received to today (days)]],"-")</f>
        <v>-</v>
      </c>
      <c r="AD38" s="12">
        <f ca="1">IF(AND(Table2[[#This Row],[Funds disbursed (Date)]]="",Table2[[#This Row],[Source of funding identified (Details)]]&lt;&gt;""),TODAY()-Table2[[#This Row],[Sources of funding identified (Date) - or standard request discussed during CoVDP Funding Alignment call]],"-")</f>
        <v>44883</v>
      </c>
      <c r="AE38" s="12"/>
      <c r="AF38" s="12" t="str">
        <f>IF(V38="","",NETWORKDAYS(N38,V38)-1)</f>
        <v/>
      </c>
      <c r="AG38" s="12" t="str">
        <f>IF(OR(V38="",Table2[[#This Row],[Source of funding identified (Details)]]&lt;&gt;Utilities!$B$6),"",NETWORKDAYS(Q38,V38)-1)</f>
        <v/>
      </c>
      <c r="AI38" t="str">
        <f>IF(Table2[[#This Row],[Column1]]=1,"NO","YES")</f>
        <v>YES</v>
      </c>
      <c r="AJ38" s="31">
        <f>COUNTIF(Table2[Request ID],Table2[[#This Row],[Request ID]])</f>
        <v>2</v>
      </c>
      <c r="AK38" s="62">
        <f ca="1">IF(Table2[[#This Row],[Status]]&lt;&gt;Overview!$C$13,Table2[[#This Row],[Lead time from informal request received to today (days)2]],"Disbursed")</f>
        <v>243</v>
      </c>
    </row>
    <row r="39" spans="1:37" x14ac:dyDescent="0.45">
      <c r="A39" t="str">
        <f>CONCATENATE(C39,F39,L39)</f>
        <v>Sudan21829690.973559344650</v>
      </c>
      <c r="B39" t="s">
        <v>289</v>
      </c>
      <c r="C39" t="s">
        <v>103</v>
      </c>
      <c r="D39" t="str">
        <f>INDEX(Table1[#All],MATCH('Funding tracker'!$C31,Table1[[#All],[Recipient country Name]],0),MATCH('Funding tracker'!D$1,Table1[#Headers],0))</f>
        <v>Patience Musanhu</v>
      </c>
      <c r="E39" t="str">
        <f>INDEX(Table1[#All],MATCH('Funding tracker'!$C31,Table1[[#All],[Recipient country Name]],0),MATCH('Funding tracker'!E$1,Table1[#Headers],0))</f>
        <v>Ida Marie</v>
      </c>
      <c r="F39" s="210">
        <v>21829690.973559324</v>
      </c>
      <c r="G39" s="181" t="s">
        <v>133</v>
      </c>
      <c r="H39" s="176">
        <v>3600000</v>
      </c>
      <c r="I39" t="s">
        <v>298</v>
      </c>
      <c r="J39" t="s">
        <v>291</v>
      </c>
      <c r="K39" t="s">
        <v>183</v>
      </c>
      <c r="L39" s="2">
        <v>44650</v>
      </c>
      <c r="M39" t="s">
        <v>72</v>
      </c>
      <c r="N39" s="2"/>
      <c r="O39" t="s">
        <v>71</v>
      </c>
      <c r="P39" t="s">
        <v>64</v>
      </c>
      <c r="Q39" s="2">
        <v>44698</v>
      </c>
      <c r="R39" s="13">
        <f>Table2[[#This Row],[Amount tracked through this row]]</f>
        <v>3600000</v>
      </c>
      <c r="S39" t="s">
        <v>71</v>
      </c>
      <c r="T39" s="2">
        <v>37401</v>
      </c>
      <c r="U39" t="s">
        <v>72</v>
      </c>
      <c r="W39" s="13">
        <f>MONTH(Table2[[#This Row],[Funds disbursed (Date)]])</f>
        <v>1</v>
      </c>
      <c r="X39" s="192"/>
      <c r="Y39" t="s">
        <v>299</v>
      </c>
      <c r="Z39" s="62" t="str" cm="1">
        <f t="array" aca="1" ref="Z39" ca="1">_xlfn.IFS(Table2[[#This Row],[Sources of funding identified (yes / no / Identified as not urgent)]]=Utilities!$B$14,"Out of CoVDP scope",U39="yes",Overview!$C$13,AND(Table2[[#This Row],[Lead time from sources identified to today (if not disbursed yet)]]&lt;=15,S39="yes"),Overview!$C$11,AND(Table2[[#This Row],[Lead time from sources identified to today (if not disbursed yet)]]&gt;15,S39="yes"),Overview!$C$12,O39="yes",Overview!$C$10,M39="yes",Overview!$C$9,M39="no",Overview!$C$8)</f>
        <v>Approved pending disbursement &gt;15 days</v>
      </c>
      <c r="AA39" s="65">
        <f ca="1">_xlfn.DAYS(TODAY(),$N39)</f>
        <v>44883</v>
      </c>
      <c r="AB39" s="65">
        <f ca="1">_xlfn.DAYS(TODAY(),$L39)</f>
        <v>233</v>
      </c>
      <c r="AC39" s="12" t="str">
        <f ca="1">IF(Table2[[#This Row],[Lead time from formal request received to today (days)]]&lt;400,Table2[[#This Row],[Lead time from formal request received to today (days)]],"-")</f>
        <v>-</v>
      </c>
      <c r="AD39" s="12">
        <f ca="1">IF(AND(Table2[[#This Row],[Funds disbursed (Date)]]="",Table2[[#This Row],[Source of funding identified (Details)]]&lt;&gt;""),TODAY()-Table2[[#This Row],[Sources of funding identified (Date) - or standard request discussed during CoVDP Funding Alignment call]],"-")</f>
        <v>185</v>
      </c>
      <c r="AE39" s="12" t="str">
        <f>IF(V39="","-",_xlfn.DAYS(V39,N39))</f>
        <v>-</v>
      </c>
      <c r="AF39" s="12" t="str">
        <f>IF(V39="","",NETWORKDAYS(N39,V39)-1)</f>
        <v/>
      </c>
      <c r="AG39" s="12" t="str">
        <f>IF(OR(V39="",Table2[[#This Row],[Source of funding identified (Details)]]&lt;&gt;Utilities!$B$6),"",NETWORKDAYS(Q39,V39)-1)</f>
        <v/>
      </c>
      <c r="AI39" t="str">
        <f>IF(Table2[[#This Row],[Column1]]=1,"NO","YES")</f>
        <v>NO</v>
      </c>
      <c r="AJ39" s="31">
        <f>COUNTIF(Table2[Request ID],Table2[[#This Row],[Request ID]])</f>
        <v>1</v>
      </c>
      <c r="AK39" s="62">
        <f ca="1">IF(Table2[[#This Row],[Status]]&lt;&gt;Overview!$C$13,Table2[[#This Row],[Lead time from informal request received to today (days)2]],"Disbursed")</f>
        <v>233</v>
      </c>
    </row>
    <row r="40" spans="1:37" x14ac:dyDescent="0.45">
      <c r="A40" t="str">
        <f>CONCATENATE(C40,F40,L40)</f>
        <v>AfghanistanTBD44649</v>
      </c>
      <c r="B40" t="s">
        <v>179</v>
      </c>
      <c r="C40" t="s">
        <v>102</v>
      </c>
      <c r="D40" t="str">
        <f>INDEX(Table1[#All],MATCH('Funding tracker'!$C30,Table1[[#All],[Recipient country Name]],0),MATCH('Funding tracker'!D$1,Table1[#Headers],0))</f>
        <v>Patience Musanhu</v>
      </c>
      <c r="E40" t="str">
        <f>INDEX(Table1[#All],MATCH('Funding tracker'!$C30,Table1[[#All],[Recipient country Name]],0),MATCH('Funding tracker'!E$1,Table1[#Headers],0))</f>
        <v>Ida Marie</v>
      </c>
      <c r="F40" s="204" t="s">
        <v>180</v>
      </c>
      <c r="G40" s="181" t="s">
        <v>181</v>
      </c>
      <c r="H40" s="174" t="s">
        <v>180</v>
      </c>
      <c r="I40" t="s">
        <v>182</v>
      </c>
      <c r="K40" t="s">
        <v>183</v>
      </c>
      <c r="L40" s="2">
        <v>44649</v>
      </c>
      <c r="M40" t="s">
        <v>72</v>
      </c>
      <c r="R40" s="13" t="str">
        <f>Table2[[#This Row],[Amount tracked through this row]]</f>
        <v>TBD</v>
      </c>
      <c r="T40" s="2"/>
      <c r="W40" s="13">
        <f>MONTH(Table2[[#This Row],[Funds disbursed (Date)]])</f>
        <v>1</v>
      </c>
      <c r="X40" s="192"/>
      <c r="Y40" t="s">
        <v>184</v>
      </c>
      <c r="Z40" s="62" t="str" cm="1">
        <f t="array" aca="1" ref="Z40" ca="1">_xlfn.IFS(Table2[[#This Row],[Sources of funding identified (yes / no / Identified as not urgent)]]=Utilities!$B$14,"Out of CoVDP scope",U40="yes",Overview!$C$13,AND(Table2[[#This Row],[Lead time from sources identified to today (if not disbursed yet)]]&lt;=15,S40="yes"),Overview!$C$11,AND(Table2[[#This Row],[Lead time from sources identified to today (if not disbursed yet)]]&gt;15,S40="yes"),Overview!$C$12,O40="yes",Overview!$C$10,M40="yes",Overview!$C$9,M40="no",Overview!$C$8)</f>
        <v>Pending additional details and/or formal request</v>
      </c>
      <c r="AA40" s="65">
        <f ca="1">_xlfn.DAYS(TODAY(),$N40)</f>
        <v>44883</v>
      </c>
      <c r="AB40" s="65">
        <f ca="1">_xlfn.DAYS(TODAY(),$L40)</f>
        <v>234</v>
      </c>
      <c r="AC40" s="12" t="str">
        <f ca="1">IF(Table2[[#This Row],[Lead time from formal request received to today (days)]]&lt;400,Table2[[#This Row],[Lead time from formal request received to today (days)]],"-")</f>
        <v>-</v>
      </c>
      <c r="AD40" s="12" t="str">
        <f ca="1">IF(AND(Table2[[#This Row],[Funds disbursed (Date)]]="",Table2[[#This Row],[Source of funding identified (Details)]]&lt;&gt;""),TODAY()-Table2[[#This Row],[Sources of funding identified (Date) - or standard request discussed during CoVDP Funding Alignment call]],"-")</f>
        <v>-</v>
      </c>
      <c r="AE40" s="12" t="str">
        <f>IF(V40="","-",_xlfn.DAYS(V40,N40))</f>
        <v>-</v>
      </c>
      <c r="AF40" s="12" t="str">
        <f>IF(V40="","",NETWORKDAYS(N40,V40)-1)</f>
        <v/>
      </c>
      <c r="AG40" s="12" t="str">
        <f>IF(OR(V40="",Table2[[#This Row],[Source of funding identified (Details)]]&lt;&gt;Utilities!$B$6),"",NETWORKDAYS(Q40,V40)-1)</f>
        <v/>
      </c>
      <c r="AI40" t="str">
        <f>IF(Table2[[#This Row],[Column1]]=1,"NO","YES")</f>
        <v>NO</v>
      </c>
      <c r="AJ40" s="31">
        <f>COUNTIF(Table2[Request ID],Table2[[#This Row],[Request ID]])</f>
        <v>1</v>
      </c>
      <c r="AK40" s="62">
        <f ca="1">IF(Table2[[#This Row],[Status]]&lt;&gt;Overview!$C$13,Table2[[#This Row],[Lead time from informal request received to today (days)2]],"Disbursed")</f>
        <v>234</v>
      </c>
    </row>
    <row r="41" spans="1:37" x14ac:dyDescent="0.45">
      <c r="A41" t="str">
        <f>CONCATENATE(C41,F41,L41)</f>
        <v>GhanaTBD44637</v>
      </c>
      <c r="B41" t="s">
        <v>222</v>
      </c>
      <c r="C41" t="s">
        <v>100</v>
      </c>
      <c r="D41" t="str">
        <f>INDEX(Table1[#All],MATCH('Funding tracker'!$C25,Table1[[#All],[Recipient country Name]],0),MATCH('Funding tracker'!D$1,Table1[#Headers],0))</f>
        <v>Thierry Vincent</v>
      </c>
      <c r="E41" t="str">
        <f>INDEX(Table1[#All],MATCH('Funding tracker'!$C25,Table1[[#All],[Recipient country Name]],0),MATCH('Funding tracker'!E$1,Table1[#Headers],0))</f>
        <v>Simon</v>
      </c>
      <c r="F41" s="204" t="s">
        <v>180</v>
      </c>
      <c r="G41" s="181" t="s">
        <v>181</v>
      </c>
      <c r="H41" s="174" t="s">
        <v>180</v>
      </c>
      <c r="I41" s="56" t="s">
        <v>180</v>
      </c>
      <c r="K41" t="s">
        <v>183</v>
      </c>
      <c r="L41" s="2">
        <v>44637</v>
      </c>
      <c r="M41" t="s">
        <v>72</v>
      </c>
      <c r="R41" s="13" t="str">
        <f>Table2[[#This Row],[Amount tracked through this row]]</f>
        <v>TBD</v>
      </c>
      <c r="T41" s="2"/>
      <c r="W41" s="13">
        <f>MONTH(Table2[[#This Row],[Funds disbursed (Date)]])</f>
        <v>1</v>
      </c>
      <c r="X41" s="192"/>
      <c r="Y41" s="117" t="s">
        <v>223</v>
      </c>
      <c r="Z41" s="62" t="str" cm="1">
        <f t="array" aca="1" ref="Z41" ca="1">_xlfn.IFS(Table2[[#This Row],[Sources of funding identified (yes / no / Identified as not urgent)]]=Utilities!$B$14,"Out of CoVDP scope",U41="yes",Overview!$C$13,AND(Table2[[#This Row],[Lead time from sources identified to today (if not disbursed yet)]]&lt;=15,S41="yes"),Overview!$C$11,AND(Table2[[#This Row],[Lead time from sources identified to today (if not disbursed yet)]]&gt;15,S41="yes"),Overview!$C$12,O41="yes",Overview!$C$10,M41="yes",Overview!$C$9,M41="no",Overview!$C$8)</f>
        <v>Pending additional details and/or formal request</v>
      </c>
      <c r="AA41" s="65">
        <f ca="1">_xlfn.DAYS(TODAY(),$N41)</f>
        <v>44883</v>
      </c>
      <c r="AB41" s="65">
        <f ca="1">_xlfn.DAYS(TODAY(),$L41)</f>
        <v>246</v>
      </c>
      <c r="AC41" s="12" t="str">
        <f ca="1">IF(Table2[[#This Row],[Lead time from formal request received to today (days)]]&lt;400,Table2[[#This Row],[Lead time from formal request received to today (days)]],"-")</f>
        <v>-</v>
      </c>
      <c r="AD41" s="12" t="str">
        <f ca="1">IF(AND(Table2[[#This Row],[Funds disbursed (Date)]]="",Table2[[#This Row],[Source of funding identified (Details)]]&lt;&gt;""),TODAY()-Table2[[#This Row],[Sources of funding identified (Date) - or standard request discussed during CoVDP Funding Alignment call]],"-")</f>
        <v>-</v>
      </c>
      <c r="AE41" s="12" t="str">
        <f>IF(V41="","-",_xlfn.DAYS(V41,N41))</f>
        <v>-</v>
      </c>
      <c r="AF41" s="65" t="str">
        <f>IF(V41="","",NETWORKDAYS(N41,V41)-1)</f>
        <v/>
      </c>
      <c r="AG41" s="65" t="str">
        <f>IF(OR(V41="",Table2[[#This Row],[Source of funding identified (Details)]]&lt;&gt;Utilities!$B$6),"",NETWORKDAYS(Q41,V41)-1)</f>
        <v/>
      </c>
      <c r="AI41" t="str">
        <f>IF(Table2[[#This Row],[Column1]]=1,"NO","YES")</f>
        <v>NO</v>
      </c>
      <c r="AJ41" s="31">
        <f>COUNTIF(Table2[Request ID],Table2[[#This Row],[Request ID]])</f>
        <v>1</v>
      </c>
      <c r="AK41" s="62">
        <f ca="1">IF(Table2[[#This Row],[Status]]&lt;&gt;Overview!$C$13,Table2[[#This Row],[Lead time from informal request received to today (days)2]],"Disbursed")</f>
        <v>246</v>
      </c>
    </row>
    <row r="42" spans="1:37" x14ac:dyDescent="0.45">
      <c r="A42" s="62" t="str">
        <f>CONCATENATE(C42,F42,L42)</f>
        <v>LaoTBD44613</v>
      </c>
      <c r="B42" s="62" t="s">
        <v>228</v>
      </c>
      <c r="C42" s="62" t="s">
        <v>96</v>
      </c>
      <c r="D42" s="62" t="str">
        <f>INDEX(Table1[#All],MATCH('Funding tracker'!$C13,Table1[[#All],[Recipient country Name]],0),MATCH('Funding tracker'!D$1,Table1[#Headers],0))</f>
        <v>Tito Rwamushaija</v>
      </c>
      <c r="E42" s="62" t="str">
        <f>INDEX(Table1[#All],MATCH('Funding tracker'!$C13,Table1[[#All],[Recipient country Name]],0),MATCH('Funding tracker'!E$1,Table1[#Headers],0))</f>
        <v>William</v>
      </c>
      <c r="F42" s="204" t="s">
        <v>180</v>
      </c>
      <c r="G42" s="180" t="s">
        <v>135</v>
      </c>
      <c r="H42" s="174" t="s">
        <v>180</v>
      </c>
      <c r="I42" s="62" t="s">
        <v>229</v>
      </c>
      <c r="J42" s="62"/>
      <c r="K42" s="62" t="s">
        <v>230</v>
      </c>
      <c r="L42" s="63">
        <v>44613</v>
      </c>
      <c r="M42" s="62" t="s">
        <v>72</v>
      </c>
      <c r="N42" s="62"/>
      <c r="O42" s="62" t="s">
        <v>24</v>
      </c>
      <c r="P42" s="62"/>
      <c r="Q42" s="62"/>
      <c r="R42" s="64" t="str">
        <f>Table2[[#This Row],[Amount tracked through this row]]</f>
        <v>TBD</v>
      </c>
      <c r="S42" s="62"/>
      <c r="T42" s="63"/>
      <c r="U42" s="62"/>
      <c r="V42" s="62"/>
      <c r="W42" s="64">
        <f>MONTH(Table2[[#This Row],[Funds disbursed (Date)]])</f>
        <v>1</v>
      </c>
      <c r="X42" s="194"/>
      <c r="Y42" s="62" t="s">
        <v>231</v>
      </c>
      <c r="Z42" s="62" t="str" cm="1">
        <f t="array" aca="1" ref="Z42" ca="1">_xlfn.IFS(Table2[[#This Row],[Sources of funding identified (yes / no / Identified as not urgent)]]=Utilities!$B$14,"Out of CoVDP scope",U42="yes",Overview!$C$13,AND(Table2[[#This Row],[Lead time from sources identified to today (if not disbursed yet)]]&lt;=15,S42="yes"),Overview!$C$11,AND(Table2[[#This Row],[Lead time from sources identified to today (if not disbursed yet)]]&gt;15,S42="yes"),Overview!$C$12,O42="yes",Overview!$C$10,M42="yes",Overview!$C$9,M42="no",Overview!$C$8)</f>
        <v>Out of CoVDP scope</v>
      </c>
      <c r="AA42" s="65">
        <f ca="1">_xlfn.DAYS(TODAY(),$N42)</f>
        <v>44883</v>
      </c>
      <c r="AB42" s="65">
        <f ca="1">_xlfn.DAYS(TODAY(),$L42)</f>
        <v>270</v>
      </c>
      <c r="AC42" s="65" t="str">
        <f ca="1">IF(Table2[[#This Row],[Lead time from formal request received to today (days)]]&lt;400,Table2[[#This Row],[Lead time from formal request received to today (days)]],"-")</f>
        <v>-</v>
      </c>
      <c r="AD42" s="65" t="str">
        <f ca="1">IF(AND(Table2[[#This Row],[Funds disbursed (Date)]]="",Table2[[#This Row],[Source of funding identified (Details)]]&lt;&gt;""),TODAY()-Table2[[#This Row],[Sources of funding identified (Date) - or standard request discussed during CoVDP Funding Alignment call]],"-")</f>
        <v>-</v>
      </c>
      <c r="AE42" s="12" t="str">
        <f>IF(V42="","-",_xlfn.DAYS(V42,N42))</f>
        <v>-</v>
      </c>
      <c r="AF42" s="65" t="str">
        <f>IF(V42="","",NETWORKDAYS(N42,V42)-1)</f>
        <v/>
      </c>
      <c r="AG42" s="65" t="str">
        <f>IF(OR(V42="",Table2[[#This Row],[Source of funding identified (Details)]]&lt;&gt;Utilities!$B$6),"",NETWORKDAYS(Q42,V42)-1)</f>
        <v/>
      </c>
      <c r="AH42" s="62"/>
      <c r="AI42" s="62" t="str">
        <f>IF(Table2[[#This Row],[Column1]]=1,"NO","YES")</f>
        <v>NO</v>
      </c>
      <c r="AJ42" s="62">
        <f>COUNTIF(Table2[Request ID],Table2[[#This Row],[Request ID]])</f>
        <v>1</v>
      </c>
      <c r="AK42" s="62">
        <f ca="1">IF(Table2[[#This Row],[Status]]&lt;&gt;Overview!$C$13,Table2[[#This Row],[Lead time from informal request received to today (days)2]],"Disbursed")</f>
        <v>270</v>
      </c>
    </row>
  </sheetData>
  <dataConsolidate/>
  <phoneticPr fontId="22" type="noConversion"/>
  <conditionalFormatting sqref="AK1:AK1048576">
    <cfRule type="colorScale" priority="1">
      <colorScale>
        <cfvo type="min"/>
        <cfvo type="percentile" val="20"/>
        <cfvo type="max"/>
        <color theme="9"/>
        <color rgb="FFFFEB84"/>
        <color rgb="FFFF0000"/>
      </colorScale>
    </cfRule>
  </conditionalFormatting>
  <hyperlinks>
    <hyperlink ref="J30" r:id="rId1" display="https://worldhealthorg.sharepoint.com/:x:/r/sites/COVID19VaccineDeliveryFacility/_layouts/15/Doc.aspx?sourcedoc=%7B44CAD809-70ED-4962-B421-B2768550C8A4%7D&amp;file=New%20South%20Sudan%20CDS%20Budget%20(Only%20Gavi%27s%20share).xlsm&amp;action=default&amp;mobileredirect=true" xr:uid="{BCE40436-4A1A-4D02-8C09-FC63849A733A}"/>
    <hyperlink ref="J31" r:id="rId2" display="https://worldhealthorg.sharepoint.com/:x:/r/sites/COVID19VaccineDeliveryFacility/Shared%20Documents/General/02%20Workstreams/02%20Delivery%20Funding/4.%20Funding%20requests/02.%20South%20Sudan/01.%20CDS%20application/Initial%20South%20Sudan%20Budget%20.xlsm?d=w6ddf0b8ae2c14b1785b7e36d8ca4bfd0&amp;csf=1&amp;web=1&amp;e=h028k9" xr:uid="{756204CF-9D5D-4BE8-BFA9-75E81FA68A56}"/>
    <hyperlink ref="J18" r:id="rId3" display="../../../../../../../../:p:/r/sites/COVID19VaccineDeliveryFacility/_layouts/15/Doc.aspx?action=view&amp;sourcedoc=%7B8132e0b7-007b-4aee-98dd-777e720d60a7%7D&amp;wdOrigin=TEAMS-WEB.teamsSdk.openFilePreview&amp;wdExp=TEAMS-CONTROL&amp;wdhostclicktime=1652272756901" xr:uid="{DDEF7DD0-ED02-477B-BD06-FD9E4B841694}"/>
    <hyperlink ref="J17" r:id="rId4" display="../../../../../../../../:x:/r/sites/COVID19VaccineDeliveryFacility/Shared Documents/General/02 Workstreams/02 Delivery Funding/4. Funding requests/05. Chad/Copy of Copy of Synthese macroplan bloc 2_dose 1_v06.01.xlsx?d=wb61e72123933434cb32228b4e117e370&amp;csf=1&amp;web=1&amp;e=2rgzxx" xr:uid="{1B54392E-9BD6-41B2-8136-B3F57F066F03}"/>
    <hyperlink ref="J9" r:id="rId5" display="../../../../../../../../:w:/r/sites/COVID19VaccineDeliveryFacility/Shared Documents/General/02 Workstreams/02 Delivery Funding/4. Funding requests/03. DRC/PHASE II Strengthening Covid vaccination 06062022 (003).docx?d=w0d8060c7a778489695fa83e578dfa62c&amp;csf=1&amp;web=1&amp;e=5ij8tx" xr:uid="{EA5C0C6E-A988-4999-B837-A344DF3616CA}"/>
    <hyperlink ref="J7" r:id="rId6" display="../../../../../../../../:x:/r/sites/COVID19VaccineDeliveryFacility/Shared Documents/General/02 Workstreams/02 Delivery Funding/4. Funding requests/14. Malawi/Copy of Malawi _CoVDP One Budget_Urgent Funding Request_Campaign July 2022.xlsx?d=we5ea515103b84f0a99f2e09fd4e22116&amp;csf=1&amp;web=1&amp;e=aQqIyl" xr:uid="{522381E9-5867-42CE-A5B2-AA3685FC43D1}"/>
    <hyperlink ref="J6" r:id="rId7" display="../../../../../../../../:x:/r/sites/COVID19VaccineDeliveryFacility/Shared Documents/General/02 Workstreams/02 Delivery Funding/4. Funding requests/14. Malawi/Copy of Malawi _CoVDP One Budget_Urgent Funding Request_Campaign July 2022.xlsx?d=we5ea515103b84f0a99f2e09fd4e22116&amp;csf=1&amp;web=1&amp;e=aQqIyl" xr:uid="{F4984510-0062-4953-98A8-DB76D0801566}"/>
  </hyperlinks>
  <pageMargins left="0.7" right="0.7" top="0.75" bottom="0.75" header="0.3" footer="0.3"/>
  <pageSetup paperSize="9" orientation="portrait" horizontalDpi="1200" verticalDpi="1200" r:id="rId8"/>
  <tableParts count="1">
    <tablePart r:id="rId9"/>
  </tableParts>
  <extLst>
    <ext xmlns:x14="http://schemas.microsoft.com/office/spreadsheetml/2009/9/main" uri="{CCE6A557-97BC-4b89-ADB6-D9C93CAAB3DF}">
      <x14:dataValidations xmlns:xm="http://schemas.microsoft.com/office/excel/2006/main" count="2">
        <x14:dataValidation type="list" allowBlank="1" showInputMessage="1" showErrorMessage="1" xr:uid="{09819F5B-145F-4C30-BD3B-87A726F42880}">
          <x14:formula1>
            <xm:f>Utilities!$B$4:$B$9</xm:f>
          </x14:formula1>
          <xm:sqref>P1:P22 P24:P1048576</xm:sqref>
        </x14:dataValidation>
        <x14:dataValidation type="list" allowBlank="1" showInputMessage="1" showErrorMessage="1" xr:uid="{5B480CD8-C08C-4CEA-BD37-EAB3196FECA3}">
          <x14:formula1>
            <xm:f>Utilities!$B$12:$B$14</xm:f>
          </x14:formula1>
          <xm:sqref>P23 U2:U1048576 S1:S1048576 M1:M1048576 O1:O1048576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9C906-EC78-4462-8F8D-453C1C404C3C}">
  <dimension ref="A1:F3"/>
  <sheetViews>
    <sheetView zoomScale="70" zoomScaleNormal="70" workbookViewId="0"/>
  </sheetViews>
  <sheetFormatPr defaultColWidth="8.86328125" defaultRowHeight="14.25" x14ac:dyDescent="0.45"/>
  <cols>
    <col min="1" max="2" width="13.86328125" customWidth="1"/>
    <col min="3" max="3" width="19.3984375" customWidth="1"/>
    <col min="4" max="4" width="69.86328125" customWidth="1"/>
    <col min="5" max="5" width="14.3984375" customWidth="1"/>
    <col min="6" max="6" width="160" customWidth="1"/>
  </cols>
  <sheetData>
    <row r="1" spans="1:6" x14ac:dyDescent="0.45">
      <c r="A1" s="57" t="s">
        <v>304</v>
      </c>
      <c r="B1" s="57" t="s">
        <v>149</v>
      </c>
      <c r="C1" s="57" t="s">
        <v>150</v>
      </c>
      <c r="D1" s="58" t="s">
        <v>305</v>
      </c>
      <c r="E1" s="58" t="s">
        <v>306</v>
      </c>
      <c r="F1" s="58" t="s">
        <v>307</v>
      </c>
    </row>
    <row r="2" spans="1:6" ht="48.75" customHeight="1" x14ac:dyDescent="0.45">
      <c r="A2" t="s">
        <v>102</v>
      </c>
      <c r="B2" t="str">
        <f>INDEX(Table1[#All],MATCH(Table3[[#This Row],[Country]],Table1[[#All],[Recipient country Name]],0),MATCH(Table3[[#Headers],[GAVI SCM]],Table1[#Headers],0))</f>
        <v>Veronique Maeva Fages</v>
      </c>
      <c r="C2" t="str">
        <f>INDEX(Table1[#All],MATCH(Table3[[#This Row],[Country]],Table1[[#All],[Recipient country Name]],0),MATCH(Table3[[#Headers],[CoVDP Desk Officer]],Table1[#Headers],0))</f>
        <v>Imran</v>
      </c>
      <c r="D2" t="s">
        <v>308</v>
      </c>
      <c r="E2" s="2">
        <v>44638</v>
      </c>
      <c r="F2" s="15" t="s">
        <v>309</v>
      </c>
    </row>
    <row r="3" spans="1:6" x14ac:dyDescent="0.45">
      <c r="A3" t="s">
        <v>93</v>
      </c>
      <c r="B3" t="str">
        <f>INDEX(Table1[#All],MATCH(Table3[[#This Row],[Country]],Table1[[#All],[Recipient country Name]],0),MATCH(Table3[[#Headers],[GAVI SCM]],Table1[#Headers],0))</f>
        <v>Thierry Vincent</v>
      </c>
      <c r="C3" t="str">
        <f>INDEX(Table1[#All],MATCH(Table3[[#This Row],[Country]],Table1[[#All],[Recipient country Name]],0),MATCH(Table3[[#Headers],[CoVDP Desk Officer]],Table1[#Headers],0))</f>
        <v>Simon</v>
      </c>
      <c r="D3" t="str">
        <f>'Funding tracker'!I10</f>
        <v>Nigerian Red Cross phase 2 plan for Covid vaccination scale up</v>
      </c>
      <c r="E3" s="2">
        <v>44628</v>
      </c>
      <c r="F3" t="s">
        <v>310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67E80-ED36-4BBE-9F38-E7138C0677AF}">
  <sheetPr>
    <tabColor theme="9" tint="0.59999389629810485"/>
  </sheetPr>
  <dimension ref="A1"/>
  <sheetViews>
    <sheetView workbookViewId="0">
      <selection activeCell="I18" sqref="I18"/>
    </sheetView>
  </sheetViews>
  <sheetFormatPr defaultColWidth="8.86328125" defaultRowHeight="14.25" x14ac:dyDescent="0.4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02155-8048-4A00-9CD5-21A8FAD2BC40}">
  <dimension ref="A1:K27"/>
  <sheetViews>
    <sheetView zoomScale="70" zoomScaleNormal="70" workbookViewId="0">
      <selection activeCell="D7" sqref="D7:K12"/>
    </sheetView>
  </sheetViews>
  <sheetFormatPr defaultColWidth="8.86328125" defaultRowHeight="14.25" x14ac:dyDescent="0.45"/>
  <cols>
    <col min="6" max="6" width="30.1328125" customWidth="1"/>
    <col min="7" max="7" width="40.3984375" bestFit="1" customWidth="1"/>
    <col min="8" max="8" width="16.1328125" customWidth="1"/>
    <col min="9" max="9" width="14.86328125" customWidth="1"/>
    <col min="11" max="11" width="15.1328125" customWidth="1"/>
  </cols>
  <sheetData>
    <row r="1" spans="1:11" s="21" customFormat="1" ht="18" x14ac:dyDescent="0.55000000000000004">
      <c r="A1" s="19">
        <v>1</v>
      </c>
      <c r="B1" s="20"/>
      <c r="C1" s="21" t="s">
        <v>311</v>
      </c>
    </row>
    <row r="2" spans="1:11" x14ac:dyDescent="0.45">
      <c r="C2" s="114" t="s">
        <v>312</v>
      </c>
    </row>
    <row r="3" spans="1:11" x14ac:dyDescent="0.45">
      <c r="C3" s="113" t="s">
        <v>313</v>
      </c>
    </row>
    <row r="5" spans="1:11" x14ac:dyDescent="0.45">
      <c r="C5" s="124"/>
      <c r="D5" s="126" t="s">
        <v>314</v>
      </c>
      <c r="E5" s="126" t="s">
        <v>315</v>
      </c>
      <c r="F5" s="126" t="s">
        <v>316</v>
      </c>
      <c r="G5" s="126" t="s">
        <v>16</v>
      </c>
      <c r="H5" s="126" t="s">
        <v>317</v>
      </c>
      <c r="I5" s="126" t="s">
        <v>318</v>
      </c>
      <c r="J5" s="126" t="s">
        <v>319</v>
      </c>
      <c r="K5" s="126" t="s">
        <v>320</v>
      </c>
    </row>
    <row r="6" spans="1:11" x14ac:dyDescent="0.45">
      <c r="C6" s="125"/>
      <c r="D6" s="125"/>
      <c r="E6" s="125"/>
      <c r="F6" s="125"/>
      <c r="G6" s="125"/>
      <c r="H6" s="125"/>
      <c r="I6" s="125"/>
      <c r="J6" s="125"/>
      <c r="K6" s="125"/>
    </row>
    <row r="7" spans="1:11" x14ac:dyDescent="0.45">
      <c r="C7" s="124" t="s">
        <v>82</v>
      </c>
      <c r="D7" s="111" t="s">
        <v>321</v>
      </c>
      <c r="E7" s="111">
        <f ca="1">Overview!D14</f>
        <v>225000</v>
      </c>
      <c r="F7" s="112">
        <f ca="1">Overview!D8</f>
        <v>20629690.973559324</v>
      </c>
      <c r="G7" s="111">
        <f ca="1">Overview!D9</f>
        <v>0</v>
      </c>
      <c r="H7" s="111"/>
      <c r="I7" s="111"/>
      <c r="J7" s="111"/>
      <c r="K7" s="111"/>
    </row>
    <row r="8" spans="1:11" x14ac:dyDescent="0.45">
      <c r="C8" s="124" t="s">
        <v>65</v>
      </c>
      <c r="D8" s="111"/>
      <c r="E8" s="111"/>
      <c r="F8" s="111"/>
      <c r="G8" s="111"/>
      <c r="H8" s="111">
        <f ca="1">Overview!G10</f>
        <v>198000</v>
      </c>
      <c r="I8" s="112">
        <f ca="1">Overview!G11</f>
        <v>0</v>
      </c>
      <c r="J8" s="111">
        <f ca="1">Overview!G12</f>
        <v>8261556</v>
      </c>
      <c r="K8" s="111">
        <f ca="1">Overview!G13</f>
        <v>9157000</v>
      </c>
    </row>
    <row r="9" spans="1:11" x14ac:dyDescent="0.45">
      <c r="C9" s="124" t="s">
        <v>66</v>
      </c>
      <c r="D9" s="111"/>
      <c r="E9" s="111"/>
      <c r="F9" s="111"/>
      <c r="G9" s="111"/>
      <c r="H9" s="111">
        <f ca="1">Overview!E10</f>
        <v>0</v>
      </c>
      <c r="I9" s="112">
        <f ca="1">Overview!E11</f>
        <v>0</v>
      </c>
      <c r="J9" s="111">
        <f ca="1">Overview!E12</f>
        <v>11752930</v>
      </c>
      <c r="K9" s="111">
        <f ca="1">Overview!E13</f>
        <v>16561000</v>
      </c>
    </row>
    <row r="10" spans="1:11" x14ac:dyDescent="0.45">
      <c r="C10" s="124" t="s">
        <v>64</v>
      </c>
      <c r="D10" s="111"/>
      <c r="E10" s="111"/>
      <c r="F10" s="111"/>
      <c r="G10" s="111"/>
      <c r="H10" s="112">
        <f ca="1">Overview!F10</f>
        <v>1956578.606060606</v>
      </c>
      <c r="I10" s="112">
        <f ca="1">Overview!F11</f>
        <v>0</v>
      </c>
      <c r="J10" s="111">
        <f ca="1">Overview!F12</f>
        <v>3600000</v>
      </c>
      <c r="K10" s="112">
        <f ca="1">Overview!F13</f>
        <v>26485288.759999998</v>
      </c>
    </row>
    <row r="11" spans="1:11" x14ac:dyDescent="0.45">
      <c r="C11" s="124" t="s">
        <v>69</v>
      </c>
      <c r="D11" s="111"/>
      <c r="E11" s="111"/>
      <c r="F11" s="111"/>
      <c r="G11" s="111"/>
      <c r="H11" s="112">
        <f ca="1">Overview!H10</f>
        <v>0</v>
      </c>
      <c r="I11" s="112">
        <f ca="1">Overview!H11</f>
        <v>0</v>
      </c>
      <c r="J11" s="111">
        <f ca="1">Overview!H12</f>
        <v>0</v>
      </c>
      <c r="K11" s="112">
        <f ca="1">Overview!H13</f>
        <v>0</v>
      </c>
    </row>
    <row r="12" spans="1:11" x14ac:dyDescent="0.45">
      <c r="C12" s="124" t="s">
        <v>322</v>
      </c>
      <c r="D12" s="111"/>
      <c r="E12" s="111"/>
      <c r="F12" s="111"/>
      <c r="G12" s="111"/>
      <c r="H12" s="111">
        <f ca="1">Overview!I10</f>
        <v>0</v>
      </c>
      <c r="I12" s="111"/>
      <c r="J12" s="111">
        <f ca="1">Overview!I12</f>
        <v>0</v>
      </c>
      <c r="K12" s="111">
        <f ca="1">Overview!I13</f>
        <v>0</v>
      </c>
    </row>
    <row r="17" spans="1:11" s="21" customFormat="1" ht="18" x14ac:dyDescent="0.55000000000000004">
      <c r="A17" s="19">
        <v>2</v>
      </c>
      <c r="B17" s="20"/>
      <c r="C17" s="21" t="s">
        <v>323</v>
      </c>
    </row>
    <row r="20" spans="1:11" x14ac:dyDescent="0.45">
      <c r="C20" s="124"/>
      <c r="D20" s="126" t="s">
        <v>314</v>
      </c>
      <c r="E20" s="126" t="s">
        <v>315</v>
      </c>
      <c r="F20" s="126" t="s">
        <v>316</v>
      </c>
      <c r="G20" s="126" t="s">
        <v>16</v>
      </c>
      <c r="H20" s="126" t="s">
        <v>317</v>
      </c>
      <c r="I20" s="126" t="s">
        <v>318</v>
      </c>
      <c r="J20" s="126" t="s">
        <v>319</v>
      </c>
      <c r="K20" s="126" t="s">
        <v>320</v>
      </c>
    </row>
    <row r="21" spans="1:11" x14ac:dyDescent="0.45">
      <c r="C21" s="125"/>
      <c r="D21" s="125"/>
      <c r="E21" s="125"/>
      <c r="F21" s="125"/>
      <c r="G21" s="125"/>
      <c r="H21" s="125"/>
      <c r="I21" s="125"/>
      <c r="J21" s="125"/>
      <c r="K21" s="125"/>
    </row>
    <row r="22" spans="1:11" x14ac:dyDescent="0.45">
      <c r="C22" s="124" t="s">
        <v>82</v>
      </c>
      <c r="D22" s="111" t="s">
        <v>321</v>
      </c>
      <c r="E22" s="111">
        <f ca="1">Overview!D80</f>
        <v>0</v>
      </c>
      <c r="F22" s="112">
        <f ca="1">Overview!D74</f>
        <v>14629690.973559324</v>
      </c>
      <c r="G22" s="111">
        <f ca="1">Overview!D75</f>
        <v>0</v>
      </c>
      <c r="H22" s="111"/>
      <c r="I22" s="111"/>
      <c r="J22" s="111"/>
      <c r="K22" s="111"/>
    </row>
    <row r="23" spans="1:11" x14ac:dyDescent="0.45">
      <c r="C23" s="124" t="s">
        <v>65</v>
      </c>
      <c r="D23" s="111"/>
      <c r="E23" s="111"/>
      <c r="F23" s="111"/>
      <c r="G23" s="111"/>
      <c r="H23" s="111">
        <f ca="1">Overview!G76</f>
        <v>0</v>
      </c>
      <c r="I23" s="112">
        <f ca="1">Overview!G77</f>
        <v>0</v>
      </c>
      <c r="J23" s="111">
        <f ca="1">Overview!G78</f>
        <v>3600000</v>
      </c>
      <c r="K23" s="111">
        <f ca="1">Overview!G79</f>
        <v>0</v>
      </c>
    </row>
    <row r="24" spans="1:11" x14ac:dyDescent="0.45">
      <c r="C24" s="124" t="s">
        <v>66</v>
      </c>
      <c r="D24" s="111"/>
      <c r="E24" s="111"/>
      <c r="F24" s="111"/>
      <c r="G24" s="111"/>
      <c r="H24" s="111">
        <f ca="1">Overview!E76</f>
        <v>0</v>
      </c>
      <c r="I24" s="112">
        <f ca="1">Overview!E77</f>
        <v>0</v>
      </c>
      <c r="J24" s="111">
        <f ca="1">Overview!E78</f>
        <v>0</v>
      </c>
      <c r="K24" s="111">
        <f ca="1">Overview!E79</f>
        <v>5763000</v>
      </c>
    </row>
    <row r="25" spans="1:11" x14ac:dyDescent="0.45">
      <c r="C25" s="124" t="s">
        <v>64</v>
      </c>
      <c r="D25" s="111"/>
      <c r="E25" s="111"/>
      <c r="F25" s="111"/>
      <c r="G25" s="111"/>
      <c r="H25" s="112">
        <f ca="1">Overview!F76</f>
        <v>0</v>
      </c>
      <c r="I25" s="112">
        <f ca="1">Overview!F77</f>
        <v>0</v>
      </c>
      <c r="J25" s="111">
        <f ca="1">Overview!F78</f>
        <v>3600000</v>
      </c>
      <c r="K25" s="112">
        <f ca="1">Overview!F79</f>
        <v>0</v>
      </c>
    </row>
    <row r="26" spans="1:11" x14ac:dyDescent="0.45">
      <c r="C26" s="124" t="s">
        <v>69</v>
      </c>
      <c r="D26" s="111"/>
      <c r="E26" s="111"/>
      <c r="F26" s="111"/>
      <c r="G26" s="111"/>
      <c r="H26" s="112">
        <f ca="1">Overview!H76</f>
        <v>0</v>
      </c>
      <c r="I26" s="112">
        <f ca="1">Overview!H77</f>
        <v>0</v>
      </c>
      <c r="J26" s="111">
        <f ca="1">Overview!H78</f>
        <v>0</v>
      </c>
      <c r="K26" s="112">
        <f ca="1">Overview!H79</f>
        <v>0</v>
      </c>
    </row>
    <row r="27" spans="1:11" x14ac:dyDescent="0.45">
      <c r="C27" s="124" t="s">
        <v>322</v>
      </c>
      <c r="D27" s="111"/>
      <c r="E27" s="111"/>
      <c r="F27" s="111"/>
      <c r="G27" s="111"/>
      <c r="H27" s="111">
        <f ca="1">Overview!I76</f>
        <v>0</v>
      </c>
      <c r="I27" s="111">
        <f ca="1">Overview!I77</f>
        <v>0</v>
      </c>
      <c r="J27" s="111">
        <f ca="1">Overview!I78</f>
        <v>0</v>
      </c>
      <c r="K27" s="111">
        <f ca="1">Overview!I79</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2BF88-1BC1-433F-A2BA-A0861488F95D}">
  <sheetPr>
    <tabColor theme="9" tint="0.59999389629810485"/>
  </sheetPr>
  <dimension ref="A1"/>
  <sheetViews>
    <sheetView workbookViewId="0"/>
  </sheetViews>
  <sheetFormatPr defaultColWidth="8.86328125" defaultRowHeight="14.25" x14ac:dyDescent="0.4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4750B-4818-4314-9ECD-0D1CF8E87D7B}">
  <dimension ref="A1:H161"/>
  <sheetViews>
    <sheetView topLeftCell="A129" zoomScale="70" zoomScaleNormal="70" workbookViewId="0">
      <selection activeCell="E135" sqref="E135"/>
    </sheetView>
  </sheetViews>
  <sheetFormatPr defaultColWidth="8.86328125" defaultRowHeight="14.25" x14ac:dyDescent="0.45"/>
  <cols>
    <col min="1" max="1" width="23.1328125" customWidth="1"/>
    <col min="2" max="2" width="13.3984375" customWidth="1"/>
    <col min="3" max="3" width="15.1328125" customWidth="1"/>
    <col min="4" max="4" width="33.3984375" customWidth="1"/>
    <col min="5" max="5" width="23.86328125" customWidth="1"/>
    <col min="6" max="6" width="40.1328125" bestFit="1" customWidth="1"/>
    <col min="7" max="7" width="28.86328125" customWidth="1"/>
    <col min="8" max="8" width="37.1328125" bestFit="1" customWidth="1"/>
  </cols>
  <sheetData>
    <row r="1" spans="1:8" x14ac:dyDescent="0.45">
      <c r="A1" s="4" t="s">
        <v>324</v>
      </c>
      <c r="B1" s="4" t="s">
        <v>325</v>
      </c>
      <c r="C1" s="4" t="s">
        <v>326</v>
      </c>
      <c r="D1" s="4" t="s">
        <v>327</v>
      </c>
      <c r="E1" s="4" t="s">
        <v>149</v>
      </c>
      <c r="F1" s="4" t="s">
        <v>328</v>
      </c>
      <c r="G1" s="4" t="s">
        <v>150</v>
      </c>
      <c r="H1" s="4" t="s">
        <v>329</v>
      </c>
    </row>
    <row r="2" spans="1:8" x14ac:dyDescent="0.45">
      <c r="A2" s="5" t="s">
        <v>102</v>
      </c>
      <c r="B2" s="5" t="s">
        <v>330</v>
      </c>
      <c r="C2" s="5" t="s">
        <v>331</v>
      </c>
      <c r="D2" s="6" t="s">
        <v>332</v>
      </c>
      <c r="E2" s="5" t="s">
        <v>333</v>
      </c>
      <c r="F2" s="5" t="s">
        <v>334</v>
      </c>
      <c r="G2" s="5" t="s">
        <v>335</v>
      </c>
      <c r="H2" t="s">
        <v>336</v>
      </c>
    </row>
    <row r="3" spans="1:8" x14ac:dyDescent="0.45">
      <c r="A3" s="7" t="s">
        <v>337</v>
      </c>
      <c r="B3" s="7" t="s">
        <v>338</v>
      </c>
      <c r="C3" s="7"/>
      <c r="D3" s="7"/>
      <c r="E3" s="7" t="s">
        <v>339</v>
      </c>
      <c r="F3" s="7" t="s">
        <v>340</v>
      </c>
    </row>
    <row r="4" spans="1:8" x14ac:dyDescent="0.45">
      <c r="A4" s="5" t="s">
        <v>341</v>
      </c>
      <c r="B4" s="5" t="s">
        <v>342</v>
      </c>
      <c r="C4" s="5" t="s">
        <v>343</v>
      </c>
      <c r="D4" s="6" t="s">
        <v>344</v>
      </c>
      <c r="E4" s="5" t="s">
        <v>345</v>
      </c>
      <c r="F4" s="5"/>
    </row>
    <row r="5" spans="1:8" x14ac:dyDescent="0.45">
      <c r="A5" s="7" t="s">
        <v>346</v>
      </c>
      <c r="B5" s="7" t="s">
        <v>338</v>
      </c>
      <c r="C5" s="7"/>
      <c r="D5" s="7"/>
      <c r="E5" s="7" t="s">
        <v>339</v>
      </c>
      <c r="F5" s="7" t="s">
        <v>340</v>
      </c>
    </row>
    <row r="6" spans="1:8" x14ac:dyDescent="0.45">
      <c r="A6" s="5" t="s">
        <v>347</v>
      </c>
      <c r="B6" s="5" t="s">
        <v>342</v>
      </c>
      <c r="C6" s="5" t="s">
        <v>331</v>
      </c>
      <c r="D6" s="6" t="s">
        <v>332</v>
      </c>
      <c r="E6" s="5" t="s">
        <v>348</v>
      </c>
      <c r="F6" s="6" t="s">
        <v>349</v>
      </c>
    </row>
    <row r="7" spans="1:8" x14ac:dyDescent="0.45">
      <c r="A7" s="7" t="s">
        <v>350</v>
      </c>
      <c r="B7" s="7" t="s">
        <v>338</v>
      </c>
      <c r="C7" s="7"/>
      <c r="D7" s="7"/>
      <c r="E7" s="7" t="s">
        <v>351</v>
      </c>
      <c r="F7" s="7" t="s">
        <v>352</v>
      </c>
    </row>
    <row r="8" spans="1:8" x14ac:dyDescent="0.45">
      <c r="A8" s="5" t="s">
        <v>353</v>
      </c>
      <c r="B8" s="5" t="s">
        <v>338</v>
      </c>
      <c r="C8" s="5"/>
      <c r="D8" s="5"/>
      <c r="E8" s="5" t="s">
        <v>354</v>
      </c>
      <c r="F8" s="5" t="s">
        <v>355</v>
      </c>
    </row>
    <row r="9" spans="1:8" x14ac:dyDescent="0.45">
      <c r="A9" s="7" t="s">
        <v>356</v>
      </c>
      <c r="B9" s="7" t="s">
        <v>338</v>
      </c>
      <c r="C9" s="7"/>
      <c r="D9" s="7"/>
      <c r="E9" s="7" t="s">
        <v>339</v>
      </c>
      <c r="F9" s="7" t="s">
        <v>340</v>
      </c>
    </row>
    <row r="10" spans="1:8" x14ac:dyDescent="0.45">
      <c r="A10" s="5" t="s">
        <v>357</v>
      </c>
      <c r="B10" s="5" t="s">
        <v>338</v>
      </c>
      <c r="C10" s="5"/>
      <c r="D10" s="5"/>
      <c r="E10" s="5" t="s">
        <v>358</v>
      </c>
      <c r="F10" s="5" t="s">
        <v>359</v>
      </c>
    </row>
    <row r="11" spans="1:8" x14ac:dyDescent="0.45">
      <c r="A11" s="7" t="s">
        <v>360</v>
      </c>
      <c r="B11" s="7" t="s">
        <v>338</v>
      </c>
      <c r="C11" s="7"/>
      <c r="D11" s="7"/>
      <c r="E11" s="7" t="s">
        <v>339</v>
      </c>
      <c r="F11" s="7" t="s">
        <v>340</v>
      </c>
    </row>
    <row r="12" spans="1:8" x14ac:dyDescent="0.45">
      <c r="A12" s="5" t="s">
        <v>361</v>
      </c>
      <c r="B12" s="5" t="s">
        <v>338</v>
      </c>
      <c r="C12" s="5"/>
      <c r="D12" s="5"/>
      <c r="E12" s="5" t="s">
        <v>351</v>
      </c>
      <c r="F12" s="5" t="s">
        <v>352</v>
      </c>
    </row>
    <row r="13" spans="1:8" x14ac:dyDescent="0.45">
      <c r="A13" s="7" t="s">
        <v>362</v>
      </c>
      <c r="B13" s="7" t="s">
        <v>338</v>
      </c>
      <c r="C13" s="7"/>
      <c r="D13" s="7"/>
      <c r="E13" s="7" t="s">
        <v>363</v>
      </c>
      <c r="F13" s="7" t="s">
        <v>364</v>
      </c>
    </row>
    <row r="14" spans="1:8" x14ac:dyDescent="0.45">
      <c r="A14" s="5" t="s">
        <v>365</v>
      </c>
      <c r="B14" s="5" t="s">
        <v>330</v>
      </c>
      <c r="C14" s="5" t="s">
        <v>366</v>
      </c>
      <c r="D14" s="6" t="s">
        <v>367</v>
      </c>
      <c r="E14" s="5" t="s">
        <v>368</v>
      </c>
      <c r="F14" s="5" t="s">
        <v>369</v>
      </c>
    </row>
    <row r="15" spans="1:8" x14ac:dyDescent="0.45">
      <c r="A15" s="7" t="s">
        <v>370</v>
      </c>
      <c r="B15" s="7" t="s">
        <v>338</v>
      </c>
      <c r="C15" s="7"/>
      <c r="D15" s="7"/>
      <c r="E15" s="7" t="s">
        <v>351</v>
      </c>
      <c r="F15" s="7" t="s">
        <v>352</v>
      </c>
    </row>
    <row r="16" spans="1:8" x14ac:dyDescent="0.45">
      <c r="A16" s="5" t="s">
        <v>371</v>
      </c>
      <c r="B16" s="5" t="s">
        <v>338</v>
      </c>
      <c r="C16" s="5"/>
      <c r="D16" s="5"/>
      <c r="E16" s="5" t="s">
        <v>351</v>
      </c>
      <c r="F16" s="5" t="s">
        <v>352</v>
      </c>
    </row>
    <row r="17" spans="1:8" x14ac:dyDescent="0.45">
      <c r="A17" s="7" t="s">
        <v>372</v>
      </c>
      <c r="B17" s="7" t="s">
        <v>330</v>
      </c>
      <c r="C17" s="7" t="s">
        <v>373</v>
      </c>
      <c r="D17" s="8" t="s">
        <v>374</v>
      </c>
      <c r="E17" s="7" t="s">
        <v>375</v>
      </c>
      <c r="F17" s="8" t="s">
        <v>376</v>
      </c>
    </row>
    <row r="18" spans="1:8" x14ac:dyDescent="0.45">
      <c r="A18" s="5" t="s">
        <v>377</v>
      </c>
      <c r="B18" s="5" t="s">
        <v>338</v>
      </c>
      <c r="C18" s="5"/>
      <c r="D18" s="5"/>
      <c r="E18" s="5" t="s">
        <v>378</v>
      </c>
      <c r="F18" s="5" t="s">
        <v>379</v>
      </c>
    </row>
    <row r="19" spans="1:8" x14ac:dyDescent="0.45">
      <c r="A19" s="7" t="s">
        <v>380</v>
      </c>
      <c r="B19" s="7" t="s">
        <v>342</v>
      </c>
      <c r="C19" s="7"/>
      <c r="D19" s="9"/>
      <c r="E19" s="7" t="s">
        <v>381</v>
      </c>
      <c r="F19" s="7" t="s">
        <v>382</v>
      </c>
    </row>
    <row r="20" spans="1:8" x14ac:dyDescent="0.45">
      <c r="A20" s="5" t="s">
        <v>383</v>
      </c>
      <c r="B20" s="5" t="s">
        <v>342</v>
      </c>
      <c r="C20" s="5" t="s">
        <v>343</v>
      </c>
      <c r="D20" s="10" t="s">
        <v>344</v>
      </c>
      <c r="E20" s="5" t="s">
        <v>384</v>
      </c>
      <c r="F20" s="5" t="s">
        <v>385</v>
      </c>
    </row>
    <row r="21" spans="1:8" x14ac:dyDescent="0.45">
      <c r="A21" s="7" t="s">
        <v>386</v>
      </c>
      <c r="B21" s="7" t="s">
        <v>338</v>
      </c>
      <c r="C21" s="7"/>
      <c r="D21" s="7"/>
      <c r="E21" s="7" t="s">
        <v>339</v>
      </c>
      <c r="F21" s="7" t="s">
        <v>340</v>
      </c>
    </row>
    <row r="22" spans="1:8" x14ac:dyDescent="0.45">
      <c r="A22" s="5" t="s">
        <v>387</v>
      </c>
      <c r="B22" s="5" t="s">
        <v>338</v>
      </c>
      <c r="C22" s="5"/>
      <c r="D22" s="5"/>
      <c r="E22" s="5" t="s">
        <v>388</v>
      </c>
      <c r="F22" s="5" t="s">
        <v>389</v>
      </c>
    </row>
    <row r="23" spans="1:8" x14ac:dyDescent="0.45">
      <c r="A23" s="7" t="s">
        <v>390</v>
      </c>
      <c r="B23" s="7" t="s">
        <v>338</v>
      </c>
      <c r="C23" s="7"/>
      <c r="D23" s="7"/>
      <c r="E23" s="7" t="s">
        <v>358</v>
      </c>
      <c r="F23" s="7" t="s">
        <v>359</v>
      </c>
    </row>
    <row r="24" spans="1:8" x14ac:dyDescent="0.45">
      <c r="A24" s="5" t="s">
        <v>391</v>
      </c>
      <c r="B24" s="5" t="s">
        <v>338</v>
      </c>
      <c r="C24" s="5"/>
      <c r="D24" s="5"/>
      <c r="E24" s="5" t="s">
        <v>339</v>
      </c>
      <c r="F24" s="5" t="s">
        <v>340</v>
      </c>
    </row>
    <row r="25" spans="1:8" x14ac:dyDescent="0.45">
      <c r="A25" s="7" t="s">
        <v>92</v>
      </c>
      <c r="B25" s="7" t="s">
        <v>330</v>
      </c>
      <c r="C25" s="7" t="s">
        <v>373</v>
      </c>
      <c r="D25" s="8" t="s">
        <v>374</v>
      </c>
      <c r="E25" s="7" t="s">
        <v>392</v>
      </c>
      <c r="F25" s="8" t="s">
        <v>393</v>
      </c>
      <c r="G25" s="7" t="s">
        <v>394</v>
      </c>
    </row>
    <row r="26" spans="1:8" x14ac:dyDescent="0.45">
      <c r="A26" s="5" t="s">
        <v>395</v>
      </c>
      <c r="B26" s="5" t="s">
        <v>330</v>
      </c>
      <c r="C26" s="5" t="s">
        <v>331</v>
      </c>
      <c r="D26" s="6" t="s">
        <v>332</v>
      </c>
      <c r="E26" s="5" t="s">
        <v>392</v>
      </c>
      <c r="F26" s="5" t="s">
        <v>393</v>
      </c>
      <c r="G26" s="5" t="s">
        <v>396</v>
      </c>
      <c r="H26" s="8" t="s">
        <v>397</v>
      </c>
    </row>
    <row r="27" spans="1:8" x14ac:dyDescent="0.45">
      <c r="A27" s="7" t="s">
        <v>398</v>
      </c>
      <c r="B27" s="7" t="s">
        <v>342</v>
      </c>
      <c r="C27" s="7" t="s">
        <v>399</v>
      </c>
      <c r="D27" s="8" t="s">
        <v>400</v>
      </c>
      <c r="E27" s="7" t="s">
        <v>399</v>
      </c>
      <c r="F27" s="8" t="s">
        <v>400</v>
      </c>
    </row>
    <row r="28" spans="1:8" x14ac:dyDescent="0.45">
      <c r="A28" s="5" t="s">
        <v>401</v>
      </c>
      <c r="B28" s="5" t="s">
        <v>330</v>
      </c>
      <c r="C28" s="5" t="s">
        <v>366</v>
      </c>
      <c r="D28" s="6" t="s">
        <v>367</v>
      </c>
      <c r="E28" s="5"/>
      <c r="F28" s="5"/>
    </row>
    <row r="29" spans="1:8" x14ac:dyDescent="0.45">
      <c r="A29" s="7" t="s">
        <v>402</v>
      </c>
      <c r="B29" s="7" t="s">
        <v>330</v>
      </c>
      <c r="C29" s="7" t="s">
        <v>373</v>
      </c>
      <c r="D29" s="8" t="s">
        <v>374</v>
      </c>
      <c r="E29" s="7" t="s">
        <v>403</v>
      </c>
      <c r="F29" s="8" t="s">
        <v>404</v>
      </c>
    </row>
    <row r="30" spans="1:8" x14ac:dyDescent="0.45">
      <c r="A30" s="5" t="s">
        <v>405</v>
      </c>
      <c r="B30" s="5" t="s">
        <v>338</v>
      </c>
      <c r="C30" s="5"/>
      <c r="D30" s="5"/>
      <c r="E30" s="5" t="s">
        <v>406</v>
      </c>
      <c r="F30" s="5" t="s">
        <v>407</v>
      </c>
    </row>
    <row r="31" spans="1:8" x14ac:dyDescent="0.45">
      <c r="A31" s="7" t="s">
        <v>408</v>
      </c>
      <c r="B31" s="7" t="s">
        <v>338</v>
      </c>
      <c r="C31" s="7"/>
      <c r="D31" s="7"/>
      <c r="E31" s="7" t="s">
        <v>378</v>
      </c>
      <c r="F31" s="7" t="s">
        <v>379</v>
      </c>
    </row>
    <row r="32" spans="1:8" x14ac:dyDescent="0.45">
      <c r="A32" s="5" t="s">
        <v>409</v>
      </c>
      <c r="B32" s="5" t="s">
        <v>330</v>
      </c>
      <c r="C32" s="5" t="s">
        <v>373</v>
      </c>
      <c r="D32" s="6" t="s">
        <v>374</v>
      </c>
      <c r="E32" s="5" t="s">
        <v>410</v>
      </c>
      <c r="F32" s="5" t="s">
        <v>411</v>
      </c>
    </row>
    <row r="33" spans="1:8" x14ac:dyDescent="0.45">
      <c r="A33" s="7" t="s">
        <v>93</v>
      </c>
      <c r="B33" s="7" t="s">
        <v>330</v>
      </c>
      <c r="C33" s="7" t="s">
        <v>373</v>
      </c>
      <c r="D33" s="8" t="s">
        <v>374</v>
      </c>
      <c r="E33" s="7" t="s">
        <v>412</v>
      </c>
      <c r="F33" s="7" t="s">
        <v>413</v>
      </c>
      <c r="G33" s="5" t="s">
        <v>414</v>
      </c>
      <c r="H33" s="8" t="s">
        <v>415</v>
      </c>
    </row>
    <row r="34" spans="1:8" x14ac:dyDescent="0.45">
      <c r="A34" s="5" t="s">
        <v>416</v>
      </c>
      <c r="B34" s="5" t="s">
        <v>338</v>
      </c>
      <c r="C34" s="5"/>
      <c r="D34" s="5"/>
      <c r="E34" s="5" t="s">
        <v>354</v>
      </c>
      <c r="F34" s="5" t="s">
        <v>355</v>
      </c>
    </row>
    <row r="35" spans="1:8" x14ac:dyDescent="0.45">
      <c r="A35" s="7" t="s">
        <v>417</v>
      </c>
      <c r="B35" s="7" t="s">
        <v>338</v>
      </c>
      <c r="C35" s="7"/>
      <c r="D35" s="7"/>
      <c r="E35" s="7" t="s">
        <v>418</v>
      </c>
      <c r="F35" s="7" t="s">
        <v>419</v>
      </c>
    </row>
    <row r="36" spans="1:8" x14ac:dyDescent="0.45">
      <c r="A36" s="5" t="s">
        <v>420</v>
      </c>
      <c r="B36" s="5" t="s">
        <v>338</v>
      </c>
      <c r="C36" s="5"/>
      <c r="D36" s="5"/>
      <c r="E36" s="5" t="s">
        <v>354</v>
      </c>
      <c r="F36" s="5" t="s">
        <v>355</v>
      </c>
    </row>
    <row r="37" spans="1:8" x14ac:dyDescent="0.45">
      <c r="A37" s="7" t="s">
        <v>421</v>
      </c>
      <c r="B37" s="7" t="s">
        <v>330</v>
      </c>
      <c r="C37" s="7" t="s">
        <v>331</v>
      </c>
      <c r="D37" s="8" t="s">
        <v>332</v>
      </c>
      <c r="E37" s="7" t="s">
        <v>422</v>
      </c>
      <c r="F37" s="7" t="s">
        <v>423</v>
      </c>
    </row>
    <row r="38" spans="1:8" x14ac:dyDescent="0.45">
      <c r="A38" s="7" t="s">
        <v>424</v>
      </c>
      <c r="B38" s="7" t="s">
        <v>338</v>
      </c>
      <c r="C38" s="7"/>
      <c r="D38" s="7"/>
      <c r="E38" s="7" t="s">
        <v>351</v>
      </c>
      <c r="F38" s="7" t="s">
        <v>352</v>
      </c>
    </row>
    <row r="39" spans="1:8" x14ac:dyDescent="0.45">
      <c r="A39" s="5" t="s">
        <v>425</v>
      </c>
      <c r="B39" s="5" t="s">
        <v>330</v>
      </c>
      <c r="C39" s="5" t="s">
        <v>373</v>
      </c>
      <c r="D39" s="6" t="s">
        <v>374</v>
      </c>
      <c r="E39" s="5" t="s">
        <v>375</v>
      </c>
      <c r="F39" s="5" t="s">
        <v>376</v>
      </c>
    </row>
    <row r="40" spans="1:8" x14ac:dyDescent="0.45">
      <c r="A40" s="7" t="s">
        <v>426</v>
      </c>
      <c r="B40" s="7"/>
      <c r="C40" s="7" t="s">
        <v>384</v>
      </c>
      <c r="D40" s="8" t="s">
        <v>385</v>
      </c>
      <c r="E40" s="7" t="s">
        <v>384</v>
      </c>
      <c r="F40" s="7" t="s">
        <v>385</v>
      </c>
    </row>
    <row r="41" spans="1:8" x14ac:dyDescent="0.45">
      <c r="A41" s="7" t="s">
        <v>427</v>
      </c>
      <c r="B41" s="7" t="s">
        <v>330</v>
      </c>
      <c r="C41" s="7" t="s">
        <v>331</v>
      </c>
      <c r="D41" s="8" t="s">
        <v>332</v>
      </c>
      <c r="E41" s="7" t="s">
        <v>428</v>
      </c>
      <c r="F41" s="8" t="s">
        <v>429</v>
      </c>
    </row>
    <row r="42" spans="1:8" x14ac:dyDescent="0.45">
      <c r="A42" s="5" t="s">
        <v>430</v>
      </c>
      <c r="B42" s="5" t="s">
        <v>342</v>
      </c>
      <c r="C42" s="5" t="s">
        <v>431</v>
      </c>
      <c r="D42" s="6" t="s">
        <v>432</v>
      </c>
      <c r="E42" s="5" t="s">
        <v>384</v>
      </c>
      <c r="F42" s="5" t="s">
        <v>385</v>
      </c>
    </row>
    <row r="43" spans="1:8" x14ac:dyDescent="0.45">
      <c r="A43" s="7" t="s">
        <v>433</v>
      </c>
      <c r="B43" s="7" t="s">
        <v>338</v>
      </c>
      <c r="C43" s="7"/>
      <c r="D43" s="7"/>
      <c r="E43" s="7" t="s">
        <v>351</v>
      </c>
      <c r="F43" s="7" t="s">
        <v>352</v>
      </c>
    </row>
    <row r="44" spans="1:8" x14ac:dyDescent="0.45">
      <c r="A44" s="5" t="s">
        <v>434</v>
      </c>
      <c r="B44" s="5" t="s">
        <v>330</v>
      </c>
      <c r="C44" s="5" t="s">
        <v>366</v>
      </c>
      <c r="D44" s="6" t="s">
        <v>367</v>
      </c>
      <c r="E44" s="5" t="s">
        <v>435</v>
      </c>
      <c r="F44" s="5" t="s">
        <v>436</v>
      </c>
    </row>
    <row r="45" spans="1:8" x14ac:dyDescent="0.45">
      <c r="A45" s="5" t="s">
        <v>94</v>
      </c>
      <c r="B45" s="5" t="s">
        <v>330</v>
      </c>
      <c r="C45" s="5" t="s">
        <v>366</v>
      </c>
      <c r="D45" s="6" t="s">
        <v>374</v>
      </c>
      <c r="E45" s="5" t="s">
        <v>437</v>
      </c>
      <c r="F45" s="5" t="s">
        <v>438</v>
      </c>
      <c r="G45" s="5" t="s">
        <v>396</v>
      </c>
      <c r="H45" s="8" t="s">
        <v>397</v>
      </c>
    </row>
    <row r="46" spans="1:8" x14ac:dyDescent="0.45">
      <c r="A46" s="5" t="s">
        <v>439</v>
      </c>
      <c r="B46" s="5" t="s">
        <v>338</v>
      </c>
      <c r="C46" s="5"/>
      <c r="D46" s="5"/>
      <c r="E46" s="5" t="s">
        <v>354</v>
      </c>
      <c r="F46" s="5" t="s">
        <v>355</v>
      </c>
    </row>
    <row r="47" spans="1:8" x14ac:dyDescent="0.45">
      <c r="A47" s="7" t="s">
        <v>440</v>
      </c>
      <c r="B47" s="7" t="s">
        <v>342</v>
      </c>
      <c r="C47" s="7" t="s">
        <v>399</v>
      </c>
      <c r="D47" s="8" t="s">
        <v>400</v>
      </c>
      <c r="E47" s="7" t="s">
        <v>399</v>
      </c>
      <c r="F47" s="8" t="s">
        <v>400</v>
      </c>
    </row>
    <row r="48" spans="1:8" x14ac:dyDescent="0.45">
      <c r="A48" s="5" t="s">
        <v>441</v>
      </c>
      <c r="B48" s="5" t="s">
        <v>342</v>
      </c>
      <c r="C48" s="5" t="s">
        <v>442</v>
      </c>
      <c r="D48" s="6" t="s">
        <v>443</v>
      </c>
      <c r="E48" s="5" t="s">
        <v>384</v>
      </c>
      <c r="F48" s="5" t="s">
        <v>385</v>
      </c>
    </row>
    <row r="49" spans="1:8" x14ac:dyDescent="0.45">
      <c r="A49" s="7" t="s">
        <v>444</v>
      </c>
      <c r="B49" s="7" t="s">
        <v>338</v>
      </c>
      <c r="C49" s="7"/>
      <c r="D49" s="7"/>
      <c r="E49" s="7" t="s">
        <v>388</v>
      </c>
      <c r="F49" s="7" t="s">
        <v>389</v>
      </c>
    </row>
    <row r="50" spans="1:8" x14ac:dyDescent="0.45">
      <c r="A50" s="5" t="s">
        <v>445</v>
      </c>
      <c r="B50" s="5" t="s">
        <v>330</v>
      </c>
      <c r="C50" s="5" t="s">
        <v>331</v>
      </c>
      <c r="D50" s="6" t="s">
        <v>332</v>
      </c>
      <c r="E50" s="5"/>
      <c r="F50" s="5"/>
    </row>
    <row r="51" spans="1:8" x14ac:dyDescent="0.45">
      <c r="A51" s="7" t="s">
        <v>446</v>
      </c>
      <c r="B51" s="7" t="s">
        <v>342</v>
      </c>
      <c r="C51" s="7" t="s">
        <v>399</v>
      </c>
      <c r="D51" s="8" t="s">
        <v>400</v>
      </c>
      <c r="E51" s="7" t="s">
        <v>388</v>
      </c>
      <c r="F51" s="7" t="s">
        <v>389</v>
      </c>
    </row>
    <row r="52" spans="1:8" x14ac:dyDescent="0.45">
      <c r="A52" s="5" t="s">
        <v>95</v>
      </c>
      <c r="B52" s="5" t="s">
        <v>330</v>
      </c>
      <c r="C52" s="5" t="s">
        <v>366</v>
      </c>
      <c r="D52" s="6" t="s">
        <v>367</v>
      </c>
      <c r="E52" s="5" t="s">
        <v>447</v>
      </c>
      <c r="F52" s="5" t="s">
        <v>448</v>
      </c>
      <c r="G52" t="s">
        <v>449</v>
      </c>
      <c r="H52" s="8" t="s">
        <v>450</v>
      </c>
    </row>
    <row r="53" spans="1:8" x14ac:dyDescent="0.45">
      <c r="A53" s="7" t="s">
        <v>451</v>
      </c>
      <c r="B53" s="7" t="s">
        <v>342</v>
      </c>
      <c r="C53" s="7" t="s">
        <v>381</v>
      </c>
      <c r="D53" s="11" t="s">
        <v>382</v>
      </c>
      <c r="E53" s="7" t="s">
        <v>452</v>
      </c>
      <c r="F53" s="7" t="s">
        <v>453</v>
      </c>
    </row>
    <row r="54" spans="1:8" x14ac:dyDescent="0.45">
      <c r="A54" s="5" t="s">
        <v>454</v>
      </c>
      <c r="B54" s="5" t="s">
        <v>338</v>
      </c>
      <c r="C54" s="5"/>
      <c r="D54" s="5"/>
      <c r="E54" s="5" t="s">
        <v>388</v>
      </c>
      <c r="F54" s="5" t="s">
        <v>389</v>
      </c>
    </row>
    <row r="55" spans="1:8" x14ac:dyDescent="0.45">
      <c r="A55" s="7" t="s">
        <v>455</v>
      </c>
      <c r="B55" s="7" t="s">
        <v>330</v>
      </c>
      <c r="C55" s="7" t="s">
        <v>366</v>
      </c>
      <c r="D55" s="8" t="s">
        <v>367</v>
      </c>
      <c r="E55" s="7" t="s">
        <v>456</v>
      </c>
      <c r="F55" s="7" t="s">
        <v>457</v>
      </c>
      <c r="G55" t="s">
        <v>449</v>
      </c>
      <c r="H55" s="8" t="s">
        <v>450</v>
      </c>
    </row>
    <row r="56" spans="1:8" x14ac:dyDescent="0.45">
      <c r="A56" s="5" t="s">
        <v>458</v>
      </c>
      <c r="B56" s="5" t="s">
        <v>338</v>
      </c>
      <c r="C56" s="5"/>
      <c r="D56" s="5"/>
      <c r="E56" s="5" t="s">
        <v>339</v>
      </c>
      <c r="F56" s="5" t="s">
        <v>340</v>
      </c>
    </row>
    <row r="57" spans="1:8" x14ac:dyDescent="0.45">
      <c r="A57" s="7" t="s">
        <v>100</v>
      </c>
      <c r="B57" s="7" t="s">
        <v>330</v>
      </c>
      <c r="C57" s="7" t="s">
        <v>459</v>
      </c>
      <c r="D57" s="8" t="s">
        <v>374</v>
      </c>
      <c r="E57" s="7" t="s">
        <v>460</v>
      </c>
      <c r="F57" s="8" t="s">
        <v>461</v>
      </c>
      <c r="G57" s="7" t="s">
        <v>335</v>
      </c>
      <c r="H57" t="s">
        <v>336</v>
      </c>
    </row>
    <row r="58" spans="1:8" x14ac:dyDescent="0.45">
      <c r="A58" s="5" t="s">
        <v>462</v>
      </c>
      <c r="B58" s="5" t="s">
        <v>342</v>
      </c>
      <c r="C58" s="5" t="s">
        <v>431</v>
      </c>
      <c r="D58" s="6" t="s">
        <v>432</v>
      </c>
      <c r="E58" s="5" t="s">
        <v>384</v>
      </c>
      <c r="F58" s="5" t="s">
        <v>385</v>
      </c>
    </row>
    <row r="59" spans="1:8" x14ac:dyDescent="0.45">
      <c r="A59" s="7" t="s">
        <v>463</v>
      </c>
      <c r="B59" s="7" t="s">
        <v>338</v>
      </c>
      <c r="C59" s="7"/>
      <c r="D59" s="7"/>
      <c r="E59" s="7" t="s">
        <v>351</v>
      </c>
      <c r="F59" s="7" t="s">
        <v>352</v>
      </c>
    </row>
    <row r="60" spans="1:8" x14ac:dyDescent="0.45">
      <c r="A60" s="5" t="s">
        <v>464</v>
      </c>
      <c r="B60" s="5" t="s">
        <v>330</v>
      </c>
      <c r="C60" s="5" t="s">
        <v>373</v>
      </c>
      <c r="D60" s="6" t="s">
        <v>374</v>
      </c>
      <c r="E60" s="5" t="s">
        <v>392</v>
      </c>
      <c r="F60" s="6" t="s">
        <v>393</v>
      </c>
    </row>
    <row r="61" spans="1:8" x14ac:dyDescent="0.45">
      <c r="A61" s="7" t="s">
        <v>465</v>
      </c>
      <c r="B61" s="7" t="s">
        <v>330</v>
      </c>
      <c r="C61" s="7" t="s">
        <v>373</v>
      </c>
      <c r="D61" s="8" t="s">
        <v>374</v>
      </c>
      <c r="E61" s="7" t="s">
        <v>460</v>
      </c>
      <c r="F61" s="8" t="s">
        <v>461</v>
      </c>
    </row>
    <row r="62" spans="1:8" x14ac:dyDescent="0.45">
      <c r="A62" s="5" t="s">
        <v>466</v>
      </c>
      <c r="B62" s="5" t="s">
        <v>342</v>
      </c>
      <c r="C62" s="5" t="s">
        <v>384</v>
      </c>
      <c r="D62" s="6" t="s">
        <v>385</v>
      </c>
      <c r="E62" s="5" t="s">
        <v>384</v>
      </c>
      <c r="F62" s="5" t="s">
        <v>385</v>
      </c>
    </row>
    <row r="63" spans="1:8" x14ac:dyDescent="0.45">
      <c r="A63" s="7" t="s">
        <v>467</v>
      </c>
      <c r="B63" s="7" t="s">
        <v>330</v>
      </c>
      <c r="C63" s="7" t="s">
        <v>331</v>
      </c>
      <c r="D63" s="8" t="s">
        <v>332</v>
      </c>
      <c r="E63" s="7" t="s">
        <v>468</v>
      </c>
      <c r="F63" s="7" t="s">
        <v>469</v>
      </c>
      <c r="G63" t="s">
        <v>396</v>
      </c>
      <c r="H63" s="8" t="s">
        <v>397</v>
      </c>
    </row>
    <row r="64" spans="1:8" x14ac:dyDescent="0.45">
      <c r="A64" s="5" t="s">
        <v>470</v>
      </c>
      <c r="B64" s="5" t="s">
        <v>342</v>
      </c>
      <c r="C64" s="5" t="s">
        <v>384</v>
      </c>
      <c r="D64" s="6" t="s">
        <v>385</v>
      </c>
      <c r="E64" s="5" t="s">
        <v>384</v>
      </c>
      <c r="F64" s="5" t="s">
        <v>385</v>
      </c>
    </row>
    <row r="65" spans="1:7" x14ac:dyDescent="0.45">
      <c r="A65" s="7" t="s">
        <v>471</v>
      </c>
      <c r="B65" s="7" t="s">
        <v>330</v>
      </c>
      <c r="C65" s="7" t="s">
        <v>366</v>
      </c>
      <c r="D65" s="8" t="s">
        <v>367</v>
      </c>
      <c r="E65" s="7" t="s">
        <v>472</v>
      </c>
      <c r="F65" s="7" t="s">
        <v>473</v>
      </c>
    </row>
    <row r="66" spans="1:7" x14ac:dyDescent="0.45">
      <c r="A66" s="5" t="s">
        <v>474</v>
      </c>
      <c r="B66" s="5" t="s">
        <v>342</v>
      </c>
      <c r="C66" s="5" t="s">
        <v>343</v>
      </c>
      <c r="D66" s="6" t="s">
        <v>344</v>
      </c>
      <c r="E66" s="5" t="s">
        <v>381</v>
      </c>
      <c r="F66" s="5" t="s">
        <v>382</v>
      </c>
    </row>
    <row r="67" spans="1:7" x14ac:dyDescent="0.45">
      <c r="A67" s="7" t="s">
        <v>475</v>
      </c>
      <c r="B67" s="7" t="s">
        <v>338</v>
      </c>
      <c r="C67" s="7"/>
      <c r="D67" s="7"/>
      <c r="E67" s="7" t="s">
        <v>388</v>
      </c>
      <c r="F67" s="7" t="s">
        <v>389</v>
      </c>
    </row>
    <row r="68" spans="1:7" x14ac:dyDescent="0.45">
      <c r="A68" s="5" t="s">
        <v>476</v>
      </c>
      <c r="B68" s="5" t="s">
        <v>338</v>
      </c>
      <c r="C68" s="5"/>
      <c r="D68" s="5"/>
      <c r="E68" s="5" t="s">
        <v>388</v>
      </c>
      <c r="F68" s="5" t="s">
        <v>389</v>
      </c>
    </row>
    <row r="69" spans="1:7" x14ac:dyDescent="0.45">
      <c r="A69" s="7" t="s">
        <v>477</v>
      </c>
      <c r="B69" s="7" t="s">
        <v>338</v>
      </c>
      <c r="C69" s="7"/>
      <c r="D69" s="7"/>
      <c r="E69" s="7" t="s">
        <v>339</v>
      </c>
      <c r="F69" s="7" t="s">
        <v>340</v>
      </c>
    </row>
    <row r="70" spans="1:7" x14ac:dyDescent="0.45">
      <c r="A70" s="5" t="s">
        <v>478</v>
      </c>
      <c r="B70" s="5" t="s">
        <v>338</v>
      </c>
      <c r="C70" s="5"/>
      <c r="D70" s="5"/>
      <c r="E70" s="5" t="s">
        <v>351</v>
      </c>
      <c r="F70" s="5" t="s">
        <v>352</v>
      </c>
    </row>
    <row r="71" spans="1:7" x14ac:dyDescent="0.45">
      <c r="A71" s="7" t="s">
        <v>479</v>
      </c>
      <c r="B71" s="7" t="s">
        <v>338</v>
      </c>
      <c r="C71" s="7"/>
      <c r="D71" s="7"/>
      <c r="E71" s="7" t="s">
        <v>480</v>
      </c>
      <c r="F71" s="7" t="s">
        <v>481</v>
      </c>
    </row>
    <row r="72" spans="1:7" x14ac:dyDescent="0.45">
      <c r="A72" s="5" t="s">
        <v>482</v>
      </c>
      <c r="B72" s="5" t="s">
        <v>338</v>
      </c>
      <c r="C72" s="5"/>
      <c r="D72" s="5"/>
      <c r="E72" s="5" t="s">
        <v>388</v>
      </c>
      <c r="F72" s="5" t="s">
        <v>389</v>
      </c>
    </row>
    <row r="73" spans="1:7" x14ac:dyDescent="0.45">
      <c r="A73" s="7" t="s">
        <v>105</v>
      </c>
      <c r="B73" s="7" t="s">
        <v>330</v>
      </c>
      <c r="C73" s="7" t="s">
        <v>331</v>
      </c>
      <c r="D73" s="8" t="s">
        <v>332</v>
      </c>
      <c r="E73" s="7" t="s">
        <v>428</v>
      </c>
      <c r="F73" s="7" t="s">
        <v>429</v>
      </c>
      <c r="G73" s="7" t="s">
        <v>483</v>
      </c>
    </row>
    <row r="74" spans="1:7" x14ac:dyDescent="0.45">
      <c r="A74" s="5" t="s">
        <v>484</v>
      </c>
      <c r="B74" s="5" t="s">
        <v>342</v>
      </c>
      <c r="C74" s="5" t="s">
        <v>343</v>
      </c>
      <c r="D74" s="6" t="s">
        <v>344</v>
      </c>
      <c r="E74" s="5" t="s">
        <v>381</v>
      </c>
      <c r="F74" s="5" t="s">
        <v>382</v>
      </c>
    </row>
    <row r="75" spans="1:7" x14ac:dyDescent="0.45">
      <c r="A75" s="7" t="s">
        <v>485</v>
      </c>
      <c r="B75" s="7" t="s">
        <v>342</v>
      </c>
      <c r="C75" s="7" t="s">
        <v>399</v>
      </c>
      <c r="D75" s="8" t="s">
        <v>400</v>
      </c>
      <c r="E75" s="7" t="s">
        <v>399</v>
      </c>
      <c r="F75" s="8" t="s">
        <v>400</v>
      </c>
    </row>
    <row r="76" spans="1:7" x14ac:dyDescent="0.45">
      <c r="A76" s="5" t="s">
        <v>486</v>
      </c>
      <c r="B76" s="5" t="s">
        <v>338</v>
      </c>
      <c r="C76" s="5"/>
      <c r="D76" s="5"/>
      <c r="E76" s="5" t="s">
        <v>363</v>
      </c>
      <c r="F76" s="5" t="s">
        <v>364</v>
      </c>
    </row>
    <row r="77" spans="1:7" x14ac:dyDescent="0.45">
      <c r="A77" s="7" t="s">
        <v>487</v>
      </c>
      <c r="B77" s="7" t="s">
        <v>330</v>
      </c>
      <c r="C77" s="7" t="s">
        <v>366</v>
      </c>
      <c r="D77" s="8" t="s">
        <v>367</v>
      </c>
      <c r="E77" s="7" t="s">
        <v>488</v>
      </c>
      <c r="F77" s="7" t="s">
        <v>489</v>
      </c>
    </row>
    <row r="78" spans="1:7" x14ac:dyDescent="0.45">
      <c r="A78" s="5" t="s">
        <v>96</v>
      </c>
      <c r="B78" s="5" t="s">
        <v>330</v>
      </c>
      <c r="C78" s="5" t="s">
        <v>366</v>
      </c>
      <c r="D78" s="6" t="s">
        <v>367</v>
      </c>
      <c r="E78" s="5" t="s">
        <v>490</v>
      </c>
      <c r="F78" s="5" t="s">
        <v>491</v>
      </c>
    </row>
    <row r="79" spans="1:7" x14ac:dyDescent="0.45">
      <c r="A79" s="7" t="s">
        <v>492</v>
      </c>
      <c r="B79" s="7" t="s">
        <v>338</v>
      </c>
      <c r="C79" s="7"/>
      <c r="D79" s="7"/>
      <c r="E79" s="7" t="s">
        <v>388</v>
      </c>
      <c r="F79" s="7" t="s">
        <v>389</v>
      </c>
    </row>
    <row r="80" spans="1:7" x14ac:dyDescent="0.45">
      <c r="A80" s="5" t="s">
        <v>493</v>
      </c>
      <c r="B80" s="5" t="s">
        <v>330</v>
      </c>
      <c r="C80" s="5" t="s">
        <v>331</v>
      </c>
      <c r="D80" s="6" t="s">
        <v>332</v>
      </c>
      <c r="E80" s="5" t="s">
        <v>494</v>
      </c>
      <c r="F80" s="5" t="s">
        <v>495</v>
      </c>
    </row>
    <row r="81" spans="1:6" x14ac:dyDescent="0.45">
      <c r="A81" s="7" t="s">
        <v>496</v>
      </c>
      <c r="B81" s="7" t="s">
        <v>330</v>
      </c>
      <c r="C81" s="7" t="s">
        <v>366</v>
      </c>
      <c r="D81" s="8" t="s">
        <v>367</v>
      </c>
      <c r="E81" s="7" t="s">
        <v>456</v>
      </c>
      <c r="F81" s="7" t="s">
        <v>457</v>
      </c>
    </row>
    <row r="82" spans="1:6" x14ac:dyDescent="0.45">
      <c r="A82" s="5" t="s">
        <v>497</v>
      </c>
      <c r="B82" s="5" t="s">
        <v>338</v>
      </c>
      <c r="C82" s="5"/>
      <c r="D82" s="5"/>
      <c r="E82" s="5" t="s">
        <v>388</v>
      </c>
      <c r="F82" s="5" t="s">
        <v>389</v>
      </c>
    </row>
    <row r="83" spans="1:6" x14ac:dyDescent="0.45">
      <c r="A83" s="7" t="s">
        <v>498</v>
      </c>
      <c r="B83" s="7" t="s">
        <v>330</v>
      </c>
      <c r="C83" s="7" t="s">
        <v>331</v>
      </c>
      <c r="D83" s="8" t="s">
        <v>332</v>
      </c>
      <c r="E83" s="7" t="s">
        <v>422</v>
      </c>
      <c r="F83" s="7" t="s">
        <v>423</v>
      </c>
    </row>
    <row r="84" spans="1:6" x14ac:dyDescent="0.45">
      <c r="A84" s="5" t="s">
        <v>106</v>
      </c>
      <c r="B84" s="5" t="s">
        <v>330</v>
      </c>
      <c r="C84" s="5" t="s">
        <v>331</v>
      </c>
      <c r="D84" s="6" t="s">
        <v>332</v>
      </c>
      <c r="E84" s="5" t="s">
        <v>494</v>
      </c>
      <c r="F84" s="5" t="s">
        <v>495</v>
      </c>
    </row>
    <row r="85" spans="1:6" x14ac:dyDescent="0.45">
      <c r="A85" s="7" t="s">
        <v>499</v>
      </c>
      <c r="B85" s="7" t="s">
        <v>338</v>
      </c>
      <c r="C85" s="7"/>
      <c r="D85" s="7"/>
      <c r="E85" s="7" t="s">
        <v>339</v>
      </c>
      <c r="F85" s="7" t="s">
        <v>340</v>
      </c>
    </row>
    <row r="86" spans="1:6" x14ac:dyDescent="0.45">
      <c r="A86" s="5" t="s">
        <v>500</v>
      </c>
      <c r="B86" s="5" t="s">
        <v>342</v>
      </c>
      <c r="C86" s="5" t="s">
        <v>381</v>
      </c>
      <c r="D86" s="10" t="s">
        <v>382</v>
      </c>
      <c r="E86" s="5" t="s">
        <v>452</v>
      </c>
      <c r="F86" s="5" t="s">
        <v>453</v>
      </c>
    </row>
    <row r="87" spans="1:6" x14ac:dyDescent="0.45">
      <c r="A87" s="7" t="s">
        <v>501</v>
      </c>
      <c r="B87" s="7" t="s">
        <v>330</v>
      </c>
      <c r="C87" s="7" t="s">
        <v>373</v>
      </c>
      <c r="D87" s="8" t="s">
        <v>374</v>
      </c>
      <c r="E87" s="7" t="s">
        <v>412</v>
      </c>
      <c r="F87" s="8" t="s">
        <v>413</v>
      </c>
    </row>
    <row r="88" spans="1:6" x14ac:dyDescent="0.45">
      <c r="A88" s="5" t="s">
        <v>502</v>
      </c>
      <c r="B88" s="5" t="s">
        <v>342</v>
      </c>
      <c r="C88" s="5" t="s">
        <v>381</v>
      </c>
      <c r="D88" s="10" t="s">
        <v>382</v>
      </c>
      <c r="E88" s="5" t="s">
        <v>452</v>
      </c>
      <c r="F88" s="5" t="s">
        <v>453</v>
      </c>
    </row>
    <row r="89" spans="1:6" x14ac:dyDescent="0.45">
      <c r="A89" s="7" t="s">
        <v>503</v>
      </c>
      <c r="B89" s="7" t="s">
        <v>330</v>
      </c>
      <c r="C89" s="7" t="s">
        <v>373</v>
      </c>
      <c r="D89" s="8" t="s">
        <v>374</v>
      </c>
      <c r="E89" s="7" t="s">
        <v>375</v>
      </c>
      <c r="F89" s="7" t="s">
        <v>376</v>
      </c>
    </row>
    <row r="90" spans="1:6" x14ac:dyDescent="0.45">
      <c r="A90" s="5" t="s">
        <v>504</v>
      </c>
      <c r="B90" s="5" t="s">
        <v>338</v>
      </c>
      <c r="C90" s="5"/>
      <c r="D90" s="5"/>
      <c r="E90" s="5" t="s">
        <v>388</v>
      </c>
      <c r="F90" s="5" t="s">
        <v>389</v>
      </c>
    </row>
    <row r="91" spans="1:6" x14ac:dyDescent="0.45">
      <c r="A91" s="7" t="s">
        <v>505</v>
      </c>
      <c r="B91" s="7" t="s">
        <v>338</v>
      </c>
      <c r="C91" s="7"/>
      <c r="D91" s="7"/>
      <c r="E91" s="7" t="s">
        <v>358</v>
      </c>
      <c r="F91" s="7" t="s">
        <v>359</v>
      </c>
    </row>
    <row r="92" spans="1:6" x14ac:dyDescent="0.45">
      <c r="A92" s="5" t="s">
        <v>506</v>
      </c>
      <c r="B92" s="5" t="s">
        <v>342</v>
      </c>
      <c r="C92" s="5" t="s">
        <v>381</v>
      </c>
      <c r="D92" s="10" t="s">
        <v>382</v>
      </c>
      <c r="E92" s="5" t="s">
        <v>452</v>
      </c>
      <c r="F92" s="5" t="s">
        <v>453</v>
      </c>
    </row>
    <row r="93" spans="1:6" x14ac:dyDescent="0.45">
      <c r="A93" s="7" t="s">
        <v>507</v>
      </c>
      <c r="B93" s="7" t="s">
        <v>342</v>
      </c>
      <c r="C93" s="7" t="s">
        <v>343</v>
      </c>
      <c r="D93" s="8" t="s">
        <v>344</v>
      </c>
      <c r="E93" s="7" t="s">
        <v>508</v>
      </c>
      <c r="F93" s="7" t="s">
        <v>509</v>
      </c>
    </row>
    <row r="94" spans="1:6" x14ac:dyDescent="0.45">
      <c r="A94" s="5" t="s">
        <v>510</v>
      </c>
      <c r="B94" s="5" t="s">
        <v>338</v>
      </c>
      <c r="C94" s="5"/>
      <c r="D94" s="5"/>
      <c r="E94" s="5" t="s">
        <v>511</v>
      </c>
      <c r="F94" s="5" t="s">
        <v>512</v>
      </c>
    </row>
    <row r="95" spans="1:6" x14ac:dyDescent="0.45">
      <c r="A95" s="7" t="s">
        <v>513</v>
      </c>
      <c r="B95" s="7" t="s">
        <v>342</v>
      </c>
      <c r="C95" s="7" t="s">
        <v>366</v>
      </c>
      <c r="D95" s="8" t="s">
        <v>367</v>
      </c>
      <c r="E95" s="7" t="s">
        <v>381</v>
      </c>
      <c r="F95" s="7" t="s">
        <v>382</v>
      </c>
    </row>
    <row r="96" spans="1:6" x14ac:dyDescent="0.45">
      <c r="A96" s="5" t="s">
        <v>514</v>
      </c>
      <c r="B96" s="5" t="s">
        <v>338</v>
      </c>
      <c r="C96" s="5"/>
      <c r="D96" s="5"/>
      <c r="E96" s="5" t="s">
        <v>339</v>
      </c>
      <c r="F96" s="5" t="s">
        <v>340</v>
      </c>
    </row>
    <row r="97" spans="1:8" x14ac:dyDescent="0.45">
      <c r="A97" s="7" t="s">
        <v>515</v>
      </c>
      <c r="B97" s="7" t="s">
        <v>338</v>
      </c>
      <c r="C97" s="7"/>
      <c r="D97" s="7"/>
      <c r="E97" s="7" t="s">
        <v>378</v>
      </c>
      <c r="F97" s="7" t="s">
        <v>379</v>
      </c>
    </row>
    <row r="98" spans="1:8" x14ac:dyDescent="0.45">
      <c r="A98" s="5" t="s">
        <v>516</v>
      </c>
      <c r="B98" s="5" t="s">
        <v>342</v>
      </c>
      <c r="C98" s="5" t="s">
        <v>399</v>
      </c>
      <c r="D98" s="6" t="s">
        <v>400</v>
      </c>
      <c r="E98" s="5" t="s">
        <v>399</v>
      </c>
      <c r="F98" s="6" t="s">
        <v>400</v>
      </c>
    </row>
    <row r="99" spans="1:8" x14ac:dyDescent="0.45">
      <c r="A99" s="7" t="s">
        <v>517</v>
      </c>
      <c r="B99" s="7" t="s">
        <v>330</v>
      </c>
      <c r="C99" s="7" t="s">
        <v>331</v>
      </c>
      <c r="D99" s="8" t="s">
        <v>332</v>
      </c>
      <c r="E99" s="7" t="s">
        <v>518</v>
      </c>
      <c r="F99" s="8" t="s">
        <v>349</v>
      </c>
    </row>
    <row r="100" spans="1:8" x14ac:dyDescent="0.45">
      <c r="A100" s="5" t="s">
        <v>519</v>
      </c>
      <c r="B100" s="5" t="s">
        <v>330</v>
      </c>
      <c r="C100" s="5" t="s">
        <v>366</v>
      </c>
      <c r="D100" s="6" t="s">
        <v>367</v>
      </c>
      <c r="E100" s="5" t="s">
        <v>435</v>
      </c>
      <c r="F100" s="5" t="s">
        <v>436</v>
      </c>
    </row>
    <row r="101" spans="1:8" x14ac:dyDescent="0.45">
      <c r="A101" s="7" t="s">
        <v>520</v>
      </c>
      <c r="B101" s="7" t="s">
        <v>338</v>
      </c>
      <c r="C101" s="7"/>
      <c r="D101" s="7"/>
      <c r="E101" s="7" t="s">
        <v>388</v>
      </c>
      <c r="F101" s="7" t="s">
        <v>389</v>
      </c>
    </row>
    <row r="102" spans="1:8" x14ac:dyDescent="0.45">
      <c r="A102" s="5" t="s">
        <v>521</v>
      </c>
      <c r="B102" s="5" t="s">
        <v>338</v>
      </c>
      <c r="C102" s="5"/>
      <c r="D102" s="5"/>
      <c r="E102" s="5" t="s">
        <v>452</v>
      </c>
      <c r="F102" s="5" t="s">
        <v>453</v>
      </c>
    </row>
    <row r="103" spans="1:8" x14ac:dyDescent="0.45">
      <c r="A103" s="7" t="s">
        <v>522</v>
      </c>
      <c r="B103" s="7" t="s">
        <v>330</v>
      </c>
      <c r="C103" s="7" t="s">
        <v>366</v>
      </c>
      <c r="D103" s="8" t="s">
        <v>367</v>
      </c>
      <c r="E103" s="7" t="s">
        <v>472</v>
      </c>
      <c r="F103" s="7" t="s">
        <v>473</v>
      </c>
    </row>
    <row r="104" spans="1:8" x14ac:dyDescent="0.45">
      <c r="A104" s="5" t="s">
        <v>523</v>
      </c>
      <c r="B104" s="5" t="s">
        <v>338</v>
      </c>
      <c r="C104" s="5"/>
      <c r="D104" s="5"/>
      <c r="E104" s="5" t="s">
        <v>358</v>
      </c>
      <c r="F104" s="5" t="s">
        <v>359</v>
      </c>
    </row>
    <row r="105" spans="1:8" x14ac:dyDescent="0.45">
      <c r="A105" s="7" t="s">
        <v>524</v>
      </c>
      <c r="B105" s="7" t="s">
        <v>330</v>
      </c>
      <c r="C105" s="7"/>
      <c r="D105" s="7"/>
      <c r="E105" s="7" t="s">
        <v>384</v>
      </c>
      <c r="F105" s="7" t="s">
        <v>385</v>
      </c>
    </row>
    <row r="106" spans="1:8" x14ac:dyDescent="0.45">
      <c r="A106" s="5" t="s">
        <v>525</v>
      </c>
      <c r="B106" s="5" t="s">
        <v>330</v>
      </c>
      <c r="C106" s="5" t="s">
        <v>373</v>
      </c>
      <c r="D106" s="6" t="s">
        <v>374</v>
      </c>
      <c r="E106" s="5" t="s">
        <v>410</v>
      </c>
      <c r="F106" s="5" t="s">
        <v>411</v>
      </c>
    </row>
    <row r="107" spans="1:8" x14ac:dyDescent="0.45">
      <c r="A107" s="7" t="s">
        <v>101</v>
      </c>
      <c r="B107" s="7" t="s">
        <v>330</v>
      </c>
      <c r="C107" s="7" t="s">
        <v>366</v>
      </c>
      <c r="D107" s="8" t="s">
        <v>367</v>
      </c>
      <c r="E107" s="5" t="s">
        <v>526</v>
      </c>
      <c r="F107" s="7" t="s">
        <v>527</v>
      </c>
      <c r="G107" s="7" t="s">
        <v>449</v>
      </c>
      <c r="H107" s="8" t="s">
        <v>450</v>
      </c>
    </row>
    <row r="108" spans="1:8" x14ac:dyDescent="0.45">
      <c r="A108" s="5" t="s">
        <v>528</v>
      </c>
      <c r="B108" s="5" t="s">
        <v>338</v>
      </c>
      <c r="C108" s="5"/>
      <c r="D108" s="5"/>
      <c r="E108" s="5" t="s">
        <v>339</v>
      </c>
      <c r="F108" s="5" t="s">
        <v>340</v>
      </c>
    </row>
    <row r="109" spans="1:8" x14ac:dyDescent="0.45">
      <c r="A109" s="7" t="s">
        <v>529</v>
      </c>
      <c r="B109" s="7" t="s">
        <v>338</v>
      </c>
      <c r="C109" s="7"/>
      <c r="D109" s="7"/>
      <c r="E109" s="7" t="s">
        <v>363</v>
      </c>
      <c r="F109" s="7" t="s">
        <v>364</v>
      </c>
    </row>
    <row r="110" spans="1:8" x14ac:dyDescent="0.45">
      <c r="A110" s="5" t="s">
        <v>530</v>
      </c>
      <c r="B110" s="5" t="s">
        <v>330</v>
      </c>
      <c r="C110" s="5" t="s">
        <v>366</v>
      </c>
      <c r="D110" s="6" t="s">
        <v>367</v>
      </c>
      <c r="E110" s="5" t="s">
        <v>531</v>
      </c>
      <c r="F110" s="5" t="s">
        <v>532</v>
      </c>
    </row>
    <row r="111" spans="1:8" x14ac:dyDescent="0.45">
      <c r="A111" s="7" t="s">
        <v>533</v>
      </c>
      <c r="B111" s="7" t="s">
        <v>338</v>
      </c>
      <c r="C111" s="7"/>
      <c r="D111" s="7"/>
      <c r="E111" s="7" t="s">
        <v>452</v>
      </c>
      <c r="F111" s="7" t="s">
        <v>453</v>
      </c>
    </row>
    <row r="112" spans="1:8" x14ac:dyDescent="0.45">
      <c r="A112" s="5" t="s">
        <v>534</v>
      </c>
      <c r="B112" s="5" t="s">
        <v>338</v>
      </c>
      <c r="C112" s="5"/>
      <c r="D112" s="5"/>
      <c r="E112" s="5" t="s">
        <v>354</v>
      </c>
      <c r="F112" s="5" t="s">
        <v>355</v>
      </c>
    </row>
    <row r="113" spans="1:8" x14ac:dyDescent="0.45">
      <c r="A113" s="11" t="s">
        <v>535</v>
      </c>
      <c r="B113" s="7" t="s">
        <v>330</v>
      </c>
      <c r="C113" s="7" t="s">
        <v>331</v>
      </c>
      <c r="D113" s="8" t="s">
        <v>332</v>
      </c>
      <c r="E113" s="7" t="s">
        <v>536</v>
      </c>
      <c r="F113" s="8" t="s">
        <v>537</v>
      </c>
    </row>
    <row r="114" spans="1:8" x14ac:dyDescent="0.45">
      <c r="A114" s="5" t="s">
        <v>538</v>
      </c>
      <c r="B114" s="5" t="s">
        <v>338</v>
      </c>
      <c r="C114" s="5"/>
      <c r="D114" s="5"/>
      <c r="E114" s="5" t="s">
        <v>354</v>
      </c>
      <c r="F114" s="5" t="s">
        <v>355</v>
      </c>
    </row>
    <row r="115" spans="1:8" x14ac:dyDescent="0.45">
      <c r="A115" s="7" t="s">
        <v>539</v>
      </c>
      <c r="B115" s="7" t="s">
        <v>338</v>
      </c>
      <c r="C115" s="7"/>
      <c r="D115" s="7"/>
      <c r="E115" s="7" t="s">
        <v>354</v>
      </c>
      <c r="F115" s="7" t="s">
        <v>355</v>
      </c>
    </row>
    <row r="116" spans="1:8" x14ac:dyDescent="0.45">
      <c r="A116" s="5" t="s">
        <v>540</v>
      </c>
      <c r="B116" s="5" t="s">
        <v>342</v>
      </c>
      <c r="C116" s="5" t="s">
        <v>381</v>
      </c>
      <c r="D116" s="6" t="s">
        <v>382</v>
      </c>
      <c r="E116" s="5" t="s">
        <v>452</v>
      </c>
      <c r="F116" s="5" t="s">
        <v>453</v>
      </c>
    </row>
    <row r="117" spans="1:8" x14ac:dyDescent="0.45">
      <c r="A117" s="7" t="s">
        <v>541</v>
      </c>
      <c r="B117" s="7" t="s">
        <v>338</v>
      </c>
      <c r="C117" s="7"/>
      <c r="D117" s="7"/>
      <c r="E117" s="7" t="s">
        <v>480</v>
      </c>
      <c r="F117" s="7" t="s">
        <v>481</v>
      </c>
    </row>
    <row r="118" spans="1:8" x14ac:dyDescent="0.45">
      <c r="A118" s="5" t="s">
        <v>542</v>
      </c>
      <c r="B118" s="5" t="s">
        <v>330</v>
      </c>
      <c r="C118" s="5" t="s">
        <v>331</v>
      </c>
      <c r="D118" s="6" t="s">
        <v>332</v>
      </c>
      <c r="E118" s="5" t="s">
        <v>488</v>
      </c>
      <c r="F118" s="6" t="s">
        <v>489</v>
      </c>
    </row>
    <row r="119" spans="1:8" x14ac:dyDescent="0.45">
      <c r="A119" s="7" t="s">
        <v>543</v>
      </c>
      <c r="B119" s="7" t="s">
        <v>342</v>
      </c>
      <c r="C119" s="7"/>
      <c r="D119" s="8" t="s">
        <v>432</v>
      </c>
      <c r="E119" s="7" t="s">
        <v>384</v>
      </c>
      <c r="F119" s="7" t="s">
        <v>385</v>
      </c>
    </row>
    <row r="120" spans="1:8" x14ac:dyDescent="0.45">
      <c r="A120" s="5" t="s">
        <v>544</v>
      </c>
      <c r="B120" s="5" t="s">
        <v>342</v>
      </c>
      <c r="C120" s="5"/>
      <c r="D120" s="6" t="s">
        <v>432</v>
      </c>
      <c r="E120" s="5" t="s">
        <v>384</v>
      </c>
      <c r="F120" s="5" t="s">
        <v>385</v>
      </c>
    </row>
    <row r="121" spans="1:8" x14ac:dyDescent="0.45">
      <c r="A121" s="7" t="s">
        <v>545</v>
      </c>
      <c r="B121" s="7" t="s">
        <v>342</v>
      </c>
      <c r="C121" s="7" t="s">
        <v>381</v>
      </c>
      <c r="D121" s="11" t="s">
        <v>382</v>
      </c>
      <c r="E121" s="7" t="s">
        <v>452</v>
      </c>
      <c r="F121" s="7" t="s">
        <v>453</v>
      </c>
    </row>
    <row r="122" spans="1:8" x14ac:dyDescent="0.45">
      <c r="A122" s="5" t="s">
        <v>546</v>
      </c>
      <c r="B122" s="5" t="s">
        <v>330</v>
      </c>
      <c r="C122" s="5" t="s">
        <v>373</v>
      </c>
      <c r="D122" s="6" t="s">
        <v>374</v>
      </c>
      <c r="E122" s="5" t="s">
        <v>547</v>
      </c>
      <c r="F122" s="6" t="s">
        <v>461</v>
      </c>
    </row>
    <row r="123" spans="1:8" x14ac:dyDescent="0.45">
      <c r="A123" s="7" t="s">
        <v>548</v>
      </c>
      <c r="B123" s="7" t="s">
        <v>338</v>
      </c>
      <c r="C123" s="7"/>
      <c r="D123" s="7"/>
      <c r="E123" s="7" t="s">
        <v>363</v>
      </c>
      <c r="F123" s="7" t="s">
        <v>364</v>
      </c>
    </row>
    <row r="124" spans="1:8" x14ac:dyDescent="0.45">
      <c r="A124" s="5" t="s">
        <v>549</v>
      </c>
      <c r="B124" s="5" t="s">
        <v>330</v>
      </c>
      <c r="C124" s="5" t="s">
        <v>373</v>
      </c>
      <c r="D124" s="6" t="s">
        <v>374</v>
      </c>
      <c r="E124" s="5" t="s">
        <v>392</v>
      </c>
      <c r="F124" s="5" t="s">
        <v>393</v>
      </c>
      <c r="G124" t="s">
        <v>414</v>
      </c>
      <c r="H124" t="s">
        <v>415</v>
      </c>
    </row>
    <row r="125" spans="1:8" x14ac:dyDescent="0.45">
      <c r="A125" s="7" t="s">
        <v>550</v>
      </c>
      <c r="B125" s="7" t="s">
        <v>338</v>
      </c>
      <c r="C125" s="7"/>
      <c r="D125" s="7"/>
      <c r="E125" s="7" t="s">
        <v>339</v>
      </c>
      <c r="F125" s="7" t="s">
        <v>340</v>
      </c>
    </row>
    <row r="126" spans="1:8" x14ac:dyDescent="0.45">
      <c r="A126" s="5" t="s">
        <v>551</v>
      </c>
      <c r="B126" s="5" t="s">
        <v>338</v>
      </c>
      <c r="C126" s="5"/>
      <c r="D126" s="5"/>
      <c r="E126" s="5" t="s">
        <v>388</v>
      </c>
      <c r="F126" s="5" t="s">
        <v>389</v>
      </c>
    </row>
    <row r="127" spans="1:8" x14ac:dyDescent="0.45">
      <c r="A127" s="7" t="s">
        <v>97</v>
      </c>
      <c r="B127" s="7" t="s">
        <v>330</v>
      </c>
      <c r="C127" s="7" t="s">
        <v>366</v>
      </c>
      <c r="D127" s="8" t="s">
        <v>367</v>
      </c>
      <c r="E127" s="7" t="s">
        <v>468</v>
      </c>
      <c r="F127" s="7" t="s">
        <v>469</v>
      </c>
      <c r="G127" s="7" t="s">
        <v>335</v>
      </c>
      <c r="H127" t="s">
        <v>336</v>
      </c>
    </row>
    <row r="128" spans="1:8" x14ac:dyDescent="0.45">
      <c r="A128" s="7" t="s">
        <v>552</v>
      </c>
      <c r="B128" s="7" t="s">
        <v>338</v>
      </c>
      <c r="C128" s="7"/>
      <c r="D128" s="7"/>
      <c r="E128" s="7" t="s">
        <v>418</v>
      </c>
      <c r="F128" s="7" t="s">
        <v>419</v>
      </c>
    </row>
    <row r="129" spans="1:8" x14ac:dyDescent="0.45">
      <c r="A129" s="5" t="s">
        <v>553</v>
      </c>
      <c r="B129" s="5" t="s">
        <v>330</v>
      </c>
      <c r="C129" s="5" t="s">
        <v>366</v>
      </c>
      <c r="D129" s="6" t="s">
        <v>367</v>
      </c>
      <c r="E129" s="5" t="s">
        <v>536</v>
      </c>
      <c r="F129" s="5" t="s">
        <v>537</v>
      </c>
    </row>
    <row r="130" spans="1:8" x14ac:dyDescent="0.45">
      <c r="A130" s="7" t="s">
        <v>104</v>
      </c>
      <c r="B130" s="7" t="s">
        <v>330</v>
      </c>
      <c r="C130" s="7" t="s">
        <v>331</v>
      </c>
      <c r="D130" s="8" t="s">
        <v>332</v>
      </c>
      <c r="E130" s="7" t="s">
        <v>554</v>
      </c>
      <c r="F130" s="8" t="s">
        <v>555</v>
      </c>
      <c r="G130" s="7" t="s">
        <v>556</v>
      </c>
      <c r="H130" t="s">
        <v>557</v>
      </c>
    </row>
    <row r="131" spans="1:8" x14ac:dyDescent="0.45">
      <c r="A131" s="5" t="s">
        <v>558</v>
      </c>
      <c r="B131" s="5" t="s">
        <v>338</v>
      </c>
      <c r="C131" s="5"/>
      <c r="D131" s="5"/>
      <c r="E131" s="5" t="s">
        <v>559</v>
      </c>
      <c r="F131" s="5" t="s">
        <v>560</v>
      </c>
    </row>
    <row r="132" spans="1:8" x14ac:dyDescent="0.45">
      <c r="A132" s="7" t="s">
        <v>561</v>
      </c>
      <c r="B132" s="7" t="s">
        <v>338</v>
      </c>
      <c r="C132" s="7"/>
      <c r="D132" s="7"/>
      <c r="E132" s="7" t="s">
        <v>480</v>
      </c>
      <c r="F132" s="7" t="s">
        <v>481</v>
      </c>
    </row>
    <row r="133" spans="1:8" x14ac:dyDescent="0.45">
      <c r="A133" s="5" t="s">
        <v>98</v>
      </c>
      <c r="B133" s="5" t="s">
        <v>330</v>
      </c>
      <c r="C133" s="5" t="s">
        <v>331</v>
      </c>
      <c r="D133" s="6" t="s">
        <v>332</v>
      </c>
      <c r="E133" s="5" t="s">
        <v>554</v>
      </c>
      <c r="F133" s="5" t="s">
        <v>555</v>
      </c>
      <c r="G133" t="s">
        <v>562</v>
      </c>
      <c r="H133" t="s">
        <v>563</v>
      </c>
    </row>
    <row r="134" spans="1:8" x14ac:dyDescent="0.45">
      <c r="A134" s="7" t="s">
        <v>564</v>
      </c>
      <c r="B134" s="7" t="s">
        <v>342</v>
      </c>
      <c r="C134" s="7" t="s">
        <v>366</v>
      </c>
      <c r="D134" s="8" t="s">
        <v>367</v>
      </c>
      <c r="E134" s="7" t="s">
        <v>381</v>
      </c>
      <c r="F134" s="7" t="s">
        <v>382</v>
      </c>
    </row>
    <row r="135" spans="1:8" x14ac:dyDescent="0.45">
      <c r="A135" s="5" t="s">
        <v>103</v>
      </c>
      <c r="B135" s="5" t="s">
        <v>330</v>
      </c>
      <c r="C135" s="5" t="s">
        <v>331</v>
      </c>
      <c r="D135" s="6" t="s">
        <v>332</v>
      </c>
      <c r="E135" s="5" t="s">
        <v>565</v>
      </c>
      <c r="F135" s="6" t="s">
        <v>566</v>
      </c>
      <c r="G135" s="5" t="s">
        <v>556</v>
      </c>
      <c r="H135" t="s">
        <v>557</v>
      </c>
    </row>
    <row r="136" spans="1:8" x14ac:dyDescent="0.45">
      <c r="A136" s="7" t="s">
        <v>567</v>
      </c>
      <c r="B136" s="7" t="s">
        <v>338</v>
      </c>
      <c r="C136" s="7"/>
      <c r="D136" s="7"/>
      <c r="E136" s="7" t="s">
        <v>354</v>
      </c>
      <c r="F136" s="7" t="s">
        <v>355</v>
      </c>
    </row>
    <row r="137" spans="1:8" x14ac:dyDescent="0.45">
      <c r="A137" s="5" t="s">
        <v>568</v>
      </c>
      <c r="B137" s="5" t="s">
        <v>338</v>
      </c>
      <c r="C137" s="5"/>
      <c r="D137" s="5"/>
      <c r="E137" s="5" t="s">
        <v>511</v>
      </c>
      <c r="F137" s="5" t="s">
        <v>512</v>
      </c>
    </row>
    <row r="138" spans="1:8" x14ac:dyDescent="0.45">
      <c r="A138" s="7" t="s">
        <v>569</v>
      </c>
      <c r="B138" s="7" t="s">
        <v>330</v>
      </c>
      <c r="C138" s="7" t="s">
        <v>331</v>
      </c>
      <c r="D138" s="8" t="s">
        <v>332</v>
      </c>
      <c r="E138" s="7" t="s">
        <v>333</v>
      </c>
      <c r="F138" s="7" t="s">
        <v>334</v>
      </c>
    </row>
    <row r="139" spans="1:8" x14ac:dyDescent="0.45">
      <c r="A139" s="5" t="s">
        <v>570</v>
      </c>
      <c r="B139" s="5" t="s">
        <v>330</v>
      </c>
      <c r="C139" s="5" t="s">
        <v>331</v>
      </c>
      <c r="D139" s="6" t="s">
        <v>332</v>
      </c>
      <c r="E139" s="7" t="s">
        <v>333</v>
      </c>
      <c r="F139" s="7" t="s">
        <v>334</v>
      </c>
    </row>
    <row r="140" spans="1:8" x14ac:dyDescent="0.45">
      <c r="A140" s="7" t="s">
        <v>571</v>
      </c>
      <c r="B140" s="7" t="s">
        <v>330</v>
      </c>
      <c r="C140" s="7" t="s">
        <v>331</v>
      </c>
      <c r="D140" s="8" t="s">
        <v>332</v>
      </c>
      <c r="E140" s="7" t="s">
        <v>333</v>
      </c>
      <c r="F140" s="7" t="s">
        <v>334</v>
      </c>
    </row>
    <row r="141" spans="1:8" x14ac:dyDescent="0.45">
      <c r="A141" s="5" t="s">
        <v>572</v>
      </c>
      <c r="B141" s="5" t="s">
        <v>330</v>
      </c>
      <c r="C141" s="5" t="s">
        <v>366</v>
      </c>
      <c r="D141" s="6" t="s">
        <v>367</v>
      </c>
      <c r="E141" s="5" t="s">
        <v>403</v>
      </c>
      <c r="F141" s="5" t="s">
        <v>404</v>
      </c>
    </row>
    <row r="142" spans="1:8" x14ac:dyDescent="0.45">
      <c r="A142" s="7" t="s">
        <v>573</v>
      </c>
      <c r="B142" s="7" t="s">
        <v>330</v>
      </c>
      <c r="C142" s="7" t="s">
        <v>331</v>
      </c>
      <c r="D142" s="8" t="s">
        <v>332</v>
      </c>
      <c r="E142" s="7" t="s">
        <v>456</v>
      </c>
      <c r="F142" s="7" t="s">
        <v>457</v>
      </c>
    </row>
    <row r="143" spans="1:8" x14ac:dyDescent="0.45">
      <c r="A143" s="5" t="s">
        <v>574</v>
      </c>
      <c r="B143" s="5" t="s">
        <v>342</v>
      </c>
      <c r="C143" s="5" t="s">
        <v>366</v>
      </c>
      <c r="D143" s="6" t="s">
        <v>367</v>
      </c>
      <c r="E143" s="5" t="s">
        <v>368</v>
      </c>
      <c r="F143" s="5" t="s">
        <v>369</v>
      </c>
    </row>
    <row r="144" spans="1:8" x14ac:dyDescent="0.45">
      <c r="A144" s="7" t="s">
        <v>575</v>
      </c>
      <c r="B144" s="7" t="s">
        <v>330</v>
      </c>
      <c r="C144" s="7" t="s">
        <v>373</v>
      </c>
      <c r="D144" s="8" t="s">
        <v>374</v>
      </c>
      <c r="E144" s="7" t="s">
        <v>518</v>
      </c>
      <c r="F144" s="7" t="s">
        <v>349</v>
      </c>
    </row>
    <row r="145" spans="1:6" x14ac:dyDescent="0.45">
      <c r="A145" s="5" t="s">
        <v>576</v>
      </c>
      <c r="B145" s="5" t="s">
        <v>342</v>
      </c>
      <c r="C145" s="5" t="s">
        <v>381</v>
      </c>
      <c r="D145" s="10" t="s">
        <v>382</v>
      </c>
      <c r="E145" s="5" t="s">
        <v>452</v>
      </c>
      <c r="F145" s="5" t="s">
        <v>453</v>
      </c>
    </row>
    <row r="146" spans="1:6" x14ac:dyDescent="0.45">
      <c r="A146" s="7" t="s">
        <v>577</v>
      </c>
      <c r="B146" s="7" t="s">
        <v>338</v>
      </c>
      <c r="C146" s="7"/>
      <c r="D146" s="7"/>
      <c r="E146" s="7" t="s">
        <v>351</v>
      </c>
      <c r="F146" s="7" t="s">
        <v>352</v>
      </c>
    </row>
    <row r="147" spans="1:6" x14ac:dyDescent="0.45">
      <c r="A147" s="5" t="s">
        <v>578</v>
      </c>
      <c r="B147" s="5" t="s">
        <v>342</v>
      </c>
      <c r="C147" s="5" t="s">
        <v>399</v>
      </c>
      <c r="D147" s="6" t="s">
        <v>400</v>
      </c>
      <c r="E147" s="5" t="s">
        <v>399</v>
      </c>
      <c r="F147" s="6" t="s">
        <v>400</v>
      </c>
    </row>
    <row r="148" spans="1:6" x14ac:dyDescent="0.45">
      <c r="A148" s="7" t="s">
        <v>579</v>
      </c>
      <c r="B148" s="7" t="s">
        <v>338</v>
      </c>
      <c r="C148" s="7"/>
      <c r="D148" s="7"/>
      <c r="E148" s="7" t="s">
        <v>378</v>
      </c>
      <c r="F148" s="7" t="s">
        <v>379</v>
      </c>
    </row>
    <row r="149" spans="1:6" x14ac:dyDescent="0.45">
      <c r="A149" s="5" t="s">
        <v>580</v>
      </c>
      <c r="B149" s="5" t="s">
        <v>342</v>
      </c>
      <c r="C149" s="5" t="s">
        <v>381</v>
      </c>
      <c r="D149" s="10" t="s">
        <v>382</v>
      </c>
      <c r="E149" s="5" t="s">
        <v>452</v>
      </c>
      <c r="F149" s="5" t="s">
        <v>453</v>
      </c>
    </row>
    <row r="150" spans="1:6" x14ac:dyDescent="0.45">
      <c r="A150" s="7" t="s">
        <v>581</v>
      </c>
      <c r="B150" s="7" t="s">
        <v>330</v>
      </c>
      <c r="C150" s="7" t="s">
        <v>331</v>
      </c>
      <c r="D150" s="8" t="s">
        <v>332</v>
      </c>
      <c r="E150" s="7" t="s">
        <v>428</v>
      </c>
      <c r="F150" s="7" t="s">
        <v>429</v>
      </c>
    </row>
    <row r="151" spans="1:6" x14ac:dyDescent="0.45">
      <c r="A151" s="5" t="s">
        <v>582</v>
      </c>
      <c r="B151" s="5" t="s">
        <v>342</v>
      </c>
      <c r="C151" s="5" t="s">
        <v>399</v>
      </c>
      <c r="D151" s="6" t="s">
        <v>400</v>
      </c>
      <c r="E151" s="5" t="s">
        <v>399</v>
      </c>
      <c r="F151" s="6" t="s">
        <v>400</v>
      </c>
    </row>
    <row r="152" spans="1:6" x14ac:dyDescent="0.45">
      <c r="A152" s="7" t="s">
        <v>583</v>
      </c>
      <c r="B152" s="7" t="s">
        <v>338</v>
      </c>
      <c r="C152" s="7"/>
      <c r="D152" s="7"/>
      <c r="E152" s="7" t="s">
        <v>363</v>
      </c>
      <c r="F152" s="7" t="s">
        <v>364</v>
      </c>
    </row>
    <row r="153" spans="1:6" x14ac:dyDescent="0.45">
      <c r="A153" s="5" t="s">
        <v>584</v>
      </c>
      <c r="B153" s="5" t="s">
        <v>338</v>
      </c>
      <c r="C153" s="5"/>
      <c r="D153" s="5"/>
      <c r="E153" s="5" t="s">
        <v>354</v>
      </c>
      <c r="F153" s="5" t="s">
        <v>355</v>
      </c>
    </row>
    <row r="154" spans="1:6" x14ac:dyDescent="0.45">
      <c r="A154" s="7" t="s">
        <v>585</v>
      </c>
      <c r="B154" s="7" t="s">
        <v>330</v>
      </c>
      <c r="C154" s="7" t="s">
        <v>366</v>
      </c>
      <c r="D154" s="8" t="s">
        <v>367</v>
      </c>
      <c r="E154" s="7" t="s">
        <v>488</v>
      </c>
      <c r="F154" s="7" t="s">
        <v>489</v>
      </c>
    </row>
    <row r="155" spans="1:6" x14ac:dyDescent="0.45">
      <c r="A155" s="5" t="s">
        <v>586</v>
      </c>
      <c r="B155" s="5" t="s">
        <v>342</v>
      </c>
      <c r="C155" s="5" t="s">
        <v>381</v>
      </c>
      <c r="D155" s="10" t="s">
        <v>382</v>
      </c>
      <c r="E155" s="5" t="s">
        <v>452</v>
      </c>
      <c r="F155" s="5" t="s">
        <v>453</v>
      </c>
    </row>
    <row r="156" spans="1:6" x14ac:dyDescent="0.45">
      <c r="A156" s="7" t="s">
        <v>587</v>
      </c>
      <c r="B156" s="7" t="s">
        <v>338</v>
      </c>
      <c r="C156" s="7"/>
      <c r="D156" s="7"/>
      <c r="E156" s="7" t="s">
        <v>354</v>
      </c>
      <c r="F156" s="7" t="s">
        <v>355</v>
      </c>
    </row>
    <row r="157" spans="1:6" x14ac:dyDescent="0.45">
      <c r="A157" s="5" t="s">
        <v>588</v>
      </c>
      <c r="B157" s="5" t="s">
        <v>342</v>
      </c>
      <c r="C157" s="5" t="s">
        <v>589</v>
      </c>
      <c r="D157" s="6" t="s">
        <v>382</v>
      </c>
      <c r="E157" s="5"/>
      <c r="F157" s="5"/>
    </row>
    <row r="158" spans="1:6" x14ac:dyDescent="0.45">
      <c r="A158" s="7" t="s">
        <v>590</v>
      </c>
      <c r="B158" s="7" t="s">
        <v>342</v>
      </c>
      <c r="C158" s="7" t="s">
        <v>399</v>
      </c>
      <c r="D158" s="8" t="s">
        <v>400</v>
      </c>
      <c r="E158" s="7" t="s">
        <v>388</v>
      </c>
      <c r="F158" s="7" t="s">
        <v>389</v>
      </c>
    </row>
    <row r="159" spans="1:6" x14ac:dyDescent="0.45">
      <c r="A159" s="5" t="s">
        <v>99</v>
      </c>
      <c r="B159" s="5" t="s">
        <v>330</v>
      </c>
      <c r="C159" s="5" t="s">
        <v>331</v>
      </c>
      <c r="D159" s="6" t="s">
        <v>332</v>
      </c>
      <c r="E159" s="5" t="s">
        <v>565</v>
      </c>
      <c r="F159" s="6" t="s">
        <v>566</v>
      </c>
    </row>
    <row r="160" spans="1:6" x14ac:dyDescent="0.45">
      <c r="A160" s="7" t="s">
        <v>591</v>
      </c>
      <c r="B160" s="7" t="s">
        <v>330</v>
      </c>
      <c r="C160" s="7" t="s">
        <v>331</v>
      </c>
      <c r="D160" s="8" t="s">
        <v>332</v>
      </c>
      <c r="E160" s="7" t="s">
        <v>494</v>
      </c>
      <c r="F160" s="7" t="s">
        <v>495</v>
      </c>
    </row>
    <row r="161" spans="1:6" x14ac:dyDescent="0.45">
      <c r="A161" s="5" t="s">
        <v>592</v>
      </c>
      <c r="B161" s="5" t="s">
        <v>330</v>
      </c>
      <c r="C161" s="5" t="s">
        <v>331</v>
      </c>
      <c r="D161" s="6" t="s">
        <v>332</v>
      </c>
      <c r="E161" s="5" t="s">
        <v>447</v>
      </c>
      <c r="F161" s="5" t="s">
        <v>448</v>
      </c>
    </row>
  </sheetData>
  <hyperlinks>
    <hyperlink ref="D2" r:id="rId1" display="mailto:murrutxi@gavi.org" xr:uid="{8BF43300-7D5F-406D-92DC-5940887743BE}"/>
    <hyperlink ref="D4" r:id="rId2" display="mailto:smuller@gavi.org" xr:uid="{10778465-7533-43D5-AC67-C2C7E7DA59FA}"/>
    <hyperlink ref="D6" r:id="rId3" display="mailto:murrutxi@gavi.org" xr:uid="{1E08CB7A-A3D9-4E63-84DB-F428291C4762}"/>
    <hyperlink ref="F6" r:id="rId4" display="mailto:pdimattei@gavi.org" xr:uid="{B372589F-C7CF-4115-9FB1-63632E65257C}"/>
    <hyperlink ref="D14" r:id="rId5" display="mailto:hkiambuthi@gavi.org" xr:uid="{1BBE1846-3C91-4688-981F-76F2DF9FDC8B}"/>
    <hyperlink ref="D17" r:id="rId6" display="mailto:rbauquerez@gavi.org" xr:uid="{96E717CC-9FCF-4A4E-A359-7A8F11C26FD2}"/>
    <hyperlink ref="F17" r:id="rId7" display="mailto:kahawo@gavi.org" xr:uid="{A2BA5FB5-C2C8-48DD-95B8-83A354B69D95}"/>
    <hyperlink ref="D25" r:id="rId8" display="mailto:rbauquerez@gavi.org" xr:uid="{3669E59B-96C2-4991-BD6E-748229FE4AAB}"/>
    <hyperlink ref="F25" r:id="rId9" display="mailto:eawaga@gavi.org" xr:uid="{850EF21A-2EA6-4F2F-B06F-4B4F42D649B3}"/>
    <hyperlink ref="D26" r:id="rId10" display="mailto:murrutxi@gavi.org" xr:uid="{80BFBD4A-1FCC-4E6F-9A03-7CFC31A76139}"/>
    <hyperlink ref="D27" r:id="rId11" display="mailto:mfaid@gavi.org" xr:uid="{5B385365-F3EC-4CA7-AC99-B1DFE63217BC}"/>
    <hyperlink ref="F27" r:id="rId12" display="mailto:mfaid@gavi.org" xr:uid="{1FFD6D93-2E32-4A2D-ACCE-9DD812938AA6}"/>
    <hyperlink ref="D28" r:id="rId13" display="mailto:hkiambuthi@gavi.org" xr:uid="{3A89E04C-DFA0-4738-9BA8-DD1155F237E6}"/>
    <hyperlink ref="D29" r:id="rId14" display="mailto:rbauquerez@gavi.org" xr:uid="{D31E05AC-6366-4D03-BDBA-EBA63C1E984E}"/>
    <hyperlink ref="F29" r:id="rId15" display="mailto:rhafiz@gavi.org" xr:uid="{02D16FFC-3140-4402-A10C-C6AF95B31983}"/>
    <hyperlink ref="D32" r:id="rId16" display="mailto:rbauquerez@gavi.org" xr:uid="{7E0D1B5D-653B-4385-BC4C-588FE217222E}"/>
    <hyperlink ref="D33" r:id="rId17" display="mailto:rbauquerez@gavi.org" xr:uid="{DDA40CA1-CF6B-4CB4-9AC5-38447BCCF323}"/>
    <hyperlink ref="D37" r:id="rId18" display="mailto:murrutxi@gavi.org" xr:uid="{06A13736-57A6-4693-9038-6892E710CF27}"/>
    <hyperlink ref="D45" r:id="rId19" display="mailto:rbauquerez@gavi.org" xr:uid="{4FC7F0D9-D697-4066-9A2F-34457789BF03}"/>
    <hyperlink ref="D39" r:id="rId20" display="mailto:rbauquerez@gavi.org" xr:uid="{E844217A-C4D7-4969-BE29-D4B9DEB9823F}"/>
    <hyperlink ref="D40" r:id="rId21" display="mailto:mmeza@gavi.org" xr:uid="{2F836E92-D865-45DD-8741-8A6A543FEAD6}"/>
    <hyperlink ref="D44" r:id="rId22" display="mailto:hkiambuthi@gavi.org" xr:uid="{0154D9F3-9B57-4A7E-9605-F9430BCA8129}"/>
    <hyperlink ref="D41" r:id="rId23" display="mailto:murrutxi@gavi.org" xr:uid="{E60BEBF9-DBF5-4A5A-B94B-92644130F93D}"/>
    <hyperlink ref="F41" r:id="rId24" display="mailto:jcrawford@gavi.org" xr:uid="{24BF1052-6459-469A-9BF4-5F0AFEE24EAA}"/>
    <hyperlink ref="D42" r:id="rId25" display="mailto:rmugali@gavi.org" xr:uid="{0FBBC5D4-200B-4DAE-988A-E79560A4F585}"/>
    <hyperlink ref="D47" r:id="rId26" display="mailto:mfaid@gavi.org" xr:uid="{85BAA868-8671-4338-8A11-70E9C20FCF12}"/>
    <hyperlink ref="F47" r:id="rId27" display="mailto:mfaid@gavi.org" xr:uid="{A78629EF-4E60-4B18-A0DA-A5DA53C732FB}"/>
    <hyperlink ref="D48" r:id="rId28" display="mailto:mpaez-external-consultant@gavi.org" xr:uid="{0AFEC07F-B257-459E-817D-ADC1F41F9DB0}"/>
    <hyperlink ref="D50" r:id="rId29" display="mailto:murrutxi@gavi.org" xr:uid="{BA158F99-70A7-46B2-82FA-5D45DE1AF2E9}"/>
    <hyperlink ref="D51" r:id="rId30" display="mailto:mfaid@gavi.org" xr:uid="{B7C579F7-C809-47F2-955B-1D78F668B0E6}"/>
    <hyperlink ref="D52" r:id="rId31" display="mailto:hkiambuthi@gavi.org" xr:uid="{DB03041D-80C4-4B0B-B40B-91107291E02F}"/>
    <hyperlink ref="D55" r:id="rId32" display="mailto:hkiambuthi@gavi.org" xr:uid="{AE0700BF-20BC-481B-9599-64FE0FEB7B4B}"/>
    <hyperlink ref="D57" r:id="rId33" display="mailto:rbauquerez@gavi.org" xr:uid="{B3BC5CA6-3E2B-457B-B712-C06DE5F32BA9}"/>
    <hyperlink ref="F57" r:id="rId34" display="mailto:acisse@gavi.org" xr:uid="{7197A13E-81A6-4FD3-8D80-D6AC15B79A56}"/>
    <hyperlink ref="D58" r:id="rId35" display="mailto:rmugali@gavi.org" xr:uid="{C304806B-3F39-48BE-A7F5-97EF86301A3A}"/>
    <hyperlink ref="D60" r:id="rId36" display="mailto:rbauquerez@gavi.org" xr:uid="{57E23D4E-BDC1-4A83-A8E0-1BA12216F2CD}"/>
    <hyperlink ref="F60" r:id="rId37" display="mailto:eawaga@gavi.org" xr:uid="{49F56D0F-DA86-43FB-A13A-CC8025F7A191}"/>
    <hyperlink ref="D61" r:id="rId38" display="mailto:rbauquerez@gavi.org" xr:uid="{5F0F037F-537F-426F-A5B6-5376D583B4E5}"/>
    <hyperlink ref="F61" r:id="rId39" display="mailto:acisse@gavi.org" xr:uid="{21298604-D50B-4D35-B103-F14F66659AA4}"/>
    <hyperlink ref="D62" r:id="rId40" display="mailto:mmeza@gavi.org" xr:uid="{0B062A72-E83E-47C3-8F32-8272C9A27184}"/>
    <hyperlink ref="D63" r:id="rId41" display="mailto:murrutxi@gavi.org" xr:uid="{939E08CF-ABED-459E-B4F1-A2008BBA0F4B}"/>
    <hyperlink ref="D64" r:id="rId42" display="mailto:mmeza@gavi.org" xr:uid="{5B97C0CF-D217-4599-8873-23AF3274052E}"/>
    <hyperlink ref="D65" r:id="rId43" display="mailto:hkiambuthi@gavi.org" xr:uid="{5CD14DF9-536D-4792-B4D1-9A13FBD57AE4}"/>
    <hyperlink ref="D66" r:id="rId44" display="mailto:smuller@gavi.org" xr:uid="{2FC4D7EC-1C18-42F4-909D-AAAD6E0553C9}"/>
    <hyperlink ref="D73" r:id="rId45" display="mailto:murrutxi@gavi.org" xr:uid="{1FCF8A4A-A711-4122-8BF0-5D6908FA9550}"/>
    <hyperlink ref="D74" r:id="rId46" display="mailto:smuller@gavi.org" xr:uid="{3D06EE33-CE1A-40F4-AADB-1DAC6C3E6870}"/>
    <hyperlink ref="D75" r:id="rId47" display="mailto:mfaid@gavi.org" xr:uid="{274B0331-B6A3-4A3B-A363-8F51EE6C7787}"/>
    <hyperlink ref="F75" r:id="rId48" display="mailto:mfaid@gavi.org" xr:uid="{84656B53-A1E8-4804-A8A4-C2748F0C93EB}"/>
    <hyperlink ref="D77" r:id="rId49" display="mailto:hkiambuthi@gavi.org" xr:uid="{99AA606E-250E-44F5-8C96-0789112E7C3B}"/>
    <hyperlink ref="D78" r:id="rId50" display="mailto:hkiambuthi@gavi.org" xr:uid="{B62E2AF6-1BD3-4119-BAF2-2D244A5390B1}"/>
    <hyperlink ref="D80" r:id="rId51" display="mailto:murrutxi@gavi.org" xr:uid="{2115C983-EFCE-4267-A654-7200E2FC4098}"/>
    <hyperlink ref="D81" r:id="rId52" display="mailto:hkiambuthi@gavi.org" xr:uid="{50FA138D-C064-4672-B2AE-93A658229BD7}"/>
    <hyperlink ref="D83" r:id="rId53" display="mailto:murrutxi@gavi.org" xr:uid="{668A6548-38C5-4D70-A685-902A43328E03}"/>
    <hyperlink ref="D84" r:id="rId54" display="mailto:murrutxi@gavi.org" xr:uid="{4BDCDB23-544B-47EB-8ADC-0F9C00226819}"/>
    <hyperlink ref="D87" r:id="rId55" display="mailto:rbauquerez@gavi.org" xr:uid="{320BF38B-6471-4675-BE34-4D91637DD8FB}"/>
    <hyperlink ref="F87" r:id="rId56" display="mailto:tvincent@gavi.org" xr:uid="{5C267B1B-890B-47BB-94B8-9D67312A95A2}"/>
    <hyperlink ref="D89" r:id="rId57" display="mailto:rbauquerez@gavi.org" xr:uid="{758400BC-BA4A-42FA-BA92-3437843ACD08}"/>
    <hyperlink ref="D93" r:id="rId58" display="mailto:smuller@gavi.org" xr:uid="{5BFF7537-AFF6-447A-8FB8-79261474A96D}"/>
    <hyperlink ref="D95" r:id="rId59" display="mailto:hkiambuthi@gavi.org" xr:uid="{49618F7D-31C3-4E19-BAA8-1CD3939961BE}"/>
    <hyperlink ref="D98" r:id="rId60" display="mailto:mfaid@gavi.org" xr:uid="{F7F9946C-0049-497A-A706-38AD6EA28027}"/>
    <hyperlink ref="F98" r:id="rId61" display="mailto:mfaid@gavi.org" xr:uid="{3D790E8D-6806-4983-8DB4-C5757F808FD8}"/>
    <hyperlink ref="D99" r:id="rId62" display="mailto:murrutxi@gavi.org" xr:uid="{33DDDA93-A2D9-4055-994C-A85693CB4C6B}"/>
    <hyperlink ref="F99" r:id="rId63" display="mailto:pdimattei@gavi.org" xr:uid="{C5876583-C601-4179-BD41-60BD0ED18C66}"/>
    <hyperlink ref="D100" r:id="rId64" display="mailto:hkiambuthi@gavi.org" xr:uid="{7E74698E-5F49-420C-BD4A-08E81DE87688}"/>
    <hyperlink ref="D103" r:id="rId65" display="mailto:hkiambuthi@gavi.org" xr:uid="{011D35DB-17DD-48ED-9834-514BF9436157}"/>
    <hyperlink ref="D106" r:id="rId66" display="mailto:rbauquerez@gavi.org" xr:uid="{CAB64D56-433D-4CB2-A224-87C01F7661DB}"/>
    <hyperlink ref="D107" r:id="rId67" display="mailto:hkiambuthi@gavi.org" xr:uid="{D90383D4-2E74-4411-AA2A-41787F8FC3A1}"/>
    <hyperlink ref="D110" r:id="rId68" display="mailto:hkiambuthi@gavi.org" xr:uid="{490F0A9D-B50F-4C26-A124-D01FD9035240}"/>
    <hyperlink ref="D113" r:id="rId69" display="mailto:murrutxi@gavi.org" xr:uid="{BF6858CA-D11E-4720-807B-00672886BA10}"/>
    <hyperlink ref="D116" r:id="rId70" display="mailto:anader@gavi.org" xr:uid="{97412C78-4A98-4718-BE6C-FE53BBFE8C0B}"/>
    <hyperlink ref="D118" r:id="rId71" display="mailto:murrutxi@gavi.org" xr:uid="{7CFF3213-90AA-4C87-9EE6-48008B992644}"/>
    <hyperlink ref="F118" r:id="rId72" display="mailto:jsherova@gavi.org" xr:uid="{CEE545F3-1B11-428C-B516-02B8BF834DF3}"/>
    <hyperlink ref="D119" r:id="rId73" display="mailto:rmugali@gavi.org" xr:uid="{F5F06D0D-27FA-4A0F-8B2B-703632EA877E}"/>
    <hyperlink ref="D120" r:id="rId74" display="mailto:rmugali@gavi.org" xr:uid="{5A917FA3-66E8-4E59-B2DD-F8EE835A4DC2}"/>
    <hyperlink ref="D122" r:id="rId75" display="mailto:rbauquerez@gavi.org" xr:uid="{77E76CAC-8FB9-464D-A553-B6A86F8C1AA3}"/>
    <hyperlink ref="F122" r:id="rId76" display="mailto:acisse@gavi.org" xr:uid="{52D76559-9C2D-4AE8-A0A9-6DC7F0AA516E}"/>
    <hyperlink ref="D124" r:id="rId77" display="mailto:rbauquerez@gavi.org" xr:uid="{35C93673-8020-465E-8418-1CDE81DB4338}"/>
    <hyperlink ref="D127" r:id="rId78" xr:uid="{A4530E7A-5082-4930-B4A9-E0B96D3D11E4}"/>
    <hyperlink ref="D129" r:id="rId79" display="mailto:hkiambuthi@gavi.org" xr:uid="{0465A614-DDB7-4161-B847-C059DD59DDEC}"/>
    <hyperlink ref="D130" r:id="rId80" display="mailto:murrutxi@gavi.org" xr:uid="{7BDB06FA-3D3C-4E9A-ADD9-00FFAEA82F8D}"/>
    <hyperlink ref="F130" r:id="rId81" display="mailto:pmusanhu@gavi.org" xr:uid="{B75C2016-6295-4D8A-994E-F3EB92653091}"/>
    <hyperlink ref="D133" r:id="rId82" display="mailto:murrutxi@gavi.org" xr:uid="{574556E9-0749-4D9D-B479-BC72DA3E1A71}"/>
    <hyperlink ref="D134" r:id="rId83" display="mailto:hkiambuthi@gavi.org" xr:uid="{71E59CE1-1204-439A-B8EA-0C27DE15E9D8}"/>
    <hyperlink ref="D135" r:id="rId84" display="mailto:murrutxi@gavi.org" xr:uid="{9E15A778-510E-4F8B-A785-69E02CE76ACA}"/>
    <hyperlink ref="F135" r:id="rId85" display="mailto:acronin@gavi.org" xr:uid="{79EBE17A-7A43-425D-831F-5A732F9B84DA}"/>
    <hyperlink ref="D138" r:id="rId86" display="mailto:murrutxi@gavi.org" xr:uid="{68ABF817-BACC-43DB-AC75-57A3331F5223}"/>
    <hyperlink ref="D139" r:id="rId87" display="mailto:murrutxi@gavi.org" xr:uid="{7481A118-3F86-432A-9191-ECC373466621}"/>
    <hyperlink ref="D140" r:id="rId88" display="mailto:murrutxi@gavi.org" xr:uid="{67E7E12B-1043-4429-B1C6-AF25BC6A902E}"/>
    <hyperlink ref="D141" r:id="rId89" display="mailto:hkiambuthi@gavi.org" xr:uid="{28D72E3D-AB6C-4E34-925C-44871372460E}"/>
    <hyperlink ref="D142" r:id="rId90" display="mailto:murrutxi@gavi.org" xr:uid="{AD85C978-31C4-40DF-819E-2F4CDF174F89}"/>
    <hyperlink ref="D143" r:id="rId91" display="mailto:hkiambuthi@gavi.org" xr:uid="{1C637554-81DA-43C0-A1D7-7C85C692BAFD}"/>
    <hyperlink ref="D144" r:id="rId92" display="mailto:rbauquerez@gavi.org" xr:uid="{D8A572DE-4F84-4DB3-89E6-2ADD6E142EF0}"/>
    <hyperlink ref="D147" r:id="rId93" display="mailto:mfaid@gavi.org" xr:uid="{B3B989F1-C6BA-4518-AD9A-BDEC65EBCAA9}"/>
    <hyperlink ref="F147" r:id="rId94" display="mailto:mfaid@gavi.org" xr:uid="{DE6169E0-02D2-4767-834C-B9FE8298C830}"/>
    <hyperlink ref="D150" r:id="rId95" display="mailto:murrutxi@gavi.org" xr:uid="{8D91AF50-373B-4563-9E05-979C8FFC5FEC}"/>
    <hyperlink ref="D151" r:id="rId96" display="mailto:mfaid@gavi.org" xr:uid="{6628BF0C-B965-4426-9142-B7C9FFA1C580}"/>
    <hyperlink ref="F151" r:id="rId97" display="mailto:mfaid@gavi.org" xr:uid="{A38A063A-C5FE-4DFF-8247-C636D0E02E9D}"/>
    <hyperlink ref="D154" r:id="rId98" display="mailto:hkiambuthi@gavi.org" xr:uid="{96893F79-61FC-437A-A06F-E97E4F2AEF51}"/>
    <hyperlink ref="D157" r:id="rId99" display="mailto:anader@gavi.org" xr:uid="{C78AF813-5312-4F46-B83D-8443E595C573}"/>
    <hyperlink ref="D158" r:id="rId100" display="mailto:mfaid@gavi.org" xr:uid="{ADAC0BAD-E6BA-4589-8EFB-A8478E54A850}"/>
    <hyperlink ref="D159" r:id="rId101" display="mailto:murrutxi@gavi.org" xr:uid="{A925123F-E107-4511-9A54-57A8973DE9C2}"/>
    <hyperlink ref="F159" r:id="rId102" display="mailto:acronin@gavi.org" xr:uid="{018E149C-6A1C-46CF-9E71-5287339C9BF4}"/>
    <hyperlink ref="D160" r:id="rId103" display="mailto:murrutxi@gavi.org" xr:uid="{20513235-55E7-4C53-BAB1-D88981E26D32}"/>
    <hyperlink ref="D161" r:id="rId104" display="mailto:murrutxi@gavi.org" xr:uid="{4C4422A0-4560-4621-BCED-1DBB92936CC1}"/>
    <hyperlink ref="F113" r:id="rId105" xr:uid="{564AC68A-58D4-4A0D-A3A2-F6DF33EC5457}"/>
    <hyperlink ref="H63" r:id="rId106" xr:uid="{1CCDBCFD-2E2B-4922-A173-C89E715FA981}"/>
    <hyperlink ref="H45" r:id="rId107" xr:uid="{1F1A235B-B436-4431-BE10-0BBE6E879BE1}"/>
    <hyperlink ref="H26" r:id="rId108" xr:uid="{FC7E60C6-F903-4D0B-8648-22BA44D455F4}"/>
    <hyperlink ref="H52" r:id="rId109" xr:uid="{A233DEE4-87EF-451A-9F3A-256F2233DE4A}"/>
    <hyperlink ref="H107" r:id="rId110" xr:uid="{2146A753-ED08-43BF-A571-9FA55946F9B8}"/>
    <hyperlink ref="H55" r:id="rId111" xr:uid="{1B2133B1-DAF8-4EC4-A1B0-EAC3C7808363}"/>
  </hyperlinks>
  <pageMargins left="0.7" right="0.7" top="0.75" bottom="0.75" header="0.3" footer="0.3"/>
  <pageSetup paperSize="9" orientation="portrait" horizontalDpi="1200" verticalDpi="1200" r:id="rId112"/>
  <tableParts count="1">
    <tablePart r:id="rId11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13A188-427D-4CF3-BDF7-2C5D4A5374C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277850E-7C3F-4765-B404-56867E9CDD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A915D1A-18AD-4B30-BF03-467F55554A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vt:lpstr>
      <vt:lpstr>Utilities</vt:lpstr>
      <vt:lpstr>Tracking &gt;&gt;</vt:lpstr>
      <vt:lpstr>Overview</vt:lpstr>
      <vt:lpstr>Funding tracker</vt:lpstr>
      <vt:lpstr>Other actions identified</vt:lpstr>
      <vt:lpstr>Extract &gt;&gt;</vt:lpstr>
      <vt:lpstr>Slides making</vt:lpstr>
      <vt:lpstr>Sources &gt;&gt;</vt:lpstr>
      <vt:lpstr>SCM &amp; DO contact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Wery, Anais</dc:creator>
  <cp:keywords/>
  <dc:description/>
  <cp:lastModifiedBy>Rafael Panlilio</cp:lastModifiedBy>
  <cp:revision/>
  <dcterms:created xsi:type="dcterms:W3CDTF">2022-03-01T11:23:55Z</dcterms:created>
  <dcterms:modified xsi:type="dcterms:W3CDTF">2022-11-18T04:58:12Z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2022-03-01T12:08:24Z</vt:lpwstr>
  </property>
  <property fmtid="{D5CDD505-2E9C-101B-9397-08002B2CF9AE}" pid="4" name="MSIP_Label_b0d5c4f4-7a29-4385-b7a5-afbe2154ae6f_Method">
    <vt:lpwstr>Standard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208b7638-e761-4e42-8a2f-5c58d17c796a</vt:lpwstr>
  </property>
  <property fmtid="{D5CDD505-2E9C-101B-9397-08002B2CF9AE}" pid="8" name="MSIP_Label_b0d5c4f4-7a29-4385-b7a5-afbe2154ae6f_ContentBits">
    <vt:lpwstr>0</vt:lpwstr>
  </property>
  <property fmtid="{D5CDD505-2E9C-101B-9397-08002B2CF9AE}" pid="9" name="bcgClassification">
    <vt:lpwstr>bcgConfidential</vt:lpwstr>
  </property>
  <property fmtid="{D5CDD505-2E9C-101B-9397-08002B2CF9AE}" pid="10" name="ContentTypeId">
    <vt:lpwstr>0x0101001F87334A6AC30D4EA6021977FA7E2445</vt:lpwstr>
  </property>
  <property fmtid="{D5CDD505-2E9C-101B-9397-08002B2CF9AE}" pid="11" name="MediaServiceImageTags">
    <vt:lpwstr/>
  </property>
</Properties>
</file>