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12/_input/"/>
    </mc:Choice>
  </mc:AlternateContent>
  <xr:revisionPtr revIDLastSave="0" documentId="13_ncr:1_{23388CD4-9F6B-44DF-B82A-58EE6629CC34}" xr6:coauthVersionLast="47" xr6:coauthVersionMax="47" xr10:uidLastSave="{00000000-0000-0000-0000-000000000000}"/>
  <bookViews>
    <workbookView xWindow="-110" yWindow="-110" windowWidth="19420" windowHeight="11020" firstSheet="3" activeTab="4"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ources &gt;&gt;" sheetId="9" r:id="rId9"/>
    <sheet name="SCM &amp; DO contact list" sheetId="6" r:id="rId10"/>
  </sheets>
  <definedNames>
    <definedName name="_xlnm._FilterDatabase" localSheetId="9" hidden="1">'SCM &amp; DO contact list'!$A$1:$G$161</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4" l="1"/>
  <c r="D19" i="4"/>
  <c r="E19" i="4"/>
  <c r="R19" i="4"/>
  <c r="T19" i="4"/>
  <c r="W19" i="4"/>
  <c r="AA19" i="4"/>
  <c r="AC19" i="4" s="1"/>
  <c r="AB19" i="4"/>
  <c r="AD19" i="4"/>
  <c r="Z19" i="4" s="1" a="1"/>
  <c r="Z19" i="4" s="1"/>
  <c r="AF19" i="4"/>
  <c r="AG19" i="4"/>
  <c r="A20" i="4"/>
  <c r="D20" i="4"/>
  <c r="E20" i="4"/>
  <c r="R20" i="4"/>
  <c r="W20" i="4"/>
  <c r="AA20" i="4"/>
  <c r="AC20" i="4" s="1"/>
  <c r="AB20" i="4"/>
  <c r="AD20" i="4"/>
  <c r="Z20" i="4" s="1" a="1"/>
  <c r="Z20" i="4" s="1"/>
  <c r="AF20" i="4"/>
  <c r="AG20" i="4"/>
  <c r="A23" i="4"/>
  <c r="D23" i="4"/>
  <c r="E23" i="4"/>
  <c r="R23" i="4"/>
  <c r="T23" i="4"/>
  <c r="W23" i="4"/>
  <c r="AA23" i="4"/>
  <c r="AC23" i="4" s="1"/>
  <c r="AB23" i="4"/>
  <c r="AD23" i="4"/>
  <c r="Z23" i="4" s="1" a="1"/>
  <c r="Z23" i="4" s="1"/>
  <c r="AK23" i="4" s="1"/>
  <c r="AE23" i="4"/>
  <c r="AF23" i="4"/>
  <c r="AG23" i="4"/>
  <c r="AG9" i="4"/>
  <c r="AF9" i="4"/>
  <c r="AD9" i="4"/>
  <c r="Z9" i="4" s="1" a="1"/>
  <c r="Z9" i="4" s="1"/>
  <c r="AB9" i="4"/>
  <c r="AA9" i="4"/>
  <c r="AC9" i="4" s="1"/>
  <c r="W9" i="4"/>
  <c r="R9" i="4"/>
  <c r="E9" i="4"/>
  <c r="D9" i="4"/>
  <c r="A9" i="4"/>
  <c r="A4" i="4"/>
  <c r="AG4" i="4"/>
  <c r="AF4" i="4"/>
  <c r="AD4" i="4"/>
  <c r="Z4" i="4" s="1" a="1"/>
  <c r="Z4" i="4" s="1"/>
  <c r="AB4" i="4"/>
  <c r="AA4" i="4"/>
  <c r="AC4" i="4" s="1"/>
  <c r="W4" i="4"/>
  <c r="R4" i="4"/>
  <c r="E4" i="4"/>
  <c r="D4" i="4"/>
  <c r="AK19" i="4" l="1"/>
  <c r="AK20" i="4"/>
  <c r="AK9" i="4"/>
  <c r="AK4" i="4"/>
  <c r="T30" i="4" l="1"/>
  <c r="A27" i="4"/>
  <c r="D27" i="4"/>
  <c r="E27" i="4"/>
  <c r="R27" i="4"/>
  <c r="T27" i="4"/>
  <c r="W27" i="4"/>
  <c r="AA27" i="4"/>
  <c r="AC27" i="4" s="1"/>
  <c r="AB27" i="4"/>
  <c r="AD27" i="4"/>
  <c r="Z27" i="4" s="1" a="1"/>
  <c r="Z27" i="4" s="1"/>
  <c r="AF27" i="4"/>
  <c r="AG27" i="4"/>
  <c r="AG17" i="4"/>
  <c r="AF17" i="4"/>
  <c r="AD17" i="4"/>
  <c r="Z17" i="4" s="1" a="1"/>
  <c r="Z17" i="4" s="1"/>
  <c r="AB17" i="4"/>
  <c r="AA17" i="4"/>
  <c r="AC17" i="4" s="1"/>
  <c r="W17" i="4"/>
  <c r="R17" i="4"/>
  <c r="E17" i="4"/>
  <c r="D17" i="4"/>
  <c r="A17" i="4"/>
  <c r="AK27" i="4" l="1"/>
  <c r="AK17" i="4"/>
  <c r="H35" i="4" l="1"/>
  <c r="AG34" i="4"/>
  <c r="AF34" i="4"/>
  <c r="AD34" i="4"/>
  <c r="Z34" i="4" s="1" a="1"/>
  <c r="Z34" i="4" s="1"/>
  <c r="AB34" i="4"/>
  <c r="AA34" i="4"/>
  <c r="AC34" i="4" s="1"/>
  <c r="W34" i="4"/>
  <c r="T34" i="4"/>
  <c r="R34" i="4"/>
  <c r="E34" i="4"/>
  <c r="D34" i="4"/>
  <c r="A34" i="4"/>
  <c r="AK34" i="4" l="1"/>
  <c r="AG40" i="4" l="1"/>
  <c r="AF40" i="4"/>
  <c r="AD40" i="4"/>
  <c r="Z40" i="4" s="1" a="1"/>
  <c r="Z40" i="4" s="1"/>
  <c r="AB40" i="4"/>
  <c r="AA40" i="4"/>
  <c r="AC40" i="4" s="1"/>
  <c r="W40" i="4"/>
  <c r="R40" i="4"/>
  <c r="E40" i="4"/>
  <c r="D40" i="4"/>
  <c r="A40" i="4"/>
  <c r="AG38" i="4"/>
  <c r="AF38" i="4"/>
  <c r="AD38" i="4"/>
  <c r="Z38" i="4" s="1" a="1"/>
  <c r="Z38" i="4" s="1"/>
  <c r="AB38" i="4"/>
  <c r="AA38" i="4"/>
  <c r="AC38" i="4" s="1"/>
  <c r="W38" i="4"/>
  <c r="R38" i="4"/>
  <c r="E38" i="4"/>
  <c r="D38" i="4"/>
  <c r="A38" i="4"/>
  <c r="R33" i="4"/>
  <c r="A33" i="4"/>
  <c r="D33" i="4"/>
  <c r="E33" i="4"/>
  <c r="T33" i="4"/>
  <c r="W33" i="4"/>
  <c r="AA33" i="4"/>
  <c r="AC33" i="4" s="1"/>
  <c r="AB33" i="4"/>
  <c r="AD33" i="4"/>
  <c r="Z33" i="4" s="1" a="1"/>
  <c r="Z33" i="4" s="1"/>
  <c r="AK33" i="4" s="1"/>
  <c r="AF33" i="4"/>
  <c r="AG33" i="4"/>
  <c r="AG32" i="4"/>
  <c r="AF32" i="4"/>
  <c r="AD32" i="4"/>
  <c r="Z32" i="4" s="1" a="1"/>
  <c r="Z32" i="4" s="1"/>
  <c r="AB32" i="4"/>
  <c r="AA32" i="4"/>
  <c r="AC32" i="4" s="1"/>
  <c r="W32" i="4"/>
  <c r="T32" i="4"/>
  <c r="R32" i="4"/>
  <c r="E32" i="4"/>
  <c r="D32" i="4"/>
  <c r="A32" i="4"/>
  <c r="AK40" i="4" l="1"/>
  <c r="AK38" i="4"/>
  <c r="AK32" i="4"/>
  <c r="N11" i="4" l="1"/>
  <c r="AG31" i="4"/>
  <c r="AF31" i="4"/>
  <c r="AD31" i="4"/>
  <c r="Z31" i="4" s="1" a="1"/>
  <c r="Z31" i="4" s="1"/>
  <c r="AB31" i="4"/>
  <c r="AA31" i="4"/>
  <c r="AC31" i="4" s="1"/>
  <c r="W31" i="4"/>
  <c r="T31" i="4"/>
  <c r="R31" i="4"/>
  <c r="E31" i="4"/>
  <c r="D31" i="4"/>
  <c r="A31" i="4"/>
  <c r="A29" i="4"/>
  <c r="D29" i="4"/>
  <c r="E29" i="4"/>
  <c r="R29" i="4"/>
  <c r="W29" i="4"/>
  <c r="AA29" i="4"/>
  <c r="AC29" i="4" s="1"/>
  <c r="AB29" i="4"/>
  <c r="AD29" i="4"/>
  <c r="AF29" i="4"/>
  <c r="AG29" i="4"/>
  <c r="A13" i="4"/>
  <c r="D13" i="4"/>
  <c r="E13" i="4"/>
  <c r="R13" i="4"/>
  <c r="T13" i="4"/>
  <c r="W13" i="4"/>
  <c r="AA13" i="4"/>
  <c r="AC13" i="4" s="1"/>
  <c r="AB13" i="4"/>
  <c r="AD13" i="4"/>
  <c r="Z13" i="4" s="1" a="1"/>
  <c r="Z13" i="4" s="1"/>
  <c r="AF13" i="4"/>
  <c r="AG13" i="4"/>
  <c r="A28" i="4"/>
  <c r="D28" i="4"/>
  <c r="E28" i="4"/>
  <c r="R28" i="4"/>
  <c r="T28" i="4"/>
  <c r="W28" i="4"/>
  <c r="AA28" i="4"/>
  <c r="AC28" i="4" s="1"/>
  <c r="AB28" i="4"/>
  <c r="AD28" i="4"/>
  <c r="Z28" i="4" s="1" a="1"/>
  <c r="Z28" i="4" s="1"/>
  <c r="AF28" i="4"/>
  <c r="AG28" i="4"/>
  <c r="A37" i="4"/>
  <c r="D37" i="4"/>
  <c r="E37" i="4"/>
  <c r="R37" i="4"/>
  <c r="T37" i="4"/>
  <c r="W37" i="4"/>
  <c r="AA37" i="4"/>
  <c r="AC37" i="4" s="1"/>
  <c r="AB37" i="4"/>
  <c r="AD37" i="4"/>
  <c r="Z37" i="4" s="1" a="1"/>
  <c r="Z37" i="4" s="1"/>
  <c r="AF37" i="4"/>
  <c r="AG37" i="4"/>
  <c r="A10" i="4"/>
  <c r="D10" i="4"/>
  <c r="E10" i="4"/>
  <c r="R10" i="4"/>
  <c r="W10" i="4"/>
  <c r="AA10" i="4"/>
  <c r="AC10" i="4" s="1"/>
  <c r="AB10" i="4"/>
  <c r="AD10" i="4"/>
  <c r="Z10" i="4" s="1" a="1"/>
  <c r="Z10" i="4" s="1"/>
  <c r="AE10" i="4"/>
  <c r="AF10" i="4"/>
  <c r="AG10" i="4"/>
  <c r="AE42" i="4"/>
  <c r="AE15" i="4"/>
  <c r="AE16" i="4"/>
  <c r="AE22" i="4"/>
  <c r="AE14" i="4"/>
  <c r="AE24" i="4"/>
  <c r="AE2" i="4"/>
  <c r="AE41" i="4"/>
  <c r="AE39" i="4"/>
  <c r="AE21" i="4"/>
  <c r="AE26" i="4"/>
  <c r="AE30" i="4"/>
  <c r="AG11" i="4"/>
  <c r="AG12" i="4"/>
  <c r="AG8" i="4"/>
  <c r="AG5" i="4"/>
  <c r="AG6" i="4"/>
  <c r="AG7" i="4"/>
  <c r="AG18" i="4"/>
  <c r="AG36" i="4"/>
  <c r="AG35" i="4"/>
  <c r="AG25" i="4"/>
  <c r="AG3" i="4"/>
  <c r="AG42" i="4"/>
  <c r="AG15" i="4"/>
  <c r="AG16" i="4"/>
  <c r="AG22" i="4"/>
  <c r="AG14" i="4"/>
  <c r="AG24" i="4"/>
  <c r="AG2" i="4"/>
  <c r="AG41" i="4"/>
  <c r="AG39" i="4"/>
  <c r="AG21" i="4"/>
  <c r="AG26" i="4"/>
  <c r="AG30" i="4"/>
  <c r="AE35" i="4"/>
  <c r="AE36" i="4"/>
  <c r="AE18" i="4"/>
  <c r="AF12" i="4"/>
  <c r="AF8" i="4"/>
  <c r="AF5" i="4"/>
  <c r="AF6" i="4"/>
  <c r="AF7" i="4"/>
  <c r="AF18" i="4"/>
  <c r="AF36" i="4"/>
  <c r="AF35" i="4"/>
  <c r="AF25" i="4"/>
  <c r="AF3" i="4"/>
  <c r="AF42" i="4"/>
  <c r="AF15" i="4"/>
  <c r="AF16" i="4"/>
  <c r="AF22" i="4"/>
  <c r="AF14" i="4"/>
  <c r="AF24" i="4"/>
  <c r="AF2" i="4"/>
  <c r="AF41" i="4"/>
  <c r="AF39" i="4"/>
  <c r="AF21" i="4"/>
  <c r="AF26" i="4"/>
  <c r="AF30" i="4"/>
  <c r="T21" i="4"/>
  <c r="AD30" i="4"/>
  <c r="Z30" i="4" s="1" a="1"/>
  <c r="Z30" i="4" s="1"/>
  <c r="AB30" i="4"/>
  <c r="AA30" i="4"/>
  <c r="AC30" i="4" s="1"/>
  <c r="W30" i="4"/>
  <c r="R30" i="4"/>
  <c r="E30" i="4"/>
  <c r="D30" i="4"/>
  <c r="A30" i="4"/>
  <c r="AD26" i="4"/>
  <c r="Z26" i="4" s="1" a="1"/>
  <c r="Z26" i="4" s="1"/>
  <c r="AB26" i="4"/>
  <c r="AA26" i="4"/>
  <c r="AC26" i="4" s="1"/>
  <c r="W26" i="4"/>
  <c r="T26" i="4"/>
  <c r="R26" i="4"/>
  <c r="E26" i="4"/>
  <c r="D26" i="4"/>
  <c r="A26" i="4"/>
  <c r="AD21" i="4"/>
  <c r="Z21" i="4" s="1" a="1"/>
  <c r="Z21" i="4" s="1"/>
  <c r="AB21" i="4"/>
  <c r="AA21" i="4"/>
  <c r="AC21" i="4" s="1"/>
  <c r="W21" i="4"/>
  <c r="R21" i="4"/>
  <c r="E21" i="4"/>
  <c r="D21" i="4"/>
  <c r="A21" i="4"/>
  <c r="A36" i="4"/>
  <c r="D36" i="4"/>
  <c r="E36" i="4"/>
  <c r="R36" i="4"/>
  <c r="T36" i="4"/>
  <c r="W36" i="4"/>
  <c r="AA36" i="4"/>
  <c r="AC36" i="4" s="1"/>
  <c r="AB36" i="4"/>
  <c r="AD36" i="4"/>
  <c r="Z36" i="4" s="1" a="1"/>
  <c r="Z36" i="4" s="1"/>
  <c r="AK36" i="4" s="1"/>
  <c r="AK31" i="4" l="1"/>
  <c r="D52" i="7"/>
  <c r="AK29" i="4"/>
  <c r="AK13" i="4"/>
  <c r="AK28" i="4"/>
  <c r="AK37" i="4"/>
  <c r="AK10" i="4"/>
  <c r="L52" i="7"/>
  <c r="H52" i="7"/>
  <c r="H53" i="7"/>
  <c r="L53" i="7"/>
  <c r="AK30" i="4"/>
  <c r="AK26" i="4"/>
  <c r="AK21" i="4"/>
  <c r="A39" i="4"/>
  <c r="D39" i="4"/>
  <c r="E39" i="4"/>
  <c r="R39" i="4"/>
  <c r="W39" i="4"/>
  <c r="AA39" i="4"/>
  <c r="AC39" i="4" s="1"/>
  <c r="AB39" i="4"/>
  <c r="AD39" i="4"/>
  <c r="Z39" i="4" s="1" a="1"/>
  <c r="Z39" i="4" s="1"/>
  <c r="A41" i="4"/>
  <c r="D41" i="4"/>
  <c r="E41" i="4"/>
  <c r="R41" i="4"/>
  <c r="W41" i="4"/>
  <c r="AA41" i="4"/>
  <c r="AC41" i="4" s="1"/>
  <c r="AB41" i="4"/>
  <c r="AD41" i="4"/>
  <c r="Z41" i="4" s="1" a="1"/>
  <c r="Z41" i="4" s="1"/>
  <c r="AK41" i="4" l="1"/>
  <c r="AK39" i="4"/>
  <c r="A2" i="4"/>
  <c r="D2" i="4"/>
  <c r="E2" i="4"/>
  <c r="R2" i="4"/>
  <c r="W2" i="4"/>
  <c r="AA2" i="4"/>
  <c r="AC2" i="4" s="1"/>
  <c r="AB2" i="4"/>
  <c r="AD2" i="4"/>
  <c r="Z2" i="4" s="1" a="1"/>
  <c r="Z2" i="4" s="1"/>
  <c r="AB35" i="4"/>
  <c r="D35" i="4"/>
  <c r="E35" i="4"/>
  <c r="R35" i="4"/>
  <c r="T35" i="4"/>
  <c r="W35" i="4"/>
  <c r="AA35" i="4"/>
  <c r="AC35" i="4" s="1"/>
  <c r="AD35" i="4"/>
  <c r="Z35" i="4" s="1" a="1"/>
  <c r="Z35" i="4" s="1"/>
  <c r="AE11" i="4"/>
  <c r="A11" i="4"/>
  <c r="D11" i="4"/>
  <c r="E11" i="4"/>
  <c r="R11" i="4"/>
  <c r="W11" i="4"/>
  <c r="AD11" i="4"/>
  <c r="Z11" i="4" s="1" a="1"/>
  <c r="Z11" i="4" s="1"/>
  <c r="A14" i="4"/>
  <c r="AD24" i="4"/>
  <c r="Z24" i="4" s="1" a="1"/>
  <c r="Z24" i="4" s="1"/>
  <c r="AB24" i="4"/>
  <c r="AA24" i="4"/>
  <c r="AC24" i="4" s="1"/>
  <c r="W24" i="4"/>
  <c r="R24" i="4"/>
  <c r="E24" i="4"/>
  <c r="D24" i="4"/>
  <c r="A24" i="4"/>
  <c r="D14" i="4"/>
  <c r="E14" i="4"/>
  <c r="R14" i="4"/>
  <c r="W14" i="4"/>
  <c r="AA14" i="4"/>
  <c r="AC14" i="4" s="1"/>
  <c r="AB14" i="4"/>
  <c r="AD14" i="4"/>
  <c r="Z14" i="4" s="1" a="1"/>
  <c r="Z14" i="4" s="1"/>
  <c r="H174" i="7"/>
  <c r="H73" i="7"/>
  <c r="AD12" i="4"/>
  <c r="Z12" i="4" s="1" a="1"/>
  <c r="Z12" i="4" s="1"/>
  <c r="AD8" i="4"/>
  <c r="Z8" i="4" s="1" a="1"/>
  <c r="Z8" i="4" s="1"/>
  <c r="AD5" i="4"/>
  <c r="Z5" i="4" s="1" a="1"/>
  <c r="Z5" i="4" s="1"/>
  <c r="AD6" i="4"/>
  <c r="Z6" i="4" s="1" a="1"/>
  <c r="Z6" i="4" s="1"/>
  <c r="AD7" i="4"/>
  <c r="Z7" i="4" s="1" a="1"/>
  <c r="Z7" i="4" s="1"/>
  <c r="AD18" i="4"/>
  <c r="Z18" i="4" s="1" a="1"/>
  <c r="Z18" i="4" s="1"/>
  <c r="AD25" i="4"/>
  <c r="Z25" i="4" s="1" a="1"/>
  <c r="Z25" i="4" s="1"/>
  <c r="AD3" i="4"/>
  <c r="Z3" i="4" s="1" a="1"/>
  <c r="Z3" i="4" s="1"/>
  <c r="AD42" i="4"/>
  <c r="AD15" i="4"/>
  <c r="Z15" i="4" s="1" a="1"/>
  <c r="Z15" i="4" s="1"/>
  <c r="AD16" i="4"/>
  <c r="Z16" i="4" s="1" a="1"/>
  <c r="Z16" i="4" s="1"/>
  <c r="AD22" i="4"/>
  <c r="Z22" i="4" s="1" a="1"/>
  <c r="Z22" i="4" s="1"/>
  <c r="H7" i="7"/>
  <c r="D57" i="1"/>
  <c r="A22" i="4"/>
  <c r="D22" i="4"/>
  <c r="E22" i="4"/>
  <c r="R22" i="4"/>
  <c r="W22" i="4"/>
  <c r="AA22" i="4"/>
  <c r="AC22" i="4" s="1"/>
  <c r="AB22" i="4"/>
  <c r="AB16" i="4"/>
  <c r="AA16" i="4"/>
  <c r="AC16" i="4" s="1"/>
  <c r="W16" i="4"/>
  <c r="R16" i="4"/>
  <c r="E16" i="4"/>
  <c r="D16" i="4"/>
  <c r="A16" i="4"/>
  <c r="D8" i="7" l="1"/>
  <c r="AF11" i="4"/>
  <c r="AA11" i="4"/>
  <c r="AC11" i="4" s="1"/>
  <c r="AK2" i="4"/>
  <c r="A35" i="4"/>
  <c r="AB11" i="4"/>
  <c r="AK11" i="4" s="1"/>
  <c r="AK35" i="4"/>
  <c r="AK24" i="4"/>
  <c r="AK14" i="4"/>
  <c r="E174" i="7"/>
  <c r="G174" i="7"/>
  <c r="I174" i="7"/>
  <c r="AB12" i="4"/>
  <c r="AB8" i="4"/>
  <c r="AB5" i="4"/>
  <c r="AB6" i="4"/>
  <c r="AB7" i="4"/>
  <c r="AB18" i="4"/>
  <c r="AB25" i="4"/>
  <c r="AB3" i="4"/>
  <c r="AB42" i="4"/>
  <c r="AB15" i="4"/>
  <c r="AE8" i="4"/>
  <c r="AE5" i="4"/>
  <c r="AE6" i="4"/>
  <c r="AE7" i="4"/>
  <c r="AE25" i="4"/>
  <c r="AE3" i="4"/>
  <c r="AE12" i="4"/>
  <c r="AA15" i="4"/>
  <c r="AC15" i="4" s="1"/>
  <c r="AA42" i="4"/>
  <c r="AC42" i="4" s="1"/>
  <c r="AA3" i="4"/>
  <c r="AC3" i="4" s="1"/>
  <c r="AA25" i="4"/>
  <c r="AC25" i="4" s="1"/>
  <c r="AA18" i="4"/>
  <c r="AC18" i="4" s="1"/>
  <c r="AA7" i="4"/>
  <c r="AC7" i="4" s="1"/>
  <c r="AA6" i="4"/>
  <c r="AC6" i="4" s="1"/>
  <c r="AA5" i="4"/>
  <c r="AC5" i="4" s="1"/>
  <c r="AA8" i="4"/>
  <c r="AC8" i="4" s="1"/>
  <c r="AA12" i="4"/>
  <c r="AC12" i="4" s="1"/>
  <c r="A15" i="4"/>
  <c r="D15" i="4"/>
  <c r="E15" i="4"/>
  <c r="R15" i="4"/>
  <c r="W15" i="4"/>
  <c r="H61" i="7" s="1"/>
  <c r="E7" i="4"/>
  <c r="D7" i="4"/>
  <c r="A7" i="4"/>
  <c r="R7" i="4"/>
  <c r="W7" i="4"/>
  <c r="G63" i="7" s="1"/>
  <c r="D3" i="10"/>
  <c r="B3" i="10"/>
  <c r="C3" i="10"/>
  <c r="A5" i="4"/>
  <c r="H55" i="7" l="1"/>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E61" i="7"/>
  <c r="O61" i="7"/>
  <c r="N61" i="7"/>
  <c r="O63" i="7"/>
  <c r="K61" i="7"/>
  <c r="M61" i="7"/>
  <c r="L61" i="7"/>
  <c r="N63" i="7"/>
  <c r="J61" i="7"/>
  <c r="F63" i="7"/>
  <c r="G61" i="7"/>
  <c r="D55" i="7"/>
  <c r="E63" i="7"/>
  <c r="F61" i="7"/>
  <c r="M63" i="7"/>
  <c r="L63" i="7"/>
  <c r="K63" i="7"/>
  <c r="H63" i="7"/>
  <c r="I61" i="7"/>
  <c r="J63" i="7"/>
  <c r="I63" i="7"/>
  <c r="A6" i="4"/>
  <c r="D6" i="4"/>
  <c r="E6" i="4"/>
  <c r="R6" i="4"/>
  <c r="F77" i="7" s="1"/>
  <c r="I25" i="13" s="1"/>
  <c r="W6" i="4"/>
  <c r="H12" i="4"/>
  <c r="D9" i="7" s="1"/>
  <c r="A42" i="4"/>
  <c r="A3" i="4"/>
  <c r="A18" i="4"/>
  <c r="A8" i="4"/>
  <c r="F12" i="4"/>
  <c r="A12" i="4" s="1"/>
  <c r="E12" i="4"/>
  <c r="D12" i="4"/>
  <c r="W12" i="4"/>
  <c r="D77" i="7" l="1"/>
  <c r="A25" i="4"/>
  <c r="AJ20" i="4" s="1"/>
  <c r="AI20" i="4" s="1"/>
  <c r="D174" i="7"/>
  <c r="F174" i="7"/>
  <c r="D42" i="4"/>
  <c r="E42" i="4"/>
  <c r="R42" i="4"/>
  <c r="W42" i="4"/>
  <c r="D3" i="4"/>
  <c r="E3" i="4"/>
  <c r="R3" i="4"/>
  <c r="W3" i="4"/>
  <c r="D73" i="7"/>
  <c r="D25" i="4"/>
  <c r="E25" i="4"/>
  <c r="W25" i="4"/>
  <c r="C2" i="10"/>
  <c r="B2" i="10"/>
  <c r="D18" i="4"/>
  <c r="E18" i="4"/>
  <c r="R18" i="4"/>
  <c r="W18" i="4"/>
  <c r="D5" i="4"/>
  <c r="E5" i="4"/>
  <c r="R5" i="4"/>
  <c r="W5" i="4"/>
  <c r="R8" i="4"/>
  <c r="D8" i="4"/>
  <c r="E8" i="4"/>
  <c r="W8" i="4"/>
  <c r="I73" i="7"/>
  <c r="G73" i="7"/>
  <c r="F73" i="7"/>
  <c r="E73" i="7"/>
  <c r="I7" i="7"/>
  <c r="G7" i="7"/>
  <c r="E7" i="7"/>
  <c r="AJ19" i="4" l="1"/>
  <c r="AI19" i="4" s="1"/>
  <c r="AJ9" i="4"/>
  <c r="AI9" i="4" s="1"/>
  <c r="AJ23" i="4"/>
  <c r="AI23" i="4" s="1"/>
  <c r="AJ42" i="4"/>
  <c r="AI42" i="4" s="1"/>
  <c r="AJ4" i="4"/>
  <c r="AI4" i="4" s="1"/>
  <c r="AJ27" i="4"/>
  <c r="AI27" i="4" s="1"/>
  <c r="AJ17" i="4"/>
  <c r="AI17" i="4" s="1"/>
  <c r="AJ34" i="4"/>
  <c r="AI34" i="4" s="1"/>
  <c r="AJ38" i="4"/>
  <c r="AI38" i="4" s="1"/>
  <c r="AJ40" i="4"/>
  <c r="AI40" i="4" s="1"/>
  <c r="AJ33" i="4"/>
  <c r="AI33" i="4" s="1"/>
  <c r="AJ32" i="4"/>
  <c r="AI32" i="4" s="1"/>
  <c r="AJ31" i="4"/>
  <c r="AI31" i="4" s="1"/>
  <c r="AJ29" i="4"/>
  <c r="AI29" i="4" s="1"/>
  <c r="AJ13" i="4"/>
  <c r="AI13" i="4" s="1"/>
  <c r="AJ28" i="4"/>
  <c r="AI28" i="4" s="1"/>
  <c r="AJ37" i="4"/>
  <c r="AI37" i="4" s="1"/>
  <c r="AJ10" i="4"/>
  <c r="AI10" i="4" s="1"/>
  <c r="AJ6" i="4"/>
  <c r="AI6" i="4" s="1"/>
  <c r="AJ26" i="4"/>
  <c r="AI26" i="4" s="1"/>
  <c r="AJ30" i="4"/>
  <c r="AI30" i="4" s="1"/>
  <c r="AJ21" i="4"/>
  <c r="AI21" i="4" s="1"/>
  <c r="AJ36" i="4"/>
  <c r="AI36" i="4" s="1"/>
  <c r="AJ39" i="4"/>
  <c r="AI39" i="4" s="1"/>
  <c r="AJ41" i="4"/>
  <c r="AI41" i="4" s="1"/>
  <c r="AJ2" i="4"/>
  <c r="AI2" i="4" s="1"/>
  <c r="AJ35" i="4"/>
  <c r="AI35" i="4" s="1"/>
  <c r="AJ11" i="4"/>
  <c r="AI11" i="4" s="1"/>
  <c r="AJ24" i="4"/>
  <c r="AI24" i="4" s="1"/>
  <c r="AJ12" i="4"/>
  <c r="AI12" i="4" s="1"/>
  <c r="AJ3" i="4"/>
  <c r="AI3" i="4" s="1"/>
  <c r="AJ18" i="4"/>
  <c r="AI18" i="4" s="1"/>
  <c r="AJ22" i="4"/>
  <c r="AI22" i="4" s="1"/>
  <c r="AJ16" i="4"/>
  <c r="AI16" i="4" s="1"/>
  <c r="AJ25" i="4"/>
  <c r="AI25" i="4" s="1"/>
  <c r="AJ15" i="4"/>
  <c r="AI15" i="4" s="1"/>
  <c r="AJ5" i="4"/>
  <c r="AI5" i="4" s="1"/>
  <c r="AJ8" i="4"/>
  <c r="AI8" i="4" s="1"/>
  <c r="AJ7" i="4"/>
  <c r="AI7" i="4" s="1"/>
  <c r="AJ14" i="4"/>
  <c r="AI14" i="4" s="1"/>
  <c r="E64" i="7"/>
  <c r="G62" i="7"/>
  <c r="L64" i="7"/>
  <c r="F64" i="7"/>
  <c r="L62" i="7"/>
  <c r="N64" i="7"/>
  <c r="I64" i="7"/>
  <c r="H64" i="7"/>
  <c r="O64" i="7"/>
  <c r="F62" i="7"/>
  <c r="I62" i="7"/>
  <c r="E62" i="7"/>
  <c r="K64" i="7"/>
  <c r="G64" i="7"/>
  <c r="J62" i="7"/>
  <c r="K62" i="7"/>
  <c r="N62" i="7"/>
  <c r="O62" i="7"/>
  <c r="M64" i="7"/>
  <c r="H62" i="7"/>
  <c r="M62" i="7"/>
  <c r="J64" i="7"/>
  <c r="D7" i="7"/>
  <c r="R25" i="4"/>
  <c r="F7" i="7" s="1"/>
  <c r="D62" i="7" l="1"/>
  <c r="D61" i="7"/>
  <c r="D64" i="7"/>
  <c r="D63" i="7"/>
  <c r="AK18" i="4"/>
  <c r="AK25" i="4"/>
  <c r="AK8" i="4"/>
  <c r="AK15" i="4"/>
  <c r="AK3" i="4"/>
  <c r="AK5" i="4"/>
  <c r="AK12" i="4"/>
  <c r="AK6" i="4"/>
  <c r="AK16" i="4"/>
  <c r="AK7" i="4"/>
  <c r="AK42" i="4"/>
  <c r="AK22"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I8" i="13" l="1"/>
  <c r="D14" i="7"/>
  <c r="E7" i="13" s="1"/>
  <c r="D80" i="7"/>
  <c r="E22" i="13" s="1"/>
  <c r="D18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<sst xmlns="http://schemas.openxmlformats.org/spreadsheetml/2006/main" count="1826" uniqueCount="593">
  <si>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</si>
  <si>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</si>
  <si>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</si>
  <si>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</si>
  <si>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</si>
  <si>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</si>
  <si>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</si>
  <si>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</si>
  <si>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</si>
  <si>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</si>
  <si>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</si>
  <si>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</si>
  <si>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</si>
  <si>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</si>
  <si>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</si>
  <si>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</si>
  <si>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</si>
  <si>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</si>
  <si>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</si>
  <si>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</si>
  <si>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</si>
  <si>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</si>
  <si>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</si>
  <si>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</si>
  <si>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</si>
  <si>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</si>
  <si>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</si>
  <si>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</si>
  <si>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</si>
  <si>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</si>
  <si>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</si>
  <si>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</si>
  <si>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</si>
  <si>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</si>
  <si>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</si>
  <si>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</si>
  <si>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</si>
  <si>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</si>
  <si>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</si>
  <si>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</si>
  <si>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</si>
  <si>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</si>
  <si>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</si>
  <si>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</si>
  <si>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</si>
  <si>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</si>
  <si>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</si>
  <si>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</si>
  <si>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</si>
  <si>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</si>
  <si>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</si>
  <si>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</si>
  <si>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</si>
  <si>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</si>
  <si>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</si>
  <si>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</si>
  <si>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</si>
  <si>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</si>
  <si>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</si>
  <si>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</si>
  <si>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</si>
  <si>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</si>
  <si>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</si>
  <si>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</si>
  <si>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</si>
  <si>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</si>
  <si>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</si>
  <si>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</si>
  <si>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</si>
  <si>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</si>
  <si>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</si>
  <si>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</si>
  <si>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</si>
  <si>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</si>
  <si>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</si>
  <si>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</si>
  <si>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</si>
  <si>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</si>
  <si>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</si>
  <si>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</si>
  <si>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</si>
  <si>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</si>
  <si>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</si>
  <si>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</si>
  <si>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</si>
  <si>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</si>
  <si>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</si>
  <si>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</si>
  <si>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</si>
  <si>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</si>
  <si>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</si>
  <si>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</si>
  <si>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</si>
  <si>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</si>
  <si>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</si>
  <si>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</si>
  <si>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</si>
  <si>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</si>
  <si>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</si>
  <si>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</si>
  <si>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</si>
  <si>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</si>
  <si>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</si>
  <si>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</si>
  <si>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</si>
  <si>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</si>
  <si>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</si>
  <si>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</si>
  <si>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</si>
  <si>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</si>
  <si>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</si>
  <si>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</si>
  <si>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</si>
  <si>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</si>
  <si>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</si>
  <si>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</si>
  <si>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</si>
  <si>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</si>
  <si>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</si>
  <si>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</si>
  <si>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</si>
  <si>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</si>
  <si>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</si>
  <si>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</si>
  <si>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</si>
  <si>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</si>
  <si>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</si>
  <si>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</si>
  <si>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</si>
  <si>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</si>
  <si>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</si>
  <si>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</si>
  <si>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</si>
  <si>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</si>
  <si>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</si>
  <si>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</si>
  <si>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</si>
  <si>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</si>
  <si>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</si>
  <si>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</si>
  <si>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</si>
  <si>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</si>
  <si>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</si>
  <si>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</si>
  <si>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Source of funding identified (Details)</t>
  </si>
  <si>
    <t>Country supported</t>
  </si>
  <si>
    <t>Average of Utilization rate</t>
  </si>
  <si>
    <t>Request ID</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</si>
  <si>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</si>
  <si>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</si>
  <si>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</si>
  <si>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</si>
  <si>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</si>
  <si>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</si>
  <si>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</si>
  <si>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</si>
  <si>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</si>
  <si>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</si>
  <si>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</si>
  <si>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</si>
  <si>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</si>
  <si>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</si>
  <si>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(yes / no)</t>
  </si>
  <si>
    <t>Funds disbursed (Date)</t>
  </si>
  <si>
    <t>Funds disbursed (Month)</t>
  </si>
  <si>
    <t>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</si>
  <si>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</si>
  <si>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</si>
  <si>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</si>
  <si>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</si>
  <si>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</si>
  <si>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</si>
  <si>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</si>
  <si>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</si>
  <si>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</si>
  <si>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</si>
  <si>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</si>
  <si>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</si>
  <si>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t>Urgent</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</si>
  <si>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</si>
  <si>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</si>
  <si>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</si>
  <si>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</si>
  <si>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</si>
  <si>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Budget for the vaccination campaign starting in July in Malawi covered by WHO</t>
  </si>
  <si>
    <t>Copy of Malawi _CoVDP One Budget_Urgent Funding Request_Campaign July 2022.xlsx</t>
  </si>
  <si>
    <t>Desk Officer</t>
  </si>
  <si>
    <t>Amount for WHO confirmed by Ida Marie</t>
  </si>
  <si>
    <t>Budget for the vaccination campaign starting in July in Malawi covered by UNICEF</t>
  </si>
  <si>
    <t xml:space="preserve">Request shared by Ida Marie to be discussed during the funding alignment call on Tuesday June 21st </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</si>
  <si>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</si>
  <si>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</si>
  <si>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National and provincial vaccination campaign</t>
  </si>
  <si>
    <t>Copy of Copy of Synthese macroplan bloc 2_dose 1_v06.01.xlsx</t>
  </si>
  <si>
    <t>To be confirmed with Simon</t>
  </si>
  <si>
    <t>Launch of vaccination campaign, pre financing of CDS2</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</si>
  <si>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</si>
  <si>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Ann Lindstrand + SCM</t>
  </si>
  <si>
    <t>US$2,451,884 on implementation activities and US$ 548,116 on TA/contingency funds</t>
  </si>
  <si>
    <t>UNICEF TA for 6 months campaign (2 rounds)</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</si>
  <si>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</si>
  <si>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</si>
  <si>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</si>
  <si>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RCCE in DRC from the Red Cross</t>
  </si>
  <si>
    <t>PHASE II Strengthening Covid vaccination 06062022 (003).docx</t>
  </si>
  <si>
    <t xml:space="preserve">Adelaide and CT to discuss the request during the funding alignment </t>
  </si>
  <si>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</si>
  <si>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</si>
  <si>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TBD</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</si>
  <si>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</si>
  <si>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</si>
  <si>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</si>
  <si>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</si>
  <si>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</si>
  <si>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</si>
  <si>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</si>
  <si>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</si>
  <si>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</si>
  <si>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</si>
  <si>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</si>
  <si>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</si>
  <si>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</si>
  <si>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</si>
  <si>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</si>
  <si>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</si>
  <si>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</si>
  <si>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</si>
  <si>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</si>
  <si>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</si>
  <si>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</si>
  <si>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</si>
  <si>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t>UNICEF Funding for Tigray region</t>
  </si>
  <si>
    <t>GAVI CDS</t>
  </si>
  <si>
    <t>Budget from UNICEF for the vaccination in Tigray</t>
  </si>
  <si>
    <t>Benjamin email of 14 April mentioned "Transfer of funds to Tigray" - confirm when, who from and whether it met this request</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</si>
  <si>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</si>
  <si>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</si>
  <si>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</si>
  <si>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</si>
  <si>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</si>
  <si>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</si>
  <si>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CDS application - Light contribution from CoVDP in terms of process (coordination)</t>
  </si>
  <si>
    <t>Imran to follow up with the CT to confirm the need - Update expected on Mar 21-22nd</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</si>
  <si>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</si>
  <si>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</si>
  <si>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</si>
  <si>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</si>
  <si>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</si>
  <si>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Funding request to cover the logistics part not covered by the CDS application</t>
  </si>
  <si>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</si>
  <si>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</si>
  <si>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</si>
  <si>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</si>
  <si>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</si>
  <si>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</si>
  <si>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Potential urgent needs identified in CDS application (still tbd)</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</si>
  <si>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</si>
  <si>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r>
      <t xml:space="preserve">Part of CDS request </t>
    </r>
    <r>
      <rPr>
        <b/>
        <sz val="11"/>
        <color theme="1"/>
        <rFont val="Calibri"/>
        <family val="2"/>
        <scheme val="minor"/>
      </rPr>
      <t>fullfilled by GAVI</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</si>
  <si>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</si>
  <si>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 xml:space="preserve">To follow up with Abu and Patience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</si>
  <si>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</si>
  <si>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</si>
  <si>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r>
      <t xml:space="preserve">Budget required to fund vaccination campaign from July to december </t>
    </r>
    <r>
      <rPr>
        <b/>
        <sz val="11"/>
        <color theme="1"/>
        <rFont val="Calibri"/>
        <family val="2"/>
        <scheme val="minor"/>
      </rPr>
      <t>covered by WHO</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</si>
  <si>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</si>
  <si>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Pending disbursement from WHO. Information shared by Osama</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</si>
  <si>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</si>
  <si>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</si>
  <si>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</si>
  <si>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</si>
  <si>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</si>
  <si>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</si>
  <si>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</si>
  <si>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</si>
  <si>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</si>
  <si>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</si>
  <si>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</si>
  <si>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</si>
  <si>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</si>
  <si>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</si>
  <si>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</si>
  <si>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</si>
  <si>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</si>
  <si>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</si>
  <si>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</si>
  <si>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</si>
  <si>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</si>
  <si>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r>
      <t xml:space="preserve">Budget required to fund vaccination campaign from July to december </t>
    </r>
    <r>
      <rPr>
        <b/>
        <sz val="11"/>
        <color theme="1"/>
        <rFont val="Calibri"/>
        <family val="2"/>
        <scheme val="minor"/>
      </rPr>
      <t>covered by UNICEF</t>
    </r>
  </si>
  <si>
    <t>Pending the one budget preparation from Ronke. Alignment on potential funders during the funding alignment call on May 17th. The funds will be transferred once the Sudan team finalize the budgets against envelopes provided by UNICEF, WHO and GAVI</t>
  </si>
  <si>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</si>
  <si>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</si>
  <si>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</si>
  <si>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</si>
  <si>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</si>
  <si>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</si>
  <si>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</si>
  <si>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</si>
  <si>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</si>
  <si>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</si>
  <si>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</si>
  <si>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</si>
  <si>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</si>
  <si>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</si>
  <si>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</si>
  <si>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</si>
  <si>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</si>
  <si>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</si>
  <si>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</si>
  <si>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</si>
  <si>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</si>
  <si>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</si>
  <si>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</si>
  <si>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</si>
  <si>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</si>
  <si>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</si>
  <si>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</si>
  <si>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</si>
  <si>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</si>
  <si>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</si>
  <si>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</si>
  <si>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</si>
  <si>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</si>
  <si>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</si>
  <si>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</si>
  <si>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</si>
  <si>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</si>
  <si>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</si>
  <si>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</si>
  <si>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</si>
  <si>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</si>
  <si>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</si>
  <si>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</si>
  <si>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</si>
  <si>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</si>
  <si>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</si>
  <si>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</si>
  <si>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</si>
  <si>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</si>
  <si>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</si>
  <si>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</si>
  <si>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</si>
  <si>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</si>
  <si>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</si>
  <si>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</si>
  <si>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</si>
  <si>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</si>
  <si>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</si>
  <si>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</si>
  <si>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</si>
  <si>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</si>
  <si>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</si>
  <si>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</si>
  <si>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</si>
  <si>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</si>
  <si>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</si>
  <si>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</si>
  <si>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</si>
  <si>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</si>
  <si>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</si>
  <si>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</si>
  <si>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</si>
  <si>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</si>
  <si>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</si>
  <si>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</si>
  <si>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</si>
  <si>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</si>
  <si>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</si>
  <si>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</si>
  <si>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</si>
  <si>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</si>
  <si>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</si>
  <si>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</si>
  <si>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</si>
  <si>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</si>
  <si>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</si>
  <si>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</si>
  <si>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</si>
  <si>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</si>
  <si>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</si>
  <si>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</si>
  <si>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</si>
  <si>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</si>
  <si>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</si>
  <si>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</si>
  <si>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</si>
  <si>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</si>
  <si>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</si>
  <si>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</si>
  <si>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</si>
  <si>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</si>
  <si>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</si>
  <si>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</si>
  <si>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</si>
  <si>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</si>
  <si>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Central African Republic</t>
  </si>
  <si>
    <t>Souleymane Kanon</t>
  </si>
  <si>
    <t>skanon@gavi.org</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</si>
  <si>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</si>
  <si>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</si>
  <si>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</si>
  <si>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</si>
  <si>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</si>
  <si>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</si>
  <si>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</si>
  <si>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</si>
  <si>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</si>
  <si>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</si>
  <si>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</si>
  <si>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</si>
  <si>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</si>
  <si>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</si>
  <si>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</si>
  <si>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Djibouti</t>
  </si>
  <si>
    <t>Jessica Crawford</t>
  </si>
  <si>
    <t>jcrawford@gavi.org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</si>
  <si>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</si>
  <si>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</si>
  <si>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</si>
  <si>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</si>
  <si>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</si>
  <si>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</si>
  <si>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</si>
  <si>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</si>
  <si>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</si>
  <si>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</si>
  <si>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</si>
  <si>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</si>
  <si>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</si>
  <si>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</si>
  <si>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</si>
  <si>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</si>
  <si>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</si>
  <si>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</si>
  <si>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</si>
  <si>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</si>
  <si>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</si>
  <si>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</si>
  <si>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</si>
  <si>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</si>
  <si>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</si>
  <si>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</si>
  <si>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</si>
  <si>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</si>
  <si>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</si>
  <si>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</si>
  <si>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</si>
  <si>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</si>
  <si>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</si>
  <si>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</si>
  <si>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</si>
  <si>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</si>
  <si>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</si>
  <si>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</si>
  <si>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</si>
  <si>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</si>
  <si>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</si>
  <si>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</si>
  <si>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</si>
  <si>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</si>
  <si>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</si>
  <si>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</si>
  <si>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</si>
  <si>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</si>
  <si>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</si>
  <si>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</si>
  <si>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</si>
  <si>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</si>
  <si>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</si>
  <si>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Adidja</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</si>
  <si>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</si>
  <si>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</si>
  <si>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</si>
  <si>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</si>
  <si>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</si>
  <si>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</si>
  <si>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</si>
  <si>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</si>
  <si>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</si>
  <si>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</si>
  <si>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</si>
  <si>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</si>
  <si>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</si>
  <si>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</si>
  <si>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</si>
  <si>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</si>
  <si>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</si>
  <si>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</si>
  <si>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</si>
  <si>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</si>
  <si>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</si>
  <si>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</si>
  <si>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</si>
  <si>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</si>
  <si>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</si>
  <si>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</si>
  <si>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</si>
  <si>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</si>
  <si>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</si>
  <si>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</si>
  <si>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</si>
  <si>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</si>
  <si>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</si>
  <si>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</si>
  <si>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</si>
  <si>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</si>
  <si>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</si>
  <si>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</si>
  <si>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</si>
  <si>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</si>
  <si>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</si>
  <si>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</si>
  <si>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</si>
  <si>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</si>
  <si>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</si>
  <si>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</si>
  <si>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</si>
  <si>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</si>
  <si>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</si>
  <si>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</si>
  <si>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</si>
  <si>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</si>
  <si>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</si>
  <si>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</si>
  <si>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</si>
  <si>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</si>
  <si>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</si>
  <si>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</si>
  <si>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</si>
  <si>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</si>
  <si>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</si>
  <si>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</si>
  <si>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</si>
  <si>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</si>
  <si>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</si>
  <si>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</si>
  <si>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</si>
  <si>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</si>
  <si>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</si>
  <si>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</si>
  <si>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</si>
  <si>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</si>
  <si>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Abu</t>
  </si>
  <si>
    <t>aeltayeb@unicef.org</t>
  </si>
  <si>
    <t>South Africa</t>
  </si>
  <si>
    <t>Ugo Ikpeazu</t>
  </si>
  <si>
    <t>uikpeazu-external-consultant@gavi.org</t>
  </si>
  <si>
    <t>South Korea</t>
  </si>
  <si>
    <t>Ida Marie</t>
  </si>
  <si>
    <t>iameda@unicef.org</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</si>
  <si>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</si>
  <si>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</si>
  <si>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</si>
  <si>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</si>
  <si>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</si>
  <si>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</si>
  <si>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</si>
  <si>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</si>
  <si>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</si>
  <si>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</si>
  <si>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</si>
  <si>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</si>
  <si>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</si>
  <si>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</si>
  <si>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</si>
  <si>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</si>
  <si>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</si>
  <si>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</si>
  <si>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</si>
  <si>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</si>
  <si>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</si>
  <si>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</si>
  <si>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</si>
  <si>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</si>
  <si>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</si>
  <si>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</si>
  <si>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</si>
  <si>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</si>
  <si>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</si>
  <si>
    <t>AFG</t>
  </si>
  <si>
    <t>ETH</t>
  </si>
  <si>
    <t>GHA</t>
  </si>
  <si>
    <t>KEN</t>
  </si>
  <si>
    <t>LAO</t>
  </si>
  <si>
    <t>SOM</t>
  </si>
  <si>
    <t>BFA</t>
  </si>
  <si>
    <t>TCD</t>
  </si>
  <si>
    <t>COD</t>
  </si>
  <si>
    <t>MWI</t>
  </si>
  <si>
    <t>NGA</t>
  </si>
  <si>
    <t>SLE</t>
  </si>
  <si>
    <t>SSD</t>
  </si>
  <si>
    <t>SDN</t>
  </si>
  <si>
    <t>YEM</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</si>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</sst>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_(&quot;$&quot;* \(#,##0.00\);_(&quot;$&quot;* &quot;-&quot;??_);_(@_)"/>
    <numFmt numFmtId="165" formatCode="_(* #,##0.00_);_(* \(#,##0.00\);_(* &quot;-&quot;??_);_(@_)"/>
    <numFmt numFmtId="166" formatCode="_-* #,##0.00\ &quot;€&quot;_-;\-* #,##0.00\ &quot;€&quot;_-;_-* &quot;-&quot;??\ &quot;€&quot;_-;_-@_-"/>
    <numFmt numFmtId="167" formatCode="_-* #,##0_-;\-* #,##0_-;_-* &quot;-&quot;??_-;_-@_-"/>
    <numFmt numFmtId="168" formatCode="_-[$$-409]* #,##0_ ;_-[$$-409]* \-#,##0\ ;_-[$$-409]* &quot;-&quot;??_ ;_-@_ "/>
    <numFmt numFmtId="169"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2">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2">
    <xf numFmtId="0" fontId="0" fillId="0" borderId="0"/>
    <xf numFmtId="43" fontId="1" fillId="0" borderId="0" applyFont="0" applyFill="0" applyBorder="0" applyAlignment="0" applyProtection="0"/>
    <xf numFmtId="166"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43" fontId="1" fillId="0" borderId="0" applyFont="0" applyFill="0" applyBorder="0" applyAlignment="0" applyProtection="0"/>
    <xf numFmtId="165" fontId="26" fillId="0" borderId="0" applyFont="0" applyFill="0" applyBorder="0" applyAlignment="0" applyProtection="0"/>
    <xf numFmtId="164" fontId="1" fillId="0" borderId="0" applyFont="0" applyFill="0" applyBorder="0" applyAlignment="0" applyProtection="0"/>
    <xf numFmtId="0" fontId="26" fillId="0" borderId="0"/>
    <xf numFmtId="0" fontId="29" fillId="0" borderId="0">
      <protection locked="0"/>
    </xf>
    <xf numFmtId="0" fontId="28" fillId="0" borderId="0"/>
  </cellStyleXfs>
  <cellXfs count="211">
    <xf numFmtId="0" fontId="0" fillId="0" borderId="0" xfId="0"/>
    <xf numFmtId="167"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7" fontId="0" fillId="0" borderId="2" xfId="1" applyNumberFormat="1" applyFont="1" applyBorder="1"/>
    <xf numFmtId="167" fontId="0" fillId="0" borderId="3" xfId="1" applyNumberFormat="1" applyFont="1" applyBorder="1"/>
    <xf numFmtId="167" fontId="0" fillId="0" borderId="4" xfId="1" applyNumberFormat="1" applyFont="1" applyBorder="1"/>
    <xf numFmtId="167" fontId="0" fillId="0" borderId="5" xfId="1" applyNumberFormat="1" applyFont="1" applyBorder="1"/>
    <xf numFmtId="167" fontId="0" fillId="0" borderId="0" xfId="1" applyNumberFormat="1" applyFont="1" applyBorder="1"/>
    <xf numFmtId="167" fontId="0" fillId="0" borderId="6" xfId="1" applyNumberFormat="1" applyFont="1" applyBorder="1"/>
    <xf numFmtId="167" fontId="0" fillId="0" borderId="7" xfId="1" applyNumberFormat="1" applyFont="1" applyBorder="1"/>
    <xf numFmtId="167" fontId="0" fillId="0" borderId="8" xfId="1" applyNumberFormat="1" applyFont="1" applyBorder="1"/>
    <xf numFmtId="167" fontId="0" fillId="0" borderId="9" xfId="1" applyNumberFormat="1" applyFont="1" applyBorder="1"/>
    <xf numFmtId="167" fontId="0" fillId="11" borderId="0" xfId="1" applyNumberFormat="1" applyFont="1" applyFill="1" applyBorder="1"/>
    <xf numFmtId="167" fontId="0" fillId="11" borderId="6" xfId="1" applyNumberFormat="1" applyFont="1" applyFill="1" applyBorder="1"/>
    <xf numFmtId="167" fontId="0" fillId="12" borderId="12" xfId="1" applyNumberFormat="1" applyFont="1" applyFill="1" applyBorder="1"/>
    <xf numFmtId="168" fontId="0" fillId="12" borderId="12" xfId="2" applyNumberFormat="1" applyFont="1" applyFill="1" applyBorder="1"/>
    <xf numFmtId="168"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7" fontId="0" fillId="0" borderId="0" xfId="0" applyNumberFormat="1"/>
    <xf numFmtId="167" fontId="12" fillId="0" borderId="0" xfId="1" applyNumberFormat="1" applyFon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67"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7" fontId="0" fillId="0" borderId="0" xfId="1" applyNumberFormat="1" applyFont="1" applyFill="1" applyBorder="1"/>
    <xf numFmtId="168"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7"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7" fontId="0" fillId="12" borderId="0" xfId="1" applyNumberFormat="1" applyFont="1" applyFill="1" applyBorder="1"/>
    <xf numFmtId="0" fontId="21" fillId="0" borderId="0" xfId="0" applyFont="1"/>
    <xf numFmtId="0" fontId="14" fillId="17" borderId="0" xfId="5" applyFill="1"/>
    <xf numFmtId="167" fontId="1" fillId="17" borderId="0" xfId="6" applyNumberFormat="1" applyFont="1" applyFill="1" applyBorder="1"/>
    <xf numFmtId="0" fontId="17" fillId="0" borderId="0" xfId="0" applyFont="1"/>
    <xf numFmtId="0" fontId="16" fillId="0" borderId="0" xfId="0" applyFont="1"/>
    <xf numFmtId="167" fontId="0" fillId="12" borderId="14" xfId="1" applyNumberFormat="1" applyFont="1" applyFill="1" applyBorder="1"/>
    <xf numFmtId="167" fontId="0" fillId="12" borderId="6" xfId="1" applyNumberFormat="1" applyFont="1" applyFill="1" applyBorder="1"/>
    <xf numFmtId="167"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0" fontId="14" fillId="0" borderId="0" xfId="0" applyFont="1" applyAlignment="1">
      <alignment vertical="center"/>
    </xf>
    <xf numFmtId="0" fontId="4" fillId="0" borderId="0" xfId="3" applyAlignment="1">
      <alignment vertical="center"/>
    </xf>
    <xf numFmtId="167" fontId="14" fillId="0" borderId="0" xfId="0" applyNumberFormat="1" applyFont="1"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67" fontId="0" fillId="0" borderId="0" xfId="0" applyNumberForma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69" fontId="14" fillId="0" borderId="17" xfId="0" applyNumberFormat="1" applyFont="1" applyBorder="1"/>
    <xf numFmtId="0" fontId="22" fillId="16" borderId="11" xfId="0" applyFont="1" applyFill="1" applyBorder="1" applyAlignment="1">
      <alignment wrapText="1"/>
    </xf>
    <xf numFmtId="0" fontId="25" fillId="0" borderId="0" xfId="0" applyFont="1"/>
    <xf numFmtId="14" fontId="0" fillId="0" borderId="0" xfId="0" applyNumberFormat="1"/>
    <xf numFmtId="14" fontId="14" fillId="0" borderId="0" xfId="0" applyNumberFormat="1" applyFont="1" applyAlignment="1">
      <alignment vertical="center"/>
    </xf>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67" fontId="14" fillId="14" borderId="0" xfId="0" applyNumberFormat="1" applyFont="1" applyFill="1" applyAlignment="1">
      <alignment vertical="center"/>
    </xf>
    <xf numFmtId="14"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0" fillId="21" borderId="0" xfId="0" applyNumberFormat="1" applyFill="1" applyAlignment="1">
      <alignment vertical="center"/>
    </xf>
    <xf numFmtId="167" fontId="14" fillId="21" borderId="0" xfId="0" applyNumberFormat="1" applyFont="1" applyFill="1" applyAlignment="1">
      <alignment vertical="center"/>
    </xf>
    <xf numFmtId="14"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7" fontId="27" fillId="0" borderId="0" xfId="0" applyNumberFormat="1" applyFont="1" applyAlignment="1">
      <alignment horizontal="center" vertical="center"/>
    </xf>
    <xf numFmtId="167" fontId="27" fillId="0" borderId="0" xfId="0" applyNumberFormat="1" applyFont="1" applyAlignment="1">
      <alignment vertical="center"/>
    </xf>
    <xf numFmtId="14" fontId="0" fillId="14" borderId="0" xfId="0" applyNumberFormat="1" applyFill="1"/>
    <xf numFmtId="0" fontId="3" fillId="2" borderId="0" xfId="0" applyFont="1" applyFill="1" applyAlignment="1">
      <alignment horizontal="left"/>
    </xf>
    <xf numFmtId="167" fontId="0" fillId="0" borderId="0" xfId="1" applyNumberFormat="1" applyFont="1" applyFill="1" applyAlignment="1">
      <alignment horizontal="left"/>
    </xf>
    <xf numFmtId="167" fontId="0" fillId="0" borderId="0" xfId="1" applyNumberFormat="1" applyFont="1" applyAlignment="1">
      <alignment horizontal="left"/>
    </xf>
    <xf numFmtId="167" fontId="12" fillId="0" borderId="0" xfId="1" applyNumberFormat="1" applyFont="1" applyAlignment="1">
      <alignment horizontal="left"/>
    </xf>
    <xf numFmtId="167" fontId="0" fillId="14" borderId="0" xfId="1" applyNumberFormat="1" applyFont="1" applyFill="1" applyAlignment="1">
      <alignment horizontal="left" vertical="center"/>
    </xf>
    <xf numFmtId="167" fontId="0" fillId="21" borderId="0" xfId="1" applyNumberFormat="1" applyFont="1" applyFill="1" applyAlignment="1">
      <alignment horizontal="left" vertical="center"/>
    </xf>
    <xf numFmtId="167" fontId="0" fillId="0" borderId="0" xfId="1" applyNumberFormat="1" applyFont="1" applyAlignment="1">
      <alignment horizontal="left" vertical="center"/>
    </xf>
    <xf numFmtId="167" fontId="1" fillId="0" borderId="0" xfId="1" applyNumberFormat="1" applyFont="1" applyAlignment="1">
      <alignment horizontal="left"/>
    </xf>
    <xf numFmtId="167" fontId="14" fillId="0" borderId="0" xfId="1" applyNumberFormat="1" applyFont="1" applyAlignment="1">
      <alignment horizontal="left"/>
    </xf>
    <xf numFmtId="3" fontId="0" fillId="0" borderId="0" xfId="0" applyNumberFormat="1" applyAlignment="1">
      <alignment horizontal="left"/>
    </xf>
    <xf numFmtId="167" fontId="0" fillId="14" borderId="0" xfId="1" applyNumberFormat="1" applyFont="1" applyFill="1" applyAlignment="1">
      <alignment horizontal="left"/>
    </xf>
    <xf numFmtId="0" fontId="3" fillId="2" borderId="0" xfId="0" applyFont="1" applyFill="1" applyAlignment="1">
      <alignment horizontal="center"/>
    </xf>
    <xf numFmtId="167" fontId="0" fillId="0" borderId="0" xfId="1" applyNumberFormat="1" applyFont="1" applyFill="1" applyAlignment="1">
      <alignment horizontal="center"/>
    </xf>
    <xf numFmtId="167" fontId="14" fillId="0" borderId="0" xfId="1" applyNumberFormat="1" applyFont="1" applyAlignment="1">
      <alignment horizontal="center"/>
    </xf>
    <xf numFmtId="0" fontId="0" fillId="0" borderId="0" xfId="0" applyAlignment="1">
      <alignment horizontal="center"/>
    </xf>
    <xf numFmtId="167"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7" fontId="0" fillId="0" borderId="0" xfId="1" applyNumberFormat="1" applyFont="1" applyAlignment="1">
      <alignment horizontal="center"/>
    </xf>
    <xf numFmtId="167" fontId="14" fillId="0" borderId="0" xfId="1" applyNumberFormat="1" applyFont="1" applyAlignment="1">
      <alignment horizontal="center" vertical="center"/>
    </xf>
    <xf numFmtId="167" fontId="3" fillId="2" borderId="0" xfId="1" applyNumberFormat="1" applyFont="1" applyFill="1" applyAlignment="1">
      <alignment horizontal="left"/>
    </xf>
    <xf numFmtId="167" fontId="14" fillId="14" borderId="0" xfId="1" applyNumberFormat="1" applyFont="1" applyFill="1" applyAlignment="1">
      <alignment horizontal="left" vertical="center"/>
    </xf>
    <xf numFmtId="167" fontId="14" fillId="21" borderId="0" xfId="1" applyNumberFormat="1" applyFont="1" applyFill="1" applyAlignment="1">
      <alignment horizontal="left" vertical="center"/>
    </xf>
    <xf numFmtId="167" fontId="14" fillId="0" borderId="0" xfId="1" applyNumberFormat="1" applyFont="1" applyAlignment="1">
      <alignment horizontal="left" vertical="center"/>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cellXfs>
  <cellStyles count="12">
    <cellStyle name="Comma" xfId="1" builtinId="3"/>
    <cellStyle name="Comma 2" xfId="6" xr:uid="{B51CEAC5-458D-4057-81DA-C0EAAA4A6E92}"/>
    <cellStyle name="Comma 3" xfId="7" xr:uid="{9CBD82BF-88F1-4F52-AA05-8DC1C7AE9106}"/>
    <cellStyle name="Currency" xfId="2" builtinId="4"/>
    <cellStyle name="Currency 2" xfId="8" xr:uid="{4ABCE801-25A7-498A-8FE6-141111560268}"/>
    <cellStyle name="Hyperlink" xfId="3" builtinId="8"/>
    <cellStyle name="Normal" xfId="0" builtinId="0"/>
    <cellStyle name="Normal 2" xfId="5" xr:uid="{E58E973F-E5C5-46EB-AD77-5E8915918F5B}"/>
    <cellStyle name="Normal 2 2" xfId="11" xr:uid="{CF00D52A-C35D-4A35-BA42-4082BC784CBF}"/>
    <cellStyle name="Normal 3" xfId="9" xr:uid="{74C407AF-A7C4-443C-92DF-A3FE06411E23}"/>
    <cellStyle name="Normal 3 2" xfId="10" xr:uid="{5CA1EF50-B373-4489-8E40-90B5913C2A42}"/>
    <cellStyle name="Percent" xfId="4" builtinId="5"/>
  </cellStyles>
  <dxfs count="61">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9" formatCode="dd/mm/yyyy"/>
    </dxf>
    <dxf>
      <numFmt numFmtId="0" formatCode="General"/>
    </dxf>
    <dxf>
      <numFmt numFmtId="0" formatCode="Genera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9" formatCode="dd/mm/yyyy"/>
    </dxf>
    <dxf>
      <numFmt numFmtId="167" formatCode="_-* #,##0_-;\-* #,##0_-;_-* &quot;-&quot;??_-;_-@_-"/>
    </dxf>
    <dxf>
      <numFmt numFmtId="167" formatCode="_-* #,##0_-;\-* #,##0_-;_-* &quot;-&quot;??_-;_-@_-"/>
      <alignment horizontal="left" relativeIndent="-1"/>
    </dxf>
    <dxf>
      <alignment horizontal="center"/>
    </dxf>
    <dxf>
      <font>
        <b val="0"/>
        <i val="0"/>
        <strike val="0"/>
        <condense val="0"/>
        <extend val="0"/>
        <outline val="0"/>
        <shadow val="0"/>
        <u val="none"/>
        <vertAlign val="baseline"/>
        <sz val="11"/>
        <color theme="1"/>
        <name val="Calibri"/>
        <family val="2"/>
        <scheme val="minor"/>
      </font>
      <numFmt numFmtId="167" formatCode="_-* #,##0_-;\-* #,##0_-;_-* &quot;-&quot;??_-;_-@_-"/>
      <alignment horizontal="left"/>
    </dxf>
    <dxf>
      <fill>
        <patternFill patternType="none">
          <fgColor indexed="64"/>
          <bgColor indexed="65"/>
        </patternFill>
      </fill>
    </dxf>
    <dxf>
      <numFmt numFmtId="13" formatCode="0%"/>
    </dxf>
    <dxf>
      <numFmt numFmtId="167" formatCode="_-* #,##0_-;\-* #,##0_-;_-* &quot;-&quot;??_-;_-@_-"/>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fill>
        <patternFill patternType="solid">
          <bgColor rgb="FFFFFF00"/>
        </patternFill>
      </fill>
    </dxf>
    <dxf>
      <numFmt numFmtId="167" formatCode="_-* #,##0_-;\-* #,##0_-;_-* &quot;-&quot;??_-;_-@_-"/>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fill>
        <patternFill patternType="solid">
          <bgColor rgb="FFFFFF00"/>
        </patternFill>
      </fill>
    </dxf>
    <dxf>
      <numFmt numFmtId="167" formatCode="_-* #,##0_-;\-* #,##0_-;_-* &quot;-&quot;??_-;_-@_-"/>
    </dxf>
    <dxf>
      <alignment vertical="center"/>
    </dxf>
    <dxf>
      <alignment vertical="center"/>
    </dxf>
    <dxf>
      <alignment vertical="center"/>
    </dxf>
    <dxf>
      <alignment vertical="center"/>
    </dxf>
    <dxf>
      <alignment horizontal="center"/>
    </dxf>
    <dxf>
      <font>
        <name val="Arial"/>
        <scheme val="none"/>
      </font>
    </dxf>
    <dxf>
      <numFmt numFmtId="167" formatCode="_-* #,##0_-;\-* #,##0_-;_-* &quot;-&quot;??_-;_-@_-"/>
    </dxf>
    <dxf>
      <fill>
        <patternFill patternType="solid">
          <bgColor rgb="FFFFFF00"/>
        </patternFill>
      </fill>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cine Kretz" refreshedDate="44739.485083564818" createdVersion="7" refreshedVersion="8" minRefreshableVersion="3" recordCount="41" xr:uid="{C1466FF4-F6DA-4F4E-B5BA-99E4DCFE77E4}">
  <cacheSource type="worksheet">
    <worksheetSource name="Table2"/>
  </cacheSource>
  <cacheFields count="36">
    <cacheField name="Request ID" numFmtId="0">
      <sharedItems/>
    </cacheField>
    <cacheField name="Country supported" numFmtId="0">
      <sharedItems count="15">
        <s v="Ethiopia"/>
        <s v="Malawi"/>
        <s v="Burkina Faso"/>
        <s v="Chad"/>
        <s v="DRC"/>
        <s v="Lao"/>
        <s v="South Sudan"/>
        <s v="Nigeria"/>
        <s v="Yemen"/>
        <s v="Ghana"/>
        <s v="Sierra Leone"/>
        <s v="Afghanistan"/>
        <s v="Somalia"/>
        <s v="Sudan"/>
        <s v="Kenya"/>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6000" maxValue="21829690.973559324"/>
    </cacheField>
    <cacheField name="Type of request" numFmtId="0">
      <sharedItems count="4">
        <s v="Urgent"/>
        <s v="Out of scope"/>
        <s v="Standard"/>
        <s v="Normal"/>
      </sharedItems>
    </cacheField>
    <cacheField name="Amount tracked through this row" numFmtId="0">
      <sharedItems containsMixedTypes="1" containsNumber="1" minValue="0" maxValue="14629690.973559324"/>
    </cacheField>
    <cacheField name="Details on the request" numFmtId="0">
      <sharedItems containsBlank="1" count="63">
        <s v="WHO Funding for Tigray region"/>
        <s v="TA support"/>
        <s v="Budget for the vaccination campaign starting in July in Malawi covered by WHO"/>
        <s v="Budget for the vaccination campaign starting in July in Malawi covered by UNICEF"/>
        <s v="Implementation and monitoring of vaccination campaign in 13 country states (378k$) + Pfizer vaccine supply (5k$) + Global mgt of vaccination activities (42k$) + Vaccination team salaries (75k$)"/>
        <s v="National and provincial vaccination campaign"/>
        <s v="Launch of vaccination campaign, pre financing of CDS2"/>
        <s v="Launch of a vaccination campaign in the 11 country states that are still facing very low vaccination rate (HCW salaries, transportation and mgt team)"/>
        <s v="RCCE in DRC from the Red Cross"/>
        <s v="3 ambulance vehicules to support mobile service of COVID-19 vaccination in the hard-to-reach and low coverage areas​"/>
        <s v="Part of the round 3 of the vaccination campaign scheduled for mid/end May covered by UNICEF"/>
        <s v="Part of CDS application fullfilled by GAVI and disbursed to UNICEF"/>
        <s v="Part of CDS application fullfiled by GAVI and disbursed to WHO"/>
        <s v="Part of CDS application fulfilled by GAVI and disbursed to other partners"/>
        <s v="Part of the CDS application fullfilled by GAVI and disbursed to other partners"/>
        <s v="Part of CDS application fulfilled by GAVI. Vaccination campaign with a target of 5.7M people vaccinated. Costs include: HR, trainings, supplies and equipment, transportation, social mobilization, waste management​"/>
        <s v="UNICEF Funding for Tigray region"/>
        <s v="Funding request for a bundle campaign with C-19 vaccination, measle and yellow fever to take place in June"/>
        <s v="Budget gaps identified through CDS process - Misalignment between Budget and request to be clarified"/>
        <s v="CDS application - Light contribution from CoVDP in terms of process (coordination)"/>
        <s v="TBD"/>
        <s v="Nigerian Red Cross phase 2 plan for Covid vaccination scale up"/>
        <s v="Funding request to cover the logistics part not covered by the CDS application"/>
        <s v="Data management and waste management"/>
        <s v="TA support covered by GAVI"/>
        <s v="Potential urgent needs identified in CDS application (still tbd)"/>
        <s v="Part of CDS request fullfilled by GAVI"/>
        <s v="Part of CDS request not fulfilled by GAVI and covered by WHO through German AA funds"/>
        <s v="Budget required to fund vaccination campaign from July to december covered by WHO"/>
        <s v="CDS application"/>
        <s v="Part of CDS request not fulfiled by GAVI and covered by WHO"/>
        <s v="CDS Budget TA  covered by WHO"/>
        <s v="Part of CDS request not fulfilled by GAVI and covered by UNICEF through German AA funds"/>
        <s v="Part of CDS application not fulfilled by GAVI and requiring other partners support. Vaccination campaign with a target of 5.7M people vaccinated. Costs include: HR, trainings, supplies and equipment, transportation, social mobilization, waste management​"/>
        <s v="Budget required to fund vaccintion from July to december covered by GAVI"/>
        <s v="Difference between the UNICEF budget and the disbursed amount"/>
        <s v="Urgent funding request to cover national regional and sub-county training, facility and national oversight"/>
        <s v="Budget required to fund vaccination campaign from July to december covered by UNICEF"/>
        <s v="TA support not covered by CDS funding and covered by WHO and UNICEF" u="1"/>
        <m u="1"/>
        <s v="Logistics support not covered by CDS funding" u="1"/>
        <s v="Part of CDS application fullfilled by GAVI " u="1"/>
        <s v="UNICEF TA for 6 months campaign (2 rounds)" u="1"/>
        <s v="Funding for Tigray region" u="1"/>
        <s v="Round 3 of the vaccination campaign scheduled for mid/end May " u="1"/>
        <s v="Part of CDS request fullfilled by GAVI pending response from the country team" u="1"/>
        <s v="Funding for TA not included in the CDS application due to limited time and likely to be mostly for WHO and UNICEF TA - split this line item when breakdown is known" u="1"/>
        <s v="Part of CDS request not fulfilled by GAVI" u="1"/>
        <s v="Waste management" u="1"/>
        <s v="Data management and waste management budget gap" u="1"/>
        <s v="Vaccination campaign with a target of 5.7M people vaccinated. Costs include: HR, trainings, supplies and equipment, transportation, social mobilization, waste management​" u="1"/>
        <s v="Part of CDS application fulfilled by GAVI and requiring other partners support. Vaccination campaign with a target of 5.7M people vaccinated. Costs include: HR, trainings, supplies and equipment, transportation, social mobilization, waste management​" u="1"/>
        <s v="Part of CDS application fulfilled by GAVI and disrbused to other partners" u="1"/>
        <s v="CDS budget covered by UNICEF" u="1"/>
        <s v="Budget required to fund vaccination campaign from July to december" u="1"/>
        <s v="Part of CDS application not fullfilled by GAVI and unallocated " u="1"/>
        <s v="TA support covered by UNICEF HAC" u="1"/>
        <s v="Logistics support not covered by CDS funding and covered by WHO and UNICEF" u="1"/>
        <s v="Funding request for a bundle campaign with C-19 vaccination, measle and yellow fever to take place early week of May " u="1"/>
        <s v="Budget for the vaccination campaign starting in July in Malawi" u="1"/>
        <s v="CDS Budget TA  covered by UNICEF" u="1"/>
        <s v="Data management" u="1"/>
        <s v="WHO TA for 6 months campaign (2 rounds)"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6-18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6-23T00:00:00"/>
    </cacheField>
    <cacheField name="Sources of funding identified (yes / no / Identified as not urgent)" numFmtId="0">
      <sharedItems containsBlank="1"/>
    </cacheField>
    <cacheField name="Source of funding identified (Details)" numFmtId="0">
      <sharedItems containsBlank="1" count="5">
        <s v="WHO"/>
        <s v="UNICEF"/>
        <m/>
        <s v="GAVI"/>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6-25T00:00:00"/>
    </cacheField>
    <cacheField name="Amount to be funded" numFmtId="167">
      <sharedItems containsMixedTypes="1" containsNumber="1" minValue="0"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2002-05-25T00:00:00" maxDate="2022-12-30T00:00:00"/>
    </cacheField>
    <cacheField name="Funds disbursed (yes / no)" numFmtId="0">
      <sharedItems containsBlank="1"/>
    </cacheField>
    <cacheField name="Funds disbursed (Date)" numFmtId="0">
      <sharedItems containsNonDate="0" containsDate="1" containsString="0" containsBlank="1" minDate="2022-01-02T00:00:00" maxDate="2022-06-10T00:00:00"/>
    </cacheField>
    <cacheField name="Funds disbursed (Month)" numFmtId="1">
      <sharedItems containsSemiMixedTypes="0" containsString="0" containsNumber="1" containsInteger="1" minValue="1" maxValue="6"/>
    </cacheField>
    <cacheField name="Utilization rate" numFmtId="9">
      <sharedItems containsString="0" containsBlank="1" containsNumber="1" minValue="0" maxValue="0.8"/>
    </cacheField>
    <cacheField name="Comments and detailed next steps" numFmtId="0">
      <sharedItems containsBlank="1" longText="1"/>
    </cacheField>
    <cacheField name="Status" numFmtId="0">
      <sharedItems containsMixedTypes="1" containsNumber="1" containsInteger="1" minValue="0" maxValue="0" count="6">
        <s v="Funds disbursed"/>
        <s v="Pending partners internal approval"/>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5" maxValue="44739"/>
    </cacheField>
    <cacheField name="Lead time from informal request received to today (days)2" numFmtId="2">
      <sharedItems containsSemiMixedTypes="0" containsString="0" containsNumber="1" containsInteger="1" minValue="10" maxValue="224"/>
    </cacheField>
    <cacheField name="Lead time from formal request received to today (days - corrected)" numFmtId="2">
      <sharedItems containsMixedTypes="1" containsNumber="1" containsInteger="1" minValue="5" maxValue="181"/>
    </cacheField>
    <cacheField name="Lead time from sources identified to today (if not disbursed yet)" numFmtId="2">
      <sharedItems containsMixedTypes="1" containsNumber="1" containsInteger="1" minValue="3" maxValue="44739"/>
    </cacheField>
    <cacheField name="Lead time from formal request received to disbursement of funds (calendar days)" numFmtId="2">
      <sharedItems containsBlank="1" containsMixedTypes="1" containsNumber="1" containsInteger="1" minValue="1" maxValue="105"/>
    </cacheField>
    <cacheField name="Lead time from formal request received to disbursement of funds (working days)" numFmtId="2">
      <sharedItems containsMixedTypes="1" containsNumber="1" containsInteger="1" minValue="1" maxValue="75"/>
    </cacheField>
    <cacheField name="Lead time from standard request discussed to disbursement of funds (working days) (for Gavi only)" numFmtId="2">
      <sharedItems containsMixedTypes="1" containsNumber="1" containsInteger="1" minValue="22" maxValue="44"/>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10" maxValue="1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Ethiopia440000044677"/>
    <x v="0"/>
    <s v="Tito Rwamushaija"/>
    <s v="William"/>
    <n v="4400000"/>
    <x v="0"/>
    <n v="2200000"/>
    <x v="0"/>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0"/>
    <d v="2022-04-26T00:00:00"/>
    <n v="2200000"/>
    <s v="yes"/>
    <d v="2022-04-27T00:00:00"/>
    <s v="yes"/>
    <d v="2022-04-29T00:00:00"/>
    <n v="4"/>
    <n v="0.05"/>
    <s v="Budget from WHO for the vaccination in Tigray. Approval of the funds to be disbursed on 4/27 - WHO meeting. 300k in the country office. Disbursement date confirmed by Renias Mukaro"/>
    <x v="0"/>
    <n v="62"/>
    <n v="62"/>
    <n v="62"/>
    <s v="-"/>
    <n v="3"/>
    <n v="3"/>
    <s v=""/>
    <m/>
    <s v="YES"/>
    <n v="2"/>
    <s v="Disbursed"/>
  </r>
  <r>
    <s v="Ethiopia540000044604"/>
    <x v="0"/>
    <s v="Tito Rwamushaija"/>
    <s v="William"/>
    <n v="5400000"/>
    <x v="0"/>
    <n v="2400000"/>
    <x v="1"/>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1-12-28T00:00:00"/>
    <s v="yes"/>
    <x v="0"/>
    <d v="2022-02-28T00:00:00"/>
    <n v="2400000"/>
    <s v="yes"/>
    <d v="2022-04-12T00:00:00"/>
    <s v="yes"/>
    <d v="2022-04-12T00:00:00"/>
    <n v="4"/>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81"/>
    <n v="135"/>
    <n v="181"/>
    <s v="-"/>
    <n v="105"/>
    <n v="75"/>
    <s v=""/>
    <m/>
    <s v="NO"/>
    <n v="1"/>
    <s v="Disbursed"/>
  </r>
  <r>
    <s v="Malawi2154578.6060606144729"/>
    <x v="1"/>
    <s v="Billie Nieuwenhuys"/>
    <n v="0"/>
    <n v="2154578.606060606"/>
    <x v="0"/>
    <n v="198000"/>
    <x v="2"/>
    <s v="Copy of Malawi _CoVDP One Budget_Urgent Funding Request_Campaign July 2022.xlsx"/>
    <s v="Desk Officer"/>
    <d v="2022-06-17T00:00:00"/>
    <s v="yes"/>
    <d v="2022-06-22T00:00:00"/>
    <s v="yes"/>
    <x v="0"/>
    <d v="2022-06-24T00:00:00"/>
    <n v="198000"/>
    <s v="no"/>
    <d v="2022-06-24T00:00:00"/>
    <s v="no"/>
    <m/>
    <n v="1"/>
    <m/>
    <s v="Amount for WHO confirmed by Ida Marie"/>
    <x v="1"/>
    <n v="5"/>
    <n v="10"/>
    <n v="5"/>
    <n v="3"/>
    <m/>
    <s v=""/>
    <s v=""/>
    <m/>
    <s v="YES"/>
    <n v="2"/>
    <n v="10"/>
  </r>
  <r>
    <s v="Malawi2154578.6060606144729"/>
    <x v="1"/>
    <s v="Billie Nieuwenhuys"/>
    <n v="0"/>
    <n v="2154578.606060606"/>
    <x v="0"/>
    <n v="1956578.606060606"/>
    <x v="3"/>
    <s v="Copy of Malawi _CoVDP One Budget_Urgent Funding Request_Campaign July 2022.xlsx"/>
    <s v="Desk Officer"/>
    <d v="2022-06-17T00:00:00"/>
    <s v="yes"/>
    <d v="2022-06-22T00:00:00"/>
    <s v="yes"/>
    <x v="1"/>
    <d v="2022-06-24T00:00:00"/>
    <n v="1956578.606060606"/>
    <s v="no"/>
    <m/>
    <s v="no"/>
    <m/>
    <n v="1"/>
    <m/>
    <s v="Request shared by Ida Marie to be discussed during the funding alignment call on Tuesday June 21st "/>
    <x v="1"/>
    <n v="5"/>
    <n v="10"/>
    <n v="5"/>
    <n v="3"/>
    <m/>
    <s v=""/>
    <s v=""/>
    <m/>
    <s v="YES"/>
    <n v="2"/>
    <n v="10"/>
  </r>
  <r>
    <s v="Burkina Faso50000044515"/>
    <x v="2"/>
    <s v="Hamidreza Setayesh"/>
    <s v="William"/>
    <n v="500000"/>
    <x v="0"/>
    <n v="500000"/>
    <x v="4"/>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1"/>
    <d v="2021-12-30T00:00:00"/>
    <n v="500000"/>
    <s v="yes"/>
    <d v="2022-12-29T00:00:00"/>
    <s v="yes"/>
    <d v="2022-01-02T00:00:00"/>
    <n v="1"/>
    <n v="0.24"/>
    <m/>
    <x v="0"/>
    <n v="181"/>
    <n v="224"/>
    <n v="181"/>
    <s v="-"/>
    <n v="5"/>
    <n v="3"/>
    <s v=""/>
    <m/>
    <s v="NO"/>
    <n v="1"/>
    <s v="Disbursed"/>
  </r>
  <r>
    <s v="Chad539093844725"/>
    <x v="3"/>
    <s v="Thierry Vincent"/>
    <s v="Simon"/>
    <n v="5390938"/>
    <x v="0"/>
    <n v="0"/>
    <x v="5"/>
    <s v="Copy of Copy of Synthese macroplan bloc 2_dose 1_v06.01.xlsx"/>
    <s v="GAVI SCM"/>
    <d v="2022-06-13T00:00:00"/>
    <s v="no"/>
    <m/>
    <s v="no"/>
    <x v="2"/>
    <m/>
    <n v="0"/>
    <s v="no"/>
    <m/>
    <s v="no"/>
    <m/>
    <n v="1"/>
    <m/>
    <s v="To be confirmed with Simon"/>
    <x v="2"/>
    <n v="44739"/>
    <n v="14"/>
    <s v="-"/>
    <s v="-"/>
    <m/>
    <s v=""/>
    <s v=""/>
    <m/>
    <s v="NO"/>
    <n v="1"/>
    <n v="14"/>
  </r>
  <r>
    <s v="Chad804861444613"/>
    <x v="3"/>
    <s v="Thierry Vincent"/>
    <s v="Simon"/>
    <n v="8048614"/>
    <x v="0"/>
    <n v="3000000"/>
    <x v="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1"/>
    <d v="2022-03-08T00:00:00"/>
    <n v="3000000"/>
    <s v="yes"/>
    <d v="2022-03-11T00:00:00"/>
    <s v="yes"/>
    <d v="2022-03-15T00:00:00"/>
    <n v="3"/>
    <n v="0.79"/>
    <s v="US$2,451,884 on implementation activities and US$ 548,116 on TA/contingency funds"/>
    <x v="0"/>
    <n v="112"/>
    <n v="126"/>
    <n v="112"/>
    <s v="-"/>
    <n v="8"/>
    <n v="6"/>
    <s v=""/>
    <m/>
    <s v="YES"/>
    <n v="3"/>
    <s v="Disbursed"/>
  </r>
  <r>
    <s v="Chad804861444613"/>
    <x v="3"/>
    <s v="Cyril Nogier"/>
    <s v="Adelaide"/>
    <n v="8048614"/>
    <x v="0"/>
    <n v="740012"/>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1"/>
    <d v="2022-03-08T00:00:00"/>
    <n v="740012"/>
    <s v="yes"/>
    <d v="2022-03-21T00:00:00"/>
    <s v="yes"/>
    <d v="2022-03-18T00:00:00"/>
    <n v="3"/>
    <n v="0.79"/>
    <m/>
    <x v="0"/>
    <n v="112"/>
    <n v="126"/>
    <n v="112"/>
    <s v="-"/>
    <n v="11"/>
    <n v="9"/>
    <s v=""/>
    <s v="UNICEF TA for 6 months campaign (2 rounds)"/>
    <s v="YES"/>
    <n v="3"/>
    <s v="Disbursed"/>
  </r>
  <r>
    <s v="DRC345802844600"/>
    <x v="4"/>
    <s v="Thierry Vincent"/>
    <s v="Simon"/>
    <n v="3458028"/>
    <x v="0"/>
    <n v="3458028"/>
    <x v="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1"/>
    <d v="2022-02-22T00:00:00"/>
    <n v="3458028"/>
    <s v="yes"/>
    <d v="2022-02-22T00:00:00"/>
    <s v="yes"/>
    <d v="2022-02-28T00:00:00"/>
    <n v="2"/>
    <n v="0.49"/>
    <s v="The payment for vaccinators from 3.5M funds already received in the CO will start on mid-March after the completing of the campaigns"/>
    <x v="0"/>
    <n v="129"/>
    <n v="139"/>
    <n v="129"/>
    <s v="-"/>
    <n v="10"/>
    <n v="6"/>
    <s v=""/>
    <m/>
    <s v="NO"/>
    <n v="1"/>
    <s v="Disbursed"/>
  </r>
  <r>
    <s v="DRC300000044721"/>
    <x v="4"/>
    <s v="Cyril Nogier"/>
    <s v="Adelaide"/>
    <n v="3000000"/>
    <x v="0"/>
    <n v="3000000"/>
    <x v="8"/>
    <s v="PHASE II Strengthening Covid vaccination 06062022 (003).docx"/>
    <s v="Desk Officer"/>
    <d v="2022-06-09T00:00:00"/>
    <s v="no"/>
    <m/>
    <s v="no"/>
    <x v="2"/>
    <m/>
    <n v="3000000"/>
    <s v="no"/>
    <m/>
    <s v="no"/>
    <m/>
    <n v="1"/>
    <m/>
    <s v="Adelaide and CT to discuss the request during the funding alignment "/>
    <x v="2"/>
    <n v="44739"/>
    <n v="18"/>
    <s v="-"/>
    <s v="-"/>
    <m/>
    <s v=""/>
    <s v=""/>
    <m/>
    <s v="NO"/>
    <n v="1"/>
    <n v="18"/>
  </r>
  <r>
    <s v="Chad804861444613"/>
    <x v="3"/>
    <s v="Thierry Vincent"/>
    <s v="Simon"/>
    <n v="8048614"/>
    <x v="0"/>
    <n v="1144000"/>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1144000"/>
    <s v="yes"/>
    <d v="2022-03-11T00:00:00"/>
    <s v="yes"/>
    <d v="2022-03-09T00:00:00"/>
    <n v="3"/>
    <n v="0.56000000000000005"/>
    <s v="funding provided from fund already available in CO. $375k of this was ‘borrowed’ from sources of funding that would need to be reimbursed. We expect this to be taken care of through the next funding release from RO, so just to keep note of for now."/>
    <x v="0"/>
    <n v="112"/>
    <n v="126"/>
    <n v="112"/>
    <s v="-"/>
    <n v="2"/>
    <n v="2"/>
    <s v=""/>
    <s v="WHO TA for 6 months campaign (2 rounds)"/>
    <s v="YES"/>
    <n v="3"/>
    <s v="Disbursed"/>
  </r>
  <r>
    <s v="LaoTBD44613"/>
    <x v="5"/>
    <s v="Nadia Lasri"/>
    <n v="0"/>
    <s v="TBD"/>
    <x v="1"/>
    <s v="TBD"/>
    <x v="9"/>
    <m/>
    <s v="Diana"/>
    <d v="2022-02-21T00:00:00"/>
    <s v="no"/>
    <m/>
    <s v="Out of CoVDP scope"/>
    <x v="2"/>
    <m/>
    <s v="TBD"/>
    <m/>
    <m/>
    <m/>
    <m/>
    <n v="1"/>
    <m/>
    <s v="GAVI to check if funding for ambulances has been included in the NBA received from Lao --&gt; Pending answer from SCM (07/03/2022) to confirm non urgency"/>
    <x v="3"/>
    <n v="44739"/>
    <n v="126"/>
    <s v="-"/>
    <s v="-"/>
    <s v="-"/>
    <s v=""/>
    <s v=""/>
    <m/>
    <s v="NO"/>
    <n v="1"/>
    <n v="126"/>
  </r>
  <r>
    <s v="EthiopiaTBD44604"/>
    <x v="0"/>
    <s v="Antoinette Awaga"/>
    <s v="Edinam"/>
    <s v="TBD"/>
    <x v="0"/>
    <n v="216502"/>
    <x v="1"/>
    <s v="https://worldhealthorg.sharepoint.com/:f:/r/sites/COVID19VaccineDeliveryFacility/Shared%20Documents/General/02%20Workstreams/02%20Delivery%20Funding/4.%20Funding%20requests/01.%20Ethiopia?csf=1&amp;web=1&amp;e=DJKaUm"/>
    <s v="GAVI SCM"/>
    <d v="2022-02-12T00:00:00"/>
    <s v="yes"/>
    <d v="2022-02-22T00:00:00"/>
    <s v="yes"/>
    <x v="1"/>
    <d v="2022-03-01T00:00:00"/>
    <n v="216502"/>
    <s v="yes"/>
    <d v="2022-03-04T00:00:00"/>
    <s v="yes"/>
    <d v="2022-03-11T00:00:00"/>
    <n v="3"/>
    <n v="0.8"/>
    <s v="UNICEF’s ACT-A HAC Vaccine pillar: US$175,362 disbursed on March 11th / RCCE pillar: US$41,140 disbursed on March 14th"/>
    <x v="0"/>
    <n v="125"/>
    <n v="135"/>
    <n v="125"/>
    <s v="-"/>
    <n v="17"/>
    <n v="13"/>
    <s v=""/>
    <m/>
    <s v="NO"/>
    <n v="1"/>
    <s v="Disbursed"/>
  </r>
  <r>
    <s v="Ethiopia340000044677"/>
    <x v="0"/>
    <s v="Hamidreza Setayesh"/>
    <s v="William"/>
    <n v="3400000"/>
    <x v="0"/>
    <n v="1700000"/>
    <x v="10"/>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1"/>
    <d v="2022-04-26T00:00:00"/>
    <n v="1700000"/>
    <s v="yes"/>
    <d v="2022-04-26T00:00:00"/>
    <s v="yes"/>
    <d v="2022-04-28T00:00:00"/>
    <n v="4"/>
    <n v="0.8"/>
    <s v="Budget from UNICEF for the R3 campaign. Ronke confirmed that the funds were sent to the country today"/>
    <x v="0"/>
    <n v="62"/>
    <n v="62"/>
    <n v="62"/>
    <s v="-"/>
    <m/>
    <n v="2"/>
    <s v=""/>
    <m/>
    <s v="NO"/>
    <n v="1"/>
    <s v="Disbursed"/>
  </r>
  <r>
    <s v="South Sudan1488200044620"/>
    <x v="6"/>
    <s v="Patience Musanhu"/>
    <s v="Ida Marie"/>
    <n v="14882000"/>
    <x v="0"/>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3"/>
    <d v="2022-03-24T00:00:00"/>
    <n v="915854"/>
    <s v="yes"/>
    <d v="2022-03-24T00:00:00"/>
    <s v="yes"/>
    <d v="2022-05-04T00:00:00"/>
    <n v="5"/>
    <m/>
    <s v="Confirmation from Mona that part of the funds were disbursed in South Sudan"/>
    <x v="0"/>
    <n v="95"/>
    <n v="119"/>
    <n v="95"/>
    <s v="-"/>
    <m/>
    <n v="29"/>
    <n v="29"/>
    <m/>
    <s v="YES"/>
    <n v="6"/>
    <s v="Disbursed"/>
  </r>
  <r>
    <s v="South Sudan1488200044620"/>
    <x v="6"/>
    <s v="Patience Musanhu"/>
    <s v="Ida Marie"/>
    <n v="14882000"/>
    <x v="0"/>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322452"/>
    <s v="yes"/>
    <d v="2022-03-24T00:00:00"/>
    <s v="yes"/>
    <d v="2022-05-04T00:00:00"/>
    <n v="5"/>
    <m/>
    <s v="Confirmation from Patience that the funds have been disrbused for WHO"/>
    <x v="0"/>
    <n v="95"/>
    <n v="119"/>
    <n v="95"/>
    <s v="-"/>
    <m/>
    <n v="29"/>
    <n v="29"/>
    <m/>
    <s v="YES"/>
    <n v="6"/>
    <s v="Disbursed"/>
  </r>
  <r>
    <s v="South Sudan1488200044620"/>
    <x v="6"/>
    <s v="Patience Musanhu"/>
    <s v="Ida Marie"/>
    <n v="14882000"/>
    <x v="0"/>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65590"/>
    <s v="yes"/>
    <d v="2022-03-24T00:00:00"/>
    <s v="yes"/>
    <d v="2022-05-04T00:00:00"/>
    <n v="5"/>
    <m/>
    <s v="Confirmation from Mona of the disbursements"/>
    <x v="0"/>
    <n v="95"/>
    <n v="119"/>
    <n v="95"/>
    <s v="-"/>
    <m/>
    <n v="29"/>
    <n v="29"/>
    <m/>
    <s v="YES"/>
    <n v="6"/>
    <s v="Disbursed"/>
  </r>
  <r>
    <s v="South Sudan1488200044620"/>
    <x v="6"/>
    <s v="Patience Musanhu"/>
    <s v="Ida Marie"/>
    <n v="14882000"/>
    <x v="0"/>
    <n v="1125809"/>
    <x v="14"/>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3"/>
    <d v="2022-03-24T00:00:00"/>
    <n v="1125809"/>
    <s v="yes"/>
    <d v="2022-03-24T00:00:00"/>
    <s v="yes"/>
    <d v="2022-05-25T00:00:00"/>
    <n v="5"/>
    <m/>
    <s v="Of the $2.8m NBF funds, $2,429,705 is now disbursed from Gavi side to the main partners (HPF, Unicef and WHO). 60K is due to go out in June when IOM begin their grant and the remainder is signed into contracts based on deliverables, so with be paid on invoice. "/>
    <x v="0"/>
    <n v="95"/>
    <n v="119"/>
    <n v="95"/>
    <s v="-"/>
    <m/>
    <n v="44"/>
    <n v="44"/>
    <m/>
    <s v="YES"/>
    <n v="6"/>
    <s v="Disbursed"/>
  </r>
  <r>
    <s v="South Sudan1488200044620"/>
    <x v="6"/>
    <s v="Patience Musanhu"/>
    <s v="Ida Marie"/>
    <n v="14882000"/>
    <x v="2"/>
    <n v="368295"/>
    <x v="15"/>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3"/>
    <d v="2022-03-24T00:00:00"/>
    <n v="368295"/>
    <s v="yes"/>
    <d v="2022-03-24T00:00:00"/>
    <s v="yes"/>
    <d v="2022-05-04T00:00:00"/>
    <n v="5"/>
    <m/>
    <s v="Service contract. Disbursements paid when the contrat is delivered"/>
    <x v="0"/>
    <n v="95"/>
    <n v="119"/>
    <n v="95"/>
    <s v="-"/>
    <n v="41"/>
    <n v="29"/>
    <n v="29"/>
    <m/>
    <s v="YES"/>
    <n v="6"/>
    <s v="Disbursed"/>
  </r>
  <r>
    <s v="Ethiopia440000044677"/>
    <x v="0"/>
    <s v="Tarek Elshimi"/>
    <s v="Imran"/>
    <n v="4400000"/>
    <x v="0"/>
    <n v="2170000"/>
    <x v="16"/>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1"/>
    <d v="2022-04-26T00:00:00"/>
    <n v="2170000"/>
    <s v="yes"/>
    <d v="2022-04-26T00:00:00"/>
    <s v="yes"/>
    <d v="2022-04-27T00:00:00"/>
    <n v="4"/>
    <n v="0.8"/>
    <s v="Budget from UNICEF for the vaccination in Tigray"/>
    <x v="0"/>
    <n v="62"/>
    <n v="62"/>
    <n v="62"/>
    <s v="-"/>
    <n v="1"/>
    <n v="1"/>
    <s v=""/>
    <s v="Benjamin email of 14 April mentioned &quot;Transfer of funds to Tigray&quot; - confirm when, who from and whether it met this request"/>
    <s v="YES"/>
    <n v="2"/>
    <s v="Disbursed"/>
  </r>
  <r>
    <s v="Nigeria280000044670"/>
    <x v="7"/>
    <e v="#REF!"/>
    <e v="#REF!"/>
    <n v="2800000"/>
    <x v="0"/>
    <n v="1417098.76"/>
    <x v="17"/>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1417098.76"/>
    <s v="yes"/>
    <d v="2022-04-20T00:00:00"/>
    <s v="yes"/>
    <d v="2022-04-25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6"/>
    <n v="4"/>
    <s v=""/>
    <m/>
    <s v="NO"/>
    <n v="1"/>
    <s v="Disbursed"/>
  </r>
  <r>
    <s v="Yemen480000044621"/>
    <x v="8"/>
    <s v="Anne Cronin"/>
    <n v="0"/>
    <n v="4800000"/>
    <x v="1"/>
    <n v="0"/>
    <x v="18"/>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m/>
    <m/>
    <n v="1"/>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39"/>
    <n v="118"/>
    <s v="-"/>
    <n v="44739"/>
    <s v="-"/>
    <s v=""/>
    <s v=""/>
    <m/>
    <s v="NO"/>
    <n v="1"/>
    <n v="118"/>
  </r>
  <r>
    <s v="Ethiopia800000044587"/>
    <x v="0"/>
    <s v="Tito Rwamushaija"/>
    <s v="William"/>
    <n v="8000000"/>
    <x v="2"/>
    <n v="8000000"/>
    <x v="19"/>
    <m/>
    <s v="GAVI CDS"/>
    <d v="2022-01-26T00:00:00"/>
    <s v="yes"/>
    <d v="2022-01-28T00:00:00"/>
    <s v="yes"/>
    <x v="3"/>
    <d v="2022-02-16T00:00:00"/>
    <n v="8000000"/>
    <s v="yes"/>
    <d v="2022-03-04T00:00:00"/>
    <s v="yes"/>
    <d v="2022-03-18T00:00:00"/>
    <n v="3"/>
    <m/>
    <m/>
    <x v="0"/>
    <n v="150"/>
    <n v="152"/>
    <n v="150"/>
    <s v="-"/>
    <n v="49"/>
    <n v="35"/>
    <n v="22"/>
    <m/>
    <s v="NO"/>
    <n v="1"/>
    <s v="Disbursed"/>
  </r>
  <r>
    <s v="GhanaTBD44637"/>
    <x v="9"/>
    <s v="Aichatou Cisse"/>
    <s v="Imran"/>
    <s v="TBD"/>
    <x v="0"/>
    <s v="TBD"/>
    <x v="20"/>
    <m/>
    <s v="Desk Officer"/>
    <d v="2022-03-17T00:00:00"/>
    <s v="no"/>
    <m/>
    <m/>
    <x v="2"/>
    <m/>
    <s v="TBD"/>
    <m/>
    <m/>
    <m/>
    <m/>
    <n v="1"/>
    <m/>
    <s v="Imran to follow up with the CT to confirm the need - Update expected on Mar 21-22nd"/>
    <x v="2"/>
    <n v="44739"/>
    <n v="102"/>
    <s v="-"/>
    <s v="-"/>
    <s v="-"/>
    <s v=""/>
    <s v=""/>
    <m/>
    <s v="NO"/>
    <n v="1"/>
    <n v="102"/>
  </r>
  <r>
    <s v="Nigeria300000044631"/>
    <x v="7"/>
    <s v="Hamidreza Setayesh"/>
    <s v="William"/>
    <n v="3000000"/>
    <x v="3"/>
    <n v="3000000"/>
    <x v="21"/>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2"/>
    <m/>
    <n v="3000000"/>
    <m/>
    <m/>
    <m/>
    <m/>
    <n v="1"/>
    <m/>
    <s v="Not confirmed yet - Only 9 out of 36 micro plan received from states - CT currently working to prepare plans and budgets and identify medium term funding support required. No discussion yet with the government. Not priority for Q2."/>
    <x v="2"/>
    <n v="44739"/>
    <n v="108"/>
    <s v="-"/>
    <s v="-"/>
    <s v="-"/>
    <s v=""/>
    <s v=""/>
    <m/>
    <s v="NO"/>
    <n v="1"/>
    <n v="108"/>
  </r>
  <r>
    <s v="Nigeria610000044670"/>
    <x v="7"/>
    <e v="#REF!"/>
    <e v="#REF!"/>
    <n v="6100000"/>
    <x v="0"/>
    <n v="3600000"/>
    <x v="22"/>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3600000"/>
    <s v="yes"/>
    <d v="2022-04-20T00:00:00"/>
    <s v="yes"/>
    <d v="2022-04-24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5"/>
    <n v="3"/>
    <s v=""/>
    <m/>
    <s v="NO"/>
    <n v="1"/>
    <s v="Disbursed"/>
  </r>
  <r>
    <s v="Sierra Leone152000044624"/>
    <x v="10"/>
    <s v="Tito Rwamushaija"/>
    <s v="William"/>
    <n v="1520000"/>
    <x v="0"/>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1"/>
    <d v="2022-04-11T00:00:00"/>
    <n v="1526147"/>
    <s v="yes"/>
    <d v="2022-04-11T00:00:00"/>
    <s v="yes"/>
    <d v="2022-04-11T00:00:00"/>
    <n v="4"/>
    <n v="0.54"/>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89"/>
    <n v="115"/>
    <n v="89"/>
    <s v="-"/>
    <n v="12"/>
    <n v="8"/>
    <s v=""/>
    <m/>
    <s v="NO"/>
    <n v="1"/>
    <s v="Disbursed"/>
  </r>
  <r>
    <s v="Nigeria620000044677"/>
    <x v="7"/>
    <s v="Hamidreza Setayesh"/>
    <s v="William"/>
    <n v="6200000"/>
    <x v="0"/>
    <n v="6200000"/>
    <x v="24"/>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3"/>
    <d v="2022-06-02T00:00:00"/>
    <n v="6200000"/>
    <s v="yes"/>
    <d v="2022-06-22T00:00:00"/>
    <s v="no"/>
    <m/>
    <n v="1"/>
    <m/>
    <s v="Confirm whether GAVI to fund 6.2m in the TA request. Mona provided updates during the call on June 24th "/>
    <x v="4"/>
    <n v="47"/>
    <n v="62"/>
    <n v="47"/>
    <n v="25"/>
    <s v="-"/>
    <s v=""/>
    <s v=""/>
    <m/>
    <s v="NO"/>
    <n v="1"/>
    <n v="62"/>
  </r>
  <r>
    <s v="AfghanistanTBD44649"/>
    <x v="11"/>
    <s v="Veronique Maeva Fages"/>
    <s v="Imran"/>
    <s v="TBD"/>
    <x v="0"/>
    <s v="TBD"/>
    <x v="25"/>
    <m/>
    <s v="Desk Officer"/>
    <d v="2022-03-29T00:00:00"/>
    <s v="no"/>
    <m/>
    <m/>
    <x v="2"/>
    <m/>
    <s v="TBD"/>
    <m/>
    <m/>
    <m/>
    <m/>
    <n v="1"/>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39"/>
    <n v="90"/>
    <s v="-"/>
    <s v="-"/>
    <s v="-"/>
    <s v=""/>
    <s v=""/>
    <m/>
    <s v="NO"/>
    <n v="1"/>
    <n v="90"/>
  </r>
  <r>
    <s v="Somalia1743000044670"/>
    <x v="12"/>
    <e v="#REF!"/>
    <e v="#REF!"/>
    <n v="17430000"/>
    <x v="0"/>
    <n v="5552930"/>
    <x v="26"/>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3"/>
    <d v="2022-04-19T00:00:00"/>
    <n v="5552930"/>
    <s v="yes"/>
    <d v="2022-04-19T00:00:00"/>
    <s v="no"/>
    <m/>
    <n v="1"/>
    <m/>
    <s v="To follow up with Abu and Patience "/>
    <x v="4"/>
    <n v="69"/>
    <n v="69"/>
    <n v="69"/>
    <n v="69"/>
    <s v="-"/>
    <s v=""/>
    <s v=""/>
    <m/>
    <s v="YES"/>
    <n v="3"/>
    <n v="69"/>
  </r>
  <r>
    <s v="Somalia1743000044670"/>
    <x v="12"/>
    <s v="Anne Cronin"/>
    <s v="Abu"/>
    <n v="17430000"/>
    <x v="0"/>
    <n v="4661556"/>
    <x v="27"/>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4-19T00:00:00"/>
    <s v="yes"/>
    <x v="0"/>
    <d v="2022-05-30T00:00:00"/>
    <n v="4661556"/>
    <s v="yes"/>
    <d v="2022-05-30T00:00:00"/>
    <s v="no"/>
    <m/>
    <n v="1"/>
    <m/>
    <m/>
    <x v="4"/>
    <n v="69"/>
    <n v="69"/>
    <n v="69"/>
    <n v="28"/>
    <m/>
    <s v=""/>
    <s v=""/>
    <m/>
    <s v="YES"/>
    <n v="3"/>
    <n v="69"/>
  </r>
  <r>
    <s v="Sudan21829690.973559344640"/>
    <x v="13"/>
    <s v="Patience Musanhu"/>
    <s v="Abu"/>
    <n v="21829690.973559324"/>
    <x v="2"/>
    <n v="3600000"/>
    <x v="28"/>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0"/>
    <d v="2022-05-31T00:00:00"/>
    <n v="3600000"/>
    <s v="yes"/>
    <d v="2022-06-08T00:00:00"/>
    <s v="no"/>
    <m/>
    <n v="1"/>
    <m/>
    <s v="Pending disbursement from WHO. Information shared by Osama"/>
    <x v="4"/>
    <n v="27"/>
    <n v="99"/>
    <n v="27"/>
    <n v="27"/>
    <m/>
    <s v=""/>
    <s v=""/>
    <m/>
    <s v="YES"/>
    <n v="2"/>
    <n v="99"/>
  </r>
  <r>
    <s v="Sudan510000044648"/>
    <x v="13"/>
    <s v="Anne Cronin"/>
    <s v="Abu"/>
    <n v="5100000"/>
    <x v="2"/>
    <n v="5763000"/>
    <x v="29"/>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3"/>
    <d v="2022-03-28T00:00:00"/>
    <n v="5763000"/>
    <s v="yes"/>
    <d v="2022-05-02T00:00:00"/>
    <s v="yes"/>
    <d v="2022-05-17T00:00:00"/>
    <n v="5"/>
    <m/>
    <s v="Information shared by Mona during the funding alignment call. Approval by Seth the CEO on May 2nd  "/>
    <x v="0"/>
    <n v="91"/>
    <n v="91"/>
    <n v="91"/>
    <s v="-"/>
    <n v="50"/>
    <n v="36"/>
    <n v="36"/>
    <m/>
    <s v="NO"/>
    <n v="1"/>
    <s v="Disbursed"/>
  </r>
  <r>
    <s v="Somalia1743000044670"/>
    <x v="12"/>
    <s v="Patience Musanhu"/>
    <s v="Abu"/>
    <n v="17430000"/>
    <x v="0"/>
    <n v="1923000"/>
    <x v="30"/>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0"/>
    <d v="2022-04-19T00:00:00"/>
    <n v="1923000"/>
    <s v="yes"/>
    <d v="2022-04-19T00:00:00"/>
    <s v="yes"/>
    <d v="2022-04-27T00:00:00"/>
    <n v="4"/>
    <n v="0.45"/>
    <s v="WHO meeting on 4/27 Somalia will get the 1.923MUS transferred from RO today"/>
    <x v="0"/>
    <n v="69"/>
    <n v="69"/>
    <n v="69"/>
    <s v="-"/>
    <m/>
    <n v="6"/>
    <s v=""/>
    <m/>
    <s v="YES"/>
    <n v="3"/>
    <s v="Disbursed"/>
  </r>
  <r>
    <s v="Somalia36600044670"/>
    <x v="12"/>
    <s v="Patience Musanhu"/>
    <s v="Abu"/>
    <n v="366000"/>
    <x v="1"/>
    <n v="225000"/>
    <x v="31"/>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0"/>
    <d v="2022-04-19T00:00:00"/>
    <n v="225000"/>
    <s v="yes"/>
    <d v="2022-05-18T00:00:00"/>
    <s v="no"/>
    <m/>
    <n v="1"/>
    <m/>
    <s v="WHO alignment meeting on the 5/18. Approval from Quamrul. 5/26 - WHO alignment meeting: Funds are available and can be transferred the CT when required"/>
    <x v="3"/>
    <n v="61"/>
    <n v="69"/>
    <n v="61"/>
    <n v="69"/>
    <m/>
    <s v=""/>
    <s v=""/>
    <m/>
    <s v="NO"/>
    <n v="1"/>
    <n v="69"/>
  </r>
  <r>
    <s v="Somalia1743000044711"/>
    <x v="12"/>
    <s v="Patience Musanhu"/>
    <s v="Ida Marie"/>
    <n v="17430000"/>
    <x v="0"/>
    <n v="5114501"/>
    <x v="32"/>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1"/>
    <d v="2022-05-31T00:00:00"/>
    <n v="5114501"/>
    <s v="yes"/>
    <d v="2022-05-31T00:00:00"/>
    <s v="yes"/>
    <d v="2022-06-01T00:00:00"/>
    <n v="6"/>
    <n v="0"/>
    <s v="German AA funds disbursed on June 1st - information shared by Nikhil"/>
    <x v="0"/>
    <n v="27"/>
    <n v="28"/>
    <n v="27"/>
    <s v="-"/>
    <n v="1"/>
    <n v="1"/>
    <s v=""/>
    <m/>
    <s v="NO"/>
    <n v="1"/>
    <s v="Disbursed"/>
  </r>
  <r>
    <s v="South Sudan1488200044620"/>
    <x v="6"/>
    <s v="Tito Rwamushaija"/>
    <s v="William"/>
    <n v="14882000"/>
    <x v="0"/>
    <n v="3000000"/>
    <x v="33"/>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1"/>
    <d v="2022-03-29T00:00:00"/>
    <n v="3000000"/>
    <s v="yes"/>
    <d v="2022-03-29T00:00:00"/>
    <s v="yes"/>
    <d v="2022-04-04T00:00:00"/>
    <n v="4"/>
    <n v="0.03"/>
    <s v="Confirmed by Ronke. Note that before spending the money the CO have to provide some updates and meet conditions set at global level, however disbursement for UNICEF is taken as money sent to CO and so it is counted here. CO confirmed the receipt of fund on 04/14"/>
    <x v="0"/>
    <n v="95"/>
    <n v="119"/>
    <n v="95"/>
    <s v="-"/>
    <n v="11"/>
    <n v="7"/>
    <s v=""/>
    <m/>
    <s v="YES"/>
    <n v="6"/>
    <s v="Disbursed"/>
  </r>
  <r>
    <s v="Sudan21829690.973559344640"/>
    <x v="13"/>
    <s v="Anne Cronin"/>
    <s v="Abu"/>
    <n v="21829690.973559324"/>
    <x v="2"/>
    <n v="14629690.973559324"/>
    <x v="34"/>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3"/>
    <m/>
    <n v="14629690.973559324"/>
    <s v="no"/>
    <m/>
    <s v="no"/>
    <m/>
    <n v="1"/>
    <m/>
    <s v="Pending the one budget preparation from Ronke. Alignment on potential funders during the funding alignment call on May 17th "/>
    <x v="2"/>
    <n v="44739"/>
    <n v="99"/>
    <s v="-"/>
    <n v="44739"/>
    <m/>
    <s v=""/>
    <s v=""/>
    <m/>
    <s v="YES"/>
    <n v="2"/>
    <n v="99"/>
  </r>
  <r>
    <s v="South Sudan1488200044663"/>
    <x v="6"/>
    <s v="Tito Rwamushaija"/>
    <s v="William"/>
    <n v="14882000"/>
    <x v="0"/>
    <n v="43000"/>
    <x v="35"/>
    <m/>
    <s v="GAVI SCM"/>
    <d v="2022-04-12T00:00:00"/>
    <s v="yes"/>
    <d v="2022-04-12T00:00:00"/>
    <s v="yes"/>
    <x v="1"/>
    <d v="2022-04-22T00:00:00"/>
    <n v="43000"/>
    <s v="yes"/>
    <d v="2022-04-22T00:00:00"/>
    <s v="yes"/>
    <d v="2022-04-22T00:00:00"/>
    <n v="4"/>
    <n v="0.03"/>
    <s v="Difference between the UNICEF budget and the disbursed amount. Flexible amount that has been reprogrammed to meet priority needs"/>
    <x v="0"/>
    <n v="76"/>
    <n v="76"/>
    <n v="76"/>
    <s v="-"/>
    <m/>
    <n v="8"/>
    <s v=""/>
    <m/>
    <s v="NO"/>
    <n v="1"/>
    <s v="Disbursed"/>
  </r>
  <r>
    <s v="Kenya1794314.444710"/>
    <x v="14"/>
    <s v="Jessica Crawford"/>
    <s v="Adidja"/>
    <n v="1794314.4"/>
    <x v="0"/>
    <n v="1490000"/>
    <x v="36"/>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0"/>
    <d v="2022-06-08T00:00:00"/>
    <n v="1490000"/>
    <s v="yes"/>
    <d v="2002-06-08T00:00:00"/>
    <s v="yes"/>
    <d v="2022-06-09T00:00:00"/>
    <n v="6"/>
    <n v="0"/>
    <s v="Request shared by the Desk Officer in Kenya to be disscussed during the funding alignment call on Tuesday. Confirmation of disbursement from Mukaro "/>
    <x v="0"/>
    <n v="29"/>
    <n v="29"/>
    <n v="29"/>
    <s v="-"/>
    <m/>
    <n v="8"/>
    <s v=""/>
    <m/>
    <s v="NO"/>
    <n v="1"/>
    <s v="Disbursed"/>
  </r>
  <r>
    <s v="Sudan21829690.973559344650"/>
    <x v="13"/>
    <s v="Patience Musanhu"/>
    <s v="Abu"/>
    <n v="21829690.973559324"/>
    <x v="2"/>
    <n v="3600000"/>
    <x v="37"/>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no"/>
    <m/>
    <s v="yes"/>
    <x v="1"/>
    <d v="2022-05-17T00:00:00"/>
    <n v="3600000"/>
    <s v="yes"/>
    <d v="2002-05-25T00:00:00"/>
    <s v="no"/>
    <m/>
    <n v="1"/>
    <m/>
    <s v="Pending the one budget preparation from Ronke. Alignment on potential funders during the funding alignment call on May 17th. The funds will be transferred once the Sudan team finalize the budgets against envelopes provided by UNICEF, WHO and GAVI"/>
    <x v="4"/>
    <n v="44739"/>
    <n v="89"/>
    <s v="-"/>
    <n v="41"/>
    <s v="-"/>
    <s v=""/>
    <s v=""/>
    <m/>
    <s v="NO"/>
    <n v="1"/>
    <n v="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07:F228" firstHeaderRow="0" firstDataRow="1" firstDataCol="2"/>
  <pivotFields count="36">
    <pivotField compact="0" outline="0" showAll="0" defaultSubtotal="0"/>
    <pivotField axis="axisRow" compact="0" outline="0" showAll="0" defaultSubtotal="0">
      <items count="15">
        <item x="11"/>
        <item x="2"/>
        <item x="3"/>
        <item x="4"/>
        <item x="0"/>
        <item x="9"/>
        <item x="14"/>
        <item x="5"/>
        <item x="1"/>
        <item x="7"/>
        <item x="10"/>
        <item x="12"/>
        <item x="6"/>
        <item x="13"/>
        <item x="8"/>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3"/>
        <item h="1" x="4"/>
        <item x="1"/>
        <item x="0"/>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1">
    <i>
      <x/>
      <x v="4"/>
    </i>
    <i r="1">
      <x v="9"/>
    </i>
    <i r="1">
      <x v="11"/>
    </i>
    <i r="1">
      <x v="12"/>
    </i>
    <i r="1">
      <x v="13"/>
    </i>
    <i>
      <x v="2"/>
      <x v="1"/>
    </i>
    <i r="1">
      <x v="2"/>
    </i>
    <i r="1">
      <x v="3"/>
    </i>
    <i r="1">
      <x v="4"/>
    </i>
    <i r="1">
      <x v="8"/>
    </i>
    <i r="1">
      <x v="9"/>
    </i>
    <i r="1">
      <x v="10"/>
    </i>
    <i r="1">
      <x v="11"/>
    </i>
    <i r="1">
      <x v="12"/>
    </i>
    <i r="1">
      <x v="13"/>
    </i>
    <i>
      <x v="3"/>
      <x v="2"/>
    </i>
    <i r="1">
      <x v="4"/>
    </i>
    <i r="1">
      <x v="6"/>
    </i>
    <i r="1">
      <x v="8"/>
    </i>
    <i r="1">
      <x v="11"/>
    </i>
    <i r="1">
      <x v="13"/>
    </i>
  </rowItems>
  <colFields count="1">
    <field x="-2"/>
  </colFields>
  <colItems count="2">
    <i>
      <x/>
    </i>
    <i i="1">
      <x v="1"/>
    </i>
  </colItems>
  <dataFields count="2">
    <dataField name="Sum of Amount tracked through this row" fld="6" baseField="1" baseItem="4" numFmtId="167"/>
    <dataField name="Average of Utilization rate" fld="22" subtotal="average" baseField="1" baseItem="4" numFmtId="9"/>
  </dataFields>
  <formats count="2">
    <format dxfId="31">
      <pivotArea outline="0" collapsedLevelsAreSubtotals="1" fieldPosition="0"/>
    </format>
    <format dxfId="30">
      <pivotArea outline="0"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h="1" x="1"/>
        <item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4">
    <i>
      <x/>
    </i>
    <i>
      <x v="1"/>
    </i>
    <i>
      <x v="4"/>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33">
      <pivotArea dataOnly="0" labelOnly="1" outline="0" fieldPosition="0">
        <references count="1">
          <reference field="5" count="0"/>
        </references>
      </pivotArea>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S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5">
      <pivotArea dataOnly="0" labelOnly="1" outline="0" fieldPosition="0">
        <references count="1">
          <reference field="5" count="0"/>
        </references>
      </pivotArea>
    </format>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S131"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7">
      <pivotArea dataOnly="0" labelOnly="1" outline="0" fieldPosition="0">
        <references count="1">
          <reference field="5" count="0"/>
        </references>
      </pivotArea>
    </format>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39">
      <pivotArea dataOnly="0" labelOnly="1" outline="0" fieldPosition="0">
        <references count="1">
          <reference field="5" count="0"/>
        </references>
      </pivotArea>
    </format>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41">
      <pivotArea outline="0" collapsedLevelsAreSubtotals="1" fieldPosition="0"/>
    </format>
    <format dxfId="40">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S9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43">
      <pivotArea dataOnly="0" labelOnly="1" outline="0" fieldPosition="0">
        <references count="1">
          <reference field="5" count="0"/>
        </references>
      </pivotArea>
    </format>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45">
      <pivotArea dataOnly="0" labelOnly="1" outline="0" fieldPosition="0">
        <references count="1">
          <reference field="5" count="0"/>
        </references>
      </pivotArea>
    </format>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S112"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2">
    <format dxfId="47">
      <pivotArea dataOnly="0" labelOnly="1" outline="0" fieldPosition="0">
        <references count="1">
          <reference field="5" count="0"/>
        </references>
      </pivotArea>
    </format>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49">
      <pivotArea outline="0" collapsedLevelsAreSubtotals="1" fieldPosition="0"/>
    </format>
    <format dxfId="48">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S28"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8">
    <format dxfId="57">
      <pivotArea dataOnly="0" labelOnly="1" outline="0" fieldPosition="0">
        <references count="1">
          <reference field="5" count="0"/>
        </references>
      </pivotArea>
    </format>
    <format dxfId="56">
      <pivotArea outline="0" collapsedLevelsAreSubtotals="1" fieldPosition="0"/>
    </format>
    <format dxfId="55">
      <pivotArea outline="0" collapsedLevelsAreSubtotals="1" fieldPosition="0"/>
    </format>
    <format dxfId="54">
      <pivotArea collapsedLevelsAreSubtotals="1" fieldPosition="0">
        <references count="1">
          <reference field="24" count="0"/>
        </references>
      </pivotArea>
    </format>
    <format dxfId="53">
      <pivotArea collapsedLevelsAreSubtotals="1" fieldPosition="0">
        <references count="1">
          <reference field="24" count="0"/>
        </references>
      </pivotArea>
    </format>
    <format dxfId="52">
      <pivotArea dataOnly="0" labelOnly="1" fieldPosition="0">
        <references count="1">
          <reference field="24" count="0"/>
        </references>
      </pivotArea>
    </format>
    <format dxfId="51">
      <pivotArea grandRow="1" outline="0" collapsedLevelsAreSubtotals="1" fieldPosition="0"/>
    </format>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60" tableBorderDxfId="59">
  <tableColumns count="20">
    <tableColumn id="1" xr3:uid="{E8E3A216-192D-4D9E-BBAE-B1D42BAB296C}" name="Description of tabs"/>
    <tableColumn id="2" xr3:uid="{89251F53-2BAF-423C-9488-A694EB0C8FF0}" name="Column1" dataDxfId="58"/>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K42" totalsRowShown="0">
  <autoFilter ref="A1:AK42" xr:uid="{25C0EA96-072D-432E-A61E-13F468A7ABAC}"/>
  <sortState xmlns:xlrd2="http://schemas.microsoft.com/office/spreadsheetml/2017/richdata2" ref="A2:AK42">
    <sortCondition ref="C1:C42"/>
  </sortState>
  <tableColumns count="37">
    <tableColumn id="1" xr3:uid="{71BF7046-57C0-45B2-A014-24C9E57231BE}" name="Request ID" dataDxfId="29">
      <calculatedColumnFormula>CONCATENATE(C2,F2,L2)</calculatedColumnFormula>
    </tableColumn>
    <tableColumn id="37" xr3:uid="{BEA19882-28A9-4956-B0BB-07D14F627543}" name="ISO"/>
    <tableColumn id="2" xr3:uid="{3C61D806-40DC-44F6-A34C-EC5899E36062}" name="Country supported"/>
    <tableColumn id="3" xr3:uid="{44A29FBD-3B32-4289-A865-339F901CE305}" name="GAVI SCM">
      <calculatedColumnFormula>INDEX(Table1[#All],MATCH('Funding tracker'!$C2,Table1[[#All],[Recipient country Name]],0),MATCH('Funding tracker'!D$1,Table1[#Headers],0))</calculatedColumnFormula>
    </tableColumn>
    <tableColumn id="4" xr3:uid="{D2FDA74C-D597-4EBE-BCAA-DBB973A74EDB}" name="CoVDP Desk Officer">
      <calculatedColumnFormula>INDEX(Table1[#All],MATCH('Funding tracker'!$C2,Table1[[#All],[Recipient country Name]],0),MATCH('Funding tracker'!E$1,Table1[#Headers],0))</calculatedColumnFormula>
    </tableColumn>
    <tableColumn id="25" xr3:uid="{63C3696E-5F97-4841-9462-51F775E32E43}" name="Total amount of funding request received initially (or amount of standard request discussed)" dataDxfId="28"/>
    <tableColumn id="29" xr3:uid="{C02DF2CE-43A7-4649-847E-66FD6F6285A8}" name="Type of request" dataDxfId="27"/>
    <tableColumn id="5" xr3:uid="{F13B2397-FBD8-4431-85C0-D6727B2695D3}" name="Amount tracked through this row" dataDxfId="26"/>
    <tableColumn id="6" xr3:uid="{9FF5B8B9-6794-4C77-8451-AAF13D4FFB91}" name="Details on the request"/>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25">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4">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3">
      <calculatedColumnFormula>MONTH(Table2[[#This Row],[Funds disbursed (Date)]])</calculatedColumnFormula>
    </tableColumn>
    <tableColumn id="36" xr3:uid="{BAC3EDCA-600F-4708-AE1B-F05676082F96}" name="Utilization rate"/>
    <tableColumn id="20" xr3:uid="{43C5ADB3-806A-4950-A577-EBD58D912F6D}" name="Comments and detailed next steps"/>
    <tableColumn id="21" xr3:uid="{865269EA-63DA-47B6-8134-04A3FC2871DC}" name="Status" dataDxfId="22">
      <calculatedColumnFormula array="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calculatedColumnFormula>
    </tableColumn>
    <tableColumn id="30" xr3:uid="{F468C48E-5D57-4F6F-A663-5DC5B0C59D31}" name="Lead time from formal request received to today (days)" dataDxfId="21">
      <calculatedColumnFormula>_xlfn.DAYS(TODAY(),$N2)</calculatedColumnFormula>
    </tableColumn>
    <tableColumn id="32" xr3:uid="{1AE1073F-4302-4BDF-8E40-948D8996B7F8}" name="Lead time from informal request received to today (days)2" dataDxfId="20">
      <calculatedColumnFormula>_xlfn.DAYS(TODAY(),$L2)</calculatedColumnFormula>
    </tableColumn>
    <tableColumn id="23" xr3:uid="{FCE42EB6-37C6-410F-9A6A-6312F172585F}" name="Lead time from formal request received to today (days - corrected)" dataDxfId="19">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18">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17"/>
    <tableColumn id="34" xr3:uid="{59D98D4C-8935-40A3-B15C-3E648AC4A0FC}" name="Lead time from formal request received to disbursement of funds (working days)" dataDxfId="16">
      <calculatedColumnFormula>IF(V2="","",NETWORKDAYS(N2,V2)-1)</calculatedColumnFormula>
    </tableColumn>
    <tableColumn id="35" xr3:uid="{4A11E618-6119-4D51-BE52-C516B1DF5AD5}" name="Lead time from standard request discussed to disbursement of funds (working days) (for Gavi only)" dataDxfId="15">
      <calculatedColumnFormula>IF(OR(V2="",Table2[[#This Row],[Source of funding identified (Details)]]&lt;&gt;Utilities!$B$6),"",NETWORKDAYS(Q2,V2)-1)</calculatedColumnFormula>
    </tableColumn>
    <tableColumn id="26" xr3:uid="{20864EB3-9153-4FE6-BBCC-936D3420A86C}" name="Comments"/>
    <tableColumn id="27" xr3:uid="{586B9A70-292C-4DEF-A253-A96CB5096F13}" name="Link to another row in the tracker" dataDxfId="14">
      <calculatedColumnFormula>IF(Table2[[#This Row],[Column1]]=1,"NO","YES")</calculatedColumnFormula>
    </tableColumn>
    <tableColumn id="28" xr3:uid="{B5DF6ECC-EA2B-41F2-83DB-67351F91289A}" name="Column1" dataDxfId="13">
      <calculatedColumnFormula>COUNTIF(Table2[Request ID],Table2[[#This Row],[Request ID]])</calculatedColumnFormula>
    </tableColumn>
    <tableColumn id="31" xr3:uid="{5474AFA8-E9ED-4DDE-A026-020404345A22}" name="Lead time risk level (from informal request to today)" dataDxfId="12">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1" headerRowBorderDxfId="10" tableBorderDxfId="9">
  <autoFilter ref="A1:F3" xr:uid="{12E7248E-6485-4C21-94AC-7B82A60F972D}"/>
  <tableColumns count="6">
    <tableColumn id="1" xr3:uid="{159D67A2-96F3-4D1A-8732-896C75B0A54D}" name="Country"/>
    <tableColumn id="2" xr3:uid="{80BE6720-57ED-46EA-A4A7-2E284C5297F1}" name="GAVI SCM" dataDxfId="8">
      <calculatedColumnFormula>INDEX(Table1[#All],MATCH(Table3[[#This Row],[Country]],Table1[[#All],[Recipient country Name]],0),MATCH(Table3[[#Headers],[GAVI SCM]],Table1[#Headers],0))</calculatedColumnFormula>
    </tableColumn>
    <tableColumn id="3" xr3:uid="{9D17E42E-BFB2-4FA9-80D3-02FAC6D9C715}" name="CoVDP Desk Officer" dataDxfId="7">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6"/>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5">
  <autoFilter ref="A1:H161" xr:uid="{51E4750B-4818-4314-9ECD-0D1CF8E87D7B}"/>
  <tableColumns count="8">
    <tableColumn id="1" xr3:uid="{CA7E8392-5410-4DBA-B4E7-D201C7B52274}" name="Recipient country Name" dataDxfId="4"/>
    <tableColumn id="2" xr3:uid="{21008817-6488-43CA-82B8-8645BA131AAB}" name="Membership" dataDxfId="3"/>
    <tableColumn id="3" xr3:uid="{7C3FC6E0-709A-4411-A25A-BF22AD151A86}" name="Surge member" dataDxfId="2"/>
    <tableColumn id="4" xr3:uid="{A9291887-C67E-41F6-B697-69B1A2E9D5CD}" name="Surge E-mail" dataDxfId="1" dataCellStyle="Hyperlink"/>
    <tableColumn id="5" xr3:uid="{8A63A839-2553-43EC-8DD0-B97FEE5A04DF}" name="GAVI SCM" dataDxfId="0"/>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p:/r/sites/COVID19VaccineDeliveryFacility/_layouts/15/Doc.aspx?action=view&amp;sourcedoc=%7B8132e0b7-007b-4aee-98dd-777e720d60a7%7D&amp;wdOrigin=TEAMS-WEB.teamsSdk.openFilePreview&amp;wdExp=TEAMS-CONTROL&amp;wdhostclicktime=1652272756901" TargetMode="External"/><Relationship Id="rId7"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2" Type="http://schemas.openxmlformats.org/officeDocument/2006/relationships/hyperlink" Target="../../../../../../../../../../:x:/r/sites/COVID19VaccineDeliveryFacility/Shared%20Documents/General/02%20Workstreams/02%20Delivery%20Funding/4.%20Funding%20requests/02.%20South%20Sudan/01.%20CDS%20application/Initial%20South%20Sudan%20Budget%20.xlsm?d=w6ddf0b8ae2c14b1785b7e36d8ca4bfd0&amp;csf=1&amp;web=1&amp;e=h028k9" TargetMode="External"/><Relationship Id="rId1" Type="http://schemas.openxmlformats.org/officeDocument/2006/relationships/hyperlink" Target="../../../../../../../../../../:x:/r/sites/COVID19VaccineDeliveryFacility/_layouts/15/Doc.aspx?sourcedoc=%7B44CAD809-70ED-4962-B421-B2768550C8A4%7D&amp;file=New%20South%20Sudan%20CDS%20Budget%20(Only%20Gavi%27s%20share).xlsm&amp;action=default&amp;mobileredirect=true" TargetMode="External"/><Relationship Id="rId6"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5" Type="http://schemas.openxmlformats.org/officeDocument/2006/relationships/hyperlink" Target="../../../../../../../../../../:w:/r/sites/COVID19VaccineDeliveryFacility/Shared%20Documents/General/02%20Workstreams/02%20Delivery%20Funding/4.%20Funding%20requests/03.%20DRC/PHASE%20II%20Strengthening%20Covid%20vaccination%2006062022%20(003).docx?d=w0d8060c7a778489695fa83e578dfa62c&amp;csf=1&amp;web=1&amp;e=5ij8tx" TargetMode="External"/><Relationship Id="rId4" Type="http://schemas.openxmlformats.org/officeDocument/2006/relationships/hyperlink" Target="../../../../../../../../../../:x:/r/sites/COVID19VaccineDeliveryFacility/Shared%20Documents/General/02%20Workstreams/02%20Delivery%20Funding/4.%20Funding%20requests/05.%20Chad/Copy%20of%20Copy%20of%20Synthese%20macroplan%20bloc%202_dose%201_v06.01.xlsx?d=wb61e72123933434cb32228b4e117e370&amp;csf=1&amp;web=1&amp;e=2rgzxx"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printerSettings" Target="../printerSettings/printerSettings5.bin"/><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table" Target="../tables/table7.xm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1640625" defaultRowHeight="14.5" x14ac:dyDescent="0.35"/>
  <cols>
    <col min="2" max="2" width="46.1796875" customWidth="1"/>
    <col min="3" max="3" width="30.81640625" customWidth="1"/>
    <col min="4" max="10" width="10.453125" customWidth="1"/>
    <col min="11" max="11" width="11.81640625" customWidth="1"/>
    <col min="12" max="20" width="11.453125" customWidth="1"/>
    <col min="21" max="21" width="14.453125" customWidth="1"/>
  </cols>
  <sheetData>
    <row r="2" spans="2:21" ht="24" thickBot="1" x14ac:dyDescent="0.6">
      <c r="B2" s="53" t="s">
        <v>0</v>
      </c>
      <c r="C2" s="54"/>
      <c r="D2" s="54"/>
      <c r="E2" s="54"/>
      <c r="F2" s="54"/>
      <c r="G2" s="54"/>
      <c r="H2" s="54"/>
      <c r="I2" s="54"/>
      <c r="J2" s="54"/>
      <c r="K2" s="54"/>
      <c r="L2" s="54"/>
      <c r="M2" s="54"/>
      <c r="N2" s="54"/>
      <c r="O2" s="54"/>
      <c r="P2" s="54"/>
      <c r="Q2" s="54"/>
      <c r="R2" s="54"/>
      <c r="S2" s="54"/>
      <c r="T2" s="54"/>
      <c r="U2" s="54"/>
    </row>
    <row r="4" spans="2:21" x14ac:dyDescent="0.35">
      <c r="B4" s="49" t="s">
        <v>1</v>
      </c>
      <c r="C4" s="52">
        <v>44672</v>
      </c>
      <c r="D4" s="109" t="s">
        <v>2</v>
      </c>
      <c r="E4" s="50"/>
      <c r="F4" s="50"/>
      <c r="G4" s="50"/>
      <c r="H4" s="50"/>
      <c r="I4" s="50"/>
      <c r="J4" s="50"/>
      <c r="K4" s="51"/>
    </row>
    <row r="6" spans="2:21" x14ac:dyDescent="0.35">
      <c r="B6" s="98" t="s">
        <v>3</v>
      </c>
      <c r="C6" s="99" t="s">
        <v>4</v>
      </c>
      <c r="D6" s="99"/>
      <c r="E6" s="99"/>
      <c r="F6" s="99"/>
      <c r="G6" s="99"/>
      <c r="H6" s="99"/>
      <c r="I6" s="99"/>
      <c r="J6" s="99"/>
      <c r="K6" s="100"/>
    </row>
    <row r="7" spans="2:21" x14ac:dyDescent="0.35">
      <c r="B7" s="101" t="s">
        <v>5</v>
      </c>
      <c r="C7" t="s">
        <v>6</v>
      </c>
      <c r="K7" s="102"/>
    </row>
    <row r="8" spans="2:21" x14ac:dyDescent="0.35">
      <c r="B8" s="101" t="s">
        <v>7</v>
      </c>
      <c r="C8" s="103" t="s">
        <v>8</v>
      </c>
      <c r="K8" s="102"/>
      <c r="L8" t="s">
        <v>9</v>
      </c>
    </row>
    <row r="9" spans="2:21" x14ac:dyDescent="0.35">
      <c r="B9" s="101" t="s">
        <v>10</v>
      </c>
      <c r="K9" s="102"/>
    </row>
    <row r="10" spans="2:21" x14ac:dyDescent="0.35">
      <c r="B10" s="104"/>
      <c r="K10" s="102"/>
    </row>
    <row r="11" spans="2:21" x14ac:dyDescent="0.35">
      <c r="B11" s="104"/>
      <c r="K11" s="102"/>
    </row>
    <row r="12" spans="2:21" x14ac:dyDescent="0.35">
      <c r="B12" s="104"/>
      <c r="K12" s="102"/>
    </row>
    <row r="13" spans="2:21" x14ac:dyDescent="0.35">
      <c r="B13" s="104"/>
      <c r="K13" s="102"/>
    </row>
    <row r="14" spans="2:21" x14ac:dyDescent="0.35">
      <c r="B14" s="104"/>
      <c r="K14" s="102"/>
    </row>
    <row r="15" spans="2:21" x14ac:dyDescent="0.35">
      <c r="B15" s="104"/>
      <c r="K15" s="102"/>
    </row>
    <row r="16" spans="2:21" x14ac:dyDescent="0.35">
      <c r="B16" s="104"/>
      <c r="K16" s="102"/>
    </row>
    <row r="17" spans="2:11" x14ac:dyDescent="0.35">
      <c r="B17" s="104"/>
      <c r="K17" s="102"/>
    </row>
    <row r="18" spans="2:11" x14ac:dyDescent="0.35">
      <c r="B18" s="104"/>
      <c r="K18" s="102"/>
    </row>
    <row r="19" spans="2:11" x14ac:dyDescent="0.35">
      <c r="B19" s="104"/>
      <c r="K19" s="102"/>
    </row>
    <row r="20" spans="2:11" x14ac:dyDescent="0.35">
      <c r="B20" s="104"/>
      <c r="K20" s="102"/>
    </row>
    <row r="21" spans="2:11" x14ac:dyDescent="0.35">
      <c r="B21" s="104"/>
      <c r="K21" s="102"/>
    </row>
    <row r="22" spans="2:11" x14ac:dyDescent="0.35">
      <c r="B22" s="104"/>
      <c r="K22" s="102"/>
    </row>
    <row r="23" spans="2:11" x14ac:dyDescent="0.35">
      <c r="B23" s="104"/>
      <c r="K23" s="102"/>
    </row>
    <row r="24" spans="2:11" x14ac:dyDescent="0.35">
      <c r="B24" s="104"/>
      <c r="K24" s="102"/>
    </row>
    <row r="25" spans="2:11" x14ac:dyDescent="0.35">
      <c r="B25" s="104"/>
      <c r="K25" s="102"/>
    </row>
    <row r="26" spans="2:11" x14ac:dyDescent="0.35">
      <c r="B26" s="104"/>
      <c r="K26" s="102"/>
    </row>
    <row r="27" spans="2:11" x14ac:dyDescent="0.35">
      <c r="B27" s="104"/>
      <c r="K27" s="102"/>
    </row>
    <row r="28" spans="2:11" x14ac:dyDescent="0.35">
      <c r="B28" s="104"/>
      <c r="K28" s="102"/>
    </row>
    <row r="29" spans="2:11" x14ac:dyDescent="0.35">
      <c r="B29" s="104"/>
      <c r="K29" s="102"/>
    </row>
    <row r="30" spans="2:11" x14ac:dyDescent="0.35">
      <c r="B30" s="104"/>
      <c r="K30" s="102"/>
    </row>
    <row r="31" spans="2:11" x14ac:dyDescent="0.35">
      <c r="B31" s="104"/>
      <c r="K31" s="102"/>
    </row>
    <row r="32" spans="2:11" x14ac:dyDescent="0.35">
      <c r="B32" s="104"/>
      <c r="K32" s="102"/>
    </row>
    <row r="33" spans="2:21" x14ac:dyDescent="0.35">
      <c r="B33" s="104"/>
      <c r="K33" s="102"/>
    </row>
    <row r="34" spans="2:21" x14ac:dyDescent="0.35">
      <c r="B34" s="104"/>
      <c r="K34" s="102"/>
    </row>
    <row r="35" spans="2:21" x14ac:dyDescent="0.35">
      <c r="B35" s="104"/>
      <c r="K35" s="102"/>
    </row>
    <row r="36" spans="2:21" x14ac:dyDescent="0.35">
      <c r="B36" s="104"/>
      <c r="K36" s="102"/>
    </row>
    <row r="37" spans="2:21" x14ac:dyDescent="0.35">
      <c r="B37" s="104"/>
      <c r="K37" s="102"/>
    </row>
    <row r="38" spans="2:21" x14ac:dyDescent="0.35">
      <c r="B38" s="104"/>
      <c r="K38" s="102"/>
    </row>
    <row r="39" spans="2:21" x14ac:dyDescent="0.35">
      <c r="B39" s="104"/>
      <c r="K39" s="102"/>
    </row>
    <row r="40" spans="2:21" x14ac:dyDescent="0.35">
      <c r="B40" s="105"/>
      <c r="C40" s="106"/>
      <c r="D40" s="106"/>
      <c r="E40" s="106"/>
      <c r="F40" s="106"/>
      <c r="G40" s="106"/>
      <c r="H40" s="106"/>
      <c r="I40" s="106"/>
      <c r="J40" s="106"/>
      <c r="K40" s="107"/>
    </row>
    <row r="42" spans="2:21" x14ac:dyDescent="0.35">
      <c r="B42" s="49" t="s">
        <v>11</v>
      </c>
      <c r="C42" s="50"/>
      <c r="D42" s="50"/>
      <c r="E42" s="50"/>
      <c r="F42" s="50"/>
      <c r="G42" s="50"/>
      <c r="H42" s="50"/>
      <c r="I42" s="50"/>
      <c r="J42" s="50"/>
      <c r="K42" s="50"/>
      <c r="L42" s="50"/>
      <c r="M42" s="50"/>
      <c r="N42" s="50"/>
      <c r="O42" s="50"/>
      <c r="P42" s="50"/>
      <c r="Q42" s="50"/>
      <c r="R42" s="50"/>
      <c r="S42" s="50"/>
      <c r="T42" s="50"/>
      <c r="U42" s="51"/>
    </row>
    <row r="43" spans="2:21" x14ac:dyDescent="0.35">
      <c r="B43" s="24" t="s">
        <v>12</v>
      </c>
      <c r="C43" t="s">
        <v>13</v>
      </c>
      <c r="U43" s="25"/>
    </row>
    <row r="44" spans="2:21" x14ac:dyDescent="0.35">
      <c r="B44" s="24" t="s">
        <v>14</v>
      </c>
      <c r="C44" t="s">
        <v>15</v>
      </c>
      <c r="U44" s="25"/>
    </row>
    <row r="45" spans="2:21" x14ac:dyDescent="0.35">
      <c r="B45" s="24" t="s">
        <v>16</v>
      </c>
      <c r="C45" t="s">
        <v>17</v>
      </c>
      <c r="U45" s="25"/>
    </row>
    <row r="46" spans="2:21" x14ac:dyDescent="0.35">
      <c r="B46" s="24" t="s">
        <v>18</v>
      </c>
      <c r="C46" t="s">
        <v>19</v>
      </c>
      <c r="U46" s="25"/>
    </row>
    <row r="47" spans="2:21" x14ac:dyDescent="0.35">
      <c r="B47" s="24" t="s">
        <v>20</v>
      </c>
      <c r="C47" t="s">
        <v>21</v>
      </c>
      <c r="U47" s="25"/>
    </row>
    <row r="48" spans="2:21" x14ac:dyDescent="0.35">
      <c r="B48" s="24" t="s">
        <v>22</v>
      </c>
      <c r="C48" t="s">
        <v>23</v>
      </c>
      <c r="U48" s="25"/>
    </row>
    <row r="49" spans="2:21" x14ac:dyDescent="0.35">
      <c r="B49" s="26" t="s">
        <v>24</v>
      </c>
      <c r="C49" s="27" t="s">
        <v>25</v>
      </c>
      <c r="D49" s="27"/>
      <c r="E49" s="27"/>
      <c r="F49" s="27"/>
      <c r="G49" s="27"/>
      <c r="H49" s="27"/>
      <c r="I49" s="27"/>
      <c r="J49" s="27"/>
      <c r="K49" s="27"/>
      <c r="L49" s="27"/>
      <c r="M49" s="27"/>
      <c r="N49" s="27"/>
      <c r="O49" s="27"/>
      <c r="P49" s="27"/>
      <c r="Q49" s="27"/>
      <c r="R49" s="27"/>
      <c r="S49" s="27"/>
      <c r="T49" s="27"/>
      <c r="U49" s="28"/>
    </row>
    <row r="51" spans="2:21" x14ac:dyDescent="0.35">
      <c r="B51" s="49" t="s">
        <v>26</v>
      </c>
      <c r="C51" s="50"/>
      <c r="D51" s="50"/>
      <c r="E51" s="50"/>
      <c r="F51" s="50"/>
      <c r="G51" s="50"/>
      <c r="H51" s="50"/>
      <c r="I51" s="50"/>
      <c r="J51" s="50"/>
      <c r="K51" s="50"/>
      <c r="L51" s="50"/>
      <c r="M51" s="50"/>
      <c r="N51" s="50"/>
      <c r="O51" s="50"/>
      <c r="P51" s="50"/>
      <c r="Q51" s="50"/>
      <c r="R51" s="50"/>
      <c r="S51" s="50"/>
      <c r="T51" s="50"/>
      <c r="U51" s="51"/>
    </row>
    <row r="52" spans="2:21" x14ac:dyDescent="0.35">
      <c r="B52" s="108"/>
      <c r="U52" s="25"/>
    </row>
    <row r="53" spans="2:21" x14ac:dyDescent="0.35">
      <c r="B53" s="121" t="s">
        <v>27</v>
      </c>
      <c r="C53" s="122" t="s">
        <v>28</v>
      </c>
      <c r="D53" s="122" t="s">
        <v>29</v>
      </c>
      <c r="E53" s="122" t="s">
        <v>30</v>
      </c>
      <c r="F53" s="122" t="s">
        <v>31</v>
      </c>
      <c r="G53" s="122" t="s">
        <v>32</v>
      </c>
      <c r="H53" s="122" t="s">
        <v>33</v>
      </c>
      <c r="I53" s="122" t="s">
        <v>34</v>
      </c>
      <c r="J53" s="122" t="s">
        <v>35</v>
      </c>
      <c r="K53" s="122" t="s">
        <v>36</v>
      </c>
      <c r="L53" s="122" t="s">
        <v>37</v>
      </c>
      <c r="M53" s="122" t="s">
        <v>38</v>
      </c>
      <c r="N53" s="122" t="s">
        <v>39</v>
      </c>
      <c r="O53" s="122" t="s">
        <v>40</v>
      </c>
      <c r="P53" s="122" t="s">
        <v>41</v>
      </c>
      <c r="Q53" s="122" t="s">
        <v>42</v>
      </c>
      <c r="R53" s="122" t="s">
        <v>43</v>
      </c>
      <c r="S53" s="122" t="s">
        <v>44</v>
      </c>
      <c r="T53" s="122" t="s">
        <v>45</v>
      </c>
      <c r="U53" s="122" t="s">
        <v>46</v>
      </c>
    </row>
    <row r="54" spans="2:21" ht="43.5" x14ac:dyDescent="0.35">
      <c r="B54" t="s">
        <v>47</v>
      </c>
      <c r="C54" s="123" t="s">
        <v>48</v>
      </c>
      <c r="D54" t="s">
        <v>49</v>
      </c>
    </row>
    <row r="55" spans="2:21" ht="29" x14ac:dyDescent="0.35">
      <c r="B55" t="s">
        <v>50</v>
      </c>
      <c r="C55" s="123" t="s">
        <v>51</v>
      </c>
      <c r="D55" t="s">
        <v>52</v>
      </c>
    </row>
    <row r="56" spans="2:21" ht="29" x14ac:dyDescent="0.35">
      <c r="B56" t="s">
        <v>53</v>
      </c>
      <c r="C56" s="123" t="s">
        <v>54</v>
      </c>
      <c r="D56" t="s">
        <v>55</v>
      </c>
    </row>
    <row r="57" spans="2:21" ht="29" x14ac:dyDescent="0.35">
      <c r="B57" t="s">
        <v>56</v>
      </c>
      <c r="C57" s="123" t="s">
        <v>57</v>
      </c>
      <c r="D57" t="str">
        <f>Table7[[#This Row],[Column1]]</f>
        <v>Extract from Funding tracker - for WHO visibility</v>
      </c>
    </row>
    <row r="58" spans="2:21" ht="29" x14ac:dyDescent="0.35">
      <c r="B58" t="s">
        <v>58</v>
      </c>
      <c r="C58" s="123" t="s">
        <v>54</v>
      </c>
      <c r="D58" t="s">
        <v>59</v>
      </c>
    </row>
    <row r="59" spans="2:21" ht="43.5" x14ac:dyDescent="0.35">
      <c r="B59" s="27" t="s">
        <v>60</v>
      </c>
      <c r="C59" s="124"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8" sqref="C28"/>
    </sheetView>
  </sheetViews>
  <sheetFormatPr defaultColWidth="8.81640625" defaultRowHeight="14.5" x14ac:dyDescent="0.35"/>
  <cols>
    <col min="2" max="2" width="19.1796875" customWidth="1"/>
    <col min="3" max="3" width="42.1796875" customWidth="1"/>
  </cols>
  <sheetData>
    <row r="3" spans="2:2" x14ac:dyDescent="0.35">
      <c r="B3" t="s">
        <v>63</v>
      </c>
    </row>
    <row r="4" spans="2:2" x14ac:dyDescent="0.35">
      <c r="B4" t="s">
        <v>64</v>
      </c>
    </row>
    <row r="5" spans="2:2" x14ac:dyDescent="0.35">
      <c r="B5" t="s">
        <v>65</v>
      </c>
    </row>
    <row r="6" spans="2:2" x14ac:dyDescent="0.35">
      <c r="B6" t="s">
        <v>66</v>
      </c>
    </row>
    <row r="7" spans="2:2" x14ac:dyDescent="0.35">
      <c r="B7" t="s">
        <v>67</v>
      </c>
    </row>
    <row r="8" spans="2:2" x14ac:dyDescent="0.35">
      <c r="B8" t="s">
        <v>68</v>
      </c>
    </row>
    <row r="9" spans="2:2" x14ac:dyDescent="0.35">
      <c r="B9" t="s">
        <v>69</v>
      </c>
    </row>
    <row r="11" spans="2:2" x14ac:dyDescent="0.35">
      <c r="B11" t="s">
        <v>70</v>
      </c>
    </row>
    <row r="12" spans="2:2" x14ac:dyDescent="0.35">
      <c r="B12" t="s">
        <v>71</v>
      </c>
    </row>
    <row r="13" spans="2:2" x14ac:dyDescent="0.35">
      <c r="B13" t="s">
        <v>72</v>
      </c>
    </row>
    <row r="14" spans="2:2" x14ac:dyDescent="0.35">
      <c r="B14" t="s">
        <v>24</v>
      </c>
    </row>
    <row r="17" spans="2:3" x14ac:dyDescent="0.35">
      <c r="B17" s="16" t="s">
        <v>73</v>
      </c>
      <c r="C17" s="16"/>
    </row>
    <row r="18" spans="2:3" x14ac:dyDescent="0.35">
      <c r="B18" s="17"/>
      <c r="C18" s="17"/>
    </row>
    <row r="19" spans="2:3" ht="29.25" customHeight="1" x14ac:dyDescent="0.35">
      <c r="B19" t="s">
        <v>63</v>
      </c>
      <c r="C19" s="15" t="s">
        <v>74</v>
      </c>
    </row>
    <row r="20" spans="2:3" x14ac:dyDescent="0.35">
      <c r="B20" t="s">
        <v>64</v>
      </c>
      <c r="C20">
        <v>10</v>
      </c>
    </row>
    <row r="21" spans="2:3" x14ac:dyDescent="0.35">
      <c r="B21" t="s">
        <v>66</v>
      </c>
      <c r="C21">
        <v>15</v>
      </c>
    </row>
    <row r="22" spans="2:3" x14ac:dyDescent="0.35">
      <c r="B22" t="s">
        <v>65</v>
      </c>
      <c r="C22">
        <v>10</v>
      </c>
    </row>
    <row r="25" spans="2:3" x14ac:dyDescent="0.35">
      <c r="B25" s="16" t="s">
        <v>75</v>
      </c>
      <c r="C25" s="16"/>
    </row>
    <row r="26" spans="2:3" x14ac:dyDescent="0.35">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1640625"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S228"/>
  <sheetViews>
    <sheetView showGridLines="0" topLeftCell="A204" zoomScale="60" zoomScaleNormal="60" workbookViewId="0">
      <selection activeCell="E224" sqref="E224"/>
    </sheetView>
  </sheetViews>
  <sheetFormatPr defaultColWidth="8.81640625" defaultRowHeight="14.5" x14ac:dyDescent="0.35"/>
  <cols>
    <col min="1" max="1" width="10.26953125" bestFit="1" customWidth="1"/>
    <col min="2" max="2" width="1.81640625" customWidth="1"/>
    <col min="3" max="3" width="40.54296875" bestFit="1" customWidth="1"/>
    <col min="4" max="4" width="20" bestFit="1" customWidth="1"/>
    <col min="5" max="5" width="35.26953125" bestFit="1" customWidth="1"/>
    <col min="6" max="6" width="22.81640625" bestFit="1" customWidth="1"/>
    <col min="7" max="7" width="16.1796875" customWidth="1"/>
    <col min="8" max="8" width="3.7265625" bestFit="1" customWidth="1"/>
    <col min="9" max="9" width="11.1796875" bestFit="1" customWidth="1"/>
    <col min="10" max="10" width="11.26953125" bestFit="1" customWidth="1"/>
    <col min="11" max="11" width="6.453125" bestFit="1" customWidth="1"/>
    <col min="12" max="12" width="6.1796875" bestFit="1" customWidth="1"/>
    <col min="13" max="13" width="13" bestFit="1" customWidth="1"/>
    <col min="14" max="14" width="10.7265625" bestFit="1" customWidth="1"/>
    <col min="15" max="15" width="13" bestFit="1" customWidth="1"/>
    <col min="16" max="16" width="7.453125" bestFit="1" customWidth="1"/>
    <col min="17" max="17" width="5.81640625" bestFit="1" customWidth="1"/>
    <col min="18" max="18" width="6.81640625" bestFit="1" customWidth="1"/>
    <col min="19" max="19" width="10.54296875" bestFit="1" customWidth="1"/>
    <col min="20" max="20" width="6.81640625" bestFit="1" customWidth="1"/>
    <col min="21" max="21" width="7.1796875" bestFit="1" customWidth="1"/>
    <col min="22" max="22" width="11.453125" bestFit="1" customWidth="1"/>
  </cols>
  <sheetData>
    <row r="1" spans="1:9" s="21" customFormat="1" ht="18.5" x14ac:dyDescent="0.45">
      <c r="A1" s="19">
        <v>1</v>
      </c>
      <c r="B1" s="20"/>
      <c r="C1" s="21" t="s">
        <v>77</v>
      </c>
    </row>
    <row r="3" spans="1:9" ht="21" x14ac:dyDescent="0.5">
      <c r="C3" s="71" t="s">
        <v>78</v>
      </c>
      <c r="D3" s="59"/>
    </row>
    <row r="4" spans="1:9" ht="15.5" x14ac:dyDescent="0.35">
      <c r="C4" s="111" t="s">
        <v>79</v>
      </c>
      <c r="D4" s="59"/>
    </row>
    <row r="5" spans="1:9" x14ac:dyDescent="0.35">
      <c r="C5" s="29" t="s">
        <v>80</v>
      </c>
      <c r="D5" s="22" t="s">
        <v>81</v>
      </c>
      <c r="E5" s="22"/>
      <c r="F5" s="22"/>
      <c r="G5" s="22"/>
      <c r="H5" s="22"/>
      <c r="I5" s="23"/>
    </row>
    <row r="6" spans="1:9" x14ac:dyDescent="0.35">
      <c r="C6" s="30"/>
      <c r="D6" s="32" t="s">
        <v>82</v>
      </c>
      <c r="E6" s="32" t="s">
        <v>66</v>
      </c>
      <c r="F6" s="32" t="s">
        <v>64</v>
      </c>
      <c r="G6" s="32" t="s">
        <v>65</v>
      </c>
      <c r="H6" s="32" t="s">
        <v>69</v>
      </c>
      <c r="I6" s="33" t="s">
        <v>68</v>
      </c>
    </row>
    <row r="7" spans="1:9" x14ac:dyDescent="0.35">
      <c r="C7" s="24" t="s">
        <v>12</v>
      </c>
      <c r="D7" s="34">
        <f>SUM(Table2[Amount tracked through this row])</f>
        <v>98827044.339619935</v>
      </c>
      <c r="E7" s="35">
        <f>SUMIF(Table2[Source of funding identified (Details)],Overview!E$6,Table2[Amount to be funded])</f>
        <v>42943620.97355932</v>
      </c>
      <c r="F7" s="35">
        <f>SUMIF(Table2[Source of funding identified (Details)],Overview!F$6,Table2[Amount to be funded])</f>
        <v>32041867.366060607</v>
      </c>
      <c r="G7" s="35">
        <f>SUMIF(Table2[Source of funding identified (Details)],Overview!G$6,Table2[Amount to be funded])</f>
        <v>17841556</v>
      </c>
      <c r="H7" s="35">
        <f>SUMIF(Table2[Source of funding identified (Details)],Overview!H$6,Table2[Amount to be funded])</f>
        <v>0</v>
      </c>
      <c r="I7" s="36">
        <f>SUMIF(Table2[Source of funding identified (Details)],Overview!I$6,Table2[Amount to be funded])</f>
        <v>0</v>
      </c>
    </row>
    <row r="8" spans="1:9" x14ac:dyDescent="0.35">
      <c r="C8" s="24" t="s">
        <v>14</v>
      </c>
      <c r="D8" s="37">
        <f ca="1">SUMIF('Funding tracker'!Z:Z,Overview!$C8,'Funding tracker'!H:H)</f>
        <v>20629690.973559324</v>
      </c>
      <c r="E8" s="110"/>
      <c r="F8" s="110"/>
      <c r="G8" s="110"/>
      <c r="H8" s="110"/>
      <c r="I8" s="117"/>
    </row>
    <row r="9" spans="1:9" x14ac:dyDescent="0.35">
      <c r="C9" s="24" t="s">
        <v>16</v>
      </c>
      <c r="D9" s="37">
        <f ca="1">SUMIF('Funding tracker'!Z:Z,Overview!$C9,'Funding tracker'!H:H)</f>
        <v>0</v>
      </c>
      <c r="E9" s="110"/>
      <c r="F9" s="110"/>
      <c r="G9" s="110"/>
      <c r="H9" s="110"/>
      <c r="I9" s="117"/>
    </row>
    <row r="10" spans="1:9" x14ac:dyDescent="0.35">
      <c r="C10" s="24" t="s">
        <v>18</v>
      </c>
      <c r="D10" s="37">
        <f ca="1">SUMIF(Table2[Status],Overview!$C10,Table2[Amount to be funded])</f>
        <v>2154578.606060606</v>
      </c>
      <c r="E10" s="38">
        <f ca="1">SUMIFS(Table2[Amount to be funded],Table2[Status],Overview!$C10,Table2[Source of funding identified (Details)],Overview!E$6)</f>
        <v>0</v>
      </c>
      <c r="F10" s="38">
        <f ca="1">SUMIFS(Table2[Amount to be funded],Table2[Status],Overview!$C10,Table2[Source of funding identified (Details)],Overview!F$6)</f>
        <v>1956578.606060606</v>
      </c>
      <c r="G10" s="38">
        <f ca="1">SUMIFS(Table2[Amount to be funded],Table2[Status],Overview!$C10,Table2[Source of funding identified (Details)],Overview!G$6)</f>
        <v>198000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x14ac:dyDescent="0.35">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x14ac:dyDescent="0.35">
      <c r="C12" s="24" t="s">
        <v>84</v>
      </c>
      <c r="D12" s="37">
        <f ca="1">SUMIF(Table2[Status],Overview!$C12,Table2[Amount to be funded])</f>
        <v>23614486</v>
      </c>
      <c r="E12" s="38">
        <f ca="1">SUMIFS(Table2[Amount to be funded],Table2[Status],Overview!$C12,Table2[Source of funding identified (Details)],Overview!E$6)</f>
        <v>11752930</v>
      </c>
      <c r="F12" s="38">
        <f ca="1">SUMIFS(Table2[Amount to be funded],Table2[Status],Overview!$C12,Table2[Source of funding identified (Details)],Overview!F$6)</f>
        <v>3600000</v>
      </c>
      <c r="G12" s="38">
        <f ca="1">SUMIFS(Table2[Amount to be funded],Table2[Status],Overview!$C12,Table2[Source of funding identified (Details)],Overview!G$6)</f>
        <v>8261556</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x14ac:dyDescent="0.35">
      <c r="C13" s="26" t="s">
        <v>22</v>
      </c>
      <c r="D13" s="37">
        <f ca="1">SUMIF(Table2[Status],Overview!$C13,Table2[Amount to be funded])</f>
        <v>52203288.760000005</v>
      </c>
      <c r="E13" s="38">
        <f ca="1">SUMIFS(Table2[Amount to be funded],Table2[Status],Overview!$C13,Table2[Source of funding identified (Details)],Overview!E$6)</f>
        <v>16561000</v>
      </c>
      <c r="F13" s="38">
        <f ca="1">SUMIFS(Table2[Amount to be funded],Table2[Status],Overview!$C13,Table2[Source of funding identified (Details)],Overview!F$6)</f>
        <v>26485288.759999998</v>
      </c>
      <c r="G13" s="38">
        <f ca="1">SUMIFS(Table2[Amount to be funded],Table2[Status],Overview!$C13,Table2[Source of funding identified (Details)],Overview!G$6)</f>
        <v>9157000</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x14ac:dyDescent="0.35">
      <c r="C14" s="48" t="s">
        <v>24</v>
      </c>
      <c r="D14" s="116">
        <f ca="1">D7-SUM(D8:D13)</f>
        <v>225000</v>
      </c>
      <c r="E14" s="46"/>
      <c r="F14" s="46"/>
      <c r="G14" s="46"/>
      <c r="H14" s="46"/>
      <c r="I14" s="47"/>
    </row>
    <row r="15" spans="1:9" x14ac:dyDescent="0.35">
      <c r="D15" s="72"/>
      <c r="E15" s="73"/>
      <c r="F15" s="73"/>
      <c r="G15" s="73"/>
      <c r="H15" s="73"/>
    </row>
    <row r="16" spans="1:9" x14ac:dyDescent="0.35">
      <c r="D16" s="72"/>
      <c r="E16" s="73"/>
      <c r="F16" s="73"/>
      <c r="G16" s="73"/>
      <c r="H16" s="73"/>
    </row>
    <row r="17" spans="3:19" ht="21" x14ac:dyDescent="0.5">
      <c r="C17" s="71" t="s">
        <v>85</v>
      </c>
    </row>
    <row r="19" spans="3:19" x14ac:dyDescent="0.35">
      <c r="C19" s="67" t="s">
        <v>86</v>
      </c>
      <c r="D19" s="18" t="s">
        <v>87</v>
      </c>
      <c r="E19" s="59" t="s">
        <v>88</v>
      </c>
    </row>
    <row r="21" spans="3:19" x14ac:dyDescent="0.35">
      <c r="C21" s="67" t="s">
        <v>89</v>
      </c>
      <c r="D21" s="67" t="s">
        <v>90</v>
      </c>
    </row>
    <row r="22" spans="3:19" x14ac:dyDescent="0.35">
      <c r="C22" s="67"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row>
    <row r="23" spans="3:19" x14ac:dyDescent="0.35">
      <c r="C23" s="143" t="s">
        <v>22</v>
      </c>
      <c r="D23" s="175">
        <v>500000</v>
      </c>
      <c r="E23" s="175">
        <v>4884012</v>
      </c>
      <c r="F23" s="175">
        <v>3458028</v>
      </c>
      <c r="G23" s="175">
        <v>16686502</v>
      </c>
      <c r="H23" s="175"/>
      <c r="I23" s="175">
        <v>1526147</v>
      </c>
      <c r="J23" s="175">
        <v>5841000</v>
      </c>
      <c r="K23" s="175"/>
      <c r="L23" s="175"/>
      <c r="M23" s="175">
        <v>5017098.76</v>
      </c>
      <c r="N23" s="175"/>
      <c r="O23" s="175">
        <v>5763000</v>
      </c>
      <c r="P23" s="175">
        <v>7037501</v>
      </c>
      <c r="Q23" s="175">
        <v>1490000</v>
      </c>
      <c r="R23" s="175"/>
      <c r="S23" s="175">
        <v>52203288.759999998</v>
      </c>
    </row>
    <row r="24" spans="3:19" x14ac:dyDescent="0.35">
      <c r="C24" s="143" t="s">
        <v>14</v>
      </c>
      <c r="D24" s="175"/>
      <c r="E24" s="175">
        <v>0</v>
      </c>
      <c r="F24" s="175">
        <v>3000000</v>
      </c>
      <c r="G24" s="175"/>
      <c r="H24" s="175"/>
      <c r="I24" s="175"/>
      <c r="J24" s="175"/>
      <c r="K24" s="175"/>
      <c r="L24" s="175">
        <v>0</v>
      </c>
      <c r="M24" s="175">
        <v>3000000</v>
      </c>
      <c r="N24" s="175">
        <v>0</v>
      </c>
      <c r="O24" s="175">
        <v>14629690.973559324</v>
      </c>
      <c r="P24" s="175"/>
      <c r="Q24" s="175"/>
      <c r="R24" s="175"/>
      <c r="S24" s="175">
        <v>20629690.973559324</v>
      </c>
    </row>
    <row r="25" spans="3:19" x14ac:dyDescent="0.35">
      <c r="C25" s="143" t="s">
        <v>24</v>
      </c>
      <c r="D25" s="175"/>
      <c r="E25" s="175"/>
      <c r="F25" s="175"/>
      <c r="G25" s="175"/>
      <c r="H25" s="175">
        <v>0</v>
      </c>
      <c r="I25" s="175"/>
      <c r="J25" s="175"/>
      <c r="K25" s="175">
        <v>0</v>
      </c>
      <c r="L25" s="175"/>
      <c r="M25" s="175"/>
      <c r="N25" s="175"/>
      <c r="O25" s="175"/>
      <c r="P25" s="175">
        <v>225000</v>
      </c>
      <c r="Q25" s="175"/>
      <c r="R25" s="175"/>
      <c r="S25" s="175">
        <v>225000</v>
      </c>
    </row>
    <row r="26" spans="3:19" x14ac:dyDescent="0.35">
      <c r="C26" s="143" t="s">
        <v>84</v>
      </c>
      <c r="D26" s="175"/>
      <c r="E26" s="175"/>
      <c r="F26" s="175"/>
      <c r="G26" s="175"/>
      <c r="H26" s="175"/>
      <c r="I26" s="175"/>
      <c r="J26" s="175"/>
      <c r="K26" s="175"/>
      <c r="L26" s="175"/>
      <c r="M26" s="175">
        <v>6200000</v>
      </c>
      <c r="N26" s="175"/>
      <c r="O26" s="175">
        <v>7200000</v>
      </c>
      <c r="P26" s="175">
        <v>10214486</v>
      </c>
      <c r="Q26" s="175"/>
      <c r="R26" s="175"/>
      <c r="S26" s="175">
        <v>23614486</v>
      </c>
    </row>
    <row r="27" spans="3:19" x14ac:dyDescent="0.35">
      <c r="C27" s="143" t="s">
        <v>18</v>
      </c>
      <c r="D27" s="175"/>
      <c r="E27" s="175"/>
      <c r="F27" s="175"/>
      <c r="G27" s="175"/>
      <c r="H27" s="175"/>
      <c r="I27" s="175"/>
      <c r="J27" s="175"/>
      <c r="K27" s="175"/>
      <c r="L27" s="175"/>
      <c r="M27" s="175"/>
      <c r="N27" s="175"/>
      <c r="O27" s="175"/>
      <c r="P27" s="175"/>
      <c r="Q27" s="175"/>
      <c r="R27" s="175">
        <v>2154578.606060606</v>
      </c>
      <c r="S27" s="175">
        <v>2154578.606060606</v>
      </c>
    </row>
    <row r="28" spans="3:19" x14ac:dyDescent="0.35">
      <c r="C28" s="68" t="s">
        <v>107</v>
      </c>
      <c r="D28" s="176">
        <v>500000</v>
      </c>
      <c r="E28" s="176">
        <v>4884012</v>
      </c>
      <c r="F28" s="176">
        <v>6458028</v>
      </c>
      <c r="G28" s="176">
        <v>16686502</v>
      </c>
      <c r="H28" s="176">
        <v>0</v>
      </c>
      <c r="I28" s="176">
        <v>1526147</v>
      </c>
      <c r="J28" s="176">
        <v>5841000</v>
      </c>
      <c r="K28" s="176">
        <v>0</v>
      </c>
      <c r="L28" s="176">
        <v>0</v>
      </c>
      <c r="M28" s="176">
        <v>14217098.76</v>
      </c>
      <c r="N28" s="176">
        <v>0</v>
      </c>
      <c r="O28" s="176">
        <v>27592690.973559324</v>
      </c>
      <c r="P28" s="176">
        <v>17476987</v>
      </c>
      <c r="Q28" s="176">
        <v>1490000</v>
      </c>
      <c r="R28" s="176">
        <v>2154578.606060606</v>
      </c>
      <c r="S28" s="176">
        <v>98827044.339619935</v>
      </c>
    </row>
    <row r="31" spans="3:19" x14ac:dyDescent="0.35">
      <c r="D31" s="72"/>
      <c r="E31" s="73"/>
      <c r="F31" s="73"/>
      <c r="G31" s="73"/>
      <c r="H31" s="73"/>
    </row>
    <row r="32" spans="3:19" ht="21" x14ac:dyDescent="0.5">
      <c r="C32" s="71" t="s">
        <v>108</v>
      </c>
    </row>
    <row r="34" spans="1:19" x14ac:dyDescent="0.35">
      <c r="C34" s="67" t="s">
        <v>86</v>
      </c>
      <c r="D34" s="18" t="s">
        <v>87</v>
      </c>
      <c r="E34" s="59" t="s">
        <v>88</v>
      </c>
    </row>
    <row r="36" spans="1:19" x14ac:dyDescent="0.35">
      <c r="C36" s="67" t="s">
        <v>109</v>
      </c>
      <c r="D36" s="67" t="s">
        <v>90</v>
      </c>
    </row>
    <row r="37" spans="1:19" x14ac:dyDescent="0.35">
      <c r="C37" s="67"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row>
    <row r="38" spans="1:19" x14ac:dyDescent="0.35">
      <c r="C38" s="68" t="s">
        <v>22</v>
      </c>
      <c r="D38" s="55">
        <v>1</v>
      </c>
      <c r="E38" s="55">
        <v>3</v>
      </c>
      <c r="F38" s="55">
        <v>1</v>
      </c>
      <c r="G38" s="55">
        <v>6</v>
      </c>
      <c r="H38" s="55"/>
      <c r="I38" s="55">
        <v>1</v>
      </c>
      <c r="J38" s="55">
        <v>7</v>
      </c>
      <c r="K38" s="55"/>
      <c r="L38" s="55"/>
      <c r="M38" s="55">
        <v>2</v>
      </c>
      <c r="N38" s="55"/>
      <c r="O38" s="55">
        <v>1</v>
      </c>
      <c r="P38" s="55">
        <v>2</v>
      </c>
      <c r="Q38" s="55">
        <v>1</v>
      </c>
      <c r="R38" s="55"/>
      <c r="S38" s="55">
        <v>25</v>
      </c>
    </row>
    <row r="39" spans="1:19" x14ac:dyDescent="0.35">
      <c r="C39" s="68" t="s">
        <v>14</v>
      </c>
      <c r="D39" s="55"/>
      <c r="E39" s="55">
        <v>1</v>
      </c>
      <c r="F39" s="55">
        <v>1</v>
      </c>
      <c r="G39" s="55"/>
      <c r="H39" s="55"/>
      <c r="I39" s="55"/>
      <c r="J39" s="55"/>
      <c r="K39" s="55"/>
      <c r="L39" s="55">
        <v>1</v>
      </c>
      <c r="M39" s="55">
        <v>1</v>
      </c>
      <c r="N39" s="55">
        <v>1</v>
      </c>
      <c r="O39" s="55">
        <v>1</v>
      </c>
      <c r="P39" s="55"/>
      <c r="Q39" s="55"/>
      <c r="R39" s="55"/>
      <c r="S39" s="55">
        <v>6</v>
      </c>
    </row>
    <row r="40" spans="1:19" x14ac:dyDescent="0.35">
      <c r="C40" s="68" t="s">
        <v>24</v>
      </c>
      <c r="D40" s="55"/>
      <c r="E40" s="55"/>
      <c r="F40" s="55"/>
      <c r="G40" s="55"/>
      <c r="H40" s="55">
        <v>1</v>
      </c>
      <c r="I40" s="55"/>
      <c r="J40" s="55"/>
      <c r="K40" s="55">
        <v>1</v>
      </c>
      <c r="L40" s="55"/>
      <c r="M40" s="55"/>
      <c r="N40" s="55"/>
      <c r="O40" s="55"/>
      <c r="P40" s="55">
        <v>1</v>
      </c>
      <c r="Q40" s="55"/>
      <c r="R40" s="55"/>
      <c r="S40" s="55">
        <v>3</v>
      </c>
    </row>
    <row r="41" spans="1:19" x14ac:dyDescent="0.35">
      <c r="C41" s="68" t="s">
        <v>84</v>
      </c>
      <c r="D41" s="55"/>
      <c r="E41" s="55"/>
      <c r="F41" s="55"/>
      <c r="G41" s="55"/>
      <c r="H41" s="55"/>
      <c r="I41" s="55"/>
      <c r="J41" s="55"/>
      <c r="K41" s="55"/>
      <c r="L41" s="55"/>
      <c r="M41" s="55">
        <v>1</v>
      </c>
      <c r="N41" s="55"/>
      <c r="O41" s="55">
        <v>2</v>
      </c>
      <c r="P41" s="55">
        <v>2</v>
      </c>
      <c r="Q41" s="55"/>
      <c r="R41" s="55"/>
      <c r="S41" s="55">
        <v>5</v>
      </c>
    </row>
    <row r="42" spans="1:19" x14ac:dyDescent="0.35">
      <c r="C42" s="68" t="s">
        <v>18</v>
      </c>
      <c r="D42" s="55"/>
      <c r="E42" s="55"/>
      <c r="F42" s="55"/>
      <c r="G42" s="55"/>
      <c r="H42" s="55"/>
      <c r="I42" s="55"/>
      <c r="J42" s="55"/>
      <c r="K42" s="55"/>
      <c r="L42" s="55"/>
      <c r="M42" s="55"/>
      <c r="N42" s="55"/>
      <c r="O42" s="55"/>
      <c r="P42" s="55"/>
      <c r="Q42" s="55"/>
      <c r="R42" s="55">
        <v>2</v>
      </c>
      <c r="S42" s="55">
        <v>2</v>
      </c>
    </row>
    <row r="43" spans="1:19" x14ac:dyDescent="0.35">
      <c r="C43" s="68" t="s">
        <v>107</v>
      </c>
      <c r="D43" s="55">
        <v>1</v>
      </c>
      <c r="E43" s="55">
        <v>4</v>
      </c>
      <c r="F43" s="55">
        <v>2</v>
      </c>
      <c r="G43" s="55">
        <v>6</v>
      </c>
      <c r="H43" s="55">
        <v>1</v>
      </c>
      <c r="I43" s="55">
        <v>1</v>
      </c>
      <c r="J43" s="55">
        <v>7</v>
      </c>
      <c r="K43" s="55">
        <v>1</v>
      </c>
      <c r="L43" s="55">
        <v>1</v>
      </c>
      <c r="M43" s="55">
        <v>4</v>
      </c>
      <c r="N43" s="55">
        <v>1</v>
      </c>
      <c r="O43" s="55">
        <v>4</v>
      </c>
      <c r="P43" s="55">
        <v>5</v>
      </c>
      <c r="Q43" s="55">
        <v>1</v>
      </c>
      <c r="R43" s="55">
        <v>2</v>
      </c>
      <c r="S43" s="55">
        <v>41</v>
      </c>
    </row>
    <row r="46" spans="1:19" x14ac:dyDescent="0.35">
      <c r="D46" s="72"/>
      <c r="E46" s="73"/>
      <c r="F46" s="73"/>
      <c r="G46" s="73"/>
      <c r="H46" s="73"/>
    </row>
    <row r="47" spans="1:19" s="21" customFormat="1" ht="18.5" x14ac:dyDescent="0.45">
      <c r="A47" s="19">
        <v>2</v>
      </c>
      <c r="B47" s="20"/>
      <c r="C47" s="21" t="s">
        <v>110</v>
      </c>
    </row>
    <row r="48" spans="1:19" s="20" customFormat="1" ht="18.5" x14ac:dyDescent="0.45"/>
    <row r="49" spans="3:15" s="20" customFormat="1" ht="21" x14ac:dyDescent="0.5">
      <c r="C49" s="71" t="s">
        <v>111</v>
      </c>
    </row>
    <row r="50" spans="3:15" s="20" customFormat="1" ht="18.5" x14ac:dyDescent="0.45">
      <c r="C50" s="111" t="s">
        <v>112</v>
      </c>
      <c r="G50" s="111" t="s">
        <v>113</v>
      </c>
      <c r="K50" s="111" t="s">
        <v>114</v>
      </c>
    </row>
    <row r="51" spans="3:15" s="20" customFormat="1" ht="51.75" customHeight="1" x14ac:dyDescent="0.45">
      <c r="C51" s="93" t="s">
        <v>63</v>
      </c>
      <c r="D51" s="94" t="s">
        <v>115</v>
      </c>
      <c r="E51" s="90" t="s">
        <v>116</v>
      </c>
      <c r="G51" s="93" t="s">
        <v>63</v>
      </c>
      <c r="H51" s="94" t="s">
        <v>117</v>
      </c>
      <c r="I51" s="145" t="s">
        <v>118</v>
      </c>
      <c r="K51" s="93" t="s">
        <v>63</v>
      </c>
      <c r="L51" s="94" t="s">
        <v>117</v>
      </c>
    </row>
    <row r="52" spans="3:15" s="20" customFormat="1" ht="18.5" x14ac:dyDescent="0.45">
      <c r="C52" s="79" t="s">
        <v>66</v>
      </c>
      <c r="D52" s="88">
        <f>IFERROR(AVERAGEIFS(Table2[Lead time from formal request received to disbursement of funds (calendar days)],Table2[Source of funding identified (Details)],Overview!$C52),"-")</f>
        <v>46.666666666666664</v>
      </c>
      <c r="E52" s="91"/>
      <c r="G52" s="79" t="s">
        <v>66</v>
      </c>
      <c r="H52" s="88">
        <f>IFERROR(AVERAGEIFS(Table2[Lead time from formal request received to disbursement of funds (working days)],Table2[Source of funding identified (Details)],Overview!$C52),"-")</f>
        <v>33</v>
      </c>
      <c r="I52" s="91"/>
      <c r="K52" s="79" t="s">
        <v>66</v>
      </c>
      <c r="L52" s="88">
        <f>IFERROR(AVERAGEIFS(Table2[Lead time from standard request discussed to disbursement of funds (working days) (for Gavi only)],Table2[Source of funding identified (Details)],Overview!$C52),"-")</f>
        <v>31.142857142857142</v>
      </c>
    </row>
    <row r="53" spans="3:15" s="20" customFormat="1" ht="18.5" x14ac:dyDescent="0.45">
      <c r="C53" s="80" t="s">
        <v>64</v>
      </c>
      <c r="D53" s="144">
        <f>IFERROR(AVERAGEIFS(Table2[Lead time from formal request received to disbursement of funds (calendar days)],Table2[Source of funding identified (Details)],Overview!$C53),"-")</f>
        <v>7.9090909090909092</v>
      </c>
      <c r="E53" s="91"/>
      <c r="G53" s="80" t="s">
        <v>64</v>
      </c>
      <c r="H53" s="144">
        <f>IFERROR(AVERAGEIFS(Table2[Lead time from formal request received to disbursement of funds (working days)],Table2[Source of funding identified (Details)],Overview!$C53),"-")</f>
        <v>5.4615384615384617</v>
      </c>
      <c r="I53" s="91"/>
      <c r="K53" s="80" t="s">
        <v>64</v>
      </c>
      <c r="L53" s="144">
        <f>IFERROR(AVERAGEIFS(Table2[Lead time from formal request received to disbursement of funds (working days)],Table2[Source of funding identified (Details)],Overview!$C53),"-")</f>
        <v>5.4615384615384617</v>
      </c>
    </row>
    <row r="54" spans="3:15" s="20" customFormat="1" ht="18.5" x14ac:dyDescent="0.45">
      <c r="C54" s="82" t="s">
        <v>65</v>
      </c>
      <c r="D54" s="89">
        <f>IFERROR(AVERAGEIFS(Table2[Lead time from formal request received to disbursement of funds (calendar days)],Table2[Source of funding identified (Details)],Overview!$C54),"-")</f>
        <v>-3</v>
      </c>
      <c r="E54" s="91"/>
      <c r="G54" s="82" t="s">
        <v>65</v>
      </c>
      <c r="H54" s="89">
        <f>IFERROR(AVERAGEIFS(Table2[Lead time from formal request received to disbursement of funds (working days)],Table2[Source of funding identified (Details)],Overview!$C54),"-")</f>
        <v>1.4</v>
      </c>
      <c r="I54" s="91"/>
      <c r="K54" s="82" t="s">
        <v>65</v>
      </c>
      <c r="L54" s="89">
        <f>IFERROR(AVERAGEIFS(Table2[Lead time from formal request received to disbursement of funds (working days)],Table2[Source of funding identified (Details)],Overview!$C54),"-")</f>
        <v>1.4</v>
      </c>
    </row>
    <row r="55" spans="3:15" s="20" customFormat="1" ht="18.5" x14ac:dyDescent="0.45">
      <c r="C55" s="85" t="s">
        <v>82</v>
      </c>
      <c r="D55" s="86">
        <f>IFERROR(AVERAGE(Table2[Lead time from formal request received to disbursement of funds (calendar days)]),"-")</f>
        <v>12.823529411764707</v>
      </c>
      <c r="E55" s="92"/>
      <c r="G55" s="85" t="s">
        <v>82</v>
      </c>
      <c r="H55" s="86">
        <f>IFERROR(AVERAGE(Table2[Lead time from formal request received to disbursement of funds (working days)]),"-")</f>
        <v>12.36</v>
      </c>
      <c r="I55" s="92"/>
      <c r="K55" s="146" t="s">
        <v>119</v>
      </c>
    </row>
    <row r="56" spans="3:15" s="20" customFormat="1" ht="18.5" x14ac:dyDescent="0.45"/>
    <row r="57" spans="3:15" s="20" customFormat="1" ht="21" x14ac:dyDescent="0.5">
      <c r="C57" s="71" t="s">
        <v>120</v>
      </c>
    </row>
    <row r="58" spans="3:15" x14ac:dyDescent="0.35">
      <c r="C58" s="31" t="s">
        <v>121</v>
      </c>
      <c r="D58" s="31">
        <v>1</v>
      </c>
      <c r="E58" s="31">
        <v>2</v>
      </c>
      <c r="F58" s="31">
        <v>3</v>
      </c>
      <c r="G58" s="31">
        <v>4</v>
      </c>
      <c r="H58" s="31">
        <v>5</v>
      </c>
      <c r="I58" s="31">
        <v>6</v>
      </c>
      <c r="J58" s="31">
        <v>7</v>
      </c>
      <c r="K58" s="31">
        <v>8</v>
      </c>
      <c r="L58" s="31">
        <v>9</v>
      </c>
      <c r="M58" s="31">
        <v>10</v>
      </c>
      <c r="N58" s="31">
        <v>11</v>
      </c>
      <c r="O58" s="31">
        <v>12</v>
      </c>
    </row>
    <row r="59" spans="3:15" x14ac:dyDescent="0.35">
      <c r="C59" s="93" t="s">
        <v>63</v>
      </c>
      <c r="D59" s="93" t="s">
        <v>122</v>
      </c>
      <c r="E59" s="22"/>
      <c r="F59" s="22"/>
      <c r="G59" s="22"/>
      <c r="H59" s="22"/>
      <c r="I59" s="22"/>
      <c r="J59" s="22"/>
      <c r="K59" s="22"/>
      <c r="L59" s="22"/>
      <c r="M59" s="22"/>
      <c r="N59" s="22"/>
      <c r="O59" s="23"/>
    </row>
    <row r="60" spans="3:15" x14ac:dyDescent="0.35">
      <c r="C60" s="75"/>
      <c r="D60" s="76">
        <v>44562</v>
      </c>
      <c r="E60" s="77">
        <v>44593</v>
      </c>
      <c r="F60" s="77">
        <v>44621</v>
      </c>
      <c r="G60" s="77">
        <v>44652</v>
      </c>
      <c r="H60" s="77">
        <v>44682</v>
      </c>
      <c r="I60" s="77">
        <v>44713</v>
      </c>
      <c r="J60" s="77">
        <v>44743</v>
      </c>
      <c r="K60" s="77">
        <v>44774</v>
      </c>
      <c r="L60" s="77">
        <v>44805</v>
      </c>
      <c r="M60" s="77">
        <v>44835</v>
      </c>
      <c r="N60" s="77">
        <v>44866</v>
      </c>
      <c r="O60" s="78">
        <v>44896</v>
      </c>
    </row>
    <row r="61" spans="3:15" x14ac:dyDescent="0.35">
      <c r="C61" s="79" t="s">
        <v>66</v>
      </c>
      <c r="D61" s="80" t="str">
        <f>IFERROR(AVERAGEIFS(Table2[Lead time from formal request received to disbursement of funds (calendar days)],Table2[Source of funding identified (Details)],Overview!$C61,Table2[Funds disbursed (Month)],Overview!D$58),"-")</f>
        <v>-</v>
      </c>
      <c r="E61" s="62" t="str">
        <f>IFERROR(AVERAGEIFS(Table2[Lead time from formal request received to disbursement of funds (calendar days)],Table2[Source of funding identified (Details)],Overview!$C61,Table2[Funds disbursed (Month)],Overview!E$58),"-")</f>
        <v>-</v>
      </c>
      <c r="F61" s="62">
        <f>IFERROR(AVERAGEIFS(Table2[Lead time from formal request received to disbursement of funds (calendar days)],Table2[Source of funding identified (Details)],Overview!$C61,Table2[Funds disbursed (Month)],Overview!F$58),"-")</f>
        <v>49</v>
      </c>
      <c r="G61" s="62" t="str">
        <f>IFERROR(AVERAGEIFS(Table2[Lead time from formal request received to disbursement of funds (calendar days)],Table2[Source of funding identified (Details)],Overview!$C61,Table2[Funds disbursed (Month)],Overview!G$58),"-")</f>
        <v>-</v>
      </c>
      <c r="H61" s="62">
        <f>IFERROR(AVERAGEIFS(Table2[Lead time from formal request received to disbursement of funds (calendar days)],Table2[Source of funding identified (Details)],Overview!$C61,Table2[Funds disbursed (Month)],Overview!H$58),"-")</f>
        <v>45.5</v>
      </c>
      <c r="I61" s="62" t="str">
        <f>IFERROR(AVERAGEIFS(Table2[Lead time from formal request received to disbursement of funds (calendar days)],Table2[Source of funding identified (Details)],Overview!$C61,Table2[Funds disbursed (Month)],Overview!I$58),"-")</f>
        <v>-</v>
      </c>
      <c r="J61" s="62" t="str">
        <f>IFERROR(AVERAGEIFS(Table2[Lead time from formal request received to disbursement of funds (calendar days)],Table2[Source of funding identified (Details)],Overview!$C61,Table2[Funds disbursed (Month)],Overview!J$58),"-")</f>
        <v>-</v>
      </c>
      <c r="K61" s="62" t="str">
        <f>IFERROR(AVERAGEIFS(Table2[Lead time from formal request received to disbursement of funds (calendar days)],Table2[Source of funding identified (Details)],Overview!$C61,Table2[Funds disbursed (Month)],Overview!K$58),"-")</f>
        <v>-</v>
      </c>
      <c r="L61" s="62" t="str">
        <f>IFERROR(AVERAGEIFS(Table2[Lead time from formal request received to disbursement of funds (calendar days)],Table2[Source of funding identified (Details)],Overview!$C61,Table2[Funds disbursed (Month)],Overview!L$58),"-")</f>
        <v>-</v>
      </c>
      <c r="M61" s="62" t="str">
        <f>IFERROR(AVERAGEIFS(Table2[Lead time from formal request received to disbursement of funds (calendar days)],Table2[Source of funding identified (Details)],Overview!$C61,Table2[Funds disbursed (Month)],Overview!M$58),"-")</f>
        <v>-</v>
      </c>
      <c r="N61" s="62" t="str">
        <f>IFERROR(AVERAGEIFS(Table2[Lead time from formal request received to disbursement of funds (calendar days)],Table2[Source of funding identified (Details)],Overview!$C61,Table2[Funds disbursed (Month)],Overview!N$58),"-")</f>
        <v>-</v>
      </c>
      <c r="O61" s="81" t="str">
        <f>IFERROR(AVERAGEIFS(Table2[Lead time from formal request received to disbursement of funds (calendar days)],Table2[Source of funding identified (Details)],Overview!$C61,Table2[Funds disbursed (Month)],Overview!O$58),"-")</f>
        <v>-</v>
      </c>
    </row>
    <row r="62" spans="3:15" x14ac:dyDescent="0.35">
      <c r="C62" s="80" t="s">
        <v>64</v>
      </c>
      <c r="D62" s="80">
        <f>IFERROR(AVERAGEIFS(Table2[Lead time from formal request received to disbursement of funds (calendar days)],Table2[Source of funding identified (Details)],Overview!$C62,Table2[Funds disbursed (Month)],Overview!D$58),"-")</f>
        <v>5</v>
      </c>
      <c r="E62" s="62">
        <f>IFERROR(AVERAGEIFS(Table2[Lead time from formal request received to disbursement of funds (calendar days)],Table2[Source of funding identified (Details)],Overview!$C62,Table2[Funds disbursed (Month)],Overview!E$58),"-")</f>
        <v>10</v>
      </c>
      <c r="F62" s="62">
        <f>IFERROR(AVERAGEIFS(Table2[Lead time from formal request received to disbursement of funds (calendar days)],Table2[Source of funding identified (Details)],Overview!$C62,Table2[Funds disbursed (Month)],Overview!F$58),"-")</f>
        <v>12</v>
      </c>
      <c r="G62" s="62">
        <f>IFERROR(AVERAGEIFS(Table2[Lead time from formal request received to disbursement of funds (calendar days)],Table2[Source of funding identified (Details)],Overview!$C62,Table2[Funds disbursed (Month)],Overview!G$58),"-")</f>
        <v>7</v>
      </c>
      <c r="H62" s="62" t="str">
        <f>IFERROR(AVERAGEIFS(Table2[Lead time from formal request received to disbursement of funds (calendar days)],Table2[Source of funding identified (Details)],Overview!$C62,Table2[Funds disbursed (Month)],Overview!H$58),"-")</f>
        <v>-</v>
      </c>
      <c r="I62" s="62">
        <f>IFERROR(AVERAGEIFS(Table2[Lead time from formal request received to disbursement of funds (calendar days)],Table2[Source of funding identified (Details)],Overview!$C62,Table2[Funds disbursed (Month)],Overview!I$58),"-")</f>
        <v>1</v>
      </c>
      <c r="J62" s="62" t="str">
        <f>IFERROR(AVERAGEIFS(Table2[Lead time from formal request received to disbursement of funds (calendar days)],Table2[Source of funding identified (Details)],Overview!$C62,Table2[Funds disbursed (Month)],Overview!J$58),"-")</f>
        <v>-</v>
      </c>
      <c r="K62" s="62" t="str">
        <f>IFERROR(AVERAGEIFS(Table2[Lead time from formal request received to disbursement of funds (calendar days)],Table2[Source of funding identified (Details)],Overview!$C62,Table2[Funds disbursed (Month)],Overview!K$58),"-")</f>
        <v>-</v>
      </c>
      <c r="L62" s="62" t="str">
        <f>IFERROR(AVERAGEIFS(Table2[Lead time from formal request received to disbursement of funds (calendar days)],Table2[Source of funding identified (Details)],Overview!$C62,Table2[Funds disbursed (Month)],Overview!L$58),"-")</f>
        <v>-</v>
      </c>
      <c r="M62" s="62" t="str">
        <f>IFERROR(AVERAGEIFS(Table2[Lead time from formal request received to disbursement of funds (calendar days)],Table2[Source of funding identified (Details)],Overview!$C62,Table2[Funds disbursed (Month)],Overview!M$58),"-")</f>
        <v>-</v>
      </c>
      <c r="N62" s="62" t="str">
        <f>IFERROR(AVERAGEIFS(Table2[Lead time from formal request received to disbursement of funds (calendar days)],Table2[Source of funding identified (Details)],Overview!$C62,Table2[Funds disbursed (Month)],Overview!N$58),"-")</f>
        <v>-</v>
      </c>
      <c r="O62" s="81" t="str">
        <f>IFERROR(AVERAGEIFS(Table2[Lead time from formal request received to disbursement of funds (calendar days)],Table2[Source of funding identified (Details)],Overview!$C62,Table2[Funds disbursed (Month)],Overview!O$58),"-")</f>
        <v>-</v>
      </c>
    </row>
    <row r="63" spans="3:15" x14ac:dyDescent="0.35">
      <c r="C63" s="82" t="s">
        <v>65</v>
      </c>
      <c r="D63" s="82" t="str">
        <f>IFERROR(AVERAGEIFS(Table2[Lead time from formal request received to disbursement of funds (calendar days)],Table2[Source of funding identified (Details)],Overview!$C63,Table2[Funds disbursed (Month)],Overview!D$58),"-")</f>
        <v>-</v>
      </c>
      <c r="E63" s="83" t="str">
        <f>IFERROR(AVERAGEIFS(Table2[Lead time from formal request received to disbursement of funds (calendar days)],Table2[Source of funding identified (Details)],Overview!$C63,Table2[Funds disbursed (Month)],Overview!E$58),"-")</f>
        <v>-</v>
      </c>
      <c r="F63" s="83">
        <f>IFERROR(AVERAGEIFS(Table2[Lead time from formal request received to disbursement of funds (calendar days)],Table2[Source of funding identified (Details)],Overview!$C63,Table2[Funds disbursed (Month)],Overview!F$58),"-")</f>
        <v>2</v>
      </c>
      <c r="G63" s="83">
        <f>IFERROR(AVERAGEIFS(Table2[Lead time from formal request received to disbursement of funds (calendar days)],Table2[Source of funding identified (Details)],Overview!$C63,Table2[Funds disbursed (Month)],Overview!G$58),"-")</f>
        <v>-5.5</v>
      </c>
      <c r="H63" s="83" t="str">
        <f>IFERROR(AVERAGEIFS(Table2[Lead time from formal request received to disbursement of funds (calendar days)],Table2[Source of funding identified (Details)],Overview!$C63,Table2[Funds disbursed (Month)],Overview!H$58),"-")</f>
        <v>-</v>
      </c>
      <c r="I63" s="83" t="str">
        <f>IFERROR(AVERAGEIFS(Table2[Lead time from formal request received to disbursement of funds (calendar days)],Table2[Source of funding identified (Details)],Overview!$C63,Table2[Funds disbursed (Month)],Overview!I$58),"-")</f>
        <v>-</v>
      </c>
      <c r="J63" s="83" t="str">
        <f>IFERROR(AVERAGEIFS(Table2[Lead time from formal request received to disbursement of funds (calendar days)],Table2[Source of funding identified (Details)],Overview!$C63,Table2[Funds disbursed (Month)],Overview!J$58),"-")</f>
        <v>-</v>
      </c>
      <c r="K63" s="83" t="str">
        <f>IFERROR(AVERAGEIFS(Table2[Lead time from formal request received to disbursement of funds (calendar days)],Table2[Source of funding identified (Details)],Overview!$C63,Table2[Funds disbursed (Month)],Overview!K$58),"-")</f>
        <v>-</v>
      </c>
      <c r="L63" s="83" t="str">
        <f>IFERROR(AVERAGEIFS(Table2[Lead time from formal request received to disbursement of funds (calendar days)],Table2[Source of funding identified (Details)],Overview!$C63,Table2[Funds disbursed (Month)],Overview!L$58),"-")</f>
        <v>-</v>
      </c>
      <c r="M63" s="83" t="str">
        <f>IFERROR(AVERAGEIFS(Table2[Lead time from formal request received to disbursement of funds (calendar days)],Table2[Source of funding identified (Details)],Overview!$C63,Table2[Funds disbursed (Month)],Overview!M$58),"-")</f>
        <v>-</v>
      </c>
      <c r="N63" s="83" t="str">
        <f>IFERROR(AVERAGEIFS(Table2[Lead time from formal request received to disbursement of funds (calendar days)],Table2[Source of funding identified (Details)],Overview!$C63,Table2[Funds disbursed (Month)],Overview!N$58),"-")</f>
        <v>-</v>
      </c>
      <c r="O63" s="84" t="str">
        <f>IFERROR(AVERAGEIFS(Table2[Lead time from formal request received to disbursement of funds (calendar days)],Table2[Source of funding identified (Details)],Overview!$C63,Table2[Funds disbursed (Month)],Overview!O$58),"-")</f>
        <v>-</v>
      </c>
    </row>
    <row r="64" spans="3:15" x14ac:dyDescent="0.35">
      <c r="C64" s="85" t="s">
        <v>82</v>
      </c>
      <c r="D64" s="86">
        <f>IFERROR(AVERAGEIFS(Table2[Lead time from formal request received to disbursement of funds (calendar days)],Table2[Funds disbursed (Month)],Overview!D$58),"-")</f>
        <v>5</v>
      </c>
      <c r="E64" s="86">
        <f>IFERROR(AVERAGEIFS(Table2[Lead time from formal request received to disbursement of funds (calendar days)],Table2[Funds disbursed (Month)],Overview!E$58),"-")</f>
        <v>10</v>
      </c>
      <c r="F64" s="86">
        <f>IFERROR(AVERAGEIFS(Table2[Lead time from formal request received to disbursement of funds (calendar days)],Table2[Funds disbursed (Month)],Overview!F$58),"-")</f>
        <v>17.399999999999999</v>
      </c>
      <c r="G64" s="86">
        <f>IFERROR(AVERAGEIFS(Table2[Lead time from formal request received to disbursement of funds (calendar days)],Table2[Funds disbursed (Month)],Overview!G$58),"-")</f>
        <v>3.4285714285714284</v>
      </c>
      <c r="H64" s="86">
        <f>IFERROR(AVERAGEIFS(Table2[Lead time from formal request received to disbursement of funds (calendar days)],Table2[Funds disbursed (Month)],Overview!H$58),"-")</f>
        <v>45.5</v>
      </c>
      <c r="I64" s="86">
        <f>IFERROR(AVERAGEIFS(Table2[Lead time from formal request received to disbursement of funds (calendar days)],Table2[Funds disbursed (Month)],Overview!I$58),"-")</f>
        <v>1</v>
      </c>
      <c r="J64" s="86" t="str">
        <f>IFERROR(AVERAGEIFS(Table2[Lead time from formal request received to disbursement of funds (calendar days)],Table2[Funds disbursed (Month)],Overview!J$58),"-")</f>
        <v>-</v>
      </c>
      <c r="K64" s="86" t="str">
        <f>IFERROR(AVERAGEIFS(Table2[Lead time from formal request received to disbursement of funds (calendar days)],Table2[Funds disbursed (Month)],Overview!K$58),"-")</f>
        <v>-</v>
      </c>
      <c r="L64" s="86" t="str">
        <f>IFERROR(AVERAGEIFS(Table2[Lead time from formal request received to disbursement of funds (calendar days)],Table2[Funds disbursed (Month)],Overview!L$58),"-")</f>
        <v>-</v>
      </c>
      <c r="M64" s="86" t="str">
        <f>IFERROR(AVERAGEIFS(Table2[Lead time from formal request received to disbursement of funds (calendar days)],Table2[Funds disbursed (Month)],Overview!M$58),"-")</f>
        <v>-</v>
      </c>
      <c r="N64" s="86" t="str">
        <f>IFERROR(AVERAGEIFS(Table2[Lead time from formal request received to disbursement of funds (calendar days)],Table2[Funds disbursed (Month)],Overview!N$58),"-")</f>
        <v>-</v>
      </c>
      <c r="O64" s="87" t="str">
        <f>IFERROR(AVERAGEIFS(Table2[Lead time from formal request received to disbursement of funds (calendar days)],Table2[Funds disbursed (Month)],Overview!O$58),"-")</f>
        <v>-</v>
      </c>
    </row>
    <row r="65" spans="1:9" x14ac:dyDescent="0.35">
      <c r="C65" s="74"/>
      <c r="D65" s="74"/>
      <c r="E65" s="74"/>
      <c r="F65" s="74"/>
      <c r="G65" s="74"/>
      <c r="H65" s="74"/>
      <c r="I65" s="74"/>
    </row>
    <row r="67" spans="1:9" s="21" customFormat="1" ht="18.5" x14ac:dyDescent="0.45">
      <c r="A67" s="19">
        <v>3</v>
      </c>
      <c r="B67" s="20"/>
      <c r="C67" s="21" t="s">
        <v>123</v>
      </c>
    </row>
    <row r="69" spans="1:9" x14ac:dyDescent="0.35">
      <c r="C69" t="s">
        <v>124</v>
      </c>
      <c r="D69" s="18" t="s">
        <v>103</v>
      </c>
      <c r="E69" s="95" t="s">
        <v>125</v>
      </c>
    </row>
    <row r="70" spans="1:9" ht="15.5" x14ac:dyDescent="0.35">
      <c r="C70" s="111" t="s">
        <v>126</v>
      </c>
    </row>
    <row r="71" spans="1:9" x14ac:dyDescent="0.35">
      <c r="C71" s="29" t="s">
        <v>80</v>
      </c>
      <c r="D71" s="22" t="s">
        <v>81</v>
      </c>
      <c r="E71" s="22"/>
      <c r="F71" s="22"/>
      <c r="G71" s="22"/>
      <c r="H71" s="22"/>
      <c r="I71" s="23"/>
    </row>
    <row r="72" spans="1:9" x14ac:dyDescent="0.35">
      <c r="C72" s="30"/>
      <c r="D72" s="32" t="s">
        <v>82</v>
      </c>
      <c r="E72" s="32" t="s">
        <v>66</v>
      </c>
      <c r="F72" s="32" t="s">
        <v>64</v>
      </c>
      <c r="G72" s="32" t="s">
        <v>65</v>
      </c>
      <c r="H72" s="32" t="s">
        <v>69</v>
      </c>
      <c r="I72" s="33" t="s">
        <v>68</v>
      </c>
    </row>
    <row r="73" spans="1:9" x14ac:dyDescent="0.35">
      <c r="C73" s="24" t="s">
        <v>127</v>
      </c>
      <c r="D73" s="34">
        <f>SUMIFS(Table2[Amount tracked through this row],Table2[Country supported],Overview!$D$69)</f>
        <v>27592690.973559324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3600000</v>
      </c>
      <c r="G73" s="35">
        <f>SUMIFS(Table2[Amount tracked through this row],Table2[Country supported],Overview!$D$69,Table2[Source of funding identified (Details)],Overview!G$72)</f>
        <v>3600000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x14ac:dyDescent="0.35">
      <c r="C74" s="24" t="s">
        <v>14</v>
      </c>
      <c r="D74" s="37">
        <f ca="1">SUMIFS(Table2[Amount tracked through this row],Table2[Country supported],Overview!$D$69,Table2[Status],Overview!$C74)</f>
        <v>14629690.973559324</v>
      </c>
      <c r="E74" s="43"/>
      <c r="F74" s="43"/>
      <c r="G74" s="43"/>
      <c r="H74" s="43"/>
      <c r="I74" s="44"/>
    </row>
    <row r="75" spans="1:9" x14ac:dyDescent="0.35">
      <c r="C75" s="24" t="s">
        <v>16</v>
      </c>
      <c r="D75" s="37">
        <f ca="1">SUMIFS(Table2[Amount tracked through this row],Table2[Country supported],Overview!$D$69,Table2[Status],Overview!$C75)</f>
        <v>0</v>
      </c>
      <c r="E75" s="43"/>
      <c r="F75" s="43"/>
      <c r="G75" s="43"/>
      <c r="H75" s="43"/>
      <c r="I75" s="44"/>
    </row>
    <row r="76" spans="1:9" x14ac:dyDescent="0.35">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x14ac:dyDescent="0.35">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x14ac:dyDescent="0.35">
      <c r="C78" s="24" t="s">
        <v>84</v>
      </c>
      <c r="D78" s="37">
        <f ca="1">SUMIFS(Table2[Amount to be funded],Table2[Country supported],Overview!$D$69,Table2[Status],Overview!$C78)</f>
        <v>7200000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3600000</v>
      </c>
      <c r="G78" s="38">
        <f ca="1">SUMIFS(Table2[Amount to be funded],Table2[Country supported],Overview!$D$69,Table2[Status],Overview!$C78,Table2[Source of funding identified (Details)],Overview!G$72)</f>
        <v>3600000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x14ac:dyDescent="0.35">
      <c r="C79" s="26" t="s">
        <v>22</v>
      </c>
      <c r="D79" s="40">
        <f ca="1">SUMIFS(Table2[Amount to be funded],Table2[Country supported],Overview!$D$69,Table2[Status],Overview!$C79)</f>
        <v>5763000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0</v>
      </c>
      <c r="G79" s="41">
        <f ca="1">SUMIFS(Table2[Amount to be funded],Table2[Country supported],Overview!$D$69,Table2[Status],Overview!$C79,Table2[Source of funding identified (Details)],Overview!G$72)</f>
        <v>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x14ac:dyDescent="0.35">
      <c r="C80" s="48" t="s">
        <v>24</v>
      </c>
      <c r="D80" s="45">
        <f ca="1">D73-SUM(D74:D79)</f>
        <v>0</v>
      </c>
      <c r="E80" s="46"/>
      <c r="F80" s="46"/>
      <c r="G80" s="46"/>
      <c r="H80" s="46"/>
      <c r="I80" s="47"/>
    </row>
    <row r="84" spans="1:19" s="21" customFormat="1" ht="18.5" x14ac:dyDescent="0.45">
      <c r="A84" s="19">
        <v>4</v>
      </c>
      <c r="B84" s="20"/>
      <c r="C84" s="21" t="s">
        <v>128</v>
      </c>
    </row>
    <row r="86" spans="1:19" ht="21" x14ac:dyDescent="0.5">
      <c r="C86" s="71" t="s">
        <v>129</v>
      </c>
    </row>
    <row r="87" spans="1:19" x14ac:dyDescent="0.35">
      <c r="E87" s="59" t="s">
        <v>88</v>
      </c>
    </row>
    <row r="88" spans="1:19" x14ac:dyDescent="0.35">
      <c r="C88" s="67" t="s">
        <v>86</v>
      </c>
      <c r="D88" s="18" t="s">
        <v>87</v>
      </c>
    </row>
    <row r="90" spans="1:19" x14ac:dyDescent="0.35">
      <c r="C90" s="67" t="s">
        <v>109</v>
      </c>
      <c r="D90" s="67" t="s">
        <v>90</v>
      </c>
    </row>
    <row r="91" spans="1:19" x14ac:dyDescent="0.35">
      <c r="C91" s="67"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row>
    <row r="92" spans="1:19" x14ac:dyDescent="0.35">
      <c r="C92" s="68" t="s">
        <v>22</v>
      </c>
      <c r="D92" s="55">
        <v>1</v>
      </c>
      <c r="E92" s="55">
        <v>3</v>
      </c>
      <c r="F92" s="55">
        <v>1</v>
      </c>
      <c r="G92" s="55">
        <v>6</v>
      </c>
      <c r="H92" s="55"/>
      <c r="I92" s="55">
        <v>1</v>
      </c>
      <c r="J92" s="55">
        <v>7</v>
      </c>
      <c r="K92" s="55"/>
      <c r="L92" s="55"/>
      <c r="M92" s="55">
        <v>2</v>
      </c>
      <c r="N92" s="55"/>
      <c r="O92" s="55">
        <v>1</v>
      </c>
      <c r="P92" s="55">
        <v>2</v>
      </c>
      <c r="Q92" s="55">
        <v>1</v>
      </c>
      <c r="R92" s="55"/>
      <c r="S92" s="55">
        <v>25</v>
      </c>
    </row>
    <row r="93" spans="1:19" x14ac:dyDescent="0.35">
      <c r="C93" s="68" t="s">
        <v>14</v>
      </c>
      <c r="D93" s="55"/>
      <c r="E93" s="55">
        <v>1</v>
      </c>
      <c r="F93" s="55">
        <v>1</v>
      </c>
      <c r="G93" s="55"/>
      <c r="H93" s="55"/>
      <c r="I93" s="55"/>
      <c r="J93" s="55"/>
      <c r="K93" s="55"/>
      <c r="L93" s="55">
        <v>1</v>
      </c>
      <c r="M93" s="55">
        <v>1</v>
      </c>
      <c r="N93" s="55">
        <v>1</v>
      </c>
      <c r="O93" s="55">
        <v>1</v>
      </c>
      <c r="P93" s="55"/>
      <c r="Q93" s="55"/>
      <c r="R93" s="55"/>
      <c r="S93" s="55">
        <v>6</v>
      </c>
    </row>
    <row r="94" spans="1:19" x14ac:dyDescent="0.35">
      <c r="C94" s="68" t="s">
        <v>24</v>
      </c>
      <c r="D94" s="55"/>
      <c r="E94" s="55"/>
      <c r="F94" s="55"/>
      <c r="G94" s="55"/>
      <c r="H94" s="55">
        <v>1</v>
      </c>
      <c r="I94" s="55"/>
      <c r="J94" s="55"/>
      <c r="K94" s="55">
        <v>1</v>
      </c>
      <c r="L94" s="55"/>
      <c r="M94" s="55"/>
      <c r="N94" s="55"/>
      <c r="O94" s="55"/>
      <c r="P94" s="55">
        <v>1</v>
      </c>
      <c r="Q94" s="55"/>
      <c r="R94" s="55"/>
      <c r="S94" s="55">
        <v>3</v>
      </c>
    </row>
    <row r="95" spans="1:19" x14ac:dyDescent="0.35">
      <c r="C95" s="68" t="s">
        <v>84</v>
      </c>
      <c r="D95" s="55"/>
      <c r="E95" s="55"/>
      <c r="F95" s="55"/>
      <c r="G95" s="55"/>
      <c r="H95" s="55"/>
      <c r="I95" s="55"/>
      <c r="J95" s="55"/>
      <c r="K95" s="55"/>
      <c r="L95" s="55"/>
      <c r="M95" s="55">
        <v>1</v>
      </c>
      <c r="N95" s="55"/>
      <c r="O95" s="55">
        <v>2</v>
      </c>
      <c r="P95" s="55">
        <v>2</v>
      </c>
      <c r="Q95" s="55"/>
      <c r="R95" s="55"/>
      <c r="S95" s="55">
        <v>5</v>
      </c>
    </row>
    <row r="96" spans="1:19" x14ac:dyDescent="0.35">
      <c r="C96" s="68" t="s">
        <v>18</v>
      </c>
      <c r="D96" s="55"/>
      <c r="E96" s="55"/>
      <c r="F96" s="55"/>
      <c r="G96" s="55"/>
      <c r="H96" s="55"/>
      <c r="I96" s="55"/>
      <c r="J96" s="55"/>
      <c r="K96" s="55"/>
      <c r="L96" s="55"/>
      <c r="M96" s="55"/>
      <c r="N96" s="55"/>
      <c r="O96" s="55"/>
      <c r="P96" s="55"/>
      <c r="Q96" s="55"/>
      <c r="R96" s="55">
        <v>2</v>
      </c>
      <c r="S96" s="55">
        <v>2</v>
      </c>
    </row>
    <row r="97" spans="3:19" x14ac:dyDescent="0.35">
      <c r="C97" s="68" t="s">
        <v>107</v>
      </c>
      <c r="D97" s="55">
        <v>1</v>
      </c>
      <c r="E97" s="55">
        <v>4</v>
      </c>
      <c r="F97" s="55">
        <v>2</v>
      </c>
      <c r="G97" s="55">
        <v>6</v>
      </c>
      <c r="H97" s="55">
        <v>1</v>
      </c>
      <c r="I97" s="55">
        <v>1</v>
      </c>
      <c r="J97" s="55">
        <v>7</v>
      </c>
      <c r="K97" s="55">
        <v>1</v>
      </c>
      <c r="L97" s="55">
        <v>1</v>
      </c>
      <c r="M97" s="55">
        <v>4</v>
      </c>
      <c r="N97" s="55">
        <v>1</v>
      </c>
      <c r="O97" s="55">
        <v>4</v>
      </c>
      <c r="P97" s="55">
        <v>5</v>
      </c>
      <c r="Q97" s="55">
        <v>1</v>
      </c>
      <c r="R97" s="55">
        <v>2</v>
      </c>
      <c r="S97" s="55">
        <v>41</v>
      </c>
    </row>
    <row r="100" spans="3:19" x14ac:dyDescent="0.35">
      <c r="C100" s="68"/>
      <c r="D100" s="55"/>
      <c r="E100" s="55"/>
      <c r="F100" s="55"/>
      <c r="G100" s="55"/>
      <c r="H100" s="55"/>
      <c r="I100" s="55"/>
    </row>
    <row r="101" spans="3:19" ht="21" x14ac:dyDescent="0.5">
      <c r="C101" s="71" t="s">
        <v>130</v>
      </c>
      <c r="D101" s="55"/>
      <c r="E101" s="55"/>
      <c r="F101" s="55"/>
      <c r="G101" s="55"/>
      <c r="H101" s="55"/>
      <c r="I101" s="55"/>
    </row>
    <row r="102" spans="3:19" x14ac:dyDescent="0.35">
      <c r="E102" s="59" t="s">
        <v>88</v>
      </c>
    </row>
    <row r="103" spans="3:19" x14ac:dyDescent="0.35">
      <c r="C103" s="67" t="s">
        <v>86</v>
      </c>
      <c r="D103" s="18" t="s">
        <v>87</v>
      </c>
    </row>
    <row r="105" spans="3:19" x14ac:dyDescent="0.35">
      <c r="C105" s="67" t="s">
        <v>89</v>
      </c>
      <c r="D105" s="67" t="s">
        <v>90</v>
      </c>
    </row>
    <row r="106" spans="3:19" x14ac:dyDescent="0.35">
      <c r="C106" s="67"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row>
    <row r="107" spans="3:19" x14ac:dyDescent="0.35">
      <c r="C107" s="68" t="s">
        <v>22</v>
      </c>
      <c r="D107" s="55">
        <v>500000</v>
      </c>
      <c r="E107" s="55">
        <v>4884012</v>
      </c>
      <c r="F107" s="55">
        <v>3458028</v>
      </c>
      <c r="G107" s="55">
        <v>16686502</v>
      </c>
      <c r="H107" s="55"/>
      <c r="I107" s="55">
        <v>1526147</v>
      </c>
      <c r="J107" s="55">
        <v>5841000</v>
      </c>
      <c r="K107" s="55"/>
      <c r="L107" s="55"/>
      <c r="M107" s="55">
        <v>5017098.76</v>
      </c>
      <c r="N107" s="55"/>
      <c r="O107" s="55">
        <v>5763000</v>
      </c>
      <c r="P107" s="55">
        <v>7037501</v>
      </c>
      <c r="Q107" s="55">
        <v>1490000</v>
      </c>
      <c r="R107" s="55"/>
      <c r="S107" s="55">
        <v>52203288.759999998</v>
      </c>
    </row>
    <row r="108" spans="3:19" x14ac:dyDescent="0.35">
      <c r="C108" s="68" t="s">
        <v>14</v>
      </c>
      <c r="D108" s="55"/>
      <c r="E108" s="55">
        <v>0</v>
      </c>
      <c r="F108" s="55">
        <v>3000000</v>
      </c>
      <c r="G108" s="55"/>
      <c r="H108" s="55"/>
      <c r="I108" s="55"/>
      <c r="J108" s="55"/>
      <c r="K108" s="55"/>
      <c r="L108" s="55">
        <v>0</v>
      </c>
      <c r="M108" s="55">
        <v>3000000</v>
      </c>
      <c r="N108" s="55">
        <v>0</v>
      </c>
      <c r="O108" s="55">
        <v>14629690.973559324</v>
      </c>
      <c r="P108" s="55"/>
      <c r="Q108" s="55"/>
      <c r="R108" s="55"/>
      <c r="S108" s="55">
        <v>20629690.973559324</v>
      </c>
    </row>
    <row r="109" spans="3:19" x14ac:dyDescent="0.35">
      <c r="C109" s="68" t="s">
        <v>24</v>
      </c>
      <c r="D109" s="55"/>
      <c r="E109" s="55"/>
      <c r="F109" s="55"/>
      <c r="G109" s="55"/>
      <c r="H109" s="55">
        <v>0</v>
      </c>
      <c r="I109" s="55"/>
      <c r="J109" s="55"/>
      <c r="K109" s="55">
        <v>0</v>
      </c>
      <c r="L109" s="55"/>
      <c r="M109" s="55"/>
      <c r="N109" s="55"/>
      <c r="O109" s="55"/>
      <c r="P109" s="55">
        <v>225000</v>
      </c>
      <c r="Q109" s="55"/>
      <c r="R109" s="55"/>
      <c r="S109" s="55">
        <v>225000</v>
      </c>
    </row>
    <row r="110" spans="3:19" x14ac:dyDescent="0.35">
      <c r="C110" s="68" t="s">
        <v>84</v>
      </c>
      <c r="D110" s="55"/>
      <c r="E110" s="55"/>
      <c r="F110" s="55"/>
      <c r="G110" s="55"/>
      <c r="H110" s="55"/>
      <c r="I110" s="55"/>
      <c r="J110" s="55"/>
      <c r="K110" s="55"/>
      <c r="L110" s="55"/>
      <c r="M110" s="55">
        <v>6200000</v>
      </c>
      <c r="N110" s="55"/>
      <c r="O110" s="55">
        <v>7200000</v>
      </c>
      <c r="P110" s="55">
        <v>10214486</v>
      </c>
      <c r="Q110" s="55"/>
      <c r="R110" s="55"/>
      <c r="S110" s="55">
        <v>23614486</v>
      </c>
    </row>
    <row r="111" spans="3:19" x14ac:dyDescent="0.35">
      <c r="C111" s="68" t="s">
        <v>18</v>
      </c>
      <c r="D111" s="55"/>
      <c r="E111" s="55"/>
      <c r="F111" s="55"/>
      <c r="G111" s="55"/>
      <c r="H111" s="55"/>
      <c r="I111" s="55"/>
      <c r="J111" s="55"/>
      <c r="K111" s="55"/>
      <c r="L111" s="55"/>
      <c r="M111" s="55"/>
      <c r="N111" s="55"/>
      <c r="O111" s="55"/>
      <c r="P111" s="55"/>
      <c r="Q111" s="55"/>
      <c r="R111" s="55">
        <v>2154578.606060606</v>
      </c>
      <c r="S111" s="55">
        <v>2154578.606060606</v>
      </c>
    </row>
    <row r="112" spans="3:19" x14ac:dyDescent="0.35">
      <c r="C112" s="68" t="s">
        <v>107</v>
      </c>
      <c r="D112" s="55">
        <v>500000</v>
      </c>
      <c r="E112" s="55">
        <v>4884012</v>
      </c>
      <c r="F112" s="55">
        <v>6458028</v>
      </c>
      <c r="G112" s="55">
        <v>16686502</v>
      </c>
      <c r="H112" s="55">
        <v>0</v>
      </c>
      <c r="I112" s="55">
        <v>1526147</v>
      </c>
      <c r="J112" s="55">
        <v>5841000</v>
      </c>
      <c r="K112" s="55">
        <v>0</v>
      </c>
      <c r="L112" s="55">
        <v>0</v>
      </c>
      <c r="M112" s="55">
        <v>14217098.76</v>
      </c>
      <c r="N112" s="55">
        <v>0</v>
      </c>
      <c r="O112" s="55">
        <v>27592690.973559324</v>
      </c>
      <c r="P112" s="55">
        <v>17476987</v>
      </c>
      <c r="Q112" s="55">
        <v>1490000</v>
      </c>
      <c r="R112" s="55">
        <v>2154578.606060606</v>
      </c>
      <c r="S112" s="55">
        <v>98827044.339619935</v>
      </c>
    </row>
    <row r="115" spans="1:19" x14ac:dyDescent="0.35">
      <c r="C115" s="68"/>
      <c r="D115" s="55"/>
      <c r="E115" s="55"/>
      <c r="F115" s="55"/>
      <c r="G115" s="55"/>
      <c r="H115" s="55"/>
      <c r="I115" s="55"/>
    </row>
    <row r="116" spans="1:19" x14ac:dyDescent="0.35">
      <c r="C116" s="68"/>
      <c r="D116" s="55"/>
      <c r="E116" s="55"/>
      <c r="F116" s="55"/>
      <c r="G116" s="55"/>
      <c r="H116" s="55"/>
      <c r="I116" s="55"/>
    </row>
    <row r="118" spans="1:19" s="21" customFormat="1" ht="18.5" x14ac:dyDescent="0.45">
      <c r="A118" s="19">
        <v>5</v>
      </c>
      <c r="B118" s="20"/>
      <c r="C118" s="21" t="s">
        <v>131</v>
      </c>
    </row>
    <row r="119" spans="1:19" s="20" customFormat="1" ht="18.5" x14ac:dyDescent="0.45"/>
    <row r="120" spans="1:19" ht="21" x14ac:dyDescent="0.5">
      <c r="C120" s="71" t="s">
        <v>132</v>
      </c>
    </row>
    <row r="121" spans="1:19" x14ac:dyDescent="0.35">
      <c r="E121" s="59" t="s">
        <v>88</v>
      </c>
    </row>
    <row r="122" spans="1:19" x14ac:dyDescent="0.35">
      <c r="C122" s="67" t="s">
        <v>86</v>
      </c>
      <c r="D122" s="18" t="s">
        <v>87</v>
      </c>
    </row>
    <row r="124" spans="1:19" x14ac:dyDescent="0.35">
      <c r="C124" s="67" t="s">
        <v>109</v>
      </c>
      <c r="D124" s="67" t="s">
        <v>90</v>
      </c>
    </row>
    <row r="125" spans="1:19" x14ac:dyDescent="0.35">
      <c r="C125" s="67"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row>
    <row r="126" spans="1:19" x14ac:dyDescent="0.35">
      <c r="C126" s="68" t="s">
        <v>22</v>
      </c>
      <c r="D126" s="55">
        <v>1</v>
      </c>
      <c r="E126" s="55">
        <v>3</v>
      </c>
      <c r="F126" s="55">
        <v>1</v>
      </c>
      <c r="G126" s="55">
        <v>6</v>
      </c>
      <c r="H126" s="55"/>
      <c r="I126" s="55">
        <v>1</v>
      </c>
      <c r="J126" s="55">
        <v>7</v>
      </c>
      <c r="K126" s="55"/>
      <c r="L126" s="55"/>
      <c r="M126" s="55">
        <v>2</v>
      </c>
      <c r="N126" s="55"/>
      <c r="O126" s="55">
        <v>1</v>
      </c>
      <c r="P126" s="55">
        <v>2</v>
      </c>
      <c r="Q126" s="55">
        <v>1</v>
      </c>
      <c r="R126" s="55"/>
      <c r="S126" s="55">
        <v>25</v>
      </c>
    </row>
    <row r="127" spans="1:19" x14ac:dyDescent="0.35">
      <c r="C127" s="68" t="s">
        <v>14</v>
      </c>
      <c r="D127" s="55"/>
      <c r="E127" s="55">
        <v>1</v>
      </c>
      <c r="F127" s="55">
        <v>1</v>
      </c>
      <c r="G127" s="55"/>
      <c r="H127" s="55"/>
      <c r="I127" s="55"/>
      <c r="J127" s="55"/>
      <c r="K127" s="55"/>
      <c r="L127" s="55">
        <v>1</v>
      </c>
      <c r="M127" s="55">
        <v>1</v>
      </c>
      <c r="N127" s="55">
        <v>1</v>
      </c>
      <c r="O127" s="55">
        <v>1</v>
      </c>
      <c r="P127" s="55"/>
      <c r="Q127" s="55"/>
      <c r="R127" s="55"/>
      <c r="S127" s="55">
        <v>6</v>
      </c>
    </row>
    <row r="128" spans="1:19" x14ac:dyDescent="0.35">
      <c r="C128" s="68" t="s">
        <v>24</v>
      </c>
      <c r="D128" s="55"/>
      <c r="E128" s="55"/>
      <c r="F128" s="55"/>
      <c r="G128" s="55"/>
      <c r="H128" s="55">
        <v>1</v>
      </c>
      <c r="I128" s="55"/>
      <c r="J128" s="55"/>
      <c r="K128" s="55">
        <v>1</v>
      </c>
      <c r="L128" s="55"/>
      <c r="M128" s="55"/>
      <c r="N128" s="55"/>
      <c r="O128" s="55"/>
      <c r="P128" s="55">
        <v>1</v>
      </c>
      <c r="Q128" s="55"/>
      <c r="R128" s="55"/>
      <c r="S128" s="55">
        <v>3</v>
      </c>
    </row>
    <row r="129" spans="3:19" x14ac:dyDescent="0.35">
      <c r="C129" s="68" t="s">
        <v>84</v>
      </c>
      <c r="D129" s="55"/>
      <c r="E129" s="55"/>
      <c r="F129" s="55"/>
      <c r="G129" s="55"/>
      <c r="H129" s="55"/>
      <c r="I129" s="55"/>
      <c r="J129" s="55"/>
      <c r="K129" s="55"/>
      <c r="L129" s="55"/>
      <c r="M129" s="55">
        <v>1</v>
      </c>
      <c r="N129" s="55"/>
      <c r="O129" s="55">
        <v>2</v>
      </c>
      <c r="P129" s="55">
        <v>2</v>
      </c>
      <c r="Q129" s="55"/>
      <c r="R129" s="55"/>
      <c r="S129" s="55">
        <v>5</v>
      </c>
    </row>
    <row r="130" spans="3:19" x14ac:dyDescent="0.35">
      <c r="C130" s="68" t="s">
        <v>18</v>
      </c>
      <c r="D130" s="55"/>
      <c r="E130" s="55"/>
      <c r="F130" s="55"/>
      <c r="G130" s="55"/>
      <c r="H130" s="55"/>
      <c r="I130" s="55"/>
      <c r="J130" s="55"/>
      <c r="K130" s="55"/>
      <c r="L130" s="55"/>
      <c r="M130" s="55"/>
      <c r="N130" s="55"/>
      <c r="O130" s="55"/>
      <c r="P130" s="55"/>
      <c r="Q130" s="55"/>
      <c r="R130" s="55">
        <v>2</v>
      </c>
      <c r="S130" s="55">
        <v>2</v>
      </c>
    </row>
    <row r="131" spans="3:19" x14ac:dyDescent="0.35">
      <c r="C131" s="68" t="s">
        <v>107</v>
      </c>
      <c r="D131" s="55">
        <v>1</v>
      </c>
      <c r="E131" s="55">
        <v>4</v>
      </c>
      <c r="F131" s="55">
        <v>2</v>
      </c>
      <c r="G131" s="55">
        <v>6</v>
      </c>
      <c r="H131" s="55">
        <v>1</v>
      </c>
      <c r="I131" s="55">
        <v>1</v>
      </c>
      <c r="J131" s="55">
        <v>7</v>
      </c>
      <c r="K131" s="55">
        <v>1</v>
      </c>
      <c r="L131" s="55">
        <v>1</v>
      </c>
      <c r="M131" s="55">
        <v>4</v>
      </c>
      <c r="N131" s="55">
        <v>1</v>
      </c>
      <c r="O131" s="55">
        <v>4</v>
      </c>
      <c r="P131" s="55">
        <v>5</v>
      </c>
      <c r="Q131" s="55">
        <v>1</v>
      </c>
      <c r="R131" s="55">
        <v>2</v>
      </c>
      <c r="S131" s="55">
        <v>41</v>
      </c>
    </row>
    <row r="134" spans="3:19" ht="21" x14ac:dyDescent="0.5">
      <c r="C134" s="71" t="s">
        <v>78</v>
      </c>
    </row>
    <row r="135" spans="3:19" x14ac:dyDescent="0.35">
      <c r="E135" s="59" t="s">
        <v>88</v>
      </c>
    </row>
    <row r="136" spans="3:19" x14ac:dyDescent="0.35">
      <c r="C136" s="67" t="s">
        <v>86</v>
      </c>
      <c r="D136" s="18" t="s">
        <v>133</v>
      </c>
    </row>
    <row r="138" spans="3:19" x14ac:dyDescent="0.35">
      <c r="C138" s="67" t="s">
        <v>89</v>
      </c>
      <c r="D138" s="67" t="s">
        <v>90</v>
      </c>
    </row>
    <row r="139" spans="3:19" x14ac:dyDescent="0.35">
      <c r="C139" s="67" t="s">
        <v>91</v>
      </c>
      <c r="D139" t="s">
        <v>95</v>
      </c>
      <c r="E139" t="s">
        <v>98</v>
      </c>
      <c r="F139" t="s">
        <v>103</v>
      </c>
      <c r="G139" t="s">
        <v>107</v>
      </c>
    </row>
    <row r="140" spans="3:19" x14ac:dyDescent="0.35">
      <c r="C140" s="68" t="s">
        <v>22</v>
      </c>
      <c r="D140" s="55">
        <v>8000000</v>
      </c>
      <c r="E140" s="55">
        <v>368295</v>
      </c>
      <c r="F140" s="55">
        <v>5763000</v>
      </c>
      <c r="G140" s="55">
        <v>14131295</v>
      </c>
    </row>
    <row r="141" spans="3:19" x14ac:dyDescent="0.35">
      <c r="C141" s="68" t="s">
        <v>14</v>
      </c>
      <c r="D141" s="55"/>
      <c r="E141" s="55"/>
      <c r="F141" s="55">
        <v>14629690.973559324</v>
      </c>
      <c r="G141" s="55">
        <v>14629690.973559324</v>
      </c>
    </row>
    <row r="142" spans="3:19" x14ac:dyDescent="0.35">
      <c r="C142" s="68" t="s">
        <v>84</v>
      </c>
      <c r="D142" s="55"/>
      <c r="E142" s="55"/>
      <c r="F142" s="55">
        <v>7200000</v>
      </c>
      <c r="G142" s="55">
        <v>7200000</v>
      </c>
    </row>
    <row r="143" spans="3:19" x14ac:dyDescent="0.35">
      <c r="C143" s="68" t="s">
        <v>107</v>
      </c>
      <c r="D143" s="55">
        <v>8000000</v>
      </c>
      <c r="E143" s="55">
        <v>368295</v>
      </c>
      <c r="F143" s="55">
        <v>27592690.973559324</v>
      </c>
      <c r="G143" s="55">
        <v>35960985.97355932</v>
      </c>
    </row>
    <row r="148" spans="1:7" s="21" customFormat="1" ht="18.5" x14ac:dyDescent="0.45">
      <c r="A148" s="19">
        <v>6</v>
      </c>
      <c r="B148" s="20"/>
      <c r="C148" s="21" t="s">
        <v>134</v>
      </c>
    </row>
    <row r="150" spans="1:7" ht="21" x14ac:dyDescent="0.5">
      <c r="C150" s="71" t="s">
        <v>132</v>
      </c>
    </row>
    <row r="151" spans="1:7" x14ac:dyDescent="0.35">
      <c r="E151" s="59" t="s">
        <v>88</v>
      </c>
    </row>
    <row r="152" spans="1:7" x14ac:dyDescent="0.35">
      <c r="C152" s="67" t="s">
        <v>86</v>
      </c>
      <c r="D152" s="18" t="s">
        <v>135</v>
      </c>
    </row>
    <row r="154" spans="1:7" x14ac:dyDescent="0.35">
      <c r="C154" s="67" t="s">
        <v>109</v>
      </c>
      <c r="D154" s="67" t="s">
        <v>90</v>
      </c>
    </row>
    <row r="155" spans="1:7" x14ac:dyDescent="0.35">
      <c r="C155" s="67" t="s">
        <v>91</v>
      </c>
      <c r="D155" t="s">
        <v>96</v>
      </c>
      <c r="E155" t="s">
        <v>99</v>
      </c>
      <c r="F155" t="s">
        <v>104</v>
      </c>
      <c r="G155" t="s">
        <v>107</v>
      </c>
    </row>
    <row r="156" spans="1:7" x14ac:dyDescent="0.35">
      <c r="C156" s="68" t="s">
        <v>24</v>
      </c>
      <c r="D156" s="55">
        <v>1</v>
      </c>
      <c r="E156" s="55">
        <v>1</v>
      </c>
      <c r="F156" s="55">
        <v>1</v>
      </c>
      <c r="G156" s="55">
        <v>3</v>
      </c>
    </row>
    <row r="157" spans="1:7" x14ac:dyDescent="0.35">
      <c r="C157" s="68" t="s">
        <v>107</v>
      </c>
      <c r="D157" s="55">
        <v>1</v>
      </c>
      <c r="E157" s="55">
        <v>1</v>
      </c>
      <c r="F157" s="55">
        <v>1</v>
      </c>
      <c r="G157" s="55">
        <v>3</v>
      </c>
    </row>
    <row r="159" spans="1:7" ht="21" x14ac:dyDescent="0.5">
      <c r="C159" s="71" t="s">
        <v>78</v>
      </c>
    </row>
    <row r="160" spans="1:7" x14ac:dyDescent="0.35">
      <c r="E160" s="59" t="s">
        <v>88</v>
      </c>
    </row>
    <row r="161" spans="1:16" x14ac:dyDescent="0.35">
      <c r="C161" s="67" t="s">
        <v>86</v>
      </c>
      <c r="D161" s="18" t="s">
        <v>135</v>
      </c>
    </row>
    <row r="163" spans="1:16" x14ac:dyDescent="0.35">
      <c r="C163" s="67" t="s">
        <v>89</v>
      </c>
      <c r="D163" s="67" t="s">
        <v>90</v>
      </c>
    </row>
    <row r="164" spans="1:16" x14ac:dyDescent="0.35">
      <c r="C164" s="67" t="s">
        <v>91</v>
      </c>
      <c r="D164" t="s">
        <v>96</v>
      </c>
      <c r="E164" t="s">
        <v>99</v>
      </c>
      <c r="F164" t="s">
        <v>104</v>
      </c>
      <c r="G164" t="s">
        <v>107</v>
      </c>
    </row>
    <row r="165" spans="1:16" x14ac:dyDescent="0.35">
      <c r="C165" s="68" t="s">
        <v>24</v>
      </c>
      <c r="D165" s="55">
        <v>0</v>
      </c>
      <c r="E165" s="55">
        <v>0</v>
      </c>
      <c r="F165" s="55">
        <v>225000</v>
      </c>
      <c r="G165" s="55">
        <v>225000</v>
      </c>
    </row>
    <row r="166" spans="1:16" x14ac:dyDescent="0.35">
      <c r="C166" s="68" t="s">
        <v>107</v>
      </c>
      <c r="D166" s="55">
        <v>0</v>
      </c>
      <c r="E166" s="55">
        <v>0</v>
      </c>
      <c r="F166" s="55">
        <v>225000</v>
      </c>
      <c r="G166" s="55">
        <v>225000</v>
      </c>
    </row>
    <row r="169" spans="1:16" s="21" customFormat="1" ht="18.5" x14ac:dyDescent="0.45">
      <c r="A169" s="19">
        <v>7</v>
      </c>
      <c r="B169" s="20"/>
      <c r="C169" s="21" t="s">
        <v>136</v>
      </c>
    </row>
    <row r="171" spans="1:16" ht="15.5" x14ac:dyDescent="0.35">
      <c r="K171" s="111" t="s">
        <v>137</v>
      </c>
    </row>
    <row r="172" spans="1:16" x14ac:dyDescent="0.35">
      <c r="C172" s="29" t="s">
        <v>80</v>
      </c>
      <c r="D172" s="22" t="s">
        <v>138</v>
      </c>
      <c r="E172" s="22"/>
      <c r="F172" s="22"/>
      <c r="G172" s="22"/>
      <c r="H172" s="22"/>
      <c r="I172" s="23"/>
      <c r="K172" s="93" t="s">
        <v>139</v>
      </c>
      <c r="L172" s="22"/>
      <c r="M172" s="22"/>
      <c r="N172" s="22"/>
      <c r="O172" s="22"/>
      <c r="P172" s="23"/>
    </row>
    <row r="173" spans="1:16" x14ac:dyDescent="0.35">
      <c r="C173" s="30"/>
      <c r="D173" s="32" t="s">
        <v>82</v>
      </c>
      <c r="E173" s="32" t="s">
        <v>66</v>
      </c>
      <c r="F173" s="32" t="s">
        <v>64</v>
      </c>
      <c r="G173" s="32" t="s">
        <v>65</v>
      </c>
      <c r="H173" s="32" t="s">
        <v>69</v>
      </c>
      <c r="I173" s="33" t="s">
        <v>68</v>
      </c>
      <c r="K173" s="24" t="s">
        <v>140</v>
      </c>
      <c r="P173" s="25"/>
    </row>
    <row r="174" spans="1:16" x14ac:dyDescent="0.35">
      <c r="C174" s="24" t="s">
        <v>127</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7">
        <f ca="1">D180/D174</f>
        <v>1</v>
      </c>
      <c r="L174" s="27"/>
      <c r="M174" s="27"/>
      <c r="N174" s="27"/>
      <c r="O174" s="27"/>
      <c r="P174" s="28"/>
    </row>
    <row r="175" spans="1:16" x14ac:dyDescent="0.35">
      <c r="C175" s="24" t="s">
        <v>14</v>
      </c>
      <c r="D175" s="37">
        <f ca="1">SUMIFS(Table2[Amount tracked through this row],Table2[Status],Overview!$C175,Table2[Details on the request],Utilities!$B$26)</f>
        <v>0</v>
      </c>
      <c r="E175" s="96"/>
      <c r="F175" s="96"/>
      <c r="G175" s="96"/>
      <c r="H175" s="96"/>
      <c r="I175" s="44"/>
    </row>
    <row r="176" spans="1:16" x14ac:dyDescent="0.35">
      <c r="C176" s="24" t="s">
        <v>16</v>
      </c>
      <c r="D176" s="37">
        <f ca="1">SUMIFS(Table2[Amount tracked through this row],Table2[Status],Overview!$C176,Table2[Details on the request],Utilities!$B$26)</f>
        <v>0</v>
      </c>
      <c r="E176" s="96"/>
      <c r="F176" s="96"/>
      <c r="G176" s="96"/>
      <c r="H176" s="96"/>
      <c r="I176" s="44"/>
    </row>
    <row r="177" spans="3:9" x14ac:dyDescent="0.35">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x14ac:dyDescent="0.35">
      <c r="C178" s="24" t="s">
        <v>83</v>
      </c>
      <c r="D178" s="37"/>
      <c r="E178" s="1"/>
      <c r="F178" s="1"/>
      <c r="G178" s="1"/>
      <c r="H178" s="1"/>
      <c r="I178" s="39"/>
    </row>
    <row r="179" spans="3:9" x14ac:dyDescent="0.35">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x14ac:dyDescent="0.35">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x14ac:dyDescent="0.35">
      <c r="C181" s="48" t="s">
        <v>24</v>
      </c>
      <c r="D181" s="45">
        <f ca="1">D174-SUM(D175:D180)</f>
        <v>0</v>
      </c>
      <c r="E181" s="46"/>
      <c r="F181" s="46"/>
      <c r="G181" s="46"/>
      <c r="H181" s="46"/>
      <c r="I181" s="47"/>
    </row>
    <row r="183" spans="3:9" ht="21" x14ac:dyDescent="0.5">
      <c r="C183" s="71" t="s">
        <v>132</v>
      </c>
    </row>
    <row r="185" spans="3:9" x14ac:dyDescent="0.35">
      <c r="C185" s="67" t="s">
        <v>141</v>
      </c>
      <c r="D185" s="18" t="s">
        <v>76</v>
      </c>
      <c r="E185" s="59" t="s">
        <v>88</v>
      </c>
    </row>
    <row r="187" spans="3:9" x14ac:dyDescent="0.35">
      <c r="C187" s="67" t="s">
        <v>109</v>
      </c>
      <c r="D187" s="67" t="s">
        <v>90</v>
      </c>
    </row>
    <row r="188" spans="3:9" x14ac:dyDescent="0.35">
      <c r="C188" s="67" t="s">
        <v>91</v>
      </c>
      <c r="D188" t="s">
        <v>93</v>
      </c>
      <c r="E188" t="s">
        <v>95</v>
      </c>
      <c r="F188" t="s">
        <v>107</v>
      </c>
    </row>
    <row r="189" spans="3:9" x14ac:dyDescent="0.35">
      <c r="C189" s="68" t="s">
        <v>22</v>
      </c>
      <c r="D189" s="55">
        <v>2</v>
      </c>
      <c r="E189" s="55">
        <v>2</v>
      </c>
      <c r="F189" s="55">
        <v>4</v>
      </c>
    </row>
    <row r="190" spans="3:9" x14ac:dyDescent="0.35">
      <c r="C190" s="68" t="s">
        <v>107</v>
      </c>
      <c r="D190" s="55">
        <v>2</v>
      </c>
      <c r="E190" s="55">
        <v>2</v>
      </c>
      <c r="F190" s="55">
        <v>4</v>
      </c>
    </row>
    <row r="192" spans="3:9" ht="21" x14ac:dyDescent="0.5">
      <c r="C192" s="71" t="s">
        <v>78</v>
      </c>
      <c r="D192" s="55"/>
      <c r="E192" s="55"/>
      <c r="F192" s="55"/>
      <c r="G192" s="55"/>
      <c r="H192" s="55"/>
      <c r="I192" s="55"/>
    </row>
    <row r="194" spans="1:6" x14ac:dyDescent="0.35">
      <c r="C194" s="67" t="s">
        <v>141</v>
      </c>
      <c r="D194" s="18" t="s">
        <v>76</v>
      </c>
      <c r="E194" s="59" t="s">
        <v>88</v>
      </c>
    </row>
    <row r="196" spans="1:6" x14ac:dyDescent="0.35">
      <c r="C196" s="67" t="s">
        <v>89</v>
      </c>
      <c r="D196" s="67" t="s">
        <v>90</v>
      </c>
    </row>
    <row r="197" spans="1:6" x14ac:dyDescent="0.35">
      <c r="C197" s="67" t="s">
        <v>91</v>
      </c>
      <c r="D197" t="s">
        <v>93</v>
      </c>
      <c r="E197" t="s">
        <v>95</v>
      </c>
      <c r="F197" t="s">
        <v>107</v>
      </c>
    </row>
    <row r="198" spans="1:6" x14ac:dyDescent="0.35">
      <c r="C198" s="68" t="s">
        <v>22</v>
      </c>
      <c r="D198" s="55">
        <v>1884012</v>
      </c>
      <c r="E198" s="55">
        <v>2616502</v>
      </c>
      <c r="F198" s="55">
        <v>4500514</v>
      </c>
    </row>
    <row r="199" spans="1:6" x14ac:dyDescent="0.35">
      <c r="C199" s="68" t="s">
        <v>107</v>
      </c>
      <c r="D199" s="55">
        <v>1884012</v>
      </c>
      <c r="E199" s="55">
        <v>2616502</v>
      </c>
      <c r="F199" s="55">
        <v>4500514</v>
      </c>
    </row>
    <row r="203" spans="1:6" s="21" customFormat="1" ht="18.5" x14ac:dyDescent="0.45">
      <c r="A203" s="19">
        <v>8</v>
      </c>
      <c r="B203" s="20"/>
      <c r="C203" s="21" t="s">
        <v>142</v>
      </c>
    </row>
    <row r="205" spans="1:6" x14ac:dyDescent="0.35">
      <c r="C205" s="18"/>
      <c r="D205" s="59" t="s">
        <v>143</v>
      </c>
    </row>
    <row r="207" spans="1:6" x14ac:dyDescent="0.35">
      <c r="C207" s="67" t="s">
        <v>144</v>
      </c>
      <c r="D207" s="67" t="s">
        <v>145</v>
      </c>
      <c r="E207" t="s">
        <v>89</v>
      </c>
      <c r="F207" t="s">
        <v>146</v>
      </c>
    </row>
    <row r="208" spans="1:6" x14ac:dyDescent="0.35">
      <c r="C208" t="s">
        <v>66</v>
      </c>
      <c r="D208" t="s">
        <v>95</v>
      </c>
      <c r="E208" s="55">
        <v>8000000</v>
      </c>
      <c r="F208" s="210"/>
    </row>
    <row r="209" spans="3:6" x14ac:dyDescent="0.35">
      <c r="D209" t="s">
        <v>101</v>
      </c>
      <c r="E209" s="55">
        <v>6200000</v>
      </c>
      <c r="F209" s="210"/>
    </row>
    <row r="210" spans="3:6" x14ac:dyDescent="0.35">
      <c r="D210" t="s">
        <v>104</v>
      </c>
      <c r="E210" s="55">
        <v>5552930</v>
      </c>
      <c r="F210" s="210"/>
    </row>
    <row r="211" spans="3:6" x14ac:dyDescent="0.35">
      <c r="D211" t="s">
        <v>98</v>
      </c>
      <c r="E211" s="55">
        <v>2798000</v>
      </c>
      <c r="F211" s="210"/>
    </row>
    <row r="212" spans="3:6" x14ac:dyDescent="0.35">
      <c r="D212" t="s">
        <v>103</v>
      </c>
      <c r="E212" s="55">
        <v>20392690.973559324</v>
      </c>
      <c r="F212" s="210"/>
    </row>
    <row r="213" spans="3:6" x14ac:dyDescent="0.35">
      <c r="C213" t="s">
        <v>64</v>
      </c>
      <c r="D213" t="s">
        <v>92</v>
      </c>
      <c r="E213" s="55">
        <v>500000</v>
      </c>
      <c r="F213" s="210">
        <v>0.24</v>
      </c>
    </row>
    <row r="214" spans="3:6" x14ac:dyDescent="0.35">
      <c r="D214" t="s">
        <v>93</v>
      </c>
      <c r="E214" s="55">
        <v>3740012</v>
      </c>
      <c r="F214" s="210">
        <v>0.79</v>
      </c>
    </row>
    <row r="215" spans="3:6" x14ac:dyDescent="0.35">
      <c r="D215" t="s">
        <v>94</v>
      </c>
      <c r="E215" s="55">
        <v>3458028</v>
      </c>
      <c r="F215" s="210">
        <v>0.49</v>
      </c>
    </row>
    <row r="216" spans="3:6" x14ac:dyDescent="0.35">
      <c r="D216" t="s">
        <v>95</v>
      </c>
      <c r="E216" s="55">
        <v>4086502</v>
      </c>
      <c r="F216" s="210">
        <v>0.80000000000000016</v>
      </c>
    </row>
    <row r="217" spans="3:6" x14ac:dyDescent="0.35">
      <c r="D217" t="s">
        <v>106</v>
      </c>
      <c r="E217" s="55">
        <v>1956578.606060606</v>
      </c>
      <c r="F217" s="210"/>
    </row>
    <row r="218" spans="3:6" x14ac:dyDescent="0.35">
      <c r="D218" t="s">
        <v>101</v>
      </c>
      <c r="E218" s="55">
        <v>5017098.76</v>
      </c>
      <c r="F218" s="210">
        <v>0.33</v>
      </c>
    </row>
    <row r="219" spans="3:6" x14ac:dyDescent="0.35">
      <c r="D219" t="s">
        <v>97</v>
      </c>
      <c r="E219" s="55">
        <v>1526147</v>
      </c>
      <c r="F219" s="210">
        <v>0.54</v>
      </c>
    </row>
    <row r="220" spans="3:6" x14ac:dyDescent="0.35">
      <c r="D220" t="s">
        <v>104</v>
      </c>
      <c r="E220" s="55">
        <v>5114501</v>
      </c>
      <c r="F220" s="210">
        <v>0</v>
      </c>
    </row>
    <row r="221" spans="3:6" x14ac:dyDescent="0.35">
      <c r="D221" t="s">
        <v>98</v>
      </c>
      <c r="E221" s="55">
        <v>3043000</v>
      </c>
      <c r="F221" s="210">
        <v>0.03</v>
      </c>
    </row>
    <row r="222" spans="3:6" x14ac:dyDescent="0.35">
      <c r="D222" t="s">
        <v>103</v>
      </c>
      <c r="E222" s="55">
        <v>3600000</v>
      </c>
      <c r="F222" s="210"/>
    </row>
    <row r="223" spans="3:6" x14ac:dyDescent="0.35">
      <c r="C223" t="s">
        <v>65</v>
      </c>
      <c r="D223" t="s">
        <v>93</v>
      </c>
      <c r="E223" s="55">
        <v>1144000</v>
      </c>
      <c r="F223" s="210">
        <v>0.56000000000000005</v>
      </c>
    </row>
    <row r="224" spans="3:6" x14ac:dyDescent="0.35">
      <c r="D224" t="s">
        <v>95</v>
      </c>
      <c r="E224" s="55">
        <v>4600000</v>
      </c>
      <c r="F224" s="210">
        <v>0.05</v>
      </c>
    </row>
    <row r="225" spans="4:6" x14ac:dyDescent="0.35">
      <c r="D225" t="s">
        <v>105</v>
      </c>
      <c r="E225" s="55">
        <v>1490000</v>
      </c>
      <c r="F225" s="210">
        <v>0</v>
      </c>
    </row>
    <row r="226" spans="4:6" x14ac:dyDescent="0.35">
      <c r="D226" t="s">
        <v>106</v>
      </c>
      <c r="E226" s="55">
        <v>198000</v>
      </c>
      <c r="F226" s="210"/>
    </row>
    <row r="227" spans="4:6" x14ac:dyDescent="0.35">
      <c r="D227" t="s">
        <v>104</v>
      </c>
      <c r="E227" s="55">
        <v>6809556</v>
      </c>
      <c r="F227" s="210">
        <v>0.45</v>
      </c>
    </row>
    <row r="228" spans="4:6" x14ac:dyDescent="0.35">
      <c r="D228" t="s">
        <v>103</v>
      </c>
      <c r="E228" s="55">
        <v>3600000</v>
      </c>
      <c r="F228" s="210"/>
    </row>
  </sheetData>
  <conditionalFormatting pivot="1" sqref="F208:F22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2"/>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K42"/>
  <sheetViews>
    <sheetView tabSelected="1" zoomScale="70" zoomScaleNormal="70" workbookViewId="0">
      <pane xSplit="1" topLeftCell="B1" activePane="topRight" state="frozen"/>
      <selection pane="topRight" activeCell="B9" sqref="B9"/>
    </sheetView>
  </sheetViews>
  <sheetFormatPr defaultColWidth="8.81640625" defaultRowHeight="14.5" outlineLevelCol="1" x14ac:dyDescent="0.35"/>
  <cols>
    <col min="1" max="2" width="32.1796875" customWidth="1"/>
    <col min="3" max="3" width="19.81640625" customWidth="1"/>
    <col min="4" max="4" width="16.81640625" hidden="1" customWidth="1" outlineLevel="1"/>
    <col min="5" max="5" width="20.1796875" hidden="1" customWidth="1" outlineLevel="1"/>
    <col min="6" max="6" width="14.453125" style="68" customWidth="1" collapsed="1"/>
    <col min="7" max="7" width="13.1796875" style="192" customWidth="1"/>
    <col min="8" max="8" width="33.1796875" style="180" customWidth="1"/>
    <col min="9" max="9" width="241.81640625" bestFit="1" customWidth="1"/>
    <col min="10" max="10" width="38.81640625" customWidth="1" outlineLevel="1"/>
    <col min="11" max="11" width="29.1796875" customWidth="1" outlineLevel="1"/>
    <col min="12" max="12" width="34.81640625" customWidth="1" outlineLevel="1"/>
    <col min="13" max="13" width="14.1796875" customWidth="1" outlineLevel="1"/>
    <col min="14" max="14" width="21" customWidth="1" outlineLevel="1"/>
    <col min="15" max="15" width="36.81640625" customWidth="1" outlineLevel="1"/>
    <col min="16" max="16" width="34.81640625" customWidth="1" outlineLevel="1"/>
    <col min="17" max="17" width="33.81640625" customWidth="1" outlineLevel="1"/>
    <col min="18" max="18" width="21.81640625" customWidth="1" outlineLevel="1"/>
    <col min="19" max="19" width="57.81640625" customWidth="1" outlineLevel="1"/>
    <col min="20" max="20" width="42.453125" customWidth="1" outlineLevel="1"/>
    <col min="21" max="21" width="25.81640625" customWidth="1" outlineLevel="1"/>
    <col min="22" max="24" width="33.1796875" customWidth="1" outlineLevel="1"/>
    <col min="25" max="25" width="255.81640625" bestFit="1" customWidth="1"/>
    <col min="26" max="26" width="34.26953125" customWidth="1"/>
    <col min="27" max="27" width="0.81640625" customWidth="1"/>
    <col min="28" max="28" width="25" customWidth="1"/>
    <col min="29" max="30" width="40.1796875" customWidth="1"/>
    <col min="31" max="33" width="63.453125" customWidth="1"/>
    <col min="34" max="34" width="15.81640625" customWidth="1"/>
    <col min="35" max="35" width="15.1796875" customWidth="1"/>
    <col min="36" max="36" width="2.81640625" style="31" customWidth="1"/>
  </cols>
  <sheetData>
    <row r="1" spans="1:37" x14ac:dyDescent="0.35">
      <c r="A1" s="119" t="s">
        <v>147</v>
      </c>
      <c r="B1" s="119" t="s">
        <v>592</v>
      </c>
      <c r="C1" s="3" t="s">
        <v>145</v>
      </c>
      <c r="D1" s="119" t="s">
        <v>148</v>
      </c>
      <c r="E1" s="119" t="s">
        <v>149</v>
      </c>
      <c r="F1" s="178" t="s">
        <v>150</v>
      </c>
      <c r="G1" s="189" t="s">
        <v>86</v>
      </c>
      <c r="H1" s="199" t="s">
        <v>151</v>
      </c>
      <c r="I1" s="3" t="s">
        <v>141</v>
      </c>
      <c r="J1" s="3" t="s">
        <v>152</v>
      </c>
      <c r="K1" s="3" t="s">
        <v>153</v>
      </c>
      <c r="L1" s="14" t="s">
        <v>154</v>
      </c>
      <c r="M1" s="14" t="s">
        <v>155</v>
      </c>
      <c r="N1" s="14" t="s">
        <v>156</v>
      </c>
      <c r="O1" s="14" t="s">
        <v>157</v>
      </c>
      <c r="P1" s="14" t="s">
        <v>144</v>
      </c>
      <c r="Q1" s="14" t="s">
        <v>158</v>
      </c>
      <c r="R1" s="14" t="s">
        <v>159</v>
      </c>
      <c r="S1" s="14" t="s">
        <v>160</v>
      </c>
      <c r="T1" s="14" t="s">
        <v>161</v>
      </c>
      <c r="U1" s="14" t="s">
        <v>162</v>
      </c>
      <c r="V1" s="14" t="s">
        <v>163</v>
      </c>
      <c r="W1" s="119" t="s">
        <v>164</v>
      </c>
      <c r="X1" s="119" t="s">
        <v>165</v>
      </c>
      <c r="Y1" s="120" t="s">
        <v>166</v>
      </c>
      <c r="Z1" s="119" t="s">
        <v>167</v>
      </c>
      <c r="AA1" s="119" t="s">
        <v>168</v>
      </c>
      <c r="AB1" s="119" t="s">
        <v>169</v>
      </c>
      <c r="AC1" s="119" t="s">
        <v>170</v>
      </c>
      <c r="AD1" s="119" t="s">
        <v>171</v>
      </c>
      <c r="AE1" s="119" t="s">
        <v>172</v>
      </c>
      <c r="AF1" s="119" t="s">
        <v>173</v>
      </c>
      <c r="AG1" s="119" t="s">
        <v>174</v>
      </c>
      <c r="AH1" s="60" t="s">
        <v>175</v>
      </c>
      <c r="AI1" s="60" t="s">
        <v>176</v>
      </c>
      <c r="AJ1" s="61" t="s">
        <v>28</v>
      </c>
      <c r="AK1" s="70" t="s">
        <v>177</v>
      </c>
    </row>
    <row r="2" spans="1:37" x14ac:dyDescent="0.35">
      <c r="A2" t="str">
        <f t="shared" ref="A2:A42" si="0">CONCATENATE(C2,F2,L2)</f>
        <v>AfghanistanTBD44649</v>
      </c>
      <c r="B2" t="s">
        <v>577</v>
      </c>
      <c r="C2" t="s">
        <v>102</v>
      </c>
      <c r="D2" t="str">
        <f>INDEX(Table1[#All],MATCH('Funding tracker'!$C30,Table1[[#All],[Recipient country Name]],0),MATCH('Funding tracker'!D$1,Table1[#Headers],0))</f>
        <v>Patience Musanhu</v>
      </c>
      <c r="E2" t="str">
        <f>INDEX(Table1[#All],MATCH('Funding tracker'!$C30,Table1[[#All],[Recipient country Name]],0),MATCH('Funding tracker'!E$1,Table1[#Headers],0))</f>
        <v>Abu</v>
      </c>
      <c r="F2" s="181" t="s">
        <v>208</v>
      </c>
      <c r="G2" s="192" t="s">
        <v>178</v>
      </c>
      <c r="H2" s="181" t="s">
        <v>208</v>
      </c>
      <c r="I2" t="s">
        <v>255</v>
      </c>
      <c r="K2" t="s">
        <v>186</v>
      </c>
      <c r="L2" s="2">
        <v>44649</v>
      </c>
      <c r="M2" t="s">
        <v>72</v>
      </c>
      <c r="R2" s="55" t="str">
        <f>Table2[[#This Row],[Amount tracked through this row]]</f>
        <v>TBD</v>
      </c>
      <c r="T2" s="2"/>
      <c r="W2" s="13">
        <f>MONTH(Table2[[#This Row],[Funds disbursed (Date)]])</f>
        <v>1</v>
      </c>
      <c r="X2" s="203"/>
      <c r="Y2" t="s">
        <v>256</v>
      </c>
      <c r="Z2" s="62" t="str" cm="1">
        <f t="array" aca="1" ref="Z2" ca="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f>
        <v>Pending additional details and/or formal request</v>
      </c>
      <c r="AA2" s="66">
        <f t="shared" ref="AA2:AA42" ca="1" si="1">_xlfn.DAYS(TODAY(),$N2)</f>
        <v>44785</v>
      </c>
      <c r="AB2" s="66">
        <f t="shared" ref="AB2:AB42" ca="1" si="2">_xlfn.DAYS(TODAY(),$L2)</f>
        <v>136</v>
      </c>
      <c r="AC2" s="12" t="str">
        <f ca="1">IF(Table2[[#This Row],[Lead time from formal request received to today (days)]]&lt;400,Table2[[#This Row],[Lead time from formal request received to today (days)]],"-")</f>
        <v>-</v>
      </c>
      <c r="AD2" s="12" t="str">
        <f ca="1">IF(AND(Table2[[#This Row],[Funds disbursed (Date)]]="",Table2[[#This Row],[Source of funding identified (Details)]]&lt;&gt;""),TODAY()-Table2[[#This Row],[Sources of funding identified (Date) - or standard request discussed during CoVDP Funding Alignment call]],"-")</f>
        <v>-</v>
      </c>
      <c r="AE2" s="12" t="str">
        <f>IF(V2="","-",_xlfn.DAYS(V2,N2))</f>
        <v>-</v>
      </c>
      <c r="AF2" s="12" t="str">
        <f t="shared" ref="AF2:AF42" si="3">IF(V2="","",NETWORKDAYS(N2,V2)-1)</f>
        <v/>
      </c>
      <c r="AG2" s="12" t="str">
        <f>IF(OR(V2="",Table2[[#This Row],[Source of funding identified (Details)]]&lt;&gt;Utilities!$B$6),"",NETWORKDAYS(Q2,V2)-1)</f>
        <v/>
      </c>
      <c r="AI2" t="str">
        <f>IF(Table2[[#This Row],[Column1]]=1,"NO","YES")</f>
        <v>NO</v>
      </c>
      <c r="AJ2" s="31">
        <f>COUNTIF(Table2[Request ID],Table2[[#This Row],[Request ID]])</f>
        <v>1</v>
      </c>
      <c r="AK2" s="62">
        <f ca="1">IF(Table2[[#This Row],[Status]]&lt;&gt;Overview!$C$13,Table2[[#This Row],[Lead time from informal request received to today (days)2]],"Disbursed")</f>
        <v>136</v>
      </c>
    </row>
    <row r="3" spans="1:37" ht="15.75" customHeight="1" x14ac:dyDescent="0.35">
      <c r="A3" t="str">
        <f t="shared" si="0"/>
        <v>Burkina Faso50000044515</v>
      </c>
      <c r="B3" t="s">
        <v>583</v>
      </c>
      <c r="C3" t="s">
        <v>92</v>
      </c>
      <c r="D3" t="str">
        <f>INDEX(Table1[#All],MATCH('Funding tracker'!$C22,Table1[[#All],[Recipient country Name]],0),MATCH('Funding tracker'!D$1,Table1[#Headers],0))</f>
        <v>Hamidreza Setayesh</v>
      </c>
      <c r="E3" t="str">
        <f>INDEX(Table1[#All],MATCH('Funding tracker'!$C22,Table1[[#All],[Recipient country Name]],0),MATCH('Funding tracker'!E$1,Table1[#Headers],0))</f>
        <v>William</v>
      </c>
      <c r="F3" s="179">
        <v>500000</v>
      </c>
      <c r="G3" s="190" t="s">
        <v>178</v>
      </c>
      <c r="H3" s="179">
        <v>500000</v>
      </c>
      <c r="I3" t="s">
        <v>190</v>
      </c>
      <c r="J3" t="s">
        <v>191</v>
      </c>
      <c r="L3" s="2">
        <v>44515</v>
      </c>
      <c r="M3" t="s">
        <v>71</v>
      </c>
      <c r="N3" s="2">
        <v>44558</v>
      </c>
      <c r="O3" t="s">
        <v>71</v>
      </c>
      <c r="P3" t="s">
        <v>64</v>
      </c>
      <c r="Q3" s="2">
        <v>44560</v>
      </c>
      <c r="R3" s="55">
        <f>Table2[[#This Row],[Amount tracked through this row]]</f>
        <v>500000</v>
      </c>
      <c r="S3" t="s">
        <v>71</v>
      </c>
      <c r="T3" s="147">
        <v>44924</v>
      </c>
      <c r="U3" t="s">
        <v>71</v>
      </c>
      <c r="V3" s="147">
        <v>44563</v>
      </c>
      <c r="W3" s="13">
        <f>MONTH(Table2[[#This Row],[Funds disbursed (Date)]])</f>
        <v>1</v>
      </c>
      <c r="X3" s="203">
        <v>0.24</v>
      </c>
      <c r="Z3" s="62" t="str" cm="1">
        <f t="array" aca="1" ref="Z3" ca="1">_xlfn.IFS(Table2[[#This Row],[Sources of funding identified (yes / no / Identified as not urgent)]]=Utilities!$B$14,"Out of CoVDP scope",U3="yes",Overview!$C$13,AND(Table2[[#This Row],[Lead time from sources identified to today (if not disbursed yet)]]&lt;=15,S3="yes"),Overview!$C$11,AND(Table2[[#This Row],[Lead time from sources identified to today (if not disbursed yet)]]&gt;15,S3="yes"),Overview!$C$12,O3="yes",Overview!$C$10,M3="yes",Overview!$C$9,M3="no",Overview!$C$8)</f>
        <v>Funds disbursed</v>
      </c>
      <c r="AA3" s="12">
        <f t="shared" ca="1" si="1"/>
        <v>227</v>
      </c>
      <c r="AB3" s="12">
        <f t="shared" ca="1" si="2"/>
        <v>270</v>
      </c>
      <c r="AC3" s="12">
        <f ca="1">IF(Table2[[#This Row],[Lead time from formal request received to today (days)]]&lt;400,Table2[[#This Row],[Lead time from formal request received to today (days)]],"-")</f>
        <v>227</v>
      </c>
      <c r="AD3" s="12" t="str">
        <f ca="1">IF(AND(Table2[[#This Row],[Funds disbursed (Date)]]="",Table2[[#This Row],[Source of funding identified (Details)]]&lt;&gt;""),TODAY()-Table2[[#This Row],[Sources of funding identified (Date) - or standard request discussed during CoVDP Funding Alignment call]],"-")</f>
        <v>-</v>
      </c>
      <c r="AE3" s="12">
        <f>IF(V3="","-",_xlfn.DAYS(V3,N3))</f>
        <v>5</v>
      </c>
      <c r="AF3" s="12">
        <f t="shared" si="3"/>
        <v>3</v>
      </c>
      <c r="AG3" s="12" t="str">
        <f>IF(OR(V3="",Table2[[#This Row],[Source of funding identified (Details)]]&lt;&gt;Utilities!$B$6),"",NETWORKDAYS(Q3,V3)-1)</f>
        <v/>
      </c>
      <c r="AI3" t="str">
        <f>IF(Table2[[#This Row],[Column1]]=1,"NO","YES")</f>
        <v>NO</v>
      </c>
      <c r="AJ3" s="31">
        <f>COUNTIF(Table2[Request ID],Table2[[#This Row],[Request ID]])</f>
        <v>1</v>
      </c>
      <c r="AK3" s="62" t="str">
        <f ca="1">IF(Table2[[#This Row],[Status]]&lt;&gt;Overview!$C$13,Table2[[#This Row],[Lead time from informal request received to today (days)2]],"Disbursed")</f>
        <v>Disbursed</v>
      </c>
    </row>
    <row r="4" spans="1:37" ht="15.75" customHeight="1" x14ac:dyDescent="0.35">
      <c r="A4" t="str">
        <f t="shared" si="0"/>
        <v>Chad539093844725</v>
      </c>
      <c r="B4" t="s">
        <v>584</v>
      </c>
      <c r="C4" t="s">
        <v>93</v>
      </c>
      <c r="D4" t="str">
        <f>INDEX(Table1[#All],MATCH('Funding tracker'!$C7,Table1[[#All],[Recipient country Name]],0),MATCH('Funding tracker'!D$1,Table1[#Headers],0))</f>
        <v>Thierry Vincent</v>
      </c>
      <c r="E4" t="str">
        <f>INDEX(Table1[#All],MATCH('Funding tracker'!$C7,Table1[[#All],[Recipient country Name]],0),MATCH('Funding tracker'!E$1,Table1[#Headers],0))</f>
        <v>Simon</v>
      </c>
      <c r="F4" s="180">
        <v>5390938</v>
      </c>
      <c r="G4" s="190" t="s">
        <v>178</v>
      </c>
      <c r="H4" s="179">
        <v>0</v>
      </c>
      <c r="I4" t="s">
        <v>192</v>
      </c>
      <c r="J4" s="8" t="s">
        <v>193</v>
      </c>
      <c r="K4" t="s">
        <v>148</v>
      </c>
      <c r="L4" s="2">
        <v>44725</v>
      </c>
      <c r="M4" t="s">
        <v>72</v>
      </c>
      <c r="N4" s="2"/>
      <c r="O4" t="s">
        <v>72</v>
      </c>
      <c r="Q4" s="2"/>
      <c r="R4" s="55">
        <f>Table2[[#This Row],[Amount tracked through this row]]</f>
        <v>0</v>
      </c>
      <c r="S4" t="s">
        <v>72</v>
      </c>
      <c r="T4" s="147"/>
      <c r="U4" t="s">
        <v>72</v>
      </c>
      <c r="V4" s="147"/>
      <c r="W4" s="13">
        <f>MONTH(Table2[[#This Row],[Funds disbursed (Date)]])</f>
        <v>1</v>
      </c>
      <c r="X4" s="203"/>
      <c r="Y4" t="s">
        <v>194</v>
      </c>
      <c r="Z4" s="62" t="str" cm="1">
        <f t="array" aca="1" ref="Z4" ca="1">_xlfn.IFS(Table2[[#This Row],[Sources of funding identified (yes / no / Identified as not urgent)]]=Utilities!$B$14,"Out of CoVDP scope",U4="yes",Overview!$C$13,AND(Table2[[#This Row],[Lead time from sources identified to today (if not disbursed yet)]]&lt;15,S4="yes"),Overview!$C$11,AND(Table2[[#This Row],[Lead time from sources identified to today (if not disbursed yet)]]&gt;15,S4="yes"),Overview!$C$12,O4="yes",Overview!$C$10,M4="yes",Overview!$C$9,M4="no",Overview!$C$8)</f>
        <v>Pending additional details and/or formal request</v>
      </c>
      <c r="AA4" s="66">
        <f t="shared" ca="1" si="1"/>
        <v>44785</v>
      </c>
      <c r="AB4" s="66">
        <f t="shared" ca="1" si="2"/>
        <v>60</v>
      </c>
      <c r="AC4" s="12" t="str">
        <f ca="1">IF(Table2[[#This Row],[Lead time from formal request received to today (days)]]&lt;400,Table2[[#This Row],[Lead time from formal request received to today (days)]],"-")</f>
        <v>-</v>
      </c>
      <c r="AD4" s="12" t="str">
        <f ca="1">IF(AND(Table2[[#This Row],[Funds disbursed (Date)]]="",Table2[[#This Row],[Source of funding identified (Details)]]&lt;&gt;""),TODAY()-Table2[[#This Row],[Sources of funding identified (Date) - or standard request discussed during CoVDP Funding Alignment call]],"-")</f>
        <v>-</v>
      </c>
      <c r="AE4" s="12"/>
      <c r="AF4" s="12" t="str">
        <f t="shared" si="3"/>
        <v/>
      </c>
      <c r="AG4" s="12" t="str">
        <f>IF(OR(V4="",Table2[[#This Row],[Source of funding identified (Details)]]&lt;&gt;Utilities!$B$6),"",NETWORKDAYS(Q4,V4)-1)</f>
        <v/>
      </c>
      <c r="AI4" t="str">
        <f>IF(Table2[[#This Row],[Column1]]=1,"NO","YES")</f>
        <v>NO</v>
      </c>
      <c r="AJ4" s="31">
        <f>COUNTIF(Table2[Request ID],Table2[[#This Row],[Request ID]])</f>
        <v>1</v>
      </c>
      <c r="AK4" s="62">
        <f ca="1">IF(Table2[[#This Row],[Status]]&lt;&gt;Overview!$C$13,Table2[[#This Row],[Lead time from informal request received to today (days)2]],"Disbursed")</f>
        <v>60</v>
      </c>
    </row>
    <row r="5" spans="1:37" x14ac:dyDescent="0.35">
      <c r="A5" t="str">
        <f t="shared" si="0"/>
        <v>Chad804861444613</v>
      </c>
      <c r="B5" t="s">
        <v>584</v>
      </c>
      <c r="C5" t="s">
        <v>93</v>
      </c>
      <c r="D5" t="str">
        <f>INDEX(Table1[#All],MATCH('Funding tracker'!$C9,Table1[[#All],[Recipient country Name]],0),MATCH('Funding tracker'!D$1,Table1[#Headers],0))</f>
        <v>Cyril Nogier</v>
      </c>
      <c r="E5" t="str">
        <f>INDEX(Table1[#All],MATCH('Funding tracker'!$C9,Table1[[#All],[Recipient country Name]],0),MATCH('Funding tracker'!E$1,Table1[#Headers],0))</f>
        <v>Adelaide</v>
      </c>
      <c r="F5" s="180">
        <v>8048614</v>
      </c>
      <c r="G5" s="190" t="s">
        <v>178</v>
      </c>
      <c r="H5" s="180">
        <v>3000000</v>
      </c>
      <c r="I5" t="s">
        <v>195</v>
      </c>
      <c r="J5" t="s">
        <v>196</v>
      </c>
      <c r="K5" t="s">
        <v>197</v>
      </c>
      <c r="L5" s="2">
        <v>44613</v>
      </c>
      <c r="M5" t="s">
        <v>71</v>
      </c>
      <c r="N5" s="2">
        <v>44627</v>
      </c>
      <c r="O5" t="s">
        <v>71</v>
      </c>
      <c r="P5" t="s">
        <v>64</v>
      </c>
      <c r="Q5" s="2">
        <v>44628</v>
      </c>
      <c r="R5" s="55">
        <f>Table2[[#This Row],[Amount tracked through this row]]</f>
        <v>3000000</v>
      </c>
      <c r="S5" t="s">
        <v>71</v>
      </c>
      <c r="T5" s="147">
        <v>44631</v>
      </c>
      <c r="U5" t="s">
        <v>71</v>
      </c>
      <c r="V5" s="147">
        <v>44635</v>
      </c>
      <c r="W5" s="13">
        <f>MONTH(Table2[[#This Row],[Funds disbursed (Date)]])</f>
        <v>3</v>
      </c>
      <c r="X5" s="203">
        <v>0.79</v>
      </c>
      <c r="Y5" t="s">
        <v>198</v>
      </c>
      <c r="Z5" s="62" t="str" cm="1">
        <f t="array" aca="1" ref="Z5" ca="1">_xlfn.IFS(Table2[[#This Row],[Sources of funding identified (yes / no / Identified as not urgent)]]=Utilities!$B$14,"Out of CoVDP scope",U5="yes",Overview!$C$13,AND(Table2[[#This Row],[Lead time from sources identified to today (if not disbursed yet)]]&lt;=15,S5="yes"),Overview!$C$11,AND(Table2[[#This Row],[Lead time from sources identified to today (if not disbursed yet)]]&gt;15,S5="yes"),Overview!$C$12,O5="yes",Overview!$C$10,M5="yes",Overview!$C$9,M5="no",Overview!$C$8)</f>
        <v>Funds disbursed</v>
      </c>
      <c r="AA5" s="12">
        <f t="shared" ca="1" si="1"/>
        <v>158</v>
      </c>
      <c r="AB5" s="12">
        <f t="shared" ca="1" si="2"/>
        <v>172</v>
      </c>
      <c r="AC5" s="12">
        <f ca="1">IF(Table2[[#This Row],[Lead time from formal request received to today (days)]]&lt;400,Table2[[#This Row],[Lead time from formal request received to today (days)]],"-")</f>
        <v>158</v>
      </c>
      <c r="AD5" s="12" t="str">
        <f ca="1">IF(AND(Table2[[#This Row],[Funds disbursed (Date)]]="",Table2[[#This Row],[Source of funding identified (Details)]]&lt;&gt;""),TODAY()-Table2[[#This Row],[Sources of funding identified (Date) - or standard request discussed during CoVDP Funding Alignment call]],"-")</f>
        <v>-</v>
      </c>
      <c r="AE5" s="12">
        <f>IF(V5="","-",_xlfn.DAYS(V5,N5))</f>
        <v>8</v>
      </c>
      <c r="AF5" s="12">
        <f t="shared" si="3"/>
        <v>6</v>
      </c>
      <c r="AG5" s="12" t="str">
        <f>IF(OR(V5="",Table2[[#This Row],[Source of funding identified (Details)]]&lt;&gt;Utilities!$B$6),"",NETWORKDAYS(Q5,V5)-1)</f>
        <v/>
      </c>
      <c r="AI5" t="str">
        <f>IF(Table2[[#This Row],[Column1]]=1,"NO","YES")</f>
        <v>YES</v>
      </c>
      <c r="AJ5" s="31">
        <f>COUNTIF(Table2[Request ID],Table2[[#This Row],[Request ID]])</f>
        <v>3</v>
      </c>
      <c r="AK5" s="62" t="str">
        <f ca="1">IF(Table2[[#This Row],[Status]]&lt;&gt;Overview!$C$13,Table2[[#This Row],[Lead time from informal request received to today (days)2]],"Disbursed")</f>
        <v>Disbursed</v>
      </c>
    </row>
    <row r="6" spans="1:37" x14ac:dyDescent="0.35">
      <c r="A6" t="str">
        <f t="shared" si="0"/>
        <v>Chad804861444613</v>
      </c>
      <c r="B6" t="s">
        <v>584</v>
      </c>
      <c r="C6" t="s">
        <v>93</v>
      </c>
      <c r="D6" t="str">
        <f>INDEX(Table1[#All],MATCH('Funding tracker'!$C10,Table1[[#All],[Recipient country Name]],0),MATCH('Funding tracker'!D$1,Table1[#Headers],0))</f>
        <v>Tito Rwamushaija</v>
      </c>
      <c r="E6" t="str">
        <f>INDEX(Table1[#All],MATCH('Funding tracker'!$C10,Table1[[#All],[Recipient country Name]],0),MATCH('Funding tracker'!E$1,Table1[#Headers],0))</f>
        <v>William</v>
      </c>
      <c r="F6" s="180">
        <v>8048614</v>
      </c>
      <c r="G6" s="190" t="s">
        <v>178</v>
      </c>
      <c r="H6" s="180">
        <v>740012</v>
      </c>
      <c r="I6" t="s">
        <v>76</v>
      </c>
      <c r="J6" t="s">
        <v>196</v>
      </c>
      <c r="K6" t="s">
        <v>148</v>
      </c>
      <c r="L6" s="2">
        <v>44613</v>
      </c>
      <c r="M6" t="s">
        <v>71</v>
      </c>
      <c r="N6" s="2">
        <v>44627</v>
      </c>
      <c r="O6" t="s">
        <v>71</v>
      </c>
      <c r="P6" t="s">
        <v>64</v>
      </c>
      <c r="Q6" s="2">
        <v>44628</v>
      </c>
      <c r="R6" s="55">
        <f>Table2[[#This Row],[Amount tracked through this row]]</f>
        <v>740012</v>
      </c>
      <c r="S6" t="s">
        <v>71</v>
      </c>
      <c r="T6" s="2">
        <v>44641</v>
      </c>
      <c r="U6" t="s">
        <v>71</v>
      </c>
      <c r="V6" s="2">
        <v>44638</v>
      </c>
      <c r="W6" s="13">
        <f>MONTH(Table2[[#This Row],[Funds disbursed (Date)]])</f>
        <v>3</v>
      </c>
      <c r="X6" s="203">
        <v>0.79</v>
      </c>
      <c r="Y6" s="15"/>
      <c r="Z6" s="62" t="str" cm="1">
        <f t="array" aca="1" ref="Z6" ca="1">_xlfn.IFS(Table2[[#This Row],[Sources of funding identified (yes / no / Identified as not urgent)]]=Utilities!$B$14,"Out of CoVDP scope",U6="yes",Overview!$C$13,AND(Table2[[#This Row],[Lead time from sources identified to today (if not disbursed yet)]]&lt;=15,S6="yes"),Overview!$C$11,AND(Table2[[#This Row],[Lead time from sources identified to today (if not disbursed yet)]]&gt;15,S6="yes"),Overview!$C$12,O6="yes",Overview!$C$10,M6="yes",Overview!$C$9,M6="no",Overview!$C$8)</f>
        <v>Funds disbursed</v>
      </c>
      <c r="AA6" s="12">
        <f t="shared" ca="1" si="1"/>
        <v>158</v>
      </c>
      <c r="AB6" s="12">
        <f t="shared" ca="1" si="2"/>
        <v>172</v>
      </c>
      <c r="AC6" s="12">
        <f ca="1">IF(Table2[[#This Row],[Lead time from formal request received to today (days)]]&lt;400,Table2[[#This Row],[Lead time from formal request received to today (days)]],"-")</f>
        <v>158</v>
      </c>
      <c r="AD6" s="12" t="str">
        <f ca="1">IF(AND(Table2[[#This Row],[Funds disbursed (Date)]]="",Table2[[#This Row],[Source of funding identified (Details)]]&lt;&gt;""),TODAY()-Table2[[#This Row],[Sources of funding identified (Date) - or standard request discussed during CoVDP Funding Alignment call]],"-")</f>
        <v>-</v>
      </c>
      <c r="AE6" s="12">
        <f>IF(V6="","-",_xlfn.DAYS(V6,N6))</f>
        <v>11</v>
      </c>
      <c r="AF6" s="12">
        <f t="shared" si="3"/>
        <v>9</v>
      </c>
      <c r="AG6" s="12" t="str">
        <f>IF(OR(V6="",Table2[[#This Row],[Source of funding identified (Details)]]&lt;&gt;Utilities!$B$6),"",NETWORKDAYS(Q6,V6)-1)</f>
        <v/>
      </c>
      <c r="AH6" t="s">
        <v>199</v>
      </c>
      <c r="AI6" t="str">
        <f>IF(Table2[[#This Row],[Column1]]=1,"NO","YES")</f>
        <v>YES</v>
      </c>
      <c r="AJ6" s="31">
        <f>COUNTIF(Table2[Request ID],Table2[[#This Row],[Request ID]])</f>
        <v>3</v>
      </c>
      <c r="AK6" s="62" t="str">
        <f ca="1">IF(Table2[[#This Row],[Status]]&lt;&gt;Overview!$C$13,Table2[[#This Row],[Lead time from informal request received to today (days)2]],"Disbursed")</f>
        <v>Disbursed</v>
      </c>
    </row>
    <row r="7" spans="1:37" x14ac:dyDescent="0.35">
      <c r="A7" t="str">
        <f t="shared" si="0"/>
        <v>Chad804861444613</v>
      </c>
      <c r="B7" t="s">
        <v>584</v>
      </c>
      <c r="C7" t="s">
        <v>93</v>
      </c>
      <c r="D7" t="str">
        <f>INDEX(Table1[#All],MATCH('Funding tracker'!$C12,Table1[[#All],[Recipient country Name]],0),MATCH('Funding tracker'!D$1,Table1[#Headers],0))</f>
        <v>Tito Rwamushaija</v>
      </c>
      <c r="E7" t="str">
        <f>INDEX(Table1[#All],MATCH('Funding tracker'!$C12,Table1[[#All],[Recipient country Name]],0),MATCH('Funding tracker'!E$1,Table1[#Headers],0))</f>
        <v>William</v>
      </c>
      <c r="F7" s="180">
        <v>8048614</v>
      </c>
      <c r="G7" s="190" t="s">
        <v>178</v>
      </c>
      <c r="H7" s="180">
        <v>1144000</v>
      </c>
      <c r="I7" t="s">
        <v>76</v>
      </c>
      <c r="J7" t="s">
        <v>196</v>
      </c>
      <c r="K7" t="s">
        <v>148</v>
      </c>
      <c r="L7" s="2">
        <v>44613</v>
      </c>
      <c r="M7" t="s">
        <v>71</v>
      </c>
      <c r="N7" s="2">
        <v>44627</v>
      </c>
      <c r="O7" t="s">
        <v>71</v>
      </c>
      <c r="P7" t="s">
        <v>65</v>
      </c>
      <c r="Q7" s="2">
        <v>44628</v>
      </c>
      <c r="R7" s="55">
        <f>Table2[[#This Row],[Amount tracked through this row]]</f>
        <v>1144000</v>
      </c>
      <c r="S7" t="s">
        <v>71</v>
      </c>
      <c r="T7" s="147">
        <v>44631</v>
      </c>
      <c r="U7" t="s">
        <v>71</v>
      </c>
      <c r="V7" s="2">
        <v>44629</v>
      </c>
      <c r="W7" s="13">
        <f>MONTH(Table2[[#This Row],[Funds disbursed (Date)]])</f>
        <v>3</v>
      </c>
      <c r="X7" s="203">
        <v>0.56000000000000005</v>
      </c>
      <c r="Y7" s="15" t="s">
        <v>206</v>
      </c>
      <c r="Z7" s="62" t="str" cm="1">
        <f t="array" aca="1" ref="Z7" ca="1">_xlfn.IFS(Table2[[#This Row],[Sources of funding identified (yes / no / Identified as not urgent)]]=Utilities!$B$14,"Out of CoVDP scope",U7="yes",Overview!$C$13,AND(Table2[[#This Row],[Lead time from sources identified to today (if not disbursed yet)]]&lt;=15,S7="yes"),Overview!$C$11,AND(Table2[[#This Row],[Lead time from sources identified to today (if not disbursed yet)]]&gt;15,S7="yes"),Overview!$C$12,O7="yes",Overview!$C$10,M7="yes",Overview!$C$9,M7="no",Overview!$C$8)</f>
        <v>Funds disbursed</v>
      </c>
      <c r="AA7" s="12">
        <f t="shared" ca="1" si="1"/>
        <v>158</v>
      </c>
      <c r="AB7" s="12">
        <f t="shared" ca="1" si="2"/>
        <v>172</v>
      </c>
      <c r="AC7" s="12">
        <f ca="1">IF(Table2[[#This Row],[Lead time from formal request received to today (days)]]&lt;400,Table2[[#This Row],[Lead time from formal request received to today (days)]],"-")</f>
        <v>158</v>
      </c>
      <c r="AD7" s="12" t="str">
        <f ca="1">IF(AND(Table2[[#This Row],[Funds disbursed (Date)]]="",Table2[[#This Row],[Source of funding identified (Details)]]&lt;&gt;""),TODAY()-Table2[[#This Row],[Sources of funding identified (Date) - or standard request discussed during CoVDP Funding Alignment call]],"-")</f>
        <v>-</v>
      </c>
      <c r="AE7" s="12">
        <f>IF(V7="","-",_xlfn.DAYS(V7,N7))</f>
        <v>2</v>
      </c>
      <c r="AF7" s="12">
        <f t="shared" si="3"/>
        <v>2</v>
      </c>
      <c r="AG7" s="12" t="str">
        <f>IF(OR(V7="",Table2[[#This Row],[Source of funding identified (Details)]]&lt;&gt;Utilities!$B$6),"",NETWORKDAYS(Q7,V7)-1)</f>
        <v/>
      </c>
      <c r="AH7" t="s">
        <v>207</v>
      </c>
      <c r="AI7" t="str">
        <f>IF(Table2[[#This Row],[Column1]]=1,"NO","YES")</f>
        <v>YES</v>
      </c>
      <c r="AJ7" s="31">
        <f>COUNTIF(Table2[Request ID],Table2[[#This Row],[Request ID]])</f>
        <v>3</v>
      </c>
      <c r="AK7" s="62" t="str">
        <f ca="1">IF(Table2[[#This Row],[Status]]&lt;&gt;Overview!$C$13,Table2[[#This Row],[Lead time from informal request received to today (days)2]],"Disbursed")</f>
        <v>Disbursed</v>
      </c>
    </row>
    <row r="8" spans="1:37" x14ac:dyDescent="0.35">
      <c r="A8" t="str">
        <f t="shared" si="0"/>
        <v>DRC345802844600</v>
      </c>
      <c r="B8" t="s">
        <v>585</v>
      </c>
      <c r="C8" t="s">
        <v>94</v>
      </c>
      <c r="D8" t="str">
        <f>INDEX(Table1[#All],MATCH('Funding tracker'!$C8,Table1[[#All],[Recipient country Name]],0),MATCH('Funding tracker'!D$1,Table1[#Headers],0))</f>
        <v>Cyril Nogier</v>
      </c>
      <c r="E8" t="str">
        <f>INDEX(Table1[#All],MATCH('Funding tracker'!$C8,Table1[[#All],[Recipient country Name]],0),MATCH('Funding tracker'!E$1,Table1[#Headers],0))</f>
        <v>Adelaide</v>
      </c>
      <c r="F8" s="180">
        <v>3458028</v>
      </c>
      <c r="G8" s="190" t="s">
        <v>178</v>
      </c>
      <c r="H8" s="180">
        <v>3458028</v>
      </c>
      <c r="I8" t="s">
        <v>200</v>
      </c>
      <c r="J8" t="s">
        <v>201</v>
      </c>
      <c r="K8" t="s">
        <v>186</v>
      </c>
      <c r="L8" s="2">
        <v>44600</v>
      </c>
      <c r="M8" t="s">
        <v>71</v>
      </c>
      <c r="N8" s="2">
        <v>44610</v>
      </c>
      <c r="O8" t="s">
        <v>71</v>
      </c>
      <c r="P8" t="s">
        <v>64</v>
      </c>
      <c r="Q8" s="2">
        <v>44614</v>
      </c>
      <c r="R8" s="55">
        <f>Table2[[#This Row],[Amount tracked through this row]]</f>
        <v>3458028</v>
      </c>
      <c r="S8" t="s">
        <v>71</v>
      </c>
      <c r="T8" s="2">
        <v>44614</v>
      </c>
      <c r="U8" t="s">
        <v>71</v>
      </c>
      <c r="V8" s="2">
        <v>44620</v>
      </c>
      <c r="W8" s="13">
        <f>MONTH(Table2[[#This Row],[Funds disbursed (Date)]])</f>
        <v>2</v>
      </c>
      <c r="X8" s="203">
        <v>0.49</v>
      </c>
      <c r="Y8" t="s">
        <v>202</v>
      </c>
      <c r="Z8" s="62" t="str" cm="1">
        <f t="array" aca="1" ref="Z8" ca="1">_xlfn.IFS(Table2[[#This Row],[Sources of funding identified (yes / no / Identified as not urgent)]]=Utilities!$B$14,"Out of CoVDP scope",U8="yes",Overview!$C$13,AND(Table2[[#This Row],[Lead time from sources identified to today (if not disbursed yet)]]&lt;=15,S8="yes"),Overview!$C$11,AND(Table2[[#This Row],[Lead time from sources identified to today (if not disbursed yet)]]&gt;15,S8="yes"),Overview!$C$12,O8="yes",Overview!$C$10,M8="yes",Overview!$C$9,M8="no",Overview!$C$8)</f>
        <v>Funds disbursed</v>
      </c>
      <c r="AA8" s="12">
        <f t="shared" ca="1" si="1"/>
        <v>175</v>
      </c>
      <c r="AB8" s="12">
        <f t="shared" ca="1" si="2"/>
        <v>185</v>
      </c>
      <c r="AC8" s="12">
        <f ca="1">IF(Table2[[#This Row],[Lead time from formal request received to today (days)]]&lt;400,Table2[[#This Row],[Lead time from formal request received to today (days)]],"-")</f>
        <v>175</v>
      </c>
      <c r="AD8" s="12" t="str">
        <f ca="1">IF(AND(Table2[[#This Row],[Funds disbursed (Date)]]="",Table2[[#This Row],[Source of funding identified (Details)]]&lt;&gt;""),TODAY()-Table2[[#This Row],[Sources of funding identified (Date) - or standard request discussed during CoVDP Funding Alignment call]],"-")</f>
        <v>-</v>
      </c>
      <c r="AE8" s="12">
        <f>IF(V8="","-",_xlfn.DAYS(V8,N8))</f>
        <v>10</v>
      </c>
      <c r="AF8" s="12">
        <f t="shared" si="3"/>
        <v>6</v>
      </c>
      <c r="AG8" s="12" t="str">
        <f>IF(OR(V8="",Table2[[#This Row],[Source of funding identified (Details)]]&lt;&gt;Utilities!$B$6),"",NETWORKDAYS(Q8,V8)-1)</f>
        <v/>
      </c>
      <c r="AI8" t="str">
        <f>IF(Table2[[#This Row],[Column1]]=1,"NO","YES")</f>
        <v>NO</v>
      </c>
      <c r="AJ8" s="31">
        <f>COUNTIF(Table2[Request ID],Table2[[#This Row],[Request ID]])</f>
        <v>1</v>
      </c>
      <c r="AK8" s="62" t="str">
        <f ca="1">IF(Table2[[#This Row],[Status]]&lt;&gt;Overview!$C$13,Table2[[#This Row],[Lead time from informal request received to today (days)2]],"Disbursed")</f>
        <v>Disbursed</v>
      </c>
    </row>
    <row r="9" spans="1:37" x14ac:dyDescent="0.35">
      <c r="A9" t="str">
        <f t="shared" si="0"/>
        <v>DRC300000044721</v>
      </c>
      <c r="B9" t="s">
        <v>585</v>
      </c>
      <c r="C9" t="s">
        <v>94</v>
      </c>
      <c r="D9" t="str">
        <f>INDEX(Table1[#All],MATCH('Funding tracker'!$C11,Table1[[#All],[Recipient country Name]],0),MATCH('Funding tracker'!D$1,Table1[#Headers],0))</f>
        <v>Tito Rwamushaija</v>
      </c>
      <c r="E9" t="str">
        <f>INDEX(Table1[#All],MATCH('Funding tracker'!$C11,Table1[[#All],[Recipient country Name]],0),MATCH('Funding tracker'!E$1,Table1[#Headers],0))</f>
        <v>William</v>
      </c>
      <c r="F9" s="180">
        <v>3000000</v>
      </c>
      <c r="G9" s="190" t="s">
        <v>178</v>
      </c>
      <c r="H9" s="180">
        <v>3000000</v>
      </c>
      <c r="I9" t="s">
        <v>203</v>
      </c>
      <c r="J9" s="8" t="s">
        <v>204</v>
      </c>
      <c r="K9" t="s">
        <v>186</v>
      </c>
      <c r="L9" s="2">
        <v>44721</v>
      </c>
      <c r="M9" t="s">
        <v>72</v>
      </c>
      <c r="N9" s="2"/>
      <c r="O9" t="s">
        <v>72</v>
      </c>
      <c r="Q9" s="2"/>
      <c r="R9" s="55">
        <f>Table2[[#This Row],[Amount tracked through this row]]</f>
        <v>3000000</v>
      </c>
      <c r="S9" t="s">
        <v>72</v>
      </c>
      <c r="T9" s="2"/>
      <c r="U9" t="s">
        <v>72</v>
      </c>
      <c r="V9" s="2"/>
      <c r="W9" s="13">
        <f>MONTH(Table2[[#This Row],[Funds disbursed (Date)]])</f>
        <v>1</v>
      </c>
      <c r="X9" s="203"/>
      <c r="Y9" t="s">
        <v>205</v>
      </c>
      <c r="Z9" s="62" t="str" cm="1">
        <f t="array" aca="1" ref="Z9" ca="1">_xlfn.IFS(Table2[[#This Row],[Sources of funding identified (yes / no / Identified as not urgent)]]=Utilities!$B$14,"Out of CoVDP scope",U9="yes",Overview!$C$13,AND(Table2[[#This Row],[Lead time from sources identified to today (if not disbursed yet)]]&lt;15,S9="yes"),Overview!$C$11,AND(Table2[[#This Row],[Lead time from sources identified to today (if not disbursed yet)]]&gt;15,S9="yes"),Overview!$C$12,O9="yes",Overview!$C$10,M9="yes",Overview!$C$9,M9="no",Overview!$C$8)</f>
        <v>Pending additional details and/or formal request</v>
      </c>
      <c r="AA9" s="66">
        <f t="shared" ca="1" si="1"/>
        <v>44785</v>
      </c>
      <c r="AB9" s="66">
        <f t="shared" ca="1" si="2"/>
        <v>64</v>
      </c>
      <c r="AC9" s="12" t="str">
        <f ca="1">IF(Table2[[#This Row],[Lead time from formal request received to today (days)]]&lt;400,Table2[[#This Row],[Lead time from formal request received to today (days)]],"-")</f>
        <v>-</v>
      </c>
      <c r="AD9" s="12" t="str">
        <f ca="1">IF(AND(Table2[[#This Row],[Funds disbursed (Date)]]="",Table2[[#This Row],[Source of funding identified (Details)]]&lt;&gt;""),TODAY()-Table2[[#This Row],[Sources of funding identified (Date) - or standard request discussed during CoVDP Funding Alignment call]],"-")</f>
        <v>-</v>
      </c>
      <c r="AE9" s="12"/>
      <c r="AF9" s="12" t="str">
        <f t="shared" si="3"/>
        <v/>
      </c>
      <c r="AG9" s="12" t="str">
        <f>IF(OR(V9="",Table2[[#This Row],[Source of funding identified (Details)]]&lt;&gt;Utilities!$B$6),"",NETWORKDAYS(Q9,V9)-1)</f>
        <v/>
      </c>
      <c r="AI9" t="str">
        <f>IF(Table2[[#This Row],[Column1]]=1,"NO","YES")</f>
        <v>NO</v>
      </c>
      <c r="AJ9" s="31">
        <f>COUNTIF(Table2[Request ID],Table2[[#This Row],[Request ID]])</f>
        <v>1</v>
      </c>
      <c r="AK9" s="62">
        <f ca="1">IF(Table2[[#This Row],[Status]]&lt;&gt;Overview!$C$13,Table2[[#This Row],[Lead time from informal request received to today (days)2]],"Disbursed")</f>
        <v>64</v>
      </c>
    </row>
    <row r="10" spans="1:37" x14ac:dyDescent="0.35">
      <c r="A10" t="str">
        <f t="shared" si="0"/>
        <v>Ethiopia440000044677</v>
      </c>
      <c r="B10" t="s">
        <v>578</v>
      </c>
      <c r="C10" t="s">
        <v>95</v>
      </c>
      <c r="D10" t="str">
        <f>INDEX(Table1[#All],MATCH('Funding tracker'!$C2,Table1[[#All],[Recipient country Name]],0),MATCH('Funding tracker'!D$1,Table1[#Headers],0))</f>
        <v>Veronique Maeva Fages</v>
      </c>
      <c r="E10" t="str">
        <f>INDEX(Table1[#All],MATCH('Funding tracker'!$C2,Table1[[#All],[Recipient country Name]],0),MATCH('Funding tracker'!E$1,Table1[#Headers],0))</f>
        <v>Imran</v>
      </c>
      <c r="F10" s="179">
        <v>4400000</v>
      </c>
      <c r="G10" s="190" t="s">
        <v>178</v>
      </c>
      <c r="H10" s="179">
        <v>2200000</v>
      </c>
      <c r="I10" t="s">
        <v>179</v>
      </c>
      <c r="J10" t="s">
        <v>180</v>
      </c>
      <c r="K10" t="s">
        <v>148</v>
      </c>
      <c r="L10" s="2">
        <v>44677</v>
      </c>
      <c r="M10" t="s">
        <v>71</v>
      </c>
      <c r="N10" s="2">
        <v>44677</v>
      </c>
      <c r="O10" s="147" t="s">
        <v>71</v>
      </c>
      <c r="P10" s="147" t="s">
        <v>65</v>
      </c>
      <c r="Q10" s="2">
        <v>44677</v>
      </c>
      <c r="R10" s="55">
        <f>Table2[[#This Row],[Amount tracked through this row]]</f>
        <v>2200000</v>
      </c>
      <c r="S10" t="s">
        <v>71</v>
      </c>
      <c r="T10" s="2">
        <v>44678</v>
      </c>
      <c r="U10" t="s">
        <v>71</v>
      </c>
      <c r="V10" s="2">
        <v>44680</v>
      </c>
      <c r="W10" s="13">
        <f>MONTH(Table2[[#This Row],[Funds disbursed (Date)]])</f>
        <v>4</v>
      </c>
      <c r="X10" s="203">
        <v>0.05</v>
      </c>
      <c r="Y10" s="15" t="s">
        <v>181</v>
      </c>
      <c r="Z10" s="62" t="str" cm="1">
        <f t="array" aca="1" ref="Z10" ca="1">_xlfn.IFS(Table2[[#This Row],[Sources of funding identified (yes / no / Identified as not urgent)]]=Utilities!$B$14,"Out of CoVDP scope",U10="yes",Overview!$C$13,AND(Table2[[#This Row],[Lead time from sources identified to today (if not disbursed yet)]]&lt;=15,S10="yes"),Overview!$C$11,AND(Table2[[#This Row],[Lead time from sources identified to today (if not disbursed yet)]]&gt;15,S10="yes"),Overview!$C$12,O10="yes",Overview!$C$10,M10="yes",Overview!$C$9,M10="no",Overview!$C$8)</f>
        <v>Funds disbursed</v>
      </c>
      <c r="AA10" s="12">
        <f t="shared" ca="1" si="1"/>
        <v>108</v>
      </c>
      <c r="AB10" s="12">
        <f t="shared" ca="1" si="2"/>
        <v>108</v>
      </c>
      <c r="AC10" s="12">
        <f ca="1">IF(Table2[[#This Row],[Lead time from formal request received to today (days)]]&lt;400,Table2[[#This Row],[Lead time from formal request received to today (days)]],"-")</f>
        <v>108</v>
      </c>
      <c r="AD10" s="12" t="str">
        <f ca="1">IF(AND(Table2[[#This Row],[Funds disbursed (Date)]]="",Table2[[#This Row],[Source of funding identified (Details)]]&lt;&gt;""),TODAY()-Table2[[#This Row],[Sources of funding identified (Date) - or standard request discussed during CoVDP Funding Alignment call]],"-")</f>
        <v>-</v>
      </c>
      <c r="AE10" s="12">
        <f>IF(V10="","",_xlfn.DAYS(V10,N10))</f>
        <v>3</v>
      </c>
      <c r="AF10" s="12">
        <f t="shared" si="3"/>
        <v>3</v>
      </c>
      <c r="AG10" s="12" t="str">
        <f>IF(OR(V10="",Table2[[#This Row],[Source of funding identified (Details)]]&lt;&gt;Utilities!$B$6),"",NETWORKDAYS(Q10,V10)-1)</f>
        <v/>
      </c>
      <c r="AI10" t="str">
        <f>IF(Table2[[#This Row],[Column1]]=1,"NO","YES")</f>
        <v>YES</v>
      </c>
      <c r="AJ10" s="31">
        <f>COUNTIF(Table2[Request ID],Table2[[#This Row],[Request ID]])</f>
        <v>2</v>
      </c>
      <c r="AK10" s="62" t="str">
        <f ca="1">IF(Table2[[#This Row],[Status]]&lt;&gt;Overview!$C$13,Table2[[#This Row],[Lead time from informal request received to today (days)2]],"Disbursed")</f>
        <v>Disbursed</v>
      </c>
    </row>
    <row r="11" spans="1:37" ht="43.5" x14ac:dyDescent="0.35">
      <c r="A11" t="str">
        <f t="shared" si="0"/>
        <v>Ethiopia540000044604</v>
      </c>
      <c r="B11" t="s">
        <v>578</v>
      </c>
      <c r="C11" t="s">
        <v>95</v>
      </c>
      <c r="D11" t="str">
        <f>INDEX(Table1[#All],MATCH('Funding tracker'!$C3,Table1[[#All],[Recipient country Name]],0),MATCH('Funding tracker'!D$1,Table1[#Headers],0))</f>
        <v>Antoinette Awaga</v>
      </c>
      <c r="E11" t="str">
        <f>INDEX(Table1[#All],MATCH('Funding tracker'!$C3,Table1[[#All],[Recipient country Name]],0),MATCH('Funding tracker'!E$1,Table1[#Headers],0))</f>
        <v>Edinam</v>
      </c>
      <c r="F11" s="179">
        <v>5400000</v>
      </c>
      <c r="G11" s="190" t="s">
        <v>178</v>
      </c>
      <c r="H11" s="179">
        <v>2400000</v>
      </c>
      <c r="I11" t="s">
        <v>76</v>
      </c>
      <c r="J11" s="129" t="s">
        <v>182</v>
      </c>
      <c r="K11" t="s">
        <v>148</v>
      </c>
      <c r="L11" s="2">
        <v>44604</v>
      </c>
      <c r="M11" t="s">
        <v>71</v>
      </c>
      <c r="N11" s="2">
        <f>N14</f>
        <v>44677</v>
      </c>
      <c r="O11" s="147" t="s">
        <v>71</v>
      </c>
      <c r="P11" s="147" t="s">
        <v>65</v>
      </c>
      <c r="Q11" s="2">
        <v>44620</v>
      </c>
      <c r="R11" s="55">
        <f>Table2[[#This Row],[Amount tracked through this row]]</f>
        <v>2400000</v>
      </c>
      <c r="S11" s="142" t="s">
        <v>71</v>
      </c>
      <c r="T11" s="177">
        <v>44663</v>
      </c>
      <c r="U11" s="142" t="s">
        <v>71</v>
      </c>
      <c r="V11" s="177">
        <v>44663</v>
      </c>
      <c r="W11" s="13">
        <f>MONTH(Table2[[#This Row],[Funds disbursed (Date)]])</f>
        <v>4</v>
      </c>
      <c r="X11" s="203">
        <v>0.05</v>
      </c>
      <c r="Y11" s="15" t="s">
        <v>183</v>
      </c>
      <c r="Z11" s="62" t="str" cm="1">
        <f t="array" aca="1" ref="Z11" ca="1">_xlfn.IFS(Table2[[#This Row],[Sources of funding identified (yes / no / Identified as not urgent)]]=Utilities!$B$14,"Out of CoVDP scope",U11="yes",Overview!$C$13,AND(Table2[[#This Row],[Lead time from sources identified to today (if not disbursed yet)]]&lt;=15,S11="yes"),Overview!$C$11,AND(Table2[[#This Row],[Lead time from sources identified to today (if not disbursed yet)]]&gt;15,S11="yes"),Overview!$C$12,O11="yes",Overview!$C$10,M11="yes",Overview!$C$9,M11="no",Overview!$C$8)</f>
        <v>Funds disbursed</v>
      </c>
      <c r="AA11" s="66">
        <f t="shared" ca="1" si="1"/>
        <v>108</v>
      </c>
      <c r="AB11" s="66">
        <f t="shared" ca="1" si="2"/>
        <v>181</v>
      </c>
      <c r="AC11" s="12">
        <f ca="1">IF(Table2[[#This Row],[Lead time from formal request received to today (days)]]&lt;400,Table2[[#This Row],[Lead time from formal request received to today (days)]],"-")</f>
        <v>108</v>
      </c>
      <c r="AD11" s="12" t="str">
        <f ca="1">IF(AND(Table2[[#This Row],[Funds disbursed (Date)]]="",Table2[[#This Row],[Source of funding identified (Details)]]&lt;&gt;""),TODAY()-Table2[[#This Row],[Sources of funding identified (Date) - or standard request discussed during CoVDP Funding Alignment call]],"-")</f>
        <v>-</v>
      </c>
      <c r="AE11" s="12">
        <f>IF(V11="","",_xlfn.DAYS(V11,N11))</f>
        <v>-14</v>
      </c>
      <c r="AF11" s="12">
        <f t="shared" si="3"/>
        <v>-12</v>
      </c>
      <c r="AG11" s="12" t="str">
        <f>IF(OR(V11="",Table2[[#This Row],[Source of funding identified (Details)]]&lt;&gt;Utilities!$B$6),"",NETWORKDAYS(Q11,V11)-1)</f>
        <v/>
      </c>
      <c r="AI11" t="str">
        <f>IF(Table2[[#This Row],[Column1]]=1,"NO","YES")</f>
        <v>YES</v>
      </c>
      <c r="AJ11" s="31">
        <f>COUNTIF(Table2[Request ID],Table2[[#This Row],[Request ID]])</f>
        <v>2</v>
      </c>
      <c r="AK11" s="62" t="str">
        <f ca="1">IF(Table2[[#This Row],[Status]]&lt;&gt;Overview!$C$13,Table2[[#This Row],[Lead time from informal request received to today (days)2]],"Disbursed")</f>
        <v>Disbursed</v>
      </c>
    </row>
    <row r="12" spans="1:37" x14ac:dyDescent="0.35">
      <c r="A12" t="str">
        <f t="shared" si="0"/>
        <v>Ethiopia540000044604</v>
      </c>
      <c r="B12" t="s">
        <v>578</v>
      </c>
      <c r="C12" t="s">
        <v>95</v>
      </c>
      <c r="D12" t="str">
        <f>INDEX(Table1[#All],MATCH('Funding tracker'!$C6,Table1[[#All],[Recipient country Name]],0),MATCH('Funding tracker'!D$1,Table1[#Headers],0))</f>
        <v>Thierry Vincent</v>
      </c>
      <c r="E12" t="str">
        <f>INDEX(Table1[#All],MATCH('Funding tracker'!$C6,Table1[[#All],[Recipient country Name]],0),MATCH('Funding tracker'!E$1,Table1[#Headers],0))</f>
        <v>Simon</v>
      </c>
      <c r="F12" s="179">
        <f>F11</f>
        <v>5400000</v>
      </c>
      <c r="G12" s="190" t="s">
        <v>178</v>
      </c>
      <c r="H12" s="179">
        <f>Table2[[#This Row],[Amount to be funded]]</f>
        <v>216502</v>
      </c>
      <c r="I12" t="s">
        <v>76</v>
      </c>
      <c r="J12" t="s">
        <v>212</v>
      </c>
      <c r="K12" t="s">
        <v>148</v>
      </c>
      <c r="L12" s="2">
        <v>44604</v>
      </c>
      <c r="M12" t="s">
        <v>71</v>
      </c>
      <c r="N12" s="2">
        <v>44614</v>
      </c>
      <c r="O12" s="147" t="s">
        <v>71</v>
      </c>
      <c r="P12" s="147" t="s">
        <v>64</v>
      </c>
      <c r="Q12" s="2">
        <v>44621</v>
      </c>
      <c r="R12" s="55">
        <v>216502</v>
      </c>
      <c r="S12" t="s">
        <v>71</v>
      </c>
      <c r="T12" s="2">
        <v>44624</v>
      </c>
      <c r="U12" t="s">
        <v>71</v>
      </c>
      <c r="V12" s="2">
        <v>44631</v>
      </c>
      <c r="W12" s="13">
        <f>MONTH(Table2[[#This Row],[Funds disbursed (Date)]])</f>
        <v>3</v>
      </c>
      <c r="X12" s="203">
        <v>0.8</v>
      </c>
      <c r="Y12" t="s">
        <v>213</v>
      </c>
      <c r="Z12" s="62" t="str" cm="1">
        <f t="array" aca="1" ref="Z12" ca="1">_xlfn.IFS(Table2[[#This Row],[Sources of funding identified (yes / no / Identified as not urgent)]]=Utilities!$B$14,"Out of CoVDP scope",U12="yes",Overview!$C$13,AND(Table2[[#This Row],[Lead time from sources identified to today (if not disbursed yet)]]&lt;=15,S12="yes"),Overview!$C$11,AND(Table2[[#This Row],[Lead time from sources identified to today (if not disbursed yet)]]&gt;15,S12="yes"),Overview!$C$12,O12="yes",Overview!$C$10,M12="yes",Overview!$C$9,M12="no",Overview!$C$8)</f>
        <v>Funds disbursed</v>
      </c>
      <c r="AA12" s="12">
        <f t="shared" ca="1" si="1"/>
        <v>171</v>
      </c>
      <c r="AB12" s="12">
        <f t="shared" ca="1" si="2"/>
        <v>181</v>
      </c>
      <c r="AC12" s="12">
        <f ca="1">IF(Table2[[#This Row],[Lead time from formal request received to today (days)]]&lt;400,Table2[[#This Row],[Lead time from formal request received to today (days)]],"-")</f>
        <v>171</v>
      </c>
      <c r="AD12" s="12" t="str">
        <f ca="1">IF(AND(Table2[[#This Row],[Funds disbursed (Date)]]="",Table2[[#This Row],[Source of funding identified (Details)]]&lt;&gt;""),TODAY()-Table2[[#This Row],[Sources of funding identified (Date) - or standard request discussed during CoVDP Funding Alignment call]],"-")</f>
        <v>-</v>
      </c>
      <c r="AE12" s="12">
        <f>IF(V12="","",_xlfn.DAYS(V12,N12))</f>
        <v>17</v>
      </c>
      <c r="AF12" s="12">
        <f t="shared" si="3"/>
        <v>13</v>
      </c>
      <c r="AG12" s="12" t="str">
        <f>IF(OR(V12="",Table2[[#This Row],[Source of funding identified (Details)]]&lt;&gt;Utilities!$B$6),"",NETWORKDAYS(Q12,V12)-1)</f>
        <v/>
      </c>
      <c r="AI12" t="str">
        <f>IF(Table2[[#This Row],[Column1]]=1,"NO","YES")</f>
        <v>YES</v>
      </c>
      <c r="AJ12" s="31">
        <f>COUNTIF(Table2[Request ID],Table2[[#This Row],[Request ID]])</f>
        <v>2</v>
      </c>
      <c r="AK12" s="62" t="str">
        <f ca="1">IF(Table2[[#This Row],[Status]]&lt;&gt;Overview!$C$13,Table2[[#This Row],[Lead time from informal request received to today (days)2]],"Disbursed")</f>
        <v>Disbursed</v>
      </c>
    </row>
    <row r="13" spans="1:37" s="62" customFormat="1" x14ac:dyDescent="0.35">
      <c r="A13" t="str">
        <f t="shared" si="0"/>
        <v>Ethiopia340000044677</v>
      </c>
      <c r="B13" t="s">
        <v>578</v>
      </c>
      <c r="C13" t="s">
        <v>95</v>
      </c>
      <c r="D13" t="str">
        <f>INDEX(Table1[#All],MATCH('Funding tracker'!$C27,Table1[[#All],[Recipient country Name]],0),MATCH('Funding tracker'!D$1,Table1[#Headers],0))</f>
        <v>Patience Musanhu</v>
      </c>
      <c r="E13" t="str">
        <f>INDEX(Table1[#All],MATCH('Funding tracker'!$C27,Table1[[#All],[Recipient country Name]],0),MATCH('Funding tracker'!E$1,Table1[#Headers],0))</f>
        <v>Abu</v>
      </c>
      <c r="F13" s="180">
        <v>3400000</v>
      </c>
      <c r="G13" s="192" t="s">
        <v>178</v>
      </c>
      <c r="H13" s="180">
        <v>1700000</v>
      </c>
      <c r="I13" t="s">
        <v>214</v>
      </c>
      <c r="J13" t="s">
        <v>215</v>
      </c>
      <c r="K13" t="s">
        <v>148</v>
      </c>
      <c r="L13" s="147">
        <v>44677</v>
      </c>
      <c r="M13" t="s">
        <v>71</v>
      </c>
      <c r="N13" s="147">
        <v>44677</v>
      </c>
      <c r="O13" t="s">
        <v>71</v>
      </c>
      <c r="P13" t="s">
        <v>64</v>
      </c>
      <c r="Q13" s="147">
        <v>44677</v>
      </c>
      <c r="R13" s="55">
        <f>Table2[[#This Row],[Amount tracked through this row]]</f>
        <v>1700000</v>
      </c>
      <c r="S13" t="s">
        <v>71</v>
      </c>
      <c r="T13" s="147">
        <f>Table2[[#This Row],[Sources of funding identified (Date) - or standard request discussed during CoVDP Funding Alignment call]]</f>
        <v>44677</v>
      </c>
      <c r="U13" t="s">
        <v>71</v>
      </c>
      <c r="V13" s="147">
        <v>44679</v>
      </c>
      <c r="W13" s="13">
        <f>MONTH(Table2[[#This Row],[Funds disbursed (Date)]])</f>
        <v>4</v>
      </c>
      <c r="X13" s="203">
        <v>0.8</v>
      </c>
      <c r="Y13" s="15" t="s">
        <v>216</v>
      </c>
      <c r="Z13" s="62" t="str" cm="1">
        <f t="array" aca="1" ref="Z13" ca="1">_xlfn.IFS(Table2[[#This Row],[Sources of funding identified (yes / no / Identified as not urgent)]]=Utilities!$B$14,"Out of CoVDP scope",U13="yes",Overview!$C$13,AND(Table2[[#This Row],[Lead time from sources identified to today (if not disbursed yet)]]&lt;15,S13="yes"),Overview!$C$11,AND(Table2[[#This Row],[Lead time from sources identified to today (if not disbursed yet)]]&gt;15,S13="yes"),Overview!$C$12,O13="yes",Overview!$C$10,M13="yes",Overview!$C$9,M13="no",Overview!$C$8)</f>
        <v>Funds disbursed</v>
      </c>
      <c r="AA13" s="66">
        <f t="shared" ca="1" si="1"/>
        <v>108</v>
      </c>
      <c r="AB13" s="66">
        <f t="shared" ca="1" si="2"/>
        <v>108</v>
      </c>
      <c r="AC13" s="12">
        <f ca="1">IF(Table2[[#This Row],[Lead time from formal request received to today (days)]]&lt;400,Table2[[#This Row],[Lead time from formal request received to today (days)]],"-")</f>
        <v>108</v>
      </c>
      <c r="AD13" s="12" t="str">
        <f ca="1">IF(AND(Table2[[#This Row],[Funds disbursed (Date)]]="",Table2[[#This Row],[Source of funding identified (Details)]]&lt;&gt;""),TODAY()-Table2[[#This Row],[Sources of funding identified (Date) - or standard request discussed during CoVDP Funding Alignment call]],"-")</f>
        <v>-</v>
      </c>
      <c r="AE13" s="12"/>
      <c r="AF13" s="66">
        <f t="shared" si="3"/>
        <v>2</v>
      </c>
      <c r="AG13" s="66" t="str">
        <f>IF(OR(V13="",Table2[[#This Row],[Source of funding identified (Details)]]&lt;&gt;Utilities!$B$6),"",NETWORKDAYS(Q13,V13)-1)</f>
        <v/>
      </c>
      <c r="AH13"/>
      <c r="AI13" t="str">
        <f>IF(Table2[[#This Row],[Column1]]=1,"NO","YES")</f>
        <v>NO</v>
      </c>
      <c r="AJ13" s="31">
        <f>COUNTIF(Table2[Request ID],Table2[[#This Row],[Request ID]])</f>
        <v>1</v>
      </c>
      <c r="AK13" s="62" t="str">
        <f ca="1">IF(Table2[[#This Row],[Status]]&lt;&gt;Overview!$C$13,Table2[[#This Row],[Lead time from informal request received to today (days)2]],"Disbursed")</f>
        <v>Disbursed</v>
      </c>
    </row>
    <row r="14" spans="1:37" s="160" customFormat="1" ht="14.25" customHeight="1" x14ac:dyDescent="0.35">
      <c r="A14" t="str">
        <f t="shared" si="0"/>
        <v>Ethiopia440000044677</v>
      </c>
      <c r="B14" t="s">
        <v>578</v>
      </c>
      <c r="C14" t="s">
        <v>95</v>
      </c>
      <c r="D14" t="str">
        <f>INDEX(Table1[#All],MATCH('Funding tracker'!$C28,Table1[[#All],[Recipient country Name]],0),MATCH('Funding tracker'!D$1,Table1[#Headers],0))</f>
        <v>Patience Musanhu</v>
      </c>
      <c r="E14" t="str">
        <f>INDEX(Table1[#All],MATCH('Funding tracker'!$C28,Table1[[#All],[Recipient country Name]],0),MATCH('Funding tracker'!E$1,Table1[#Headers],0))</f>
        <v>Abu</v>
      </c>
      <c r="F14" s="180">
        <v>4400000</v>
      </c>
      <c r="G14" s="192" t="s">
        <v>178</v>
      </c>
      <c r="H14" s="180">
        <v>2170000</v>
      </c>
      <c r="I14" t="s">
        <v>231</v>
      </c>
      <c r="J14" t="s">
        <v>180</v>
      </c>
      <c r="K14" t="s">
        <v>232</v>
      </c>
      <c r="L14" s="2">
        <v>44677</v>
      </c>
      <c r="M14" t="s">
        <v>71</v>
      </c>
      <c r="N14" s="2">
        <v>44677</v>
      </c>
      <c r="O14" t="s">
        <v>71</v>
      </c>
      <c r="P14" t="s">
        <v>64</v>
      </c>
      <c r="Q14" s="2">
        <v>44677</v>
      </c>
      <c r="R14" s="55">
        <f>Table2[[#This Row],[Amount tracked through this row]]</f>
        <v>2170000</v>
      </c>
      <c r="S14" t="s">
        <v>71</v>
      </c>
      <c r="T14" s="2">
        <v>44677</v>
      </c>
      <c r="U14" t="s">
        <v>71</v>
      </c>
      <c r="V14" s="2">
        <v>44678</v>
      </c>
      <c r="W14" s="13">
        <f>MONTH(Table2[[#This Row],[Funds disbursed (Date)]])</f>
        <v>4</v>
      </c>
      <c r="X14" s="203">
        <v>0.8</v>
      </c>
      <c r="Y14" s="15" t="s">
        <v>233</v>
      </c>
      <c r="Z14" s="62" t="str" cm="1">
        <f t="array" aca="1" ref="Z14" ca="1">_xlfn.IFS(Table2[[#This Row],[Sources of funding identified (yes / no / Identified as not urgent)]]=Utilities!$B$14,"Out of CoVDP scope",U14="yes",Overview!$C$13,AND(Table2[[#This Row],[Lead time from sources identified to today (if not disbursed yet)]]&lt;=15,S14="yes"),Overview!$C$11,AND(Table2[[#This Row],[Lead time from sources identified to today (if not disbursed yet)]]&gt;15,S14="yes"),Overview!$C$12,O14="yes",Overview!$C$10,M14="yes",Overview!$C$9,M14="no",Overview!$C$8)</f>
        <v>Funds disbursed</v>
      </c>
      <c r="AA14" s="66">
        <f t="shared" ca="1" si="1"/>
        <v>108</v>
      </c>
      <c r="AB14" s="66">
        <f t="shared" ca="1" si="2"/>
        <v>108</v>
      </c>
      <c r="AC14" s="12">
        <f ca="1">IF(Table2[[#This Row],[Lead time from formal request received to today (days)]]&lt;400,Table2[[#This Row],[Lead time from formal request received to today (days)]],"-")</f>
        <v>108</v>
      </c>
      <c r="AD14" s="12" t="str">
        <f ca="1">IF(AND(Table2[[#This Row],[Funds disbursed (Date)]]="",Table2[[#This Row],[Source of funding identified (Details)]]&lt;&gt;""),TODAY()-Table2[[#This Row],[Sources of funding identified (Date) - or standard request discussed during CoVDP Funding Alignment call]],"-")</f>
        <v>-</v>
      </c>
      <c r="AE14" s="12">
        <f>IF(V14="","-",_xlfn.DAYS(V14,N14))</f>
        <v>1</v>
      </c>
      <c r="AF14" s="66">
        <f t="shared" si="3"/>
        <v>1</v>
      </c>
      <c r="AG14" s="66" t="str">
        <f>IF(OR(V14="",Table2[[#This Row],[Source of funding identified (Details)]]&lt;&gt;Utilities!$B$6),"",NETWORKDAYS(Q14,V14)-1)</f>
        <v/>
      </c>
      <c r="AH14" t="s">
        <v>234</v>
      </c>
      <c r="AI14" t="str">
        <f>IF(Table2[[#This Row],[Column1]]=1,"NO","YES")</f>
        <v>YES</v>
      </c>
      <c r="AJ14" s="31">
        <f>COUNTIF(Table2[Request ID],Table2[[#This Row],[Request ID]])</f>
        <v>2</v>
      </c>
      <c r="AK14" s="62" t="str">
        <f ca="1">IF(Table2[[#This Row],[Status]]&lt;&gt;Overview!$C$13,Table2[[#This Row],[Lead time from informal request received to today (days)2]],"Disbursed")</f>
        <v>Disbursed</v>
      </c>
    </row>
    <row r="15" spans="1:37" s="134" customFormat="1" ht="13.5" customHeight="1" x14ac:dyDescent="0.35">
      <c r="A15" s="62" t="str">
        <f t="shared" si="0"/>
        <v>Ethiopia800000044587</v>
      </c>
      <c r="B15" t="s">
        <v>578</v>
      </c>
      <c r="C15" s="62" t="s">
        <v>95</v>
      </c>
      <c r="D15" s="62" t="str">
        <f>INDEX(Table1[#All],MATCH('Funding tracker'!$C24,Table1[[#All],[Recipient country Name]],0),MATCH('Funding tracker'!D$1,Table1[#Headers],0))</f>
        <v>Hamidreza Setayesh</v>
      </c>
      <c r="E15" s="62" t="str">
        <f>INDEX(Table1[#All],MATCH('Funding tracker'!$C24,Table1[[#All],[Recipient country Name]],0),MATCH('Funding tracker'!E$1,Table1[#Headers],0))</f>
        <v>William</v>
      </c>
      <c r="F15" s="186">
        <v>8000000</v>
      </c>
      <c r="G15" s="191" t="s">
        <v>133</v>
      </c>
      <c r="H15" s="186">
        <v>8000000</v>
      </c>
      <c r="I15" s="62" t="s">
        <v>241</v>
      </c>
      <c r="J15" s="62"/>
      <c r="K15" s="62" t="s">
        <v>232</v>
      </c>
      <c r="L15" s="63">
        <v>44587</v>
      </c>
      <c r="M15" s="62" t="s">
        <v>71</v>
      </c>
      <c r="N15" s="63">
        <v>44589</v>
      </c>
      <c r="O15" s="62" t="s">
        <v>71</v>
      </c>
      <c r="P15" s="62" t="s">
        <v>66</v>
      </c>
      <c r="Q15" s="63">
        <v>44608</v>
      </c>
      <c r="R15" s="64">
        <f>Table2[[#This Row],[Amount tracked through this row]]</f>
        <v>8000000</v>
      </c>
      <c r="S15" s="62" t="s">
        <v>71</v>
      </c>
      <c r="T15" s="63">
        <v>44624</v>
      </c>
      <c r="U15" s="62" t="s">
        <v>71</v>
      </c>
      <c r="V15" s="63">
        <v>44638</v>
      </c>
      <c r="W15" s="65">
        <f>MONTH(Table2[[#This Row],[Funds disbursed (Date)]])</f>
        <v>3</v>
      </c>
      <c r="X15" s="205"/>
      <c r="Y15" s="69"/>
      <c r="Z15" s="62" t="str" cm="1">
        <f t="array" aca="1" ref="Z15" ca="1">_xlfn.IFS(Table2[[#This Row],[Sources of funding identified (yes / no / Identified as not urgent)]]=Utilities!$B$14,"Out of CoVDP scope",U15="yes",Overview!$C$13,AND(Table2[[#This Row],[Lead time from sources identified to today (if not disbursed yet)]]&lt;=15,S15="yes"),Overview!$C$11,AND(Table2[[#This Row],[Lead time from sources identified to today (if not disbursed yet)]]&gt;15,S15="yes"),Overview!$C$12,O15="yes",Overview!$C$10,M15="yes",Overview!$C$9,M15="no",Overview!$C$8)</f>
        <v>Funds disbursed</v>
      </c>
      <c r="AA15" s="66">
        <f t="shared" ca="1" si="1"/>
        <v>196</v>
      </c>
      <c r="AB15" s="66">
        <f t="shared" ca="1" si="2"/>
        <v>198</v>
      </c>
      <c r="AC15" s="66">
        <f ca="1">IF(Table2[[#This Row],[Lead time from formal request received to today (days)]]&lt;400,Table2[[#This Row],[Lead time from formal request received to today (days)]],"-")</f>
        <v>196</v>
      </c>
      <c r="AD15" s="66" t="str">
        <f ca="1">IF(AND(Table2[[#This Row],[Funds disbursed (Date)]]="",Table2[[#This Row],[Source of funding identified (Details)]]&lt;&gt;""),TODAY()-Table2[[#This Row],[Sources of funding identified (Date) - or standard request discussed during CoVDP Funding Alignment call]],"-")</f>
        <v>-</v>
      </c>
      <c r="AE15" s="12">
        <f>IF(V15="","-",_xlfn.DAYS(V15,N15))</f>
        <v>49</v>
      </c>
      <c r="AF15" s="66">
        <f t="shared" si="3"/>
        <v>35</v>
      </c>
      <c r="AG15" s="66">
        <f>IF(OR(V15="",Table2[[#This Row],[Source of funding identified (Details)]]&lt;&gt;Utilities!$B$6),"",NETWORKDAYS(Q15,V15)-1)</f>
        <v>22</v>
      </c>
      <c r="AH15" s="62"/>
      <c r="AI15" s="62" t="str">
        <f>IF(Table2[[#This Row],[Column1]]=1,"NO","YES")</f>
        <v>NO</v>
      </c>
      <c r="AJ15" s="62">
        <f>COUNTIF(Table2[Request ID],Table2[[#This Row],[Request ID]])</f>
        <v>1</v>
      </c>
      <c r="AK15" s="62" t="str">
        <f ca="1">IF(Table2[[#This Row],[Status]]&lt;&gt;Overview!$C$13,Table2[[#This Row],[Lead time from informal request received to today (days)2]],"Disbursed")</f>
        <v>Disbursed</v>
      </c>
    </row>
    <row r="16" spans="1:37" s="160" customFormat="1" ht="17.25" customHeight="1" x14ac:dyDescent="0.35">
      <c r="A16" t="str">
        <f t="shared" si="0"/>
        <v>GhanaTBD44637</v>
      </c>
      <c r="B16" t="s">
        <v>579</v>
      </c>
      <c r="C16" t="s">
        <v>100</v>
      </c>
      <c r="D16" t="str">
        <f>INDEX(Table1[#All],MATCH('Funding tracker'!$C25,Table1[[#All],[Recipient country Name]],0),MATCH('Funding tracker'!D$1,Table1[#Headers],0))</f>
        <v>Tarek Elshimi</v>
      </c>
      <c r="E16" t="str">
        <f>INDEX(Table1[#All],MATCH('Funding tracker'!$C25,Table1[[#All],[Recipient country Name]],0),MATCH('Funding tracker'!E$1,Table1[#Headers],0))</f>
        <v>Imran</v>
      </c>
      <c r="F16" s="181" t="s">
        <v>208</v>
      </c>
      <c r="G16" s="192" t="s">
        <v>178</v>
      </c>
      <c r="H16" s="181" t="s">
        <v>208</v>
      </c>
      <c r="I16" s="56" t="s">
        <v>208</v>
      </c>
      <c r="J16"/>
      <c r="K16" t="s">
        <v>186</v>
      </c>
      <c r="L16" s="147">
        <v>44637</v>
      </c>
      <c r="M16" t="s">
        <v>72</v>
      </c>
      <c r="N16"/>
      <c r="O16"/>
      <c r="P16"/>
      <c r="Q16"/>
      <c r="R16" s="55" t="str">
        <f>Table2[[#This Row],[Amount tracked through this row]]</f>
        <v>TBD</v>
      </c>
      <c r="S16"/>
      <c r="T16" s="147"/>
      <c r="U16"/>
      <c r="V16"/>
      <c r="W16" s="13">
        <f>MONTH(Table2[[#This Row],[Funds disbursed (Date)]])</f>
        <v>1</v>
      </c>
      <c r="X16" s="203"/>
      <c r="Y16" s="118" t="s">
        <v>242</v>
      </c>
      <c r="Z16" s="62" t="str" cm="1">
        <f t="array" aca="1" ref="Z16" ca="1">_xlfn.IFS(Table2[[#This Row],[Sources of funding identified (yes / no / Identified as not urgent)]]=Utilities!$B$14,"Out of CoVDP scope",U16="yes",Overview!$C$13,AND(Table2[[#This Row],[Lead time from sources identified to today (if not disbursed yet)]]&lt;=15,S16="yes"),Overview!$C$11,AND(Table2[[#This Row],[Lead time from sources identified to today (if not disbursed yet)]]&gt;15,S16="yes"),Overview!$C$12,O16="yes",Overview!$C$10,M16="yes",Overview!$C$9,M16="no",Overview!$C$8)</f>
        <v>Pending additional details and/or formal request</v>
      </c>
      <c r="AA16" s="66">
        <f t="shared" ca="1" si="1"/>
        <v>44785</v>
      </c>
      <c r="AB16" s="66">
        <f t="shared" ca="1" si="2"/>
        <v>148</v>
      </c>
      <c r="AC16" s="12" t="str">
        <f ca="1">IF(Table2[[#This Row],[Lead time from formal request received to today (days)]]&lt;400,Table2[[#This Row],[Lead time from formal request received to today (days)]],"-")</f>
        <v>-</v>
      </c>
      <c r="AD16" s="12" t="str">
        <f ca="1">IF(AND(Table2[[#This Row],[Funds disbursed (Date)]]="",Table2[[#This Row],[Source of funding identified (Details)]]&lt;&gt;""),TODAY()-Table2[[#This Row],[Sources of funding identified (Date) - or standard request discussed during CoVDP Funding Alignment call]],"-")</f>
        <v>-</v>
      </c>
      <c r="AE16" s="12" t="str">
        <f>IF(V16="","-",_xlfn.DAYS(V16,N16))</f>
        <v>-</v>
      </c>
      <c r="AF16" s="66" t="str">
        <f t="shared" si="3"/>
        <v/>
      </c>
      <c r="AG16" s="66" t="str">
        <f>IF(OR(V16="",Table2[[#This Row],[Source of funding identified (Details)]]&lt;&gt;Utilities!$B$6),"",NETWORKDAYS(Q16,V16)-1)</f>
        <v/>
      </c>
      <c r="AH16"/>
      <c r="AI16" t="str">
        <f>IF(Table2[[#This Row],[Column1]]=1,"NO","YES")</f>
        <v>NO</v>
      </c>
      <c r="AJ16" s="31">
        <f>COUNTIF(Table2[Request ID],Table2[[#This Row],[Request ID]])</f>
        <v>1</v>
      </c>
      <c r="AK16" s="62">
        <f ca="1">IF(Table2[[#This Row],[Status]]&lt;&gt;Overview!$C$13,Table2[[#This Row],[Lead time from informal request received to today (days)2]],"Disbursed")</f>
        <v>148</v>
      </c>
    </row>
    <row r="17" spans="1:37" s="173" customFormat="1" ht="15.75" customHeight="1" x14ac:dyDescent="0.35">
      <c r="A17" t="str">
        <f t="shared" si="0"/>
        <v>Kenya1794314.444710</v>
      </c>
      <c r="B17" t="s">
        <v>580</v>
      </c>
      <c r="C17" t="s">
        <v>105</v>
      </c>
      <c r="D17" t="str">
        <f>INDEX(Table1[#All],MATCH('Funding tracker'!$C41,Table1[[#All],[Recipient country Name]],0),MATCH('Funding tracker'!D$1,Table1[#Headers],0))</f>
        <v>Anne Cronin</v>
      </c>
      <c r="E17" t="str">
        <f>INDEX(Table1[#All],MATCH('Funding tracker'!$C41,Table1[[#All],[Recipient country Name]],0),MATCH('Funding tracker'!E$1,Table1[#Headers],0))</f>
        <v>Abu</v>
      </c>
      <c r="F17" s="180">
        <v>1794314.4</v>
      </c>
      <c r="G17" s="192" t="s">
        <v>178</v>
      </c>
      <c r="H17" s="180">
        <v>1490000</v>
      </c>
      <c r="I17" t="s">
        <v>283</v>
      </c>
      <c r="J17" t="s">
        <v>284</v>
      </c>
      <c r="K17" t="s">
        <v>186</v>
      </c>
      <c r="L17" s="63">
        <v>44710</v>
      </c>
      <c r="M17" t="s">
        <v>71</v>
      </c>
      <c r="N17" s="147">
        <v>44710</v>
      </c>
      <c r="O17" t="s">
        <v>71</v>
      </c>
      <c r="P17" t="s">
        <v>65</v>
      </c>
      <c r="Q17" s="147">
        <v>44720</v>
      </c>
      <c r="R17" s="55">
        <f>Table2[[#This Row],[Amount tracked through this row]]</f>
        <v>1490000</v>
      </c>
      <c r="S17" t="s">
        <v>71</v>
      </c>
      <c r="T17" s="147">
        <v>37415</v>
      </c>
      <c r="U17" t="s">
        <v>71</v>
      </c>
      <c r="V17" s="147">
        <v>44721</v>
      </c>
      <c r="W17" s="13">
        <f>MONTH(Table2[[#This Row],[Funds disbursed (Date)]])</f>
        <v>6</v>
      </c>
      <c r="X17" s="203">
        <v>0</v>
      </c>
      <c r="Y17" t="s">
        <v>285</v>
      </c>
      <c r="Z17" s="62" t="str" cm="1">
        <f t="array" aca="1" ref="Z17" ca="1">_xlfn.IFS(Table2[[#This Row],[Sources of funding identified (yes / no / Identified as not urgent)]]=Utilities!$B$14,"Out of CoVDP scope",U17="yes",Overview!$C$13,AND(Table2[[#This Row],[Lead time from sources identified to today (if not disbursed yet)]]&lt;15,S17="yes"),Overview!$C$11,AND(Table2[[#This Row],[Lead time from sources identified to today (if not disbursed yet)]]&gt;15,S17="yes"),Overview!$C$12,O17="yes",Overview!$C$10,M17="yes",Overview!$C$9,M17="no",Overview!$C$8)</f>
        <v>Funds disbursed</v>
      </c>
      <c r="AA17" s="66">
        <f t="shared" ca="1" si="1"/>
        <v>75</v>
      </c>
      <c r="AB17" s="66">
        <f t="shared" ca="1" si="2"/>
        <v>75</v>
      </c>
      <c r="AC17" s="12">
        <f ca="1">IF(Table2[[#This Row],[Lead time from formal request received to today (days)]]&lt;400,Table2[[#This Row],[Lead time from formal request received to today (days)]],"-")</f>
        <v>75</v>
      </c>
      <c r="AD17" s="12" t="str">
        <f ca="1">IF(AND(Table2[[#This Row],[Funds disbursed (Date)]]="",Table2[[#This Row],[Source of funding identified (Details)]]&lt;&gt;""),TODAY()-Table2[[#This Row],[Sources of funding identified (Date) - or standard request discussed during CoVDP Funding Alignment call]],"-")</f>
        <v>-</v>
      </c>
      <c r="AE17" s="12"/>
      <c r="AF17" s="12">
        <f t="shared" si="3"/>
        <v>8</v>
      </c>
      <c r="AG17" s="12" t="str">
        <f>IF(OR(V17="",Table2[[#This Row],[Source of funding identified (Details)]]&lt;&gt;Utilities!$B$6),"",NETWORKDAYS(Q17,V17)-1)</f>
        <v/>
      </c>
      <c r="AH17"/>
      <c r="AI17" t="str">
        <f>IF(Table2[[#This Row],[Column1]]=1,"NO","YES")</f>
        <v>NO</v>
      </c>
      <c r="AJ17" s="31">
        <f>COUNTIF(Table2[Request ID],Table2[[#This Row],[Request ID]])</f>
        <v>1</v>
      </c>
      <c r="AK17" s="62" t="str">
        <f ca="1">IF(Table2[[#This Row],[Status]]&lt;&gt;Overview!$C$13,Table2[[#This Row],[Lead time from informal request received to today (days)2]],"Disbursed")</f>
        <v>Disbursed</v>
      </c>
    </row>
    <row r="18" spans="1:37" s="160" customFormat="1" ht="15" customHeight="1" x14ac:dyDescent="0.35">
      <c r="A18" s="62" t="str">
        <f t="shared" si="0"/>
        <v>LaoTBD44613</v>
      </c>
      <c r="B18" s="62" t="s">
        <v>581</v>
      </c>
      <c r="C18" s="62" t="s">
        <v>96</v>
      </c>
      <c r="D18" s="62" t="str">
        <f>INDEX(Table1[#All],MATCH('Funding tracker'!$C13,Table1[[#All],[Recipient country Name]],0),MATCH('Funding tracker'!D$1,Table1[#Headers],0))</f>
        <v>Tito Rwamushaija</v>
      </c>
      <c r="E18" s="62" t="str">
        <f>INDEX(Table1[#All],MATCH('Funding tracker'!$C13,Table1[[#All],[Recipient country Name]],0),MATCH('Funding tracker'!E$1,Table1[#Headers],0))</f>
        <v>William</v>
      </c>
      <c r="F18" s="181" t="s">
        <v>208</v>
      </c>
      <c r="G18" s="191" t="s">
        <v>135</v>
      </c>
      <c r="H18" s="181" t="s">
        <v>208</v>
      </c>
      <c r="I18" s="62" t="s">
        <v>209</v>
      </c>
      <c r="J18" s="62"/>
      <c r="K18" s="62" t="s">
        <v>210</v>
      </c>
      <c r="L18" s="63">
        <v>44613</v>
      </c>
      <c r="M18" s="62" t="s">
        <v>72</v>
      </c>
      <c r="N18" s="62"/>
      <c r="O18" s="62" t="s">
        <v>24</v>
      </c>
      <c r="P18" s="62"/>
      <c r="Q18" s="62"/>
      <c r="R18" s="64" t="str">
        <f>Table2[[#This Row],[Amount tracked through this row]]</f>
        <v>TBD</v>
      </c>
      <c r="S18" s="62"/>
      <c r="T18" s="63"/>
      <c r="U18" s="62"/>
      <c r="V18" s="62"/>
      <c r="W18" s="65">
        <f>MONTH(Table2[[#This Row],[Funds disbursed (Date)]])</f>
        <v>1</v>
      </c>
      <c r="X18" s="205"/>
      <c r="Y18" s="62" t="s">
        <v>211</v>
      </c>
      <c r="Z18" s="62" t="str" cm="1">
        <f t="array" aca="1" ref="Z18" ca="1">_xlfn.IFS(Table2[[#This Row],[Sources of funding identified (yes / no / Identified as not urgent)]]=Utilities!$B$14,"Out of CoVDP scope",U18="yes",Overview!$C$13,AND(Table2[[#This Row],[Lead time from sources identified to today (if not disbursed yet)]]&lt;=15,S18="yes"),Overview!$C$11,AND(Table2[[#This Row],[Lead time from sources identified to today (if not disbursed yet)]]&gt;15,S18="yes"),Overview!$C$12,O18="yes",Overview!$C$10,M18="yes",Overview!$C$9,M18="no",Overview!$C$8)</f>
        <v>Out of CoVDP scope</v>
      </c>
      <c r="AA18" s="66">
        <f t="shared" ca="1" si="1"/>
        <v>44785</v>
      </c>
      <c r="AB18" s="66">
        <f t="shared" ca="1" si="2"/>
        <v>172</v>
      </c>
      <c r="AC18" s="66" t="str">
        <f ca="1">IF(Table2[[#This Row],[Lead time from formal request received to today (days)]]&lt;400,Table2[[#This Row],[Lead time from formal request received to today (days)]],"-")</f>
        <v>-</v>
      </c>
      <c r="AD18" s="66" t="str">
        <f ca="1">IF(AND(Table2[[#This Row],[Funds disbursed (Date)]]="",Table2[[#This Row],[Source of funding identified (Details)]]&lt;&gt;""),TODAY()-Table2[[#This Row],[Sources of funding identified (Date) - or standard request discussed during CoVDP Funding Alignment call]],"-")</f>
        <v>-</v>
      </c>
      <c r="AE18" s="12" t="str">
        <f>IF(V18="","-",_xlfn.DAYS(V18,N18))</f>
        <v>-</v>
      </c>
      <c r="AF18" s="66" t="str">
        <f t="shared" si="3"/>
        <v/>
      </c>
      <c r="AG18" s="66" t="str">
        <f>IF(OR(V18="",Table2[[#This Row],[Source of funding identified (Details)]]&lt;&gt;Utilities!$B$6),"",NETWORKDAYS(Q18,V18)-1)</f>
        <v/>
      </c>
      <c r="AH18" s="62"/>
      <c r="AI18" s="62" t="str">
        <f>IF(Table2[[#This Row],[Column1]]=1,"NO","YES")</f>
        <v>NO</v>
      </c>
      <c r="AJ18" s="62">
        <f>COUNTIF(Table2[Request ID],Table2[[#This Row],[Request ID]])</f>
        <v>1</v>
      </c>
      <c r="AK18" s="62">
        <f ca="1">IF(Table2[[#This Row],[Status]]&lt;&gt;Overview!$C$13,Table2[[#This Row],[Lead time from informal request received to today (days)2]],"Disbursed")</f>
        <v>172</v>
      </c>
    </row>
    <row r="19" spans="1:37" s="173" customFormat="1" ht="12.75" customHeight="1" x14ac:dyDescent="0.35">
      <c r="A19" t="str">
        <f t="shared" si="0"/>
        <v>Malawi2154578.6060606144729</v>
      </c>
      <c r="B19" t="s">
        <v>586</v>
      </c>
      <c r="C19" t="s">
        <v>106</v>
      </c>
      <c r="D19" t="str">
        <f>INDEX(Table1[#All],MATCH('Funding tracker'!$C4,Table1[[#All],[Recipient country Name]],0),MATCH('Funding tracker'!D$1,Table1[#Headers],0))</f>
        <v>Thierry Vincent</v>
      </c>
      <c r="E19" t="str">
        <f>INDEX(Table1[#All],MATCH('Funding tracker'!$C4,Table1[[#All],[Recipient country Name]],0),MATCH('Funding tracker'!E$1,Table1[#Headers],0))</f>
        <v>Simon</v>
      </c>
      <c r="F19" s="179">
        <v>2154578.606060606</v>
      </c>
      <c r="G19" s="190" t="s">
        <v>178</v>
      </c>
      <c r="H19" s="179">
        <v>198000</v>
      </c>
      <c r="I19" t="s">
        <v>184</v>
      </c>
      <c r="J19" s="8" t="s">
        <v>185</v>
      </c>
      <c r="K19" t="s">
        <v>186</v>
      </c>
      <c r="L19" s="147">
        <v>44729</v>
      </c>
      <c r="M19" t="s">
        <v>71</v>
      </c>
      <c r="N19" s="147">
        <v>44734</v>
      </c>
      <c r="O19" s="147" t="s">
        <v>71</v>
      </c>
      <c r="P19" s="147" t="s">
        <v>65</v>
      </c>
      <c r="Q19" s="147">
        <v>44736</v>
      </c>
      <c r="R19" s="55">
        <f>Table2[[#This Row],[Amount tracked through this row]]</f>
        <v>198000</v>
      </c>
      <c r="S19" s="142" t="s">
        <v>72</v>
      </c>
      <c r="T19" s="177">
        <f>Table2[[#This Row],[Sources of funding identified (Date) - or standard request discussed during CoVDP Funding Alignment call]]</f>
        <v>44736</v>
      </c>
      <c r="U19" s="142" t="s">
        <v>72</v>
      </c>
      <c r="V19" s="177"/>
      <c r="W19" s="13">
        <f>MONTH(Table2[[#This Row],[Funds disbursed (Date)]])</f>
        <v>1</v>
      </c>
      <c r="X19" s="204"/>
      <c r="Y19" s="15" t="s">
        <v>187</v>
      </c>
      <c r="Z19" s="62" t="str" cm="1">
        <f t="array" aca="1" ref="Z19" ca="1">_xlfn.IFS(Table2[[#This Row],[Sources of funding identified (yes / no / Identified as not urgent)]]=Utilities!$B$14,"Out of CoVDP scope",U19="yes",Overview!$C$13,AND(Table2[[#This Row],[Lead time from sources identified to today (if not disbursed yet)]]&lt;15,S19="yes"),Overview!$C$11,AND(Table2[[#This Row],[Lead time from sources identified to today (if not disbursed yet)]]&gt;15,S19="yes"),Overview!$C$12,O19="yes",Overview!$C$10,M19="yes",Overview!$C$9,M19="no",Overview!$C$8)</f>
        <v>Pending partners internal approval</v>
      </c>
      <c r="AA19" s="66">
        <f t="shared" ca="1" si="1"/>
        <v>51</v>
      </c>
      <c r="AB19" s="66">
        <f t="shared" ca="1" si="2"/>
        <v>56</v>
      </c>
      <c r="AC19" s="12">
        <f ca="1">IF(Table2[[#This Row],[Lead time from formal request received to today (days)]]&lt;400,Table2[[#This Row],[Lead time from formal request received to today (days)]],"-")</f>
        <v>51</v>
      </c>
      <c r="AD19" s="12">
        <f ca="1">IF(AND(Table2[[#This Row],[Funds disbursed (Date)]]="",Table2[[#This Row],[Source of funding identified (Details)]]&lt;&gt;""),TODAY()-Table2[[#This Row],[Sources of funding identified (Date) - or standard request discussed during CoVDP Funding Alignment call]],"-")</f>
        <v>49</v>
      </c>
      <c r="AE19" s="12"/>
      <c r="AF19" s="12" t="str">
        <f t="shared" si="3"/>
        <v/>
      </c>
      <c r="AG19" s="12" t="str">
        <f>IF(OR(V19="",Table2[[#This Row],[Source of funding identified (Details)]]&lt;&gt;Utilities!$B$6),"",NETWORKDAYS(Q19,V19)-1)</f>
        <v/>
      </c>
      <c r="AH19"/>
      <c r="AI19" t="str">
        <f>IF(Table2[[#This Row],[Column1]]=1,"NO","YES")</f>
        <v>YES</v>
      </c>
      <c r="AJ19" s="31">
        <f>COUNTIF(Table2[Request ID],Table2[[#This Row],[Request ID]])</f>
        <v>2</v>
      </c>
      <c r="AK19" s="62">
        <f ca="1">IF(Table2[[#This Row],[Status]]&lt;&gt;Overview!$C$13,Table2[[#This Row],[Lead time from informal request received to today (days)2]],"Disbursed")</f>
        <v>56</v>
      </c>
    </row>
    <row r="20" spans="1:37" s="135" customFormat="1" x14ac:dyDescent="0.35">
      <c r="A20" t="str">
        <f t="shared" si="0"/>
        <v>Malawi2154578.6060606144729</v>
      </c>
      <c r="B20" t="s">
        <v>586</v>
      </c>
      <c r="C20" t="s">
        <v>106</v>
      </c>
      <c r="D20" t="str">
        <f>INDEX(Table1[#All],MATCH('Funding tracker'!$C5,Table1[[#All],[Recipient country Name]],0),MATCH('Funding tracker'!D$1,Table1[#Headers],0))</f>
        <v>Thierry Vincent</v>
      </c>
      <c r="E20" t="str">
        <f>INDEX(Table1[#All],MATCH('Funding tracker'!$C5,Table1[[#All],[Recipient country Name]],0),MATCH('Funding tracker'!E$1,Table1[#Headers],0))</f>
        <v>Simon</v>
      </c>
      <c r="F20" s="179">
        <v>2154578.606060606</v>
      </c>
      <c r="G20" s="190" t="s">
        <v>178</v>
      </c>
      <c r="H20" s="179">
        <v>1956578.606060606</v>
      </c>
      <c r="I20" t="s">
        <v>188</v>
      </c>
      <c r="J20" s="8" t="s">
        <v>185</v>
      </c>
      <c r="K20" t="s">
        <v>186</v>
      </c>
      <c r="L20" s="147">
        <v>44729</v>
      </c>
      <c r="M20" t="s">
        <v>71</v>
      </c>
      <c r="N20" s="147">
        <v>44734</v>
      </c>
      <c r="O20" s="147" t="s">
        <v>71</v>
      </c>
      <c r="P20" s="147" t="s">
        <v>64</v>
      </c>
      <c r="Q20" s="147">
        <v>44736</v>
      </c>
      <c r="R20" s="55">
        <f>Table2[[#This Row],[Amount tracked through this row]]</f>
        <v>1956578.606060606</v>
      </c>
      <c r="S20" s="142" t="s">
        <v>72</v>
      </c>
      <c r="T20" s="177"/>
      <c r="U20" s="142" t="s">
        <v>72</v>
      </c>
      <c r="V20" s="177"/>
      <c r="W20" s="13">
        <f>MONTH(Table2[[#This Row],[Funds disbursed (Date)]])</f>
        <v>1</v>
      </c>
      <c r="X20" s="203"/>
      <c r="Y20" s="15" t="s">
        <v>189</v>
      </c>
      <c r="Z20" s="62" t="str" cm="1">
        <f t="array" aca="1" ref="Z20" ca="1">_xlfn.IFS(Table2[[#This Row],[Sources of funding identified (yes / no / Identified as not urgent)]]=Utilities!$B$14,"Out of CoVDP scope",U20="yes",Overview!$C$13,AND(Table2[[#This Row],[Lead time from sources identified to today (if not disbursed yet)]]&lt;15,S20="yes"),Overview!$C$11,AND(Table2[[#This Row],[Lead time from sources identified to today (if not disbursed yet)]]&gt;15,S20="yes"),Overview!$C$12,O20="yes",Overview!$C$10,M20="yes",Overview!$C$9,M20="no",Overview!$C$8)</f>
        <v>Pending partners internal approval</v>
      </c>
      <c r="AA20" s="66">
        <f t="shared" ca="1" si="1"/>
        <v>51</v>
      </c>
      <c r="AB20" s="66">
        <f t="shared" ca="1" si="2"/>
        <v>56</v>
      </c>
      <c r="AC20" s="12">
        <f ca="1">IF(Table2[[#This Row],[Lead time from formal request received to today (days)]]&lt;400,Table2[[#This Row],[Lead time from formal request received to today (days)]],"-")</f>
        <v>51</v>
      </c>
      <c r="AD20" s="12">
        <f ca="1">IF(AND(Table2[[#This Row],[Funds disbursed (Date)]]="",Table2[[#This Row],[Source of funding identified (Details)]]&lt;&gt;""),TODAY()-Table2[[#This Row],[Sources of funding identified (Date) - or standard request discussed during CoVDP Funding Alignment call]],"-")</f>
        <v>49</v>
      </c>
      <c r="AE20" s="12"/>
      <c r="AF20" s="12" t="str">
        <f t="shared" si="3"/>
        <v/>
      </c>
      <c r="AG20" s="12" t="str">
        <f>IF(OR(V20="",Table2[[#This Row],[Source of funding identified (Details)]]&lt;&gt;Utilities!$B$6),"",NETWORKDAYS(Q20,V20)-1)</f>
        <v/>
      </c>
      <c r="AH20"/>
      <c r="AI20" t="str">
        <f>IF(Table2[[#This Row],[Column1]]=1,"NO","YES")</f>
        <v>YES</v>
      </c>
      <c r="AJ20" s="31">
        <f>COUNTIF(Table2[Request ID],Table2[[#This Row],[Request ID]])</f>
        <v>2</v>
      </c>
      <c r="AK20" s="62">
        <f ca="1">IF(Table2[[#This Row],[Status]]&lt;&gt;Overview!$C$13,Table2[[#This Row],[Lead time from informal request received to today (days)2]],"Disbursed")</f>
        <v>56</v>
      </c>
    </row>
    <row r="21" spans="1:37" ht="9.75" customHeight="1" x14ac:dyDescent="0.35">
      <c r="A21" t="str">
        <f t="shared" si="0"/>
        <v>Nigeria280000044670</v>
      </c>
      <c r="B21" t="s">
        <v>587</v>
      </c>
      <c r="C21" t="s">
        <v>101</v>
      </c>
      <c r="D21" t="e">
        <f>INDEX(Table1[#All],MATCH('Funding tracker'!#REF!,Table1[[#All],[Recipient country Name]],0),MATCH('Funding tracker'!D$1,Table1[#Headers],0))</f>
        <v>#REF!</v>
      </c>
      <c r="E21" t="e">
        <f>INDEX(Table1[#All],MATCH('Funding tracker'!#REF!,Table1[[#All],[Recipient country Name]],0),MATCH('Funding tracker'!E$1,Table1[#Headers],0))</f>
        <v>#REF!</v>
      </c>
      <c r="F21" s="185">
        <v>2800000</v>
      </c>
      <c r="G21" s="192" t="s">
        <v>178</v>
      </c>
      <c r="H21" s="180">
        <v>1417098.76</v>
      </c>
      <c r="I21" t="s">
        <v>235</v>
      </c>
      <c r="J21" t="s">
        <v>236</v>
      </c>
      <c r="K21" t="s">
        <v>232</v>
      </c>
      <c r="L21" s="63">
        <v>44670</v>
      </c>
      <c r="M21" t="s">
        <v>71</v>
      </c>
      <c r="N21" s="2">
        <v>44670</v>
      </c>
      <c r="O21" t="s">
        <v>71</v>
      </c>
      <c r="P21" t="s">
        <v>64</v>
      </c>
      <c r="Q21" s="2">
        <v>44671</v>
      </c>
      <c r="R21" s="55">
        <f>Table2[[#This Row],[Amount tracked through this row]]</f>
        <v>1417098.76</v>
      </c>
      <c r="S21" t="s">
        <v>71</v>
      </c>
      <c r="T21" s="2">
        <f>Table2[[#This Row],[Sources of funding identified (Date) - or standard request discussed during CoVDP Funding Alignment call]]</f>
        <v>44671</v>
      </c>
      <c r="U21" t="s">
        <v>71</v>
      </c>
      <c r="V21" s="2">
        <v>44676</v>
      </c>
      <c r="W21" s="13">
        <f>MONTH(Table2[[#This Row],[Funds disbursed (Date)]])</f>
        <v>4</v>
      </c>
      <c r="X21" s="203">
        <v>0.33</v>
      </c>
      <c r="Y21" t="s">
        <v>237</v>
      </c>
      <c r="Z21" s="62" t="str" cm="1">
        <f t="array" aca="1" ref="Z21" ca="1">_xlfn.IFS(Table2[[#This Row],[Sources of funding identified (yes / no / Identified as not urgent)]]=Utilities!$B$14,"Out of CoVDP scope",U21="yes",Overview!$C$13,AND(Table2[[#This Row],[Lead time from sources identified to today (if not disbursed yet)]]&lt;15,S21="yes"),Overview!$C$11,AND(Table2[[#This Row],[Lead time from sources identified to today (if not disbursed yet)]]&gt;15,S21="yes"),Overview!$C$12,O21="yes",Overview!$C$10,M21="yes",Overview!$C$9,M21="no",Overview!$C$8)</f>
        <v>Funds disbursed</v>
      </c>
      <c r="AA21" s="66">
        <f t="shared" ca="1" si="1"/>
        <v>115</v>
      </c>
      <c r="AB21" s="66">
        <f t="shared" ca="1" si="2"/>
        <v>115</v>
      </c>
      <c r="AC21" s="12">
        <f ca="1">IF(Table2[[#This Row],[Lead time from formal request received to today (days)]]&lt;400,Table2[[#This Row],[Lead time from formal request received to today (days)]],"-")</f>
        <v>115</v>
      </c>
      <c r="AD21" s="12" t="str">
        <f ca="1">IF(AND(Table2[[#This Row],[Funds disbursed (Date)]]="",Table2[[#This Row],[Source of funding identified (Details)]]&lt;&gt;""),TODAY()-Table2[[#This Row],[Sources of funding identified (Date) - or standard request discussed during CoVDP Funding Alignment call]],"-")</f>
        <v>-</v>
      </c>
      <c r="AE21" s="12">
        <f t="shared" ref="AE21:AE26" si="4">IF(V21="","-",_xlfn.DAYS(V21,N21))</f>
        <v>6</v>
      </c>
      <c r="AF21" s="12">
        <f t="shared" si="3"/>
        <v>4</v>
      </c>
      <c r="AG21" s="12" t="str">
        <f>IF(OR(V21="",Table2[[#This Row],[Source of funding identified (Details)]]&lt;&gt;Utilities!$B$6),"",NETWORKDAYS(Q21,V21)-1)</f>
        <v/>
      </c>
      <c r="AI21" t="str">
        <f>IF(Table2[[#This Row],[Column1]]=1,"NO","YES")</f>
        <v>NO</v>
      </c>
      <c r="AJ21" s="31">
        <f>COUNTIF(Table2[Request ID],Table2[[#This Row],[Request ID]])</f>
        <v>1</v>
      </c>
      <c r="AK21" s="62" t="str">
        <f ca="1">IF(Table2[[#This Row],[Status]]&lt;&gt;Overview!$C$13,Table2[[#This Row],[Lead time from informal request received to today (days)2]],"Disbursed")</f>
        <v>Disbursed</v>
      </c>
    </row>
    <row r="22" spans="1:37" x14ac:dyDescent="0.35">
      <c r="A22" t="str">
        <f t="shared" si="0"/>
        <v>Nigeria300000044631</v>
      </c>
      <c r="B22" t="s">
        <v>587</v>
      </c>
      <c r="C22" t="s">
        <v>101</v>
      </c>
      <c r="D22" t="str">
        <f>INDEX(Table1[#All],MATCH('Funding tracker'!$C26,Table1[[#All],[Recipient country Name]],0),MATCH('Funding tracker'!D$1,Table1[#Headers],0))</f>
        <v>Patience Musanhu</v>
      </c>
      <c r="E22" t="str">
        <f>INDEX(Table1[#All],MATCH('Funding tracker'!$C26,Table1[[#All],[Recipient country Name]],0),MATCH('Funding tracker'!E$1,Table1[#Headers],0))</f>
        <v>Abu</v>
      </c>
      <c r="F22" s="180">
        <v>3000000</v>
      </c>
      <c r="G22" s="192" t="s">
        <v>243</v>
      </c>
      <c r="H22" s="180">
        <v>3000000</v>
      </c>
      <c r="I22" t="s">
        <v>244</v>
      </c>
      <c r="J22" t="s">
        <v>245</v>
      </c>
      <c r="K22" t="s">
        <v>246</v>
      </c>
      <c r="L22" s="147">
        <v>44631</v>
      </c>
      <c r="M22" t="s">
        <v>72</v>
      </c>
      <c r="R22" s="55">
        <f>Table2[[#This Row],[Amount tracked through this row]]</f>
        <v>3000000</v>
      </c>
      <c r="T22" s="2"/>
      <c r="W22" s="13">
        <f>MONTH(Table2[[#This Row],[Funds disbursed (Date)]])</f>
        <v>1</v>
      </c>
      <c r="X22" s="203"/>
      <c r="Y22" s="15" t="s">
        <v>247</v>
      </c>
      <c r="Z22" s="62" t="str" cm="1">
        <f t="array" aca="1" ref="Z22" ca="1">_xlfn.IFS(Table2[[#This Row],[Sources of funding identified (yes / no / Identified as not urgent)]]=Utilities!$B$14,"Out of CoVDP scope",U22="yes",Overview!$C$13,AND(Table2[[#This Row],[Lead time from sources identified to today (if not disbursed yet)]]&lt;=15,S22="yes"),Overview!$C$11,AND(Table2[[#This Row],[Lead time from sources identified to today (if not disbursed yet)]]&gt;15,S22="yes"),Overview!$C$12,O22="yes",Overview!$C$10,M22="yes",Overview!$C$9,M22="no",Overview!$C$8)</f>
        <v>Pending additional details and/or formal request</v>
      </c>
      <c r="AA22" s="66">
        <f t="shared" ca="1" si="1"/>
        <v>44785</v>
      </c>
      <c r="AB22" s="66">
        <f t="shared" ca="1" si="2"/>
        <v>154</v>
      </c>
      <c r="AC22" s="12" t="str">
        <f ca="1">IF(Table2[[#This Row],[Lead time from formal request received to today (days)]]&lt;400,Table2[[#This Row],[Lead time from formal request received to today (days)]],"-")</f>
        <v>-</v>
      </c>
      <c r="AD22" s="12" t="str">
        <f ca="1">IF(AND(Table2[[#This Row],[Funds disbursed (Date)]]="",Table2[[#This Row],[Source of funding identified (Details)]]&lt;&gt;""),TODAY()-Table2[[#This Row],[Sources of funding identified (Date) - or standard request discussed during CoVDP Funding Alignment call]],"-")</f>
        <v>-</v>
      </c>
      <c r="AE22" s="12" t="str">
        <f t="shared" si="4"/>
        <v>-</v>
      </c>
      <c r="AF22" s="66" t="str">
        <f t="shared" si="3"/>
        <v/>
      </c>
      <c r="AG22" s="66" t="str">
        <f>IF(OR(V22="",Table2[[#This Row],[Source of funding identified (Details)]]&lt;&gt;Utilities!$B$6),"",NETWORKDAYS(Q22,V22)-1)</f>
        <v/>
      </c>
      <c r="AI22" t="str">
        <f>IF(Table2[[#This Row],[Column1]]=1,"NO","YES")</f>
        <v>NO</v>
      </c>
      <c r="AJ22" s="31">
        <f>COUNTIF(Table2[Request ID],Table2[[#This Row],[Request ID]])</f>
        <v>1</v>
      </c>
      <c r="AK22" s="62">
        <f ca="1">IF(Table2[[#This Row],[Status]]&lt;&gt;Overview!$C$13,Table2[[#This Row],[Lead time from informal request received to today (days)2]],"Disbursed")</f>
        <v>154</v>
      </c>
    </row>
    <row r="23" spans="1:37" s="59" customFormat="1" ht="12" customHeight="1" x14ac:dyDescent="0.35">
      <c r="A23" t="str">
        <f t="shared" si="0"/>
        <v>Nigeria610000044670</v>
      </c>
      <c r="B23" t="s">
        <v>587</v>
      </c>
      <c r="C23" t="s">
        <v>101</v>
      </c>
      <c r="D23" t="e">
        <f>INDEX(Table1[#All],MATCH('Funding tracker'!#REF!,Table1[[#All],[Recipient country Name]],0),MATCH('Funding tracker'!D$1,Table1[#Headers],0))</f>
        <v>#REF!</v>
      </c>
      <c r="E23" t="e">
        <f>INDEX(Table1[#All],MATCH('Funding tracker'!#REF!,Table1[[#All],[Recipient country Name]],0),MATCH('Funding tracker'!E$1,Table1[#Headers],0))</f>
        <v>#REF!</v>
      </c>
      <c r="F23" s="185">
        <v>6100000</v>
      </c>
      <c r="G23" s="192" t="s">
        <v>178</v>
      </c>
      <c r="H23" s="180">
        <v>3600000</v>
      </c>
      <c r="I23" t="s">
        <v>248</v>
      </c>
      <c r="J23" t="s">
        <v>236</v>
      </c>
      <c r="K23" t="s">
        <v>232</v>
      </c>
      <c r="L23" s="63">
        <v>44670</v>
      </c>
      <c r="M23" t="s">
        <v>71</v>
      </c>
      <c r="N23" s="147">
        <v>44670</v>
      </c>
      <c r="O23" t="s">
        <v>71</v>
      </c>
      <c r="P23" t="s">
        <v>64</v>
      </c>
      <c r="Q23" s="147">
        <v>44671</v>
      </c>
      <c r="R23" s="55">
        <f>Table2[[#This Row],[Amount tracked through this row]]</f>
        <v>3600000</v>
      </c>
      <c r="S23" t="s">
        <v>71</v>
      </c>
      <c r="T23" s="147">
        <f>Table2[[#This Row],[Sources of funding identified (Date) - or standard request discussed during CoVDP Funding Alignment call]]</f>
        <v>44671</v>
      </c>
      <c r="U23" t="s">
        <v>71</v>
      </c>
      <c r="V23" s="147">
        <v>44675</v>
      </c>
      <c r="W23" s="13">
        <f>MONTH(Table2[[#This Row],[Funds disbursed (Date)]])</f>
        <v>4</v>
      </c>
      <c r="X23" s="203">
        <v>0.33</v>
      </c>
      <c r="Y23" t="s">
        <v>237</v>
      </c>
      <c r="Z23" s="62" t="str" cm="1">
        <f t="array" aca="1" ref="Z23" ca="1">_xlfn.IFS(Table2[[#This Row],[Sources of funding identified (yes / no / Identified as not urgent)]]=Utilities!$B$14,"Out of CoVDP scope",U23="yes",Overview!$C$13,AND(Table2[[#This Row],[Lead time from sources identified to today (if not disbursed yet)]]&lt;15,S23="yes"),Overview!$C$11,AND(Table2[[#This Row],[Lead time from sources identified to today (if not disbursed yet)]]&gt;15,S23="yes"),Overview!$C$12,O23="yes",Overview!$C$10,M23="yes",Overview!$C$9,M23="no",Overview!$C$8)</f>
        <v>Funds disbursed</v>
      </c>
      <c r="AA23" s="66">
        <f t="shared" ca="1" si="1"/>
        <v>115</v>
      </c>
      <c r="AB23" s="66">
        <f t="shared" ca="1" si="2"/>
        <v>115</v>
      </c>
      <c r="AC23" s="12">
        <f ca="1">IF(Table2[[#This Row],[Lead time from formal request received to today (days)]]&lt;400,Table2[[#This Row],[Lead time from formal request received to today (days)]],"-")</f>
        <v>115</v>
      </c>
      <c r="AD23" s="12" t="str">
        <f ca="1">IF(AND(Table2[[#This Row],[Funds disbursed (Date)]]="",Table2[[#This Row],[Source of funding identified (Details)]]&lt;&gt;""),TODAY()-Table2[[#This Row],[Sources of funding identified (Date) - or standard request discussed during CoVDP Funding Alignment call]],"-")</f>
        <v>-</v>
      </c>
      <c r="AE23" s="12">
        <f t="shared" si="4"/>
        <v>5</v>
      </c>
      <c r="AF23" s="12">
        <f t="shared" si="3"/>
        <v>3</v>
      </c>
      <c r="AG23" s="12" t="str">
        <f>IF(OR(V23="",Table2[[#This Row],[Source of funding identified (Details)]]&lt;&gt;Utilities!$B$6),"",NETWORKDAYS(Q23,V23)-1)</f>
        <v/>
      </c>
      <c r="AH23"/>
      <c r="AI23" t="str">
        <f>IF(Table2[[#This Row],[Column1]]=1,"NO","YES")</f>
        <v>NO</v>
      </c>
      <c r="AJ23" s="31">
        <f>COUNTIF(Table2[Request ID],Table2[[#This Row],[Request ID]])</f>
        <v>1</v>
      </c>
      <c r="AK23" s="62" t="str">
        <f ca="1">IF(Table2[[#This Row],[Status]]&lt;&gt;Overview!$C$13,Table2[[#This Row],[Lead time from informal request received to today (days)2]],"Disbursed")</f>
        <v>Disbursed</v>
      </c>
    </row>
    <row r="24" spans="1:37" s="62" customFormat="1" x14ac:dyDescent="0.35">
      <c r="A24" t="str">
        <f t="shared" si="0"/>
        <v>Nigeria620000044677</v>
      </c>
      <c r="B24" t="s">
        <v>587</v>
      </c>
      <c r="C24" t="s">
        <v>101</v>
      </c>
      <c r="D24" t="str">
        <f>INDEX(Table1[#All],MATCH('Funding tracker'!$C29,Table1[[#All],[Recipient country Name]],0),MATCH('Funding tracker'!D$1,Table1[#Headers],0))</f>
        <v>Patience Musanhu</v>
      </c>
      <c r="E24" t="str">
        <f>INDEX(Table1[#All],MATCH('Funding tracker'!$C29,Table1[[#All],[Recipient country Name]],0),MATCH('Funding tracker'!E$1,Table1[#Headers],0))</f>
        <v>Abu</v>
      </c>
      <c r="F24" s="180">
        <v>6200000</v>
      </c>
      <c r="G24" s="192" t="s">
        <v>178</v>
      </c>
      <c r="H24" s="180">
        <v>6200000</v>
      </c>
      <c r="I24" t="s">
        <v>252</v>
      </c>
      <c r="J24" s="8" t="s">
        <v>253</v>
      </c>
      <c r="K24" t="s">
        <v>186</v>
      </c>
      <c r="L24" s="147">
        <v>44677</v>
      </c>
      <c r="M24" t="s">
        <v>71</v>
      </c>
      <c r="N24" s="147">
        <v>44692</v>
      </c>
      <c r="O24" t="s">
        <v>71</v>
      </c>
      <c r="P24" t="s">
        <v>66</v>
      </c>
      <c r="Q24" s="147">
        <v>44714</v>
      </c>
      <c r="R24" s="55">
        <f>Table2[[#This Row],[Amount tracked through this row]]</f>
        <v>6200000</v>
      </c>
      <c r="S24" t="s">
        <v>71</v>
      </c>
      <c r="T24" s="147">
        <v>44734</v>
      </c>
      <c r="U24" t="s">
        <v>72</v>
      </c>
      <c r="V24"/>
      <c r="W24" s="13">
        <f>MONTH(Table2[[#This Row],[Funds disbursed (Date)]])</f>
        <v>1</v>
      </c>
      <c r="X24" s="203"/>
      <c r="Y24" t="s">
        <v>254</v>
      </c>
      <c r="Z24" s="62" t="str" cm="1">
        <f t="array" aca="1" ref="Z24" ca="1">_xlfn.IFS(Table2[[#This Row],[Sources of funding identified (yes / no / Identified as not urgent)]]=Utilities!$B$14,"Out of CoVDP scope",U24="yes",Overview!$C$13,AND(Table2[[#This Row],[Lead time from sources identified to today (if not disbursed yet)]]&lt;=15,S24="yes"),Overview!$C$11,AND(Table2[[#This Row],[Lead time from sources identified to today (if not disbursed yet)]]&gt;15,S24="yes"),Overview!$C$12,O24="yes",Overview!$C$10,M24="yes",Overview!$C$9,M24="no",Overview!$C$8)</f>
        <v>Approved pending disbursement &gt;15 days</v>
      </c>
      <c r="AA24" s="66">
        <f t="shared" ca="1" si="1"/>
        <v>93</v>
      </c>
      <c r="AB24" s="66">
        <f t="shared" ca="1" si="2"/>
        <v>108</v>
      </c>
      <c r="AC24" s="12">
        <f ca="1">IF(Table2[[#This Row],[Lead time from formal request received to today (days)]]&lt;400,Table2[[#This Row],[Lead time from formal request received to today (days)]],"-")</f>
        <v>93</v>
      </c>
      <c r="AD24" s="12">
        <f ca="1">IF(AND(Table2[[#This Row],[Funds disbursed (Date)]]="",Table2[[#This Row],[Source of funding identified (Details)]]&lt;&gt;""),TODAY()-Table2[[#This Row],[Sources of funding identified (Date) - or standard request discussed during CoVDP Funding Alignment call]],"-")</f>
        <v>71</v>
      </c>
      <c r="AE24" s="12" t="str">
        <f t="shared" si="4"/>
        <v>-</v>
      </c>
      <c r="AF24" s="12" t="str">
        <f t="shared" si="3"/>
        <v/>
      </c>
      <c r="AG24" s="12" t="str">
        <f>IF(OR(V24="",Table2[[#This Row],[Source of funding identified (Details)]]&lt;&gt;Utilities!$B$6),"",NETWORKDAYS(Q24,V24)-1)</f>
        <v/>
      </c>
      <c r="AH24"/>
      <c r="AI24" t="str">
        <f>IF(Table2[[#This Row],[Column1]]=1,"NO","YES")</f>
        <v>NO</v>
      </c>
      <c r="AJ24" s="31">
        <f>COUNTIF(Table2[Request ID],Table2[[#This Row],[Request ID]])</f>
        <v>1</v>
      </c>
      <c r="AK24" s="62">
        <f ca="1">IF(Table2[[#This Row],[Status]]&lt;&gt;Overview!$C$13,Table2[[#This Row],[Lead time from informal request received to today (days)2]],"Disbursed")</f>
        <v>108</v>
      </c>
    </row>
    <row r="25" spans="1:37" ht="43.5" x14ac:dyDescent="0.35">
      <c r="A25" t="str">
        <f t="shared" si="0"/>
        <v>Sierra Leone152000044624</v>
      </c>
      <c r="B25" t="s">
        <v>588</v>
      </c>
      <c r="C25" t="s">
        <v>97</v>
      </c>
      <c r="D25" t="str">
        <f>INDEX(Table1[#All],MATCH('Funding tracker'!$C21,Table1[[#All],[Recipient country Name]],0),MATCH('Funding tracker'!D$1,Table1[#Headers],0))</f>
        <v>Hamidreza Setayesh</v>
      </c>
      <c r="E25" t="str">
        <f>INDEX(Table1[#All],MATCH('Funding tracker'!$C21,Table1[[#All],[Recipient country Name]],0),MATCH('Funding tracker'!E$1,Table1[#Headers],0))</f>
        <v>William</v>
      </c>
      <c r="F25" s="180">
        <v>1520000</v>
      </c>
      <c r="G25" s="197" t="s">
        <v>178</v>
      </c>
      <c r="H25" s="180">
        <v>1526147</v>
      </c>
      <c r="I25" t="s">
        <v>249</v>
      </c>
      <c r="J25" s="62" t="s">
        <v>250</v>
      </c>
      <c r="K25" t="s">
        <v>186</v>
      </c>
      <c r="L25" s="2">
        <v>44624</v>
      </c>
      <c r="M25" t="s">
        <v>71</v>
      </c>
      <c r="N25" s="147">
        <v>44650</v>
      </c>
      <c r="O25" t="s">
        <v>71</v>
      </c>
      <c r="P25" t="s">
        <v>64</v>
      </c>
      <c r="Q25" s="147">
        <v>44662</v>
      </c>
      <c r="R25" s="55">
        <f>Table2[[#This Row],[Amount tracked through this row]]</f>
        <v>1526147</v>
      </c>
      <c r="S25" t="s">
        <v>71</v>
      </c>
      <c r="T25" s="2">
        <v>44662</v>
      </c>
      <c r="U25" t="s">
        <v>71</v>
      </c>
      <c r="V25" s="147">
        <v>44662</v>
      </c>
      <c r="W25" s="13">
        <f>MONTH(Table2[[#This Row],[Funds disbursed (Date)]])</f>
        <v>4</v>
      </c>
      <c r="X25" s="203">
        <v>0.54</v>
      </c>
      <c r="Y25" s="15" t="s">
        <v>251</v>
      </c>
      <c r="Z25" s="62" t="str" cm="1">
        <f t="array" aca="1" ref="Z25" ca="1">_xlfn.IFS(Table2[[#This Row],[Sources of funding identified (yes / no / Identified as not urgent)]]=Utilities!$B$14,"Out of CoVDP scope",U25="yes",Overview!$C$13,AND(Table2[[#This Row],[Lead time from sources identified to today (if not disbursed yet)]]&lt;=15,S25="yes"),Overview!$C$11,AND(Table2[[#This Row],[Lead time from sources identified to today (if not disbursed yet)]]&gt;15,S25="yes"),Overview!$C$12,O25="yes",Overview!$C$10,M25="yes",Overview!$C$9,M25="no",Overview!$C$8)</f>
        <v>Funds disbursed</v>
      </c>
      <c r="AA25" s="12">
        <f t="shared" ca="1" si="1"/>
        <v>135</v>
      </c>
      <c r="AB25" s="12">
        <f t="shared" ca="1" si="2"/>
        <v>161</v>
      </c>
      <c r="AC25" s="12">
        <f ca="1">IF(Table2[[#This Row],[Lead time from formal request received to today (days)]]&lt;400,Table2[[#This Row],[Lead time from formal request received to today (days)]],"-")</f>
        <v>135</v>
      </c>
      <c r="AD25" s="12" t="str">
        <f ca="1">IF(AND(Table2[[#This Row],[Funds disbursed (Date)]]="",Table2[[#This Row],[Source of funding identified (Details)]]&lt;&gt;""),TODAY()-Table2[[#This Row],[Sources of funding identified (Date) - or standard request discussed during CoVDP Funding Alignment call]],"-")</f>
        <v>-</v>
      </c>
      <c r="AE25" s="12">
        <f t="shared" si="4"/>
        <v>12</v>
      </c>
      <c r="AF25" s="12">
        <f t="shared" si="3"/>
        <v>8</v>
      </c>
      <c r="AG25" s="12" t="str">
        <f>IF(OR(V25="",Table2[[#This Row],[Source of funding identified (Details)]]&lt;&gt;Utilities!$B$6),"",NETWORKDAYS(Q25,V25)-1)</f>
        <v/>
      </c>
      <c r="AI25" t="str">
        <f>IF(Table2[[#This Row],[Column1]]=1,"NO","YES")</f>
        <v>NO</v>
      </c>
      <c r="AJ25" s="31">
        <f>COUNTIF(Table2[Request ID],Table2[[#This Row],[Request ID]])</f>
        <v>1</v>
      </c>
      <c r="AK25" s="62" t="str">
        <f ca="1">IF(Table2[[#This Row],[Status]]&lt;&gt;Overview!$C$13,Table2[[#This Row],[Lead time from informal request received to today (days)2]],"Disbursed")</f>
        <v>Disbursed</v>
      </c>
    </row>
    <row r="26" spans="1:37" x14ac:dyDescent="0.35">
      <c r="A26" t="str">
        <f t="shared" si="0"/>
        <v>Somalia1743000044670</v>
      </c>
      <c r="B26" t="s">
        <v>582</v>
      </c>
      <c r="C26" t="s">
        <v>104</v>
      </c>
      <c r="D26" t="e">
        <f>INDEX(Table1[#All],MATCH('Funding tracker'!#REF!,Table1[[#All],[Recipient country Name]],0),MATCH('Funding tracker'!D$1,Table1[#Headers],0))</f>
        <v>#REF!</v>
      </c>
      <c r="E26" t="e">
        <f>INDEX(Table1[#All],MATCH('Funding tracker'!#REF!,Table1[[#All],[Recipient country Name]],0),MATCH('Funding tracker'!E$1,Table1[#Headers],0))</f>
        <v>#REF!</v>
      </c>
      <c r="F26" s="180">
        <v>17430000</v>
      </c>
      <c r="G26" s="192" t="s">
        <v>178</v>
      </c>
      <c r="H26" s="180">
        <v>5552930</v>
      </c>
      <c r="I26" t="s">
        <v>257</v>
      </c>
      <c r="J26" t="s">
        <v>258</v>
      </c>
      <c r="K26" t="s">
        <v>232</v>
      </c>
      <c r="L26" s="63">
        <v>44670</v>
      </c>
      <c r="M26" t="s">
        <v>71</v>
      </c>
      <c r="N26" s="147">
        <v>44670</v>
      </c>
      <c r="O26" t="s">
        <v>71</v>
      </c>
      <c r="P26" t="s">
        <v>66</v>
      </c>
      <c r="Q26" s="147">
        <v>44670</v>
      </c>
      <c r="R26" s="55">
        <f>Table2[[#This Row],[Amount tracked through this row]]</f>
        <v>5552930</v>
      </c>
      <c r="S26" t="s">
        <v>71</v>
      </c>
      <c r="T26" s="2">
        <f>Table2[[#This Row],[Sources of funding identified (Date) - or standard request discussed during CoVDP Funding Alignment call]]</f>
        <v>44670</v>
      </c>
      <c r="U26" t="s">
        <v>72</v>
      </c>
      <c r="V26" s="147"/>
      <c r="W26" s="13">
        <f>MONTH(Table2[[#This Row],[Funds disbursed (Date)]])</f>
        <v>1</v>
      </c>
      <c r="X26" s="203"/>
      <c r="Y26" s="59" t="s">
        <v>259</v>
      </c>
      <c r="Z26" s="62" t="str" cm="1">
        <f t="array" aca="1" ref="Z26" ca="1">_xlfn.IFS(Table2[[#This Row],[Sources of funding identified (yes / no / Identified as not urgent)]]=Utilities!$B$14,"Out of CoVDP scope",U26="yes",Overview!$C$13,AND(Table2[[#This Row],[Lead time from sources identified to today (if not disbursed yet)]]&lt;15,S26="yes"),Overview!$C$11,AND(Table2[[#This Row],[Lead time from sources identified to today (if not disbursed yet)]]&gt;15,S26="yes"),Overview!$C$12,O26="yes",Overview!$C$10,M26="yes",Overview!$C$9,M26="no",Overview!$C$8)</f>
        <v>Approved pending disbursement &gt;15 days</v>
      </c>
      <c r="AA26" s="66">
        <f t="shared" ca="1" si="1"/>
        <v>115</v>
      </c>
      <c r="AB26" s="66">
        <f t="shared" ca="1" si="2"/>
        <v>115</v>
      </c>
      <c r="AC26" s="12">
        <f ca="1">IF(Table2[[#This Row],[Lead time from formal request received to today (days)]]&lt;400,Table2[[#This Row],[Lead time from formal request received to today (days)]],"-")</f>
        <v>115</v>
      </c>
      <c r="AD26" s="12">
        <f ca="1">IF(AND(Table2[[#This Row],[Funds disbursed (Date)]]="",Table2[[#This Row],[Source of funding identified (Details)]]&lt;&gt;""),TODAY()-Table2[[#This Row],[Sources of funding identified (Date) - or standard request discussed during CoVDP Funding Alignment call]],"-")</f>
        <v>115</v>
      </c>
      <c r="AE26" s="12" t="str">
        <f t="shared" si="4"/>
        <v>-</v>
      </c>
      <c r="AF26" s="12" t="str">
        <f t="shared" si="3"/>
        <v/>
      </c>
      <c r="AG26" s="12" t="str">
        <f>IF(OR(V26="",Table2[[#This Row],[Source of funding identified (Details)]]&lt;&gt;Utilities!$B$6),"",NETWORKDAYS(Q26,V26)-1)</f>
        <v/>
      </c>
      <c r="AI26" t="str">
        <f>IF(Table2[[#This Row],[Column1]]=1,"NO","YES")</f>
        <v>YES</v>
      </c>
      <c r="AJ26" s="31">
        <f>COUNTIF(Table2[Request ID],Table2[[#This Row],[Request ID]])</f>
        <v>3</v>
      </c>
      <c r="AK26" s="62">
        <f ca="1">IF(Table2[[#This Row],[Status]]&lt;&gt;Overview!$C$13,Table2[[#This Row],[Lead time from informal request received to today (days)2]],"Disbursed")</f>
        <v>115</v>
      </c>
    </row>
    <row r="27" spans="1:37" x14ac:dyDescent="0.35">
      <c r="A27" t="str">
        <f t="shared" si="0"/>
        <v>Somalia1743000044670</v>
      </c>
      <c r="B27" t="s">
        <v>582</v>
      </c>
      <c r="C27" t="s">
        <v>104</v>
      </c>
      <c r="D27" t="str">
        <f>INDEX(Table1[#All],MATCH('Funding tracker'!$C39,Table1[[#All],[Recipient country Name]],0),MATCH('Funding tracker'!D$1,Table1[#Headers],0))</f>
        <v>Anne Cronin</v>
      </c>
      <c r="E27" t="str">
        <f>INDEX(Table1[#All],MATCH('Funding tracker'!$C39,Table1[[#All],[Recipient country Name]],0),MATCH('Funding tracker'!E$1,Table1[#Headers],0))</f>
        <v>Abu</v>
      </c>
      <c r="F27" s="180">
        <v>17430000</v>
      </c>
      <c r="G27" s="192" t="s">
        <v>178</v>
      </c>
      <c r="H27" s="180">
        <v>4661556</v>
      </c>
      <c r="I27" t="s">
        <v>260</v>
      </c>
      <c r="J27" t="s">
        <v>261</v>
      </c>
      <c r="K27" t="s">
        <v>232</v>
      </c>
      <c r="L27" s="174">
        <v>44670</v>
      </c>
      <c r="M27" t="s">
        <v>71</v>
      </c>
      <c r="N27" s="2">
        <v>44670</v>
      </c>
      <c r="O27" t="s">
        <v>71</v>
      </c>
      <c r="P27" t="s">
        <v>65</v>
      </c>
      <c r="Q27" s="2">
        <v>44711</v>
      </c>
      <c r="R27" s="55">
        <f>Table2[[#This Row],[Amount tracked through this row]]</f>
        <v>4661556</v>
      </c>
      <c r="S27" t="s">
        <v>71</v>
      </c>
      <c r="T27" s="2">
        <f>Table2[[#This Row],[Sources of funding identified (Date) - or standard request discussed during CoVDP Funding Alignment call]]</f>
        <v>44711</v>
      </c>
      <c r="U27" t="s">
        <v>72</v>
      </c>
      <c r="V27" s="2"/>
      <c r="W27" s="13">
        <f>MONTH(Table2[[#This Row],[Funds disbursed (Date)]])</f>
        <v>1</v>
      </c>
      <c r="X27" s="203"/>
      <c r="Z27" s="62" t="str" cm="1">
        <f t="array" aca="1" ref="Z27" ca="1">_xlfn.IFS(Table2[[#This Row],[Sources of funding identified (yes / no / Identified as not urgent)]]=Utilities!$B$14,"Out of CoVDP scope",U27="yes",Overview!$C$13,AND(Table2[[#This Row],[Lead time from sources identified to today (if not disbursed yet)]]&lt;15,S27="yes"),Overview!$C$11,AND(Table2[[#This Row],[Lead time from sources identified to today (if not disbursed yet)]]&gt;15,S27="yes"),Overview!$C$12,O27="yes",Overview!$C$10,M27="yes",Overview!$C$9,M27="no",Overview!$C$8)</f>
        <v>Approved pending disbursement &gt;15 days</v>
      </c>
      <c r="AA27" s="66">
        <f t="shared" ca="1" si="1"/>
        <v>115</v>
      </c>
      <c r="AB27" s="66">
        <f t="shared" ca="1" si="2"/>
        <v>115</v>
      </c>
      <c r="AC27" s="12">
        <f ca="1">IF(Table2[[#This Row],[Lead time from formal request received to today (days)]]&lt;400,Table2[[#This Row],[Lead time from formal request received to today (days)]],"-")</f>
        <v>115</v>
      </c>
      <c r="AD27" s="12">
        <f ca="1">IF(AND(Table2[[#This Row],[Funds disbursed (Date)]]="",Table2[[#This Row],[Source of funding identified (Details)]]&lt;&gt;""),TODAY()-Table2[[#This Row],[Sources of funding identified (Date) - or standard request discussed during CoVDP Funding Alignment call]],"-")</f>
        <v>74</v>
      </c>
      <c r="AE27" s="12"/>
      <c r="AF27" s="12" t="str">
        <f t="shared" si="3"/>
        <v/>
      </c>
      <c r="AG27" s="12" t="str">
        <f>IF(OR(V27="",Table2[[#This Row],[Source of funding identified (Details)]]&lt;&gt;Utilities!$B$6),"",NETWORKDAYS(Q27,V27)-1)</f>
        <v/>
      </c>
      <c r="AI27" t="str">
        <f>IF(Table2[[#This Row],[Column1]]=1,"NO","YES")</f>
        <v>YES</v>
      </c>
      <c r="AJ27" s="31">
        <f>COUNTIF(Table2[Request ID],Table2[[#This Row],[Request ID]])</f>
        <v>3</v>
      </c>
      <c r="AK27" s="62">
        <f ca="1">IF(Table2[[#This Row],[Status]]&lt;&gt;Overview!$C$13,Table2[[#This Row],[Lead time from informal request received to today (days)2]],"Disbursed")</f>
        <v>115</v>
      </c>
    </row>
    <row r="28" spans="1:37" ht="12.75" customHeight="1" x14ac:dyDescent="0.35">
      <c r="A28" t="str">
        <f t="shared" si="0"/>
        <v>Somalia1743000044670</v>
      </c>
      <c r="B28" t="s">
        <v>582</v>
      </c>
      <c r="C28" t="s">
        <v>104</v>
      </c>
      <c r="D28" t="str">
        <f>INDEX(Table1[#All],MATCH('Funding tracker'!$C35,Table1[[#All],[Recipient country Name]],0),MATCH('Funding tracker'!D$1,Table1[#Headers],0))</f>
        <v>Patience Musanhu</v>
      </c>
      <c r="E28" t="str">
        <f>INDEX(Table1[#All],MATCH('Funding tracker'!$C35,Table1[[#All],[Recipient country Name]],0),MATCH('Funding tracker'!E$1,Table1[#Headers],0))</f>
        <v>Ida Marie</v>
      </c>
      <c r="F28" s="180">
        <v>17430000</v>
      </c>
      <c r="G28" s="192" t="s">
        <v>178</v>
      </c>
      <c r="H28" s="180">
        <v>1923000</v>
      </c>
      <c r="I28" t="s">
        <v>268</v>
      </c>
      <c r="J28" t="s">
        <v>269</v>
      </c>
      <c r="K28" t="s">
        <v>232</v>
      </c>
      <c r="L28" s="63">
        <v>44670</v>
      </c>
      <c r="M28" t="s">
        <v>71</v>
      </c>
      <c r="N28" s="2">
        <v>44670</v>
      </c>
      <c r="O28" t="s">
        <v>71</v>
      </c>
      <c r="P28" t="s">
        <v>65</v>
      </c>
      <c r="Q28" s="2">
        <v>44670</v>
      </c>
      <c r="R28" s="55">
        <f>Table2[[#This Row],[Amount tracked through this row]]</f>
        <v>1923000</v>
      </c>
      <c r="S28" t="s">
        <v>71</v>
      </c>
      <c r="T28" s="2">
        <f>Table2[[#This Row],[Sources of funding identified (Date) - or standard request discussed during CoVDP Funding Alignment call]]</f>
        <v>44670</v>
      </c>
      <c r="U28" t="s">
        <v>71</v>
      </c>
      <c r="V28" s="2">
        <v>44678</v>
      </c>
      <c r="W28" s="13">
        <f>MONTH(Table2[[#This Row],[Funds disbursed (Date)]])</f>
        <v>4</v>
      </c>
      <c r="X28" s="203">
        <v>0.45</v>
      </c>
      <c r="Y28" t="s">
        <v>270</v>
      </c>
      <c r="Z28" s="62" t="str" cm="1">
        <f t="array" aca="1" ref="Z28" ca="1">_xlfn.IFS(Table2[[#This Row],[Sources of funding identified (yes / no / Identified as not urgent)]]=Utilities!$B$14,"Out of CoVDP scope",U28="yes",Overview!$C$13,AND(Table2[[#This Row],[Lead time from sources identified to today (if not disbursed yet)]]&lt;15,S28="yes"),Overview!$C$11,AND(Table2[[#This Row],[Lead time from sources identified to today (if not disbursed yet)]]&gt;15,S28="yes"),Overview!$C$12,O28="yes",Overview!$C$10,M28="yes",Overview!$C$9,M28="no",Overview!$C$8)</f>
        <v>Funds disbursed</v>
      </c>
      <c r="AA28" s="66">
        <f t="shared" ca="1" si="1"/>
        <v>115</v>
      </c>
      <c r="AB28" s="66">
        <f t="shared" ca="1" si="2"/>
        <v>115</v>
      </c>
      <c r="AC28" s="12">
        <f ca="1">IF(Table2[[#This Row],[Lead time from formal request received to today (days)]]&lt;400,Table2[[#This Row],[Lead time from formal request received to today (days)]],"-")</f>
        <v>115</v>
      </c>
      <c r="AD28" s="12" t="str">
        <f ca="1">IF(AND(Table2[[#This Row],[Funds disbursed (Date)]]="",Table2[[#This Row],[Source of funding identified (Details)]]&lt;&gt;""),TODAY()-Table2[[#This Row],[Sources of funding identified (Date) - or standard request discussed during CoVDP Funding Alignment call]],"-")</f>
        <v>-</v>
      </c>
      <c r="AE28" s="12"/>
      <c r="AF28" s="12">
        <f t="shared" si="3"/>
        <v>6</v>
      </c>
      <c r="AG28" s="12" t="str">
        <f>IF(OR(V28="",Table2[[#This Row],[Source of funding identified (Details)]]&lt;&gt;Utilities!$B$6),"",NETWORKDAYS(Q28,V28)-1)</f>
        <v/>
      </c>
      <c r="AI28" t="str">
        <f>IF(Table2[[#This Row],[Column1]]=1,"NO","YES")</f>
        <v>YES</v>
      </c>
      <c r="AJ28" s="31">
        <f>COUNTIF(Table2[Request ID],Table2[[#This Row],[Request ID]])</f>
        <v>3</v>
      </c>
      <c r="AK28" s="62" t="str">
        <f ca="1">IF(Table2[[#This Row],[Status]]&lt;&gt;Overview!$C$13,Table2[[#This Row],[Lead time from informal request received to today (days)2]],"Disbursed")</f>
        <v>Disbursed</v>
      </c>
    </row>
    <row r="29" spans="1:37" ht="13.4" customHeight="1" x14ac:dyDescent="0.35">
      <c r="A29" t="str">
        <f t="shared" si="0"/>
        <v>Somalia36600044670</v>
      </c>
      <c r="B29" t="s">
        <v>582</v>
      </c>
      <c r="C29" t="s">
        <v>104</v>
      </c>
      <c r="D29" t="str">
        <f>INDEX(Table1[#All],MATCH('Funding tracker'!$C36,Table1[[#All],[Recipient country Name]],0),MATCH('Funding tracker'!D$1,Table1[#Headers],0))</f>
        <v>Patience Musanhu</v>
      </c>
      <c r="E29" t="str">
        <f>INDEX(Table1[#All],MATCH('Funding tracker'!$C36,Table1[[#All],[Recipient country Name]],0),MATCH('Funding tracker'!E$1,Table1[#Headers],0))</f>
        <v>Ida Marie</v>
      </c>
      <c r="F29" s="180">
        <v>366000</v>
      </c>
      <c r="G29" s="192" t="s">
        <v>135</v>
      </c>
      <c r="H29" s="180">
        <v>225000</v>
      </c>
      <c r="I29" t="s">
        <v>271</v>
      </c>
      <c r="J29" t="s">
        <v>272</v>
      </c>
      <c r="K29" t="s">
        <v>232</v>
      </c>
      <c r="L29" s="63">
        <v>44670</v>
      </c>
      <c r="M29" t="s">
        <v>71</v>
      </c>
      <c r="N29" s="2">
        <v>44678</v>
      </c>
      <c r="O29" t="s">
        <v>71</v>
      </c>
      <c r="P29" t="s">
        <v>65</v>
      </c>
      <c r="Q29" s="2">
        <v>44670</v>
      </c>
      <c r="R29" s="55">
        <f>Table2[[#This Row],[Amount tracked through this row]]</f>
        <v>225000</v>
      </c>
      <c r="S29" t="s">
        <v>71</v>
      </c>
      <c r="T29" s="2">
        <v>44699</v>
      </c>
      <c r="U29" t="s">
        <v>72</v>
      </c>
      <c r="V29" s="147"/>
      <c r="W29" s="13">
        <f>MONTH(Table2[[#This Row],[Funds disbursed (Date)]])</f>
        <v>1</v>
      </c>
      <c r="X29" s="203"/>
      <c r="Y29" t="s">
        <v>273</v>
      </c>
      <c r="Z29" s="59" t="s">
        <v>24</v>
      </c>
      <c r="AA29" s="66">
        <f t="shared" ca="1" si="1"/>
        <v>107</v>
      </c>
      <c r="AB29" s="66">
        <f t="shared" ca="1" si="2"/>
        <v>115</v>
      </c>
      <c r="AC29" s="12">
        <f ca="1">IF(Table2[[#This Row],[Lead time from formal request received to today (days)]]&lt;400,Table2[[#This Row],[Lead time from formal request received to today (days)]],"-")</f>
        <v>107</v>
      </c>
      <c r="AD29" s="12">
        <f ca="1">IF(AND(Table2[[#This Row],[Funds disbursed (Date)]]="",Table2[[#This Row],[Source of funding identified (Details)]]&lt;&gt;""),TODAY()-Table2[[#This Row],[Sources of funding identified (Date) - or standard request discussed during CoVDP Funding Alignment call]],"-")</f>
        <v>115</v>
      </c>
      <c r="AE29" s="12"/>
      <c r="AF29" s="12" t="str">
        <f t="shared" si="3"/>
        <v/>
      </c>
      <c r="AG29" s="12" t="str">
        <f>IF(OR(V29="",Table2[[#This Row],[Source of funding identified (Details)]]&lt;&gt;Utilities!$B$6),"",NETWORKDAYS(Q29,V29)-1)</f>
        <v/>
      </c>
      <c r="AI29" t="str">
        <f>IF(Table2[[#This Row],[Column1]]=1,"NO","YES")</f>
        <v>NO</v>
      </c>
      <c r="AJ29" s="31">
        <f>COUNTIF(Table2[Request ID],Table2[[#This Row],[Request ID]])</f>
        <v>1</v>
      </c>
      <c r="AK29" s="62">
        <f ca="1">IF(Table2[[#This Row],[Status]]&lt;&gt;Overview!$C$13,Table2[[#This Row],[Lead time from informal request received to today (days)2]],"Disbursed")</f>
        <v>115</v>
      </c>
    </row>
    <row r="30" spans="1:37" x14ac:dyDescent="0.35">
      <c r="A30" t="str">
        <f t="shared" si="0"/>
        <v>Somalia1743000044711</v>
      </c>
      <c r="B30" t="s">
        <v>582</v>
      </c>
      <c r="C30" t="s">
        <v>104</v>
      </c>
      <c r="D30" t="str">
        <f>INDEX(Table1[#All],MATCH('Funding tracker'!$C40,Table1[[#All],[Recipient country Name]],0),MATCH('Funding tracker'!D$1,Table1[#Headers],0))</f>
        <v>Anne Cronin</v>
      </c>
      <c r="E30" t="str">
        <f>INDEX(Table1[#All],MATCH('Funding tracker'!$C40,Table1[[#All],[Recipient country Name]],0),MATCH('Funding tracker'!E$1,Table1[#Headers],0))</f>
        <v>Abu</v>
      </c>
      <c r="F30" s="180">
        <v>17430000</v>
      </c>
      <c r="G30" s="192" t="s">
        <v>178</v>
      </c>
      <c r="H30" s="180">
        <v>5114501</v>
      </c>
      <c r="I30" t="s">
        <v>274</v>
      </c>
      <c r="J30" t="s">
        <v>261</v>
      </c>
      <c r="K30" t="s">
        <v>232</v>
      </c>
      <c r="L30" s="63">
        <v>44711</v>
      </c>
      <c r="M30" t="s">
        <v>71</v>
      </c>
      <c r="N30" s="147">
        <v>44712</v>
      </c>
      <c r="O30" t="s">
        <v>71</v>
      </c>
      <c r="P30" t="s">
        <v>64</v>
      </c>
      <c r="Q30" s="147">
        <v>44712</v>
      </c>
      <c r="R30" s="55">
        <f>Table2[[#This Row],[Amount tracked through this row]]</f>
        <v>5114501</v>
      </c>
      <c r="S30" t="s">
        <v>71</v>
      </c>
      <c r="T30" s="2">
        <f>Table2[[#This Row],[Sources of funding identified (Date) - or standard request discussed during CoVDP Funding Alignment call]]</f>
        <v>44712</v>
      </c>
      <c r="U30" t="s">
        <v>71</v>
      </c>
      <c r="V30" s="147">
        <v>44713</v>
      </c>
      <c r="W30" s="13">
        <f>MONTH(Table2[[#This Row],[Funds disbursed (Date)]])</f>
        <v>6</v>
      </c>
      <c r="X30" s="203">
        <v>0</v>
      </c>
      <c r="Y30" t="s">
        <v>275</v>
      </c>
      <c r="Z30" s="62" t="str" cm="1">
        <f t="array" aca="1" ref="Z30" ca="1">_xlfn.IFS(Table2[[#This Row],[Sources of funding identified (yes / no / Identified as not urgent)]]=Utilities!$B$14,"Out of CoVDP scope",U30="yes",Overview!$C$13,AND(Table2[[#This Row],[Lead time from sources identified to today (if not disbursed yet)]]&lt;15,S30="yes"),Overview!$C$11,AND(Table2[[#This Row],[Lead time from sources identified to today (if not disbursed yet)]]&gt;15,S30="yes"),Overview!$C$12,O30="yes",Overview!$C$10,M30="yes",Overview!$C$9,M30="no",Overview!$C$8)</f>
        <v>Funds disbursed</v>
      </c>
      <c r="AA30" s="66">
        <f t="shared" ca="1" si="1"/>
        <v>73</v>
      </c>
      <c r="AB30" s="66">
        <f t="shared" ca="1" si="2"/>
        <v>74</v>
      </c>
      <c r="AC30" s="12">
        <f ca="1">IF(Table2[[#This Row],[Lead time from formal request received to today (days)]]&lt;400,Table2[[#This Row],[Lead time from formal request received to today (days)]],"-")</f>
        <v>73</v>
      </c>
      <c r="AD30" s="12" t="str">
        <f ca="1">IF(AND(Table2[[#This Row],[Funds disbursed (Date)]]="",Table2[[#This Row],[Source of funding identified (Details)]]&lt;&gt;""),TODAY()-Table2[[#This Row],[Sources of funding identified (Date) - or standard request discussed during CoVDP Funding Alignment call]],"-")</f>
        <v>-</v>
      </c>
      <c r="AE30" s="12">
        <f>IF(V30="","-",_xlfn.DAYS(V30,N30))</f>
        <v>1</v>
      </c>
      <c r="AF30" s="12">
        <f t="shared" si="3"/>
        <v>1</v>
      </c>
      <c r="AG30" s="12" t="str">
        <f>IF(OR(V30="",Table2[[#This Row],[Source of funding identified (Details)]]&lt;&gt;Utilities!$B$6),"",NETWORKDAYS(Q30,V30)-1)</f>
        <v/>
      </c>
      <c r="AI30" t="str">
        <f>IF(Table2[[#This Row],[Column1]]=1,"NO","YES")</f>
        <v>NO</v>
      </c>
      <c r="AJ30" s="31">
        <f>COUNTIF(Table2[Request ID],Table2[[#This Row],[Request ID]])</f>
        <v>1</v>
      </c>
      <c r="AK30" s="62" t="str">
        <f ca="1">IF(Table2[[#This Row],[Status]]&lt;&gt;Overview!$C$13,Table2[[#This Row],[Lead time from informal request received to today (days)2]],"Disbursed")</f>
        <v>Disbursed</v>
      </c>
    </row>
    <row r="31" spans="1:37" x14ac:dyDescent="0.35">
      <c r="A31" s="149" t="str">
        <f t="shared" si="0"/>
        <v>South Sudan1488200044620</v>
      </c>
      <c r="B31" t="s">
        <v>589</v>
      </c>
      <c r="C31" s="150" t="s">
        <v>98</v>
      </c>
      <c r="D31" s="149" t="str">
        <f>INDEX(Table1[#All],MATCH('Funding tracker'!$C16,Table1[[#All],[Recipient country Name]],0),MATCH('Funding tracker'!D$1,Table1[#Headers],0))</f>
        <v>Aichatou Cisse</v>
      </c>
      <c r="E31" s="149" t="str">
        <f>INDEX(Table1[#All],MATCH('Funding tracker'!$C16,Table1[[#All],[Recipient country Name]],0),MATCH('Funding tracker'!E$1,Table1[#Headers],0))</f>
        <v>Imran</v>
      </c>
      <c r="F31" s="182">
        <v>14882000</v>
      </c>
      <c r="G31" s="193" t="s">
        <v>178</v>
      </c>
      <c r="H31" s="200">
        <v>915854</v>
      </c>
      <c r="I31" s="151" t="s">
        <v>217</v>
      </c>
      <c r="J31" s="152" t="s">
        <v>218</v>
      </c>
      <c r="K31" s="149" t="s">
        <v>148</v>
      </c>
      <c r="L31" s="154">
        <v>44620</v>
      </c>
      <c r="M31" s="149" t="s">
        <v>71</v>
      </c>
      <c r="N31" s="137">
        <v>44644</v>
      </c>
      <c r="O31" s="149" t="s">
        <v>71</v>
      </c>
      <c r="P31" s="149" t="s">
        <v>66</v>
      </c>
      <c r="Q31" s="137">
        <v>44644</v>
      </c>
      <c r="R31" s="153">
        <f>Table2[[#This Row],[Amount tracked through this row]]</f>
        <v>915854</v>
      </c>
      <c r="S31" s="149" t="s">
        <v>71</v>
      </c>
      <c r="T31" s="154">
        <f>Table2[[#This Row],[Sources of funding identified (Date) - or standard request discussed during CoVDP Funding Alignment call]]</f>
        <v>44644</v>
      </c>
      <c r="U31" s="149" t="s">
        <v>71</v>
      </c>
      <c r="V31" s="137">
        <v>44685</v>
      </c>
      <c r="W31" s="155">
        <f>MONTH(Table2[[#This Row],[Funds disbursed (Date)]])</f>
        <v>5</v>
      </c>
      <c r="X31" s="206"/>
      <c r="Y31" s="156" t="s">
        <v>219</v>
      </c>
      <c r="Z31" s="149" t="str" cm="1">
        <f t="array" aca="1" ref="Z31" ca="1">_xlfn.IFS(Table2[[#This Row],[Sources of funding identified (yes / no / Identified as not urgent)]]=Utilities!$B$14,"Out of CoVDP scope",U31="yes",Overview!$C$13,AND(Table2[[#This Row],[Lead time from sources identified to today (if not disbursed yet)]]&lt;15,S31="yes"),Overview!$C$11,AND(Table2[[#This Row],[Lead time from sources identified to today (if not disbursed yet)]]&gt;15,S31="yes"),Overview!$C$12,O31="yes",Overview!$C$10,M31="yes",Overview!$C$9,M31="no",Overview!$C$8)</f>
        <v>Funds disbursed</v>
      </c>
      <c r="AA31" s="157">
        <f t="shared" ca="1" si="1"/>
        <v>141</v>
      </c>
      <c r="AB31" s="157">
        <f t="shared" ca="1" si="2"/>
        <v>165</v>
      </c>
      <c r="AC31" s="157">
        <f ca="1">IF(Table2[[#This Row],[Lead time from formal request received to today (days)]]&lt;400,Table2[[#This Row],[Lead time from formal request received to today (days)]],"-")</f>
        <v>141</v>
      </c>
      <c r="AD31" s="157" t="str">
        <f ca="1">IF(AND(Table2[[#This Row],[Funds disbursed (Date)]]="",Table2[[#This Row],[Source of funding identified (Details)]]&lt;&gt;""),TODAY()-Table2[[#This Row],[Sources of funding identified (Date) - or standard request discussed during CoVDP Funding Alignment call]],"-")</f>
        <v>-</v>
      </c>
      <c r="AE31" s="158"/>
      <c r="AF31" s="157">
        <f t="shared" si="3"/>
        <v>29</v>
      </c>
      <c r="AG31" s="157">
        <f>IF(OR(V31="",Table2[[#This Row],[Source of funding identified (Details)]]&lt;&gt;Utilities!$B$6),"",NETWORKDAYS(Q31,V31)-1)</f>
        <v>29</v>
      </c>
      <c r="AH31" s="149"/>
      <c r="AI31" s="149" t="str">
        <f>IF(Table2[[#This Row],[Column1]]=1,"NO","YES")</f>
        <v>YES</v>
      </c>
      <c r="AJ31" s="159">
        <f>COUNTIF(Table2[Request ID],Table2[[#This Row],[Request ID]])</f>
        <v>6</v>
      </c>
      <c r="AK31" s="149" t="str">
        <f ca="1">IF(Table2[[#This Row],[Status]]&lt;&gt;Overview!$C$13,Table2[[#This Row],[Lead time from informal request received to today (days)2]],"Disbursed")</f>
        <v>Disbursed</v>
      </c>
    </row>
    <row r="32" spans="1:37" x14ac:dyDescent="0.35">
      <c r="A32" s="162" t="str">
        <f t="shared" si="0"/>
        <v>South Sudan1488200044620</v>
      </c>
      <c r="B32" t="s">
        <v>589</v>
      </c>
      <c r="C32" s="163" t="s">
        <v>98</v>
      </c>
      <c r="D32" s="163" t="str">
        <f>INDEX(Table1[#All],MATCH('Funding tracker'!$C17,Table1[[#All],[Recipient country Name]],0),MATCH('Funding tracker'!D$1,Table1[#Headers],0))</f>
        <v>Jessica Crawford</v>
      </c>
      <c r="E32" s="163" t="str">
        <f>INDEX(Table1[#All],MATCH('Funding tracker'!$C17,Table1[[#All],[Recipient country Name]],0),MATCH('Funding tracker'!E$1,Table1[#Headers],0))</f>
        <v>Adidja</v>
      </c>
      <c r="F32" s="183">
        <v>14882000</v>
      </c>
      <c r="G32" s="194" t="s">
        <v>178</v>
      </c>
      <c r="H32" s="201">
        <v>322452</v>
      </c>
      <c r="I32" s="163" t="s">
        <v>220</v>
      </c>
      <c r="J32" s="164" t="s">
        <v>221</v>
      </c>
      <c r="K32" s="162" t="s">
        <v>148</v>
      </c>
      <c r="L32" s="167">
        <v>44620</v>
      </c>
      <c r="M32" s="162" t="s">
        <v>71</v>
      </c>
      <c r="N32" s="165">
        <v>44644</v>
      </c>
      <c r="O32" s="162" t="s">
        <v>71</v>
      </c>
      <c r="P32" s="162" t="s">
        <v>66</v>
      </c>
      <c r="Q32" s="165">
        <v>44644</v>
      </c>
      <c r="R32" s="166">
        <f>Table2[[#This Row],[Amount tracked through this row]]</f>
        <v>322452</v>
      </c>
      <c r="S32" s="162" t="s">
        <v>71</v>
      </c>
      <c r="T32" s="167">
        <f>Table2[[#This Row],[Sources of funding identified (Date) - or standard request discussed during CoVDP Funding Alignment call]]</f>
        <v>44644</v>
      </c>
      <c r="U32" s="162" t="s">
        <v>71</v>
      </c>
      <c r="V32" s="165">
        <v>44685</v>
      </c>
      <c r="W32" s="168">
        <f>MONTH(Table2[[#This Row],[Funds disbursed (Date)]])</f>
        <v>5</v>
      </c>
      <c r="X32" s="207"/>
      <c r="Y32" s="169" t="s">
        <v>222</v>
      </c>
      <c r="Z32" s="162" t="str" cm="1">
        <f t="array" aca="1" ref="Z32" ca="1">_xlfn.IFS(Table2[[#This Row],[Sources of funding identified (yes / no / Identified as not urgent)]]=Utilities!$B$14,"Out of CoVDP scope",U32="yes",Overview!$C$13,AND(Table2[[#This Row],[Lead time from sources identified to today (if not disbursed yet)]]&lt;15,S32="yes"),Overview!$C$11,AND(Table2[[#This Row],[Lead time from sources identified to today (if not disbursed yet)]]&gt;15,S32="yes"),Overview!$C$12,O32="yes",Overview!$C$10,M32="yes",Overview!$C$9,M32="no",Overview!$C$8)</f>
        <v>Funds disbursed</v>
      </c>
      <c r="AA32" s="170">
        <f t="shared" ca="1" si="1"/>
        <v>141</v>
      </c>
      <c r="AB32" s="170">
        <f t="shared" ca="1" si="2"/>
        <v>165</v>
      </c>
      <c r="AC32" s="170">
        <f ca="1">IF(Table2[[#This Row],[Lead time from formal request received to today (days)]]&lt;400,Table2[[#This Row],[Lead time from formal request received to today (days)]],"-")</f>
        <v>141</v>
      </c>
      <c r="AD32" s="170" t="str">
        <f ca="1">IF(AND(Table2[[#This Row],[Funds disbursed (Date)]]="",Table2[[#This Row],[Source of funding identified (Details)]]&lt;&gt;""),TODAY()-Table2[[#This Row],[Sources of funding identified (Date) - or standard request discussed during CoVDP Funding Alignment call]],"-")</f>
        <v>-</v>
      </c>
      <c r="AE32" s="171"/>
      <c r="AF32" s="170">
        <f t="shared" si="3"/>
        <v>29</v>
      </c>
      <c r="AG32" s="170">
        <f>IF(OR(V32="",Table2[[#This Row],[Source of funding identified (Details)]]&lt;&gt;Utilities!$B$6),"",NETWORKDAYS(Q32,V32)-1)</f>
        <v>29</v>
      </c>
      <c r="AH32" s="162"/>
      <c r="AI32" s="162" t="str">
        <f>IF(Table2[[#This Row],[Column1]]=1,"NO","YES")</f>
        <v>YES</v>
      </c>
      <c r="AJ32" s="172">
        <f>COUNTIF(Table2[Request ID],Table2[[#This Row],[Request ID]])</f>
        <v>6</v>
      </c>
      <c r="AK32" s="162" t="str">
        <f ca="1">IF(Table2[[#This Row],[Status]]&lt;&gt;Overview!$C$13,Table2[[#This Row],[Lead time from informal request received to today (days)2]],"Disbursed")</f>
        <v>Disbursed</v>
      </c>
    </row>
    <row r="33" spans="1:37" x14ac:dyDescent="0.35">
      <c r="A33" s="149" t="str">
        <f t="shared" si="0"/>
        <v>South Sudan1488200044620</v>
      </c>
      <c r="B33" t="s">
        <v>589</v>
      </c>
      <c r="C33" s="150" t="s">
        <v>98</v>
      </c>
      <c r="D33" s="150" t="str">
        <f>INDEX(Table1[#All],MATCH('Funding tracker'!$C18,Table1[[#All],[Recipient country Name]],0),MATCH('Funding tracker'!D$1,Table1[#Headers],0))</f>
        <v>Nadia Lasri</v>
      </c>
      <c r="E33" s="150">
        <f>INDEX(Table1[#All],MATCH('Funding tracker'!$C18,Table1[[#All],[Recipient country Name]],0),MATCH('Funding tracker'!E$1,Table1[#Headers],0))</f>
        <v>0</v>
      </c>
      <c r="F33" s="182">
        <v>14882000</v>
      </c>
      <c r="G33" s="195" t="s">
        <v>178</v>
      </c>
      <c r="H33" s="200">
        <v>65590</v>
      </c>
      <c r="I33" s="150" t="s">
        <v>223</v>
      </c>
      <c r="J33" s="152" t="s">
        <v>221</v>
      </c>
      <c r="K33" s="149" t="s">
        <v>148</v>
      </c>
      <c r="L33" s="154">
        <v>44620</v>
      </c>
      <c r="M33" s="149" t="s">
        <v>71</v>
      </c>
      <c r="N33" s="137">
        <v>44644</v>
      </c>
      <c r="O33" s="149" t="s">
        <v>71</v>
      </c>
      <c r="P33" s="149" t="s">
        <v>66</v>
      </c>
      <c r="Q33" s="137">
        <v>44644</v>
      </c>
      <c r="R33" s="153">
        <f>Table2[[#This Row],[Amount tracked through this row]]</f>
        <v>65590</v>
      </c>
      <c r="S33" s="149" t="s">
        <v>71</v>
      </c>
      <c r="T33" s="154">
        <f>Table2[[#This Row],[Sources of funding identified (Date) - or standard request discussed during CoVDP Funding Alignment call]]</f>
        <v>44644</v>
      </c>
      <c r="U33" s="149" t="s">
        <v>71</v>
      </c>
      <c r="V33" s="137">
        <v>44685</v>
      </c>
      <c r="W33" s="155">
        <f>MONTH(Table2[[#This Row],[Funds disbursed (Date)]])</f>
        <v>5</v>
      </c>
      <c r="X33" s="206"/>
      <c r="Y33" s="156" t="s">
        <v>224</v>
      </c>
      <c r="Z33" s="149" t="str" cm="1">
        <f t="array" aca="1" ref="Z33" ca="1">_xlfn.IFS(Table2[[#This Row],[Sources of funding identified (yes / no / Identified as not urgent)]]=Utilities!$B$14,"Out of CoVDP scope",U33="yes",Overview!$C$13,AND(Table2[[#This Row],[Lead time from sources identified to today (if not disbursed yet)]]&lt;15,S33="yes"),Overview!$C$11,AND(Table2[[#This Row],[Lead time from sources identified to today (if not disbursed yet)]]&gt;15,S33="yes"),Overview!$C$12,O33="yes",Overview!$C$10,M33="yes",Overview!$C$9,M33="no",Overview!$C$8)</f>
        <v>Funds disbursed</v>
      </c>
      <c r="AA33" s="157">
        <f t="shared" ca="1" si="1"/>
        <v>141</v>
      </c>
      <c r="AB33" s="157">
        <f t="shared" ca="1" si="2"/>
        <v>165</v>
      </c>
      <c r="AC33" s="157">
        <f ca="1">IF(Table2[[#This Row],[Lead time from formal request received to today (days)]]&lt;400,Table2[[#This Row],[Lead time from formal request received to today (days)]],"-")</f>
        <v>141</v>
      </c>
      <c r="AD33" s="157" t="str">
        <f ca="1">IF(AND(Table2[[#This Row],[Funds disbursed (Date)]]="",Table2[[#This Row],[Source of funding identified (Details)]]&lt;&gt;""),TODAY()-Table2[[#This Row],[Sources of funding identified (Date) - or standard request discussed during CoVDP Funding Alignment call]],"-")</f>
        <v>-</v>
      </c>
      <c r="AE33" s="158"/>
      <c r="AF33" s="157">
        <f t="shared" si="3"/>
        <v>29</v>
      </c>
      <c r="AG33" s="157">
        <f>IF(OR(V33="",Table2[[#This Row],[Source of funding identified (Details)]]&lt;&gt;Utilities!$B$6),"",NETWORKDAYS(Q33,V33)-1)</f>
        <v>29</v>
      </c>
      <c r="AH33" s="149"/>
      <c r="AI33" s="149" t="str">
        <f>IF(Table2[[#This Row],[Column1]]=1,"NO","YES")</f>
        <v>YES</v>
      </c>
      <c r="AJ33" s="159">
        <f>COUNTIF(Table2[Request ID],Table2[[#This Row],[Request ID]])</f>
        <v>6</v>
      </c>
      <c r="AK33" s="149" t="str">
        <f ca="1">IF(Table2[[#This Row],[Status]]&lt;&gt;Overview!$C$13,Table2[[#This Row],[Lead time from informal request received to today (days)2]],"Disbursed")</f>
        <v>Disbursed</v>
      </c>
    </row>
    <row r="34" spans="1:37" x14ac:dyDescent="0.35">
      <c r="A34" s="128" t="str">
        <f t="shared" si="0"/>
        <v>South Sudan1488200044620</v>
      </c>
      <c r="B34" t="s">
        <v>589</v>
      </c>
      <c r="C34" s="163" t="s">
        <v>98</v>
      </c>
      <c r="D34" s="163" t="str">
        <f>INDEX(Table1[#All],MATCH('Funding tracker'!$C19,Table1[[#All],[Recipient country Name]],0),MATCH('Funding tracker'!D$1,Table1[#Headers],0))</f>
        <v>Billie Nieuwenhuys</v>
      </c>
      <c r="E34" s="163">
        <f>INDEX(Table1[#All],MATCH('Funding tracker'!$C19,Table1[[#All],[Recipient country Name]],0),MATCH('Funding tracker'!E$1,Table1[#Headers],0))</f>
        <v>0</v>
      </c>
      <c r="F34" s="183">
        <v>14882000</v>
      </c>
      <c r="G34" s="194" t="s">
        <v>178</v>
      </c>
      <c r="H34" s="201">
        <v>1125809</v>
      </c>
      <c r="I34" s="163" t="s">
        <v>225</v>
      </c>
      <c r="J34" s="164" t="s">
        <v>226</v>
      </c>
      <c r="K34" s="162" t="s">
        <v>148</v>
      </c>
      <c r="L34" s="167">
        <v>44620</v>
      </c>
      <c r="M34" s="162" t="s">
        <v>71</v>
      </c>
      <c r="N34" s="165">
        <v>44644</v>
      </c>
      <c r="O34" s="162" t="s">
        <v>71</v>
      </c>
      <c r="P34" s="162" t="s">
        <v>66</v>
      </c>
      <c r="Q34" s="165">
        <v>44644</v>
      </c>
      <c r="R34" s="166">
        <f>Table2[[#This Row],[Amount tracked through this row]]</f>
        <v>1125809</v>
      </c>
      <c r="S34" s="162" t="s">
        <v>71</v>
      </c>
      <c r="T34" s="167">
        <f>Table2[[#This Row],[Sources of funding identified (Date) - or standard request discussed during CoVDP Funding Alignment call]]</f>
        <v>44644</v>
      </c>
      <c r="U34" s="162" t="s">
        <v>71</v>
      </c>
      <c r="V34" s="165">
        <v>44706</v>
      </c>
      <c r="W34" s="131">
        <f>MONTH(Table2[[#This Row],[Funds disbursed (Date)]])</f>
        <v>5</v>
      </c>
      <c r="X34" s="208"/>
      <c r="Y34" s="169" t="s">
        <v>227</v>
      </c>
      <c r="Z34" s="162" t="str" cm="1">
        <f t="array" aca="1" ref="Z34" ca="1">_xlfn.IFS(Table2[[#This Row],[Sources of funding identified (yes / no / Identified as not urgent)]]=Utilities!$B$14,"Out of CoVDP scope",U34="yes",Overview!$C$13,AND(Table2[[#This Row],[Lead time from sources identified to today (if not disbursed yet)]]&lt;15,S34="yes"),Overview!$C$11,AND(Table2[[#This Row],[Lead time from sources identified to today (if not disbursed yet)]]&gt;15,S34="yes"),Overview!$C$12,O34="yes",Overview!$C$10,M34="yes",Overview!$C$9,M34="no",Overview!$C$8)</f>
        <v>Funds disbursed</v>
      </c>
      <c r="AA34" s="170">
        <f t="shared" ca="1" si="1"/>
        <v>141</v>
      </c>
      <c r="AB34" s="170">
        <f t="shared" ca="1" si="2"/>
        <v>165</v>
      </c>
      <c r="AC34" s="170">
        <f ca="1">IF(Table2[[#This Row],[Lead time from formal request received to today (days)]]&lt;400,Table2[[#This Row],[Lead time from formal request received to today (days)]],"-")</f>
        <v>141</v>
      </c>
      <c r="AD34" s="170" t="str">
        <f ca="1">IF(AND(Table2[[#This Row],[Funds disbursed (Date)]]="",Table2[[#This Row],[Source of funding identified (Details)]]&lt;&gt;""),TODAY()-Table2[[#This Row],[Sources of funding identified (Date) - or standard request discussed during CoVDP Funding Alignment call]],"-")</f>
        <v>-</v>
      </c>
      <c r="AE34" s="12"/>
      <c r="AF34" s="133">
        <f t="shared" si="3"/>
        <v>44</v>
      </c>
      <c r="AG34" s="133">
        <f>IF(OR(V34="",Table2[[#This Row],[Source of funding identified (Details)]]&lt;&gt;Utilities!$B$6),"",NETWORKDAYS(Q34,V34)-1)</f>
        <v>44</v>
      </c>
      <c r="AH34" s="162"/>
      <c r="AI34" s="162" t="str">
        <f>IF(Table2[[#This Row],[Column1]]=1,"NO","YES")</f>
        <v>YES</v>
      </c>
      <c r="AJ34" s="172">
        <f>COUNTIF(Table2[Request ID],Table2[[#This Row],[Request ID]])</f>
        <v>6</v>
      </c>
      <c r="AK34" s="162" t="str">
        <f ca="1">IF(Table2[[#This Row],[Status]]&lt;&gt;Overview!$C$13,Table2[[#This Row],[Lead time from informal request received to today (days)2]],"Disbursed")</f>
        <v>Disbursed</v>
      </c>
    </row>
    <row r="35" spans="1:37" x14ac:dyDescent="0.35">
      <c r="A35" s="135" t="str">
        <f t="shared" si="0"/>
        <v>South Sudan1488200044620</v>
      </c>
      <c r="B35" t="s">
        <v>589</v>
      </c>
      <c r="C35" s="135" t="s">
        <v>98</v>
      </c>
      <c r="D35" s="135" t="str">
        <f>INDEX(Table1[#All],MATCH('Funding tracker'!$C20,Table1[[#All],[Recipient country Name]],0),MATCH('Funding tracker'!D$1,Table1[#Headers],0))</f>
        <v>Billie Nieuwenhuys</v>
      </c>
      <c r="E35" s="135">
        <f>INDEX(Table1[#All],MATCH('Funding tracker'!$C20,Table1[[#All],[Recipient country Name]],0),MATCH('Funding tracker'!E$1,Table1[#Headers],0))</f>
        <v>0</v>
      </c>
      <c r="F35" s="184">
        <v>14882000</v>
      </c>
      <c r="G35" s="196" t="s">
        <v>133</v>
      </c>
      <c r="H35" s="202">
        <f>2798000-H31-H32-H33-H34</f>
        <v>368295</v>
      </c>
      <c r="I35" s="135" t="s">
        <v>228</v>
      </c>
      <c r="J35" s="129" t="s">
        <v>229</v>
      </c>
      <c r="K35" s="162" t="s">
        <v>148</v>
      </c>
      <c r="L35" s="167">
        <v>44620</v>
      </c>
      <c r="M35" s="135" t="s">
        <v>71</v>
      </c>
      <c r="N35" s="136">
        <v>44644</v>
      </c>
      <c r="O35" s="135" t="s">
        <v>71</v>
      </c>
      <c r="P35" s="135" t="s">
        <v>66</v>
      </c>
      <c r="Q35" s="136">
        <v>44644</v>
      </c>
      <c r="R35" s="139">
        <f>Table2[[#This Row],[Amount tracked through this row]]</f>
        <v>368295</v>
      </c>
      <c r="S35" s="135" t="s">
        <v>71</v>
      </c>
      <c r="T35" s="136">
        <f>Table2[[#This Row],[Sources of funding identified (Date) - or standard request discussed during CoVDP Funding Alignment call]]</f>
        <v>44644</v>
      </c>
      <c r="U35" s="135" t="s">
        <v>71</v>
      </c>
      <c r="V35" s="136">
        <v>44685</v>
      </c>
      <c r="W35" s="140">
        <f>MONTH(Table2[[#This Row],[Funds disbursed (Date)]])</f>
        <v>5</v>
      </c>
      <c r="X35" s="209"/>
      <c r="Y35" s="161" t="s">
        <v>230</v>
      </c>
      <c r="Z35" s="128" t="str" cm="1">
        <f t="array" aca="1" ref="Z35" ca="1">_xlfn.IFS(Table2[[#This Row],[Sources of funding identified (yes / no / Identified as not urgent)]]=Utilities!$B$14,"Out of CoVDP scope",U35="yes",Overview!$C$13,AND(Table2[[#This Row],[Lead time from sources identified to today (if not disbursed yet)]]&lt;=15,S35="yes"),Overview!$C$11,AND(Table2[[#This Row],[Lead time from sources identified to today (if not disbursed yet)]]&gt;15,S35="yes"),Overview!$C$12,O35="yes",Overview!$C$10,M35="yes",Overview!$C$9,M35="no",Overview!$C$8)</f>
        <v>Funds disbursed</v>
      </c>
      <c r="AA35" s="133">
        <f t="shared" ca="1" si="1"/>
        <v>141</v>
      </c>
      <c r="AB35" s="133">
        <f t="shared" ca="1" si="2"/>
        <v>165</v>
      </c>
      <c r="AC35" s="141">
        <f ca="1">IF(Table2[[#This Row],[Lead time from formal request received to today (days)]]&lt;400,Table2[[#This Row],[Lead time from formal request received to today (days)]],"-")</f>
        <v>141</v>
      </c>
      <c r="AD35" s="141" t="str">
        <f ca="1">IF(AND(Table2[[#This Row],[Funds disbursed (Date)]]="",Table2[[#This Row],[Source of funding identified (Details)]]&lt;&gt;""),TODAY()-Table2[[#This Row],[Sources of funding identified (Date) - or standard request discussed during CoVDP Funding Alignment call]],"-")</f>
        <v>-</v>
      </c>
      <c r="AE35" s="12">
        <f>IF(V35="","-",_xlfn.DAYS(V35,N35))</f>
        <v>41</v>
      </c>
      <c r="AF35" s="141">
        <f t="shared" si="3"/>
        <v>29</v>
      </c>
      <c r="AG35" s="141">
        <f>IF(OR(V35="",Table2[[#This Row],[Source of funding identified (Details)]]&lt;&gt;Utilities!$B$6),"",NETWORKDAYS(Q35,V35)-1)</f>
        <v>29</v>
      </c>
      <c r="AH35" s="135"/>
      <c r="AI35" s="135" t="str">
        <f>IF(Table2[[#This Row],[Column1]]=1,"NO","YES")</f>
        <v>YES</v>
      </c>
      <c r="AJ35" s="138">
        <f>COUNTIF(Table2[Request ID],Table2[[#This Row],[Request ID]])</f>
        <v>6</v>
      </c>
      <c r="AK35" s="128" t="str">
        <f ca="1">IF(Table2[[#This Row],[Status]]&lt;&gt;Overview!$C$13,Table2[[#This Row],[Lead time from informal request received to today (days)2]],"Disbursed")</f>
        <v>Disbursed</v>
      </c>
    </row>
    <row r="36" spans="1:37" x14ac:dyDescent="0.35">
      <c r="A36" s="149" t="str">
        <f t="shared" si="0"/>
        <v>South Sudan1488200044620</v>
      </c>
      <c r="B36" t="s">
        <v>589</v>
      </c>
      <c r="C36" s="150" t="s">
        <v>98</v>
      </c>
      <c r="D36" s="149" t="str">
        <f>INDEX(Table1[#All],MATCH('Funding tracker'!$C14,Table1[[#All],[Recipient country Name]],0),MATCH('Funding tracker'!D$1,Table1[#Headers],0))</f>
        <v>Tito Rwamushaija</v>
      </c>
      <c r="E36" s="149" t="str">
        <f>INDEX(Table1[#All],MATCH('Funding tracker'!$C14,Table1[[#All],[Recipient country Name]],0),MATCH('Funding tracker'!E$1,Table1[#Headers],0))</f>
        <v>William</v>
      </c>
      <c r="F36" s="182">
        <v>14882000</v>
      </c>
      <c r="G36" s="193" t="s">
        <v>178</v>
      </c>
      <c r="H36" s="200">
        <v>3000000</v>
      </c>
      <c r="I36" s="149" t="s">
        <v>276</v>
      </c>
      <c r="J36" s="152" t="s">
        <v>277</v>
      </c>
      <c r="K36" s="149" t="s">
        <v>148</v>
      </c>
      <c r="L36" s="154">
        <v>44620</v>
      </c>
      <c r="M36" s="149" t="s">
        <v>71</v>
      </c>
      <c r="N36" s="137">
        <v>44644</v>
      </c>
      <c r="O36" s="149" t="s">
        <v>71</v>
      </c>
      <c r="P36" s="149" t="s">
        <v>64</v>
      </c>
      <c r="Q36" s="137">
        <v>44649</v>
      </c>
      <c r="R36" s="153">
        <f>Table2[[#This Row],[Amount tracked through this row]]</f>
        <v>3000000</v>
      </c>
      <c r="S36" s="149" t="s">
        <v>71</v>
      </c>
      <c r="T36" s="154">
        <f>Table2[[#This Row],[Sources of funding identified (Date) - or standard request discussed during CoVDP Funding Alignment call]]</f>
        <v>44649</v>
      </c>
      <c r="U36" s="149" t="s">
        <v>71</v>
      </c>
      <c r="V36" s="137">
        <v>44655</v>
      </c>
      <c r="W36" s="155">
        <f>MONTH(Table2[[#This Row],[Funds disbursed (Date)]])</f>
        <v>4</v>
      </c>
      <c r="X36" s="206">
        <v>0.03</v>
      </c>
      <c r="Y36" s="156" t="s">
        <v>278</v>
      </c>
      <c r="Z36" s="149" t="str" cm="1">
        <f t="array" aca="1" ref="Z36" ca="1">_xlfn.IFS(Table2[[#This Row],[Sources of funding identified (yes / no / Identified as not urgent)]]=Utilities!$B$14,"Out of CoVDP scope",U36="yes",Overview!$C$13,AND(Table2[[#This Row],[Lead time from sources identified to today (if not disbursed yet)]]&lt;15,S36="yes"),Overview!$C$11,AND(Table2[[#This Row],[Lead time from sources identified to today (if not disbursed yet)]]&gt;15,S36="yes"),Overview!$C$12,O36="yes",Overview!$C$10,M36="yes",Overview!$C$9,M36="no",Overview!$C$8)</f>
        <v>Funds disbursed</v>
      </c>
      <c r="AA36" s="157">
        <f t="shared" ca="1" si="1"/>
        <v>141</v>
      </c>
      <c r="AB36" s="157">
        <f t="shared" ca="1" si="2"/>
        <v>165</v>
      </c>
      <c r="AC36" s="157">
        <f ca="1">IF(Table2[[#This Row],[Lead time from formal request received to today (days)]]&lt;400,Table2[[#This Row],[Lead time from formal request received to today (days)]],"-")</f>
        <v>141</v>
      </c>
      <c r="AD36" s="157" t="str">
        <f ca="1">IF(AND(Table2[[#This Row],[Funds disbursed (Date)]]="",Table2[[#This Row],[Source of funding identified (Details)]]&lt;&gt;""),TODAY()-Table2[[#This Row],[Sources of funding identified (Date) - or standard request discussed during CoVDP Funding Alignment call]],"-")</f>
        <v>-</v>
      </c>
      <c r="AE36" s="158">
        <f>IF(V36="","-",_xlfn.DAYS(V36,N36))</f>
        <v>11</v>
      </c>
      <c r="AF36" s="157">
        <f t="shared" si="3"/>
        <v>7</v>
      </c>
      <c r="AG36" s="157" t="str">
        <f>IF(OR(V36="",Table2[[#This Row],[Source of funding identified (Details)]]&lt;&gt;Utilities!$B$6),"",NETWORKDAYS(Q36,V36)-1)</f>
        <v/>
      </c>
      <c r="AH36" s="149"/>
      <c r="AI36" s="149" t="str">
        <f>IF(Table2[[#This Row],[Column1]]=1,"NO","YES")</f>
        <v>YES</v>
      </c>
      <c r="AJ36" s="159">
        <f>COUNTIF(Table2[Request ID],Table2[[#This Row],[Request ID]])</f>
        <v>6</v>
      </c>
      <c r="AK36" s="149" t="str">
        <f ca="1">IF(Table2[[#This Row],[Status]]&lt;&gt;Overview!$C$13,Table2[[#This Row],[Lead time from informal request received to today (days)2]],"Disbursed")</f>
        <v>Disbursed</v>
      </c>
    </row>
    <row r="37" spans="1:37" x14ac:dyDescent="0.35">
      <c r="A37" s="128" t="str">
        <f t="shared" si="0"/>
        <v>South Sudan1488200044663</v>
      </c>
      <c r="B37" t="s">
        <v>589</v>
      </c>
      <c r="C37" s="135" t="s">
        <v>98</v>
      </c>
      <c r="D37" s="128" t="str">
        <f>INDEX(Table1[#All],MATCH('Funding tracker'!$C15,Table1[[#All],[Recipient country Name]],0),MATCH('Funding tracker'!D$1,Table1[#Headers],0))</f>
        <v>Tito Rwamushaija</v>
      </c>
      <c r="E37" s="128" t="str">
        <f>INDEX(Table1[#All],MATCH('Funding tracker'!$C15,Table1[[#All],[Recipient country Name]],0),MATCH('Funding tracker'!E$1,Table1[#Headers],0))</f>
        <v>William</v>
      </c>
      <c r="F37" s="184">
        <v>14882000</v>
      </c>
      <c r="G37" s="198" t="s">
        <v>178</v>
      </c>
      <c r="H37" s="202">
        <v>43000</v>
      </c>
      <c r="I37" s="128" t="s">
        <v>281</v>
      </c>
      <c r="J37" s="129"/>
      <c r="K37" s="128" t="s">
        <v>148</v>
      </c>
      <c r="L37" s="148">
        <v>44663</v>
      </c>
      <c r="M37" s="128" t="s">
        <v>71</v>
      </c>
      <c r="N37" s="136">
        <v>44663</v>
      </c>
      <c r="O37" s="128" t="s">
        <v>71</v>
      </c>
      <c r="P37" s="128" t="s">
        <v>64</v>
      </c>
      <c r="Q37" s="136">
        <v>44673</v>
      </c>
      <c r="R37" s="130">
        <f>Table2[[#This Row],[Amount tracked through this row]]</f>
        <v>43000</v>
      </c>
      <c r="S37" s="128" t="s">
        <v>71</v>
      </c>
      <c r="T37" s="148">
        <f>Table2[[#This Row],[Sources of funding identified (Date) - or standard request discussed during CoVDP Funding Alignment call]]</f>
        <v>44673</v>
      </c>
      <c r="U37" s="128" t="s">
        <v>71</v>
      </c>
      <c r="V37" s="137">
        <v>44673</v>
      </c>
      <c r="W37" s="131">
        <f>MONTH(Table2[[#This Row],[Funds disbursed (Date)]])</f>
        <v>4</v>
      </c>
      <c r="X37" s="208">
        <v>0.03</v>
      </c>
      <c r="Y37" s="132" t="s">
        <v>282</v>
      </c>
      <c r="Z37" s="128" t="str" cm="1">
        <f t="array" aca="1" ref="Z37" ca="1">_xlfn.IFS(Table2[[#This Row],[Sources of funding identified (yes / no / Identified as not urgent)]]=Utilities!$B$14,"Out of CoVDP scope",U37="yes",Overview!$C$13,AND(Table2[[#This Row],[Lead time from sources identified to today (if not disbursed yet)]]&lt;15,S37="yes"),Overview!$C$11,AND(Table2[[#This Row],[Lead time from sources identified to today (if not disbursed yet)]]&gt;15,S37="yes"),Overview!$C$12,O37="yes",Overview!$C$10,M37="yes",Overview!$C$9,M37="no",Overview!$C$8)</f>
        <v>Funds disbursed</v>
      </c>
      <c r="AA37" s="133">
        <f t="shared" ca="1" si="1"/>
        <v>122</v>
      </c>
      <c r="AB37" s="133">
        <f t="shared" ca="1" si="2"/>
        <v>122</v>
      </c>
      <c r="AC37" s="133">
        <f ca="1">IF(Table2[[#This Row],[Lead time from formal request received to today (days)]]&lt;400,Table2[[#This Row],[Lead time from formal request received to today (days)]],"-")</f>
        <v>122</v>
      </c>
      <c r="AD37" s="133" t="str">
        <f ca="1">IF(AND(Table2[[#This Row],[Funds disbursed (Date)]]="",Table2[[#This Row],[Source of funding identified (Details)]]&lt;&gt;""),TODAY()-Table2[[#This Row],[Sources of funding identified (Date) - or standard request discussed during CoVDP Funding Alignment call]],"-")</f>
        <v>-</v>
      </c>
      <c r="AE37" s="12"/>
      <c r="AF37" s="133">
        <f t="shared" si="3"/>
        <v>8</v>
      </c>
      <c r="AG37" s="133" t="str">
        <f>IF(OR(V37="",Table2[[#This Row],[Source of funding identified (Details)]]&lt;&gt;Utilities!$B$6),"",NETWORKDAYS(Q37,V37)-1)</f>
        <v/>
      </c>
      <c r="AH37" s="128"/>
      <c r="AI37" s="128" t="str">
        <f>IF(Table2[[#This Row],[Column1]]=1,"NO","YES")</f>
        <v>NO</v>
      </c>
      <c r="AJ37" s="138">
        <f>COUNTIF(Table2[Request ID],Table2[[#This Row],[Request ID]])</f>
        <v>1</v>
      </c>
      <c r="AK37" s="128" t="str">
        <f ca="1">IF(Table2[[#This Row],[Status]]&lt;&gt;Overview!$C$13,Table2[[#This Row],[Lead time from informal request received to today (days)2]],"Disbursed")</f>
        <v>Disbursed</v>
      </c>
    </row>
    <row r="38" spans="1:37" x14ac:dyDescent="0.35">
      <c r="A38" t="str">
        <f t="shared" si="0"/>
        <v>Sudan21829690.973559344640</v>
      </c>
      <c r="B38" t="s">
        <v>590</v>
      </c>
      <c r="C38" t="s">
        <v>103</v>
      </c>
      <c r="D38" t="str">
        <f>INDEX(Table1[#All],MATCH('Funding tracker'!$C32,Table1[[#All],[Recipient country Name]],0),MATCH('Funding tracker'!D$1,Table1[#Headers],0))</f>
        <v>Patience Musanhu</v>
      </c>
      <c r="E38" t="str">
        <f>INDEX(Table1[#All],MATCH('Funding tracker'!$C32,Table1[[#All],[Recipient country Name]],0),MATCH('Funding tracker'!E$1,Table1[#Headers],0))</f>
        <v>Ida Marie</v>
      </c>
      <c r="F38" s="188">
        <v>21829690.973559324</v>
      </c>
      <c r="G38" s="192" t="s">
        <v>133</v>
      </c>
      <c r="H38" s="188">
        <v>3600000</v>
      </c>
      <c r="I38" t="s">
        <v>262</v>
      </c>
      <c r="J38" t="s">
        <v>263</v>
      </c>
      <c r="K38" t="s">
        <v>186</v>
      </c>
      <c r="L38" s="147">
        <v>44640</v>
      </c>
      <c r="M38" t="s">
        <v>71</v>
      </c>
      <c r="N38" s="147">
        <v>44712</v>
      </c>
      <c r="O38" t="s">
        <v>71</v>
      </c>
      <c r="P38" t="s">
        <v>65</v>
      </c>
      <c r="Q38" s="147">
        <v>44712</v>
      </c>
      <c r="R38" s="55">
        <f>Table2[[#This Row],[Amount tracked through this row]]</f>
        <v>3600000</v>
      </c>
      <c r="S38" t="s">
        <v>71</v>
      </c>
      <c r="T38" s="147">
        <v>44720</v>
      </c>
      <c r="U38" t="s">
        <v>72</v>
      </c>
      <c r="W38" s="13">
        <f>MONTH(Table2[[#This Row],[Funds disbursed (Date)]])</f>
        <v>1</v>
      </c>
      <c r="X38" s="203"/>
      <c r="Y38" t="s">
        <v>264</v>
      </c>
      <c r="Z38" s="62" t="str" cm="1">
        <f t="array" aca="1" ref="Z38" ca="1">_xlfn.IFS(Table2[[#This Row],[Sources of funding identified (yes / no / Identified as not urgent)]]=Utilities!$B$14,"Out of CoVDP scope",U38="yes",Overview!$C$13,AND(Table2[[#This Row],[Lead time from sources identified to today (if not disbursed yet)]]&lt;15,S38="yes"),Overview!$C$11,AND(Table2[[#This Row],[Lead time from sources identified to today (if not disbursed yet)]]&gt;15,S38="yes"),Overview!$C$12,O38="yes",Overview!$C$10,M38="yes",Overview!$C$9,M38="no",Overview!$C$8)</f>
        <v>Approved pending disbursement &gt;15 days</v>
      </c>
      <c r="AA38" s="66">
        <f t="shared" ca="1" si="1"/>
        <v>73</v>
      </c>
      <c r="AB38" s="66">
        <f t="shared" ca="1" si="2"/>
        <v>145</v>
      </c>
      <c r="AC38" s="12">
        <f ca="1">IF(Table2[[#This Row],[Lead time from formal request received to today (days)]]&lt;400,Table2[[#This Row],[Lead time from formal request received to today (days)]],"-")</f>
        <v>73</v>
      </c>
      <c r="AD38" s="12">
        <f ca="1">IF(AND(Table2[[#This Row],[Funds disbursed (Date)]]="",Table2[[#This Row],[Source of funding identified (Details)]]&lt;&gt;""),TODAY()-Table2[[#This Row],[Sources of funding identified (Date) - or standard request discussed during CoVDP Funding Alignment call]],"-")</f>
        <v>73</v>
      </c>
      <c r="AE38" s="12"/>
      <c r="AF38" s="12" t="str">
        <f t="shared" si="3"/>
        <v/>
      </c>
      <c r="AG38" s="12" t="str">
        <f>IF(OR(V38="",Table2[[#This Row],[Source of funding identified (Details)]]&lt;&gt;Utilities!$B$6),"",NETWORKDAYS(Q38,V38)-1)</f>
        <v/>
      </c>
      <c r="AI38" t="str">
        <f>IF(Table2[[#This Row],[Column1]]=1,"NO","YES")</f>
        <v>YES</v>
      </c>
      <c r="AJ38" s="31">
        <f>COUNTIF(Table2[Request ID],Table2[[#This Row],[Request ID]])</f>
        <v>2</v>
      </c>
      <c r="AK38" s="62">
        <f ca="1">IF(Table2[[#This Row],[Status]]&lt;&gt;Overview!$C$13,Table2[[#This Row],[Lead time from informal request received to today (days)2]],"Disbursed")</f>
        <v>145</v>
      </c>
    </row>
    <row r="39" spans="1:37" x14ac:dyDescent="0.35">
      <c r="A39" t="str">
        <f t="shared" si="0"/>
        <v>Sudan510000044648</v>
      </c>
      <c r="B39" t="s">
        <v>590</v>
      </c>
      <c r="C39" t="s">
        <v>103</v>
      </c>
      <c r="D39" t="str">
        <f>INDEX(Table1[#All],MATCH('Funding tracker'!$C34,Table1[[#All],[Recipient country Name]],0),MATCH('Funding tracker'!D$1,Table1[#Headers],0))</f>
        <v>Patience Musanhu</v>
      </c>
      <c r="E39" t="str">
        <f>INDEX(Table1[#All],MATCH('Funding tracker'!$C34,Table1[[#All],[Recipient country Name]],0),MATCH('Funding tracker'!E$1,Table1[#Headers],0))</f>
        <v>Ida Marie</v>
      </c>
      <c r="F39" s="180">
        <v>5100000</v>
      </c>
      <c r="G39" s="192" t="s">
        <v>133</v>
      </c>
      <c r="H39" s="188">
        <v>5763000</v>
      </c>
      <c r="I39" t="s">
        <v>265</v>
      </c>
      <c r="J39" t="s">
        <v>266</v>
      </c>
      <c r="K39" t="s">
        <v>232</v>
      </c>
      <c r="L39" s="63">
        <v>44648</v>
      </c>
      <c r="M39" t="s">
        <v>71</v>
      </c>
      <c r="N39" s="2">
        <v>44648</v>
      </c>
      <c r="O39" t="s">
        <v>71</v>
      </c>
      <c r="P39" t="s">
        <v>66</v>
      </c>
      <c r="Q39" s="2">
        <v>44648</v>
      </c>
      <c r="R39" s="55">
        <f>Table2[[#This Row],[Amount tracked through this row]]</f>
        <v>5763000</v>
      </c>
      <c r="S39" t="s">
        <v>71</v>
      </c>
      <c r="T39" s="147">
        <v>44683</v>
      </c>
      <c r="U39" t="s">
        <v>71</v>
      </c>
      <c r="V39" s="147">
        <v>44698</v>
      </c>
      <c r="W39" s="13">
        <f>MONTH(Table2[[#This Row],[Funds disbursed (Date)]])</f>
        <v>5</v>
      </c>
      <c r="X39" s="203"/>
      <c r="Y39" t="s">
        <v>267</v>
      </c>
      <c r="Z39" s="62" t="str" cm="1">
        <f t="array" aca="1" ref="Z39" ca="1">_xlfn.IFS(Table2[[#This Row],[Sources of funding identified (yes / no / Identified as not urgent)]]=Utilities!$B$14,"Out of CoVDP scope",U39="yes",Overview!$C$13,AND(Table2[[#This Row],[Lead time from sources identified to today (if not disbursed yet)]]&lt;=15,S39="yes"),Overview!$C$11,AND(Table2[[#This Row],[Lead time from sources identified to today (if not disbursed yet)]]&gt;15,S39="yes"),Overview!$C$12,O39="yes",Overview!$C$10,M39="yes",Overview!$C$9,M39="no",Overview!$C$8)</f>
        <v>Funds disbursed</v>
      </c>
      <c r="AA39" s="66">
        <f t="shared" ca="1" si="1"/>
        <v>137</v>
      </c>
      <c r="AB39" s="66">
        <f t="shared" ca="1" si="2"/>
        <v>137</v>
      </c>
      <c r="AC39" s="12">
        <f ca="1">IF(Table2[[#This Row],[Lead time from formal request received to today (days)]]&lt;400,Table2[[#This Row],[Lead time from formal request received to today (days)]],"-")</f>
        <v>137</v>
      </c>
      <c r="AD39" s="12" t="str">
        <f ca="1">IF(AND(Table2[[#This Row],[Funds disbursed (Date)]]="",Table2[[#This Row],[Source of funding identified (Details)]]&lt;&gt;""),TODAY()-Table2[[#This Row],[Sources of funding identified (Date) - or standard request discussed during CoVDP Funding Alignment call]],"-")</f>
        <v>-</v>
      </c>
      <c r="AE39" s="12">
        <f>IF(V39="","-",_xlfn.DAYS(V39,N39))</f>
        <v>50</v>
      </c>
      <c r="AF39" s="12">
        <f t="shared" si="3"/>
        <v>36</v>
      </c>
      <c r="AG39" s="12">
        <f>IF(OR(V39="",Table2[[#This Row],[Source of funding identified (Details)]]&lt;&gt;Utilities!$B$6),"",NETWORKDAYS(Q39,V39)-1)</f>
        <v>36</v>
      </c>
      <c r="AI39" t="str">
        <f>IF(Table2[[#This Row],[Column1]]=1,"NO","YES")</f>
        <v>NO</v>
      </c>
      <c r="AJ39" s="31">
        <f>COUNTIF(Table2[Request ID],Table2[[#This Row],[Request ID]])</f>
        <v>1</v>
      </c>
      <c r="AK39" s="62" t="str">
        <f ca="1">IF(Table2[[#This Row],[Status]]&lt;&gt;Overview!$C$13,Table2[[#This Row],[Lead time from informal request received to today (days)2]],"Disbursed")</f>
        <v>Disbursed</v>
      </c>
    </row>
    <row r="40" spans="1:37" x14ac:dyDescent="0.35">
      <c r="A40" t="str">
        <f t="shared" si="0"/>
        <v>Sudan21829690.973559344640</v>
      </c>
      <c r="B40" t="s">
        <v>590</v>
      </c>
      <c r="C40" t="s">
        <v>103</v>
      </c>
      <c r="D40" t="str">
        <f>INDEX(Table1[#All],MATCH('Funding tracker'!$C33,Table1[[#All],[Recipient country Name]],0),MATCH('Funding tracker'!D$1,Table1[#Headers],0))</f>
        <v>Patience Musanhu</v>
      </c>
      <c r="E40" t="str">
        <f>INDEX(Table1[#All],MATCH('Funding tracker'!$C33,Table1[[#All],[Recipient country Name]],0),MATCH('Funding tracker'!E$1,Table1[#Headers],0))</f>
        <v>Ida Marie</v>
      </c>
      <c r="F40" s="187">
        <v>21829690.973559324</v>
      </c>
      <c r="G40" s="192" t="s">
        <v>133</v>
      </c>
      <c r="H40" s="187">
        <v>14629690.973559324</v>
      </c>
      <c r="I40" t="s">
        <v>279</v>
      </c>
      <c r="J40" t="s">
        <v>263</v>
      </c>
      <c r="K40" t="s">
        <v>186</v>
      </c>
      <c r="L40" s="147">
        <v>44640</v>
      </c>
      <c r="M40" t="s">
        <v>72</v>
      </c>
      <c r="N40" s="147"/>
      <c r="O40" t="s">
        <v>72</v>
      </c>
      <c r="P40" t="s">
        <v>66</v>
      </c>
      <c r="Q40" s="147"/>
      <c r="R40" s="55">
        <f>Table2[[#This Row],[Amount tracked through this row]]</f>
        <v>14629690.973559324</v>
      </c>
      <c r="S40" t="s">
        <v>72</v>
      </c>
      <c r="T40" s="147"/>
      <c r="U40" t="s">
        <v>72</v>
      </c>
      <c r="W40" s="13">
        <f>MONTH(Table2[[#This Row],[Funds disbursed (Date)]])</f>
        <v>1</v>
      </c>
      <c r="X40" s="203"/>
      <c r="Y40" t="s">
        <v>280</v>
      </c>
      <c r="Z40" s="62" t="str" cm="1">
        <f t="array" aca="1" ref="Z40" ca="1">_xlfn.IFS(Table2[[#This Row],[Sources of funding identified (yes / no / Identified as not urgent)]]=Utilities!$B$14,"Out of CoVDP scope",U40="yes",Overview!$C$13,AND(Table2[[#This Row],[Lead time from sources identified to today (if not disbursed yet)]]&lt;15,S40="yes"),Overview!$C$11,AND(Table2[[#This Row],[Lead time from sources identified to today (if not disbursed yet)]]&gt;15,S40="yes"),Overview!$C$12,O40="yes",Overview!$C$10,M40="yes",Overview!$C$9,M40="no",Overview!$C$8)</f>
        <v>Pending additional details and/or formal request</v>
      </c>
      <c r="AA40" s="66">
        <f t="shared" ca="1" si="1"/>
        <v>44785</v>
      </c>
      <c r="AB40" s="66">
        <f t="shared" ca="1" si="2"/>
        <v>145</v>
      </c>
      <c r="AC40" s="12" t="str">
        <f ca="1">IF(Table2[[#This Row],[Lead time from formal request received to today (days)]]&lt;400,Table2[[#This Row],[Lead time from formal request received to today (days)]],"-")</f>
        <v>-</v>
      </c>
      <c r="AD40" s="12">
        <f ca="1">IF(AND(Table2[[#This Row],[Funds disbursed (Date)]]="",Table2[[#This Row],[Source of funding identified (Details)]]&lt;&gt;""),TODAY()-Table2[[#This Row],[Sources of funding identified (Date) - or standard request discussed during CoVDP Funding Alignment call]],"-")</f>
        <v>44785</v>
      </c>
      <c r="AE40" s="12"/>
      <c r="AF40" s="12" t="str">
        <f t="shared" si="3"/>
        <v/>
      </c>
      <c r="AG40" s="12" t="str">
        <f>IF(OR(V40="",Table2[[#This Row],[Source of funding identified (Details)]]&lt;&gt;Utilities!$B$6),"",NETWORKDAYS(Q40,V40)-1)</f>
        <v/>
      </c>
      <c r="AI40" t="str">
        <f>IF(Table2[[#This Row],[Column1]]=1,"NO","YES")</f>
        <v>YES</v>
      </c>
      <c r="AJ40" s="31">
        <f>COUNTIF(Table2[Request ID],Table2[[#This Row],[Request ID]])</f>
        <v>2</v>
      </c>
      <c r="AK40" s="62">
        <f ca="1">IF(Table2[[#This Row],[Status]]&lt;&gt;Overview!$C$13,Table2[[#This Row],[Lead time from informal request received to today (days)2]],"Disbursed")</f>
        <v>145</v>
      </c>
    </row>
    <row r="41" spans="1:37" x14ac:dyDescent="0.35">
      <c r="A41" t="str">
        <f t="shared" si="0"/>
        <v>Sudan21829690.973559344650</v>
      </c>
      <c r="B41" t="s">
        <v>590</v>
      </c>
      <c r="C41" t="s">
        <v>103</v>
      </c>
      <c r="D41" t="str">
        <f>INDEX(Table1[#All],MATCH('Funding tracker'!$C31,Table1[[#All],[Recipient country Name]],0),MATCH('Funding tracker'!D$1,Table1[#Headers],0))</f>
        <v>Patience Musanhu</v>
      </c>
      <c r="E41" t="str">
        <f>INDEX(Table1[#All],MATCH('Funding tracker'!$C31,Table1[[#All],[Recipient country Name]],0),MATCH('Funding tracker'!E$1,Table1[#Headers],0))</f>
        <v>Ida Marie</v>
      </c>
      <c r="F41" s="187">
        <v>21829690.973559324</v>
      </c>
      <c r="G41" s="192" t="s">
        <v>133</v>
      </c>
      <c r="H41" s="187">
        <v>3600000</v>
      </c>
      <c r="I41" t="s">
        <v>286</v>
      </c>
      <c r="J41" t="s">
        <v>263</v>
      </c>
      <c r="K41" t="s">
        <v>186</v>
      </c>
      <c r="L41" s="147">
        <v>44650</v>
      </c>
      <c r="M41" t="s">
        <v>72</v>
      </c>
      <c r="N41" s="2"/>
      <c r="O41" t="s">
        <v>71</v>
      </c>
      <c r="P41" t="s">
        <v>64</v>
      </c>
      <c r="Q41" s="2">
        <v>44698</v>
      </c>
      <c r="R41" s="55">
        <f>Table2[[#This Row],[Amount tracked through this row]]</f>
        <v>3600000</v>
      </c>
      <c r="S41" t="s">
        <v>71</v>
      </c>
      <c r="T41" s="147">
        <v>37401</v>
      </c>
      <c r="U41" t="s">
        <v>72</v>
      </c>
      <c r="W41" s="13">
        <f>MONTH(Table2[[#This Row],[Funds disbursed (Date)]])</f>
        <v>1</v>
      </c>
      <c r="X41" s="203"/>
      <c r="Y41" t="s">
        <v>287</v>
      </c>
      <c r="Z41" s="62" t="str" cm="1">
        <f t="array" aca="1" ref="Z41" ca="1">_xlfn.IFS(Table2[[#This Row],[Sources of funding identified (yes / no / Identified as not urgent)]]=Utilities!$B$14,"Out of CoVDP scope",U41="yes",Overview!$C$13,AND(Table2[[#This Row],[Lead time from sources identified to today (if not disbursed yet)]]&lt;=15,S41="yes"),Overview!$C$11,AND(Table2[[#This Row],[Lead time from sources identified to today (if not disbursed yet)]]&gt;15,S41="yes"),Overview!$C$12,O41="yes",Overview!$C$10,M41="yes",Overview!$C$9,M41="no",Overview!$C$8)</f>
        <v>Approved pending disbursement &gt;15 days</v>
      </c>
      <c r="AA41" s="66">
        <f t="shared" ca="1" si="1"/>
        <v>44785</v>
      </c>
      <c r="AB41" s="66">
        <f t="shared" ca="1" si="2"/>
        <v>135</v>
      </c>
      <c r="AC41" s="12" t="str">
        <f ca="1">IF(Table2[[#This Row],[Lead time from formal request received to today (days)]]&lt;400,Table2[[#This Row],[Lead time from formal request received to today (days)]],"-")</f>
        <v>-</v>
      </c>
      <c r="AD41" s="12">
        <f ca="1">IF(AND(Table2[[#This Row],[Funds disbursed (Date)]]="",Table2[[#This Row],[Source of funding identified (Details)]]&lt;&gt;""),TODAY()-Table2[[#This Row],[Sources of funding identified (Date) - or standard request discussed during CoVDP Funding Alignment call]],"-")</f>
        <v>87</v>
      </c>
      <c r="AE41" s="12" t="str">
        <f>IF(V41="","-",_xlfn.DAYS(V41,N41))</f>
        <v>-</v>
      </c>
      <c r="AF41" s="12" t="str">
        <f t="shared" si="3"/>
        <v/>
      </c>
      <c r="AG41" s="12" t="str">
        <f>IF(OR(V41="",Table2[[#This Row],[Source of funding identified (Details)]]&lt;&gt;Utilities!$B$6),"",NETWORKDAYS(Q41,V41)-1)</f>
        <v/>
      </c>
      <c r="AI41" t="str">
        <f>IF(Table2[[#This Row],[Column1]]=1,"NO","YES")</f>
        <v>NO</v>
      </c>
      <c r="AJ41" s="31">
        <f>COUNTIF(Table2[Request ID],Table2[[#This Row],[Request ID]])</f>
        <v>1</v>
      </c>
      <c r="AK41" s="62">
        <f ca="1">IF(Table2[[#This Row],[Status]]&lt;&gt;Overview!$C$13,Table2[[#This Row],[Lead time from informal request received to today (days)2]],"Disbursed")</f>
        <v>135</v>
      </c>
    </row>
    <row r="42" spans="1:37" ht="29" x14ac:dyDescent="0.35">
      <c r="A42" s="62" t="str">
        <f t="shared" si="0"/>
        <v>Yemen480000044621</v>
      </c>
      <c r="B42" s="62" t="s">
        <v>591</v>
      </c>
      <c r="C42" s="62" t="s">
        <v>99</v>
      </c>
      <c r="D42" s="62" t="str">
        <f>INDEX(Table1[#All],MATCH('Funding tracker'!$C23,Table1[[#All],[Recipient country Name]],0),MATCH('Funding tracker'!D$1,Table1[#Headers],0))</f>
        <v>Hamidreza Setayesh</v>
      </c>
      <c r="E42" s="62" t="str">
        <f>INDEX(Table1[#All],MATCH('Funding tracker'!$C23,Table1[[#All],[Recipient country Name]],0),MATCH('Funding tracker'!E$1,Table1[#Headers],0))</f>
        <v>William</v>
      </c>
      <c r="F42" s="181">
        <v>4800000</v>
      </c>
      <c r="G42" s="191" t="s">
        <v>135</v>
      </c>
      <c r="H42" s="181">
        <v>0</v>
      </c>
      <c r="I42" s="62" t="s">
        <v>238</v>
      </c>
      <c r="J42" t="s">
        <v>239</v>
      </c>
      <c r="K42" s="62" t="s">
        <v>232</v>
      </c>
      <c r="L42" s="2">
        <v>44621</v>
      </c>
      <c r="M42" s="62" t="s">
        <v>72</v>
      </c>
      <c r="N42" s="62"/>
      <c r="O42" s="62"/>
      <c r="P42" s="62" t="s">
        <v>24</v>
      </c>
      <c r="Q42" s="62"/>
      <c r="R42" s="64">
        <f>Table2[[#This Row],[Amount tracked through this row]]</f>
        <v>0</v>
      </c>
      <c r="S42" s="62"/>
      <c r="T42" s="63"/>
      <c r="U42" s="62"/>
      <c r="V42" s="62"/>
      <c r="W42" s="65">
        <f>MONTH(Table2[[#This Row],[Funds disbursed (Date)]])</f>
        <v>1</v>
      </c>
      <c r="X42" s="205"/>
      <c r="Y42" s="69" t="s">
        <v>240</v>
      </c>
      <c r="Z42" s="62" t="s">
        <v>24</v>
      </c>
      <c r="AA42" s="66">
        <f t="shared" ca="1" si="1"/>
        <v>44785</v>
      </c>
      <c r="AB42" s="66">
        <f t="shared" ca="1" si="2"/>
        <v>164</v>
      </c>
      <c r="AC42" s="66" t="str">
        <f ca="1">IF(Table2[[#This Row],[Lead time from formal request received to today (days)]]&lt;400,Table2[[#This Row],[Lead time from formal request received to today (days)]],"-")</f>
        <v>-</v>
      </c>
      <c r="AD42" s="66">
        <f ca="1">IF(AND(Table2[[#This Row],[Funds disbursed (Date)]]="",Table2[[#This Row],[Source of funding identified (Details)]]&lt;&gt;""),TODAY()-Table2[[#This Row],[Sources of funding identified (Date) - or standard request discussed during CoVDP Funding Alignment call]],"-")</f>
        <v>44785</v>
      </c>
      <c r="AE42" s="12" t="str">
        <f>IF(V42="","-",_xlfn.DAYS(V42,N42))</f>
        <v>-</v>
      </c>
      <c r="AF42" s="66" t="str">
        <f t="shared" si="3"/>
        <v/>
      </c>
      <c r="AG42" s="66" t="str">
        <f>IF(OR(V42="",Table2[[#This Row],[Source of funding identified (Details)]]&lt;&gt;Utilities!$B$6),"",NETWORKDAYS(Q42,V42)-1)</f>
        <v/>
      </c>
      <c r="AH42" s="62"/>
      <c r="AI42" s="62" t="str">
        <f>IF(Table2[[#This Row],[Column1]]=1,"NO","YES")</f>
        <v>NO</v>
      </c>
      <c r="AJ42" s="62">
        <f>COUNTIF(Table2[Request ID],Table2[[#This Row],[Request ID]])</f>
        <v>1</v>
      </c>
      <c r="AK42" s="62">
        <f ca="1">IF(Table2[[#This Row],[Status]]&lt;&gt;Overview!$C$13,Table2[[#This Row],[Lead time from informal request received to today (days)2]],"Disbursed")</f>
        <v>164</v>
      </c>
    </row>
  </sheetData>
  <dataConsolidate/>
  <phoneticPr fontId="22" type="noConversion"/>
  <conditionalFormatting sqref="AK1:AK1048576">
    <cfRule type="colorScale" priority="1">
      <colorScale>
        <cfvo type="min"/>
        <cfvo type="percentile" val="20"/>
        <cfvo type="max"/>
        <color theme="9"/>
        <color rgb="FFFFEB84"/>
        <color rgb="FFFF0000"/>
      </colorScale>
    </cfRule>
  </conditionalFormatting>
  <hyperlinks>
    <hyperlink ref="J35"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J36"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J11" r:id="rId3" display="../../../../../../../../:p:/r/sites/COVID19VaccineDeliveryFacility/_layouts/15/Doc.aspx?action=view&amp;sourcedoc=%7B8132e0b7-007b-4aee-98dd-777e720d60a7%7D&amp;wdOrigin=TEAMS-WEB.teamsSdk.openFilePreview&amp;wdExp=TEAMS-CONTROL&amp;wdhostclicktime=1652272756901" xr:uid="{DDEF7DD0-ED02-477B-BD06-FD9E4B841694}"/>
    <hyperlink ref="J4"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J9"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J20"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J19"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s>
  <pageMargins left="0.7" right="0.7" top="0.75" bottom="0.75" header="0.3" footer="0.3"/>
  <pageSetup paperSize="9" orientation="portrait" horizontalDpi="1200" verticalDpi="1200" r:id="rId8"/>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P1:P22 P24:P1048576</xm:sqref>
        </x14:dataValidation>
        <x14:dataValidation type="list" allowBlank="1" showInputMessage="1" showErrorMessage="1" xr:uid="{5B480CD8-C08C-4CEA-BD37-EAB3196FECA3}">
          <x14:formula1>
            <xm:f>Utilities!$B$12:$B$14</xm:f>
          </x14:formula1>
          <xm:sqref>P23 U2:U1048576 S1:S1048576 M1:M1048576 O1:O1048576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1640625" defaultRowHeight="14.5" x14ac:dyDescent="0.35"/>
  <cols>
    <col min="1" max="2" width="13.81640625" customWidth="1"/>
    <col min="3" max="3" width="19.453125" customWidth="1"/>
    <col min="4" max="4" width="69.81640625" customWidth="1"/>
    <col min="5" max="5" width="14.453125" customWidth="1"/>
    <col min="6" max="6" width="160" customWidth="1"/>
  </cols>
  <sheetData>
    <row r="1" spans="1:6" x14ac:dyDescent="0.35">
      <c r="A1" s="57" t="s">
        <v>288</v>
      </c>
      <c r="B1" s="57" t="s">
        <v>148</v>
      </c>
      <c r="C1" s="57" t="s">
        <v>149</v>
      </c>
      <c r="D1" s="58" t="s">
        <v>289</v>
      </c>
      <c r="E1" s="58" t="s">
        <v>290</v>
      </c>
      <c r="F1" s="58" t="s">
        <v>291</v>
      </c>
    </row>
    <row r="2" spans="1:6" ht="48.75" customHeight="1" x14ac:dyDescent="0.35">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292</v>
      </c>
      <c r="E2" s="2">
        <v>44638</v>
      </c>
      <c r="F2" s="15" t="s">
        <v>293</v>
      </c>
    </row>
    <row r="3" spans="1:6" x14ac:dyDescent="0.35">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tracker'!I10</f>
        <v>WHO Funding for Tigray region</v>
      </c>
      <c r="E3" s="2">
        <v>44628</v>
      </c>
      <c r="F3" t="s">
        <v>294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1640625"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zoomScale="70" zoomScaleNormal="70" workbookViewId="0">
      <selection activeCell="D7" sqref="D7:K12"/>
    </sheetView>
  </sheetViews>
  <sheetFormatPr defaultColWidth="8.81640625" defaultRowHeight="14.5" x14ac:dyDescent="0.35"/>
  <cols>
    <col min="6" max="6" width="30.1796875" customWidth="1"/>
    <col min="7" max="7" width="40.453125" bestFit="1" customWidth="1"/>
    <col min="8" max="8" width="16.1796875" customWidth="1"/>
    <col min="9" max="9" width="14.81640625" customWidth="1"/>
    <col min="11" max="11" width="15.1796875" customWidth="1"/>
  </cols>
  <sheetData>
    <row r="1" spans="1:11" s="21" customFormat="1" ht="18.5" x14ac:dyDescent="0.45">
      <c r="A1" s="19">
        <v>1</v>
      </c>
      <c r="B1" s="20"/>
      <c r="C1" s="21" t="s">
        <v>295</v>
      </c>
    </row>
    <row r="2" spans="1:11" x14ac:dyDescent="0.35">
      <c r="C2" s="115" t="s">
        <v>296</v>
      </c>
    </row>
    <row r="3" spans="1:11" x14ac:dyDescent="0.35">
      <c r="C3" s="114" t="s">
        <v>297</v>
      </c>
    </row>
    <row r="5" spans="1:11" x14ac:dyDescent="0.35">
      <c r="C5" s="125"/>
      <c r="D5" s="127" t="s">
        <v>298</v>
      </c>
      <c r="E5" s="127" t="s">
        <v>299</v>
      </c>
      <c r="F5" s="127" t="s">
        <v>300</v>
      </c>
      <c r="G5" s="127" t="s">
        <v>16</v>
      </c>
      <c r="H5" s="127" t="s">
        <v>301</v>
      </c>
      <c r="I5" s="127" t="s">
        <v>302</v>
      </c>
      <c r="J5" s="127" t="s">
        <v>303</v>
      </c>
      <c r="K5" s="127" t="s">
        <v>304</v>
      </c>
    </row>
    <row r="6" spans="1:11" x14ac:dyDescent="0.35">
      <c r="C6" s="126"/>
      <c r="D6" s="126"/>
      <c r="E6" s="126"/>
      <c r="F6" s="126"/>
      <c r="G6" s="126"/>
      <c r="H6" s="126"/>
      <c r="I6" s="126"/>
      <c r="J6" s="126"/>
      <c r="K6" s="126"/>
    </row>
    <row r="7" spans="1:11" x14ac:dyDescent="0.35">
      <c r="C7" s="125" t="s">
        <v>82</v>
      </c>
      <c r="D7" s="112" t="s">
        <v>305</v>
      </c>
      <c r="E7" s="112">
        <f ca="1">Overview!D14</f>
        <v>225000</v>
      </c>
      <c r="F7" s="113">
        <f ca="1">Overview!D8</f>
        <v>20629690.973559324</v>
      </c>
      <c r="G7" s="112">
        <f ca="1">Overview!D9</f>
        <v>0</v>
      </c>
      <c r="H7" s="112"/>
      <c r="I7" s="112"/>
      <c r="J7" s="112"/>
      <c r="K7" s="112"/>
    </row>
    <row r="8" spans="1:11" x14ac:dyDescent="0.35">
      <c r="C8" s="125" t="s">
        <v>65</v>
      </c>
      <c r="D8" s="112"/>
      <c r="E8" s="112"/>
      <c r="F8" s="112"/>
      <c r="G8" s="112"/>
      <c r="H8" s="112">
        <f ca="1">Overview!G10</f>
        <v>198000</v>
      </c>
      <c r="I8" s="113">
        <f ca="1">Overview!G11</f>
        <v>0</v>
      </c>
      <c r="J8" s="112">
        <f ca="1">Overview!G12</f>
        <v>8261556</v>
      </c>
      <c r="K8" s="112">
        <f ca="1">Overview!G13</f>
        <v>9157000</v>
      </c>
    </row>
    <row r="9" spans="1:11" x14ac:dyDescent="0.35">
      <c r="C9" s="125" t="s">
        <v>66</v>
      </c>
      <c r="D9" s="112"/>
      <c r="E9" s="112"/>
      <c r="F9" s="112"/>
      <c r="G9" s="112"/>
      <c r="H9" s="112">
        <f ca="1">Overview!E10</f>
        <v>0</v>
      </c>
      <c r="I9" s="113">
        <f ca="1">Overview!E11</f>
        <v>0</v>
      </c>
      <c r="J9" s="112">
        <f ca="1">Overview!E12</f>
        <v>11752930</v>
      </c>
      <c r="K9" s="112">
        <f ca="1">Overview!E13</f>
        <v>16561000</v>
      </c>
    </row>
    <row r="10" spans="1:11" x14ac:dyDescent="0.35">
      <c r="C10" s="125" t="s">
        <v>64</v>
      </c>
      <c r="D10" s="112"/>
      <c r="E10" s="112"/>
      <c r="F10" s="112"/>
      <c r="G10" s="112"/>
      <c r="H10" s="113">
        <f ca="1">Overview!F10</f>
        <v>1956578.606060606</v>
      </c>
      <c r="I10" s="113">
        <f ca="1">Overview!F11</f>
        <v>0</v>
      </c>
      <c r="J10" s="112">
        <f ca="1">Overview!F12</f>
        <v>3600000</v>
      </c>
      <c r="K10" s="113">
        <f ca="1">Overview!F13</f>
        <v>26485288.759999998</v>
      </c>
    </row>
    <row r="11" spans="1:11" x14ac:dyDescent="0.35">
      <c r="C11" s="125" t="s">
        <v>69</v>
      </c>
      <c r="D11" s="112"/>
      <c r="E11" s="112"/>
      <c r="F11" s="112"/>
      <c r="G11" s="112"/>
      <c r="H11" s="113">
        <f ca="1">Overview!H10</f>
        <v>0</v>
      </c>
      <c r="I11" s="113">
        <f ca="1">Overview!H11</f>
        <v>0</v>
      </c>
      <c r="J11" s="112">
        <f ca="1">Overview!H12</f>
        <v>0</v>
      </c>
      <c r="K11" s="113">
        <f ca="1">Overview!H13</f>
        <v>0</v>
      </c>
    </row>
    <row r="12" spans="1:11" x14ac:dyDescent="0.35">
      <c r="C12" s="125" t="s">
        <v>306</v>
      </c>
      <c r="D12" s="112"/>
      <c r="E12" s="112"/>
      <c r="F12" s="112"/>
      <c r="G12" s="112"/>
      <c r="H12" s="112">
        <f ca="1">Overview!I10</f>
        <v>0</v>
      </c>
      <c r="I12" s="112"/>
      <c r="J12" s="112">
        <f ca="1">Overview!I12</f>
        <v>0</v>
      </c>
      <c r="K12" s="112">
        <f ca="1">Overview!I13</f>
        <v>0</v>
      </c>
    </row>
    <row r="17" spans="1:11" s="21" customFormat="1" ht="18.5" x14ac:dyDescent="0.45">
      <c r="A17" s="19">
        <v>2</v>
      </c>
      <c r="B17" s="20"/>
      <c r="C17" s="21" t="s">
        <v>307</v>
      </c>
    </row>
    <row r="20" spans="1:11" x14ac:dyDescent="0.35">
      <c r="C20" s="125"/>
      <c r="D20" s="127" t="s">
        <v>298</v>
      </c>
      <c r="E20" s="127" t="s">
        <v>299</v>
      </c>
      <c r="F20" s="127" t="s">
        <v>300</v>
      </c>
      <c r="G20" s="127" t="s">
        <v>16</v>
      </c>
      <c r="H20" s="127" t="s">
        <v>301</v>
      </c>
      <c r="I20" s="127" t="s">
        <v>302</v>
      </c>
      <c r="J20" s="127" t="s">
        <v>303</v>
      </c>
      <c r="K20" s="127" t="s">
        <v>304</v>
      </c>
    </row>
    <row r="21" spans="1:11" x14ac:dyDescent="0.35">
      <c r="C21" s="126"/>
      <c r="D21" s="126"/>
      <c r="E21" s="126"/>
      <c r="F21" s="126"/>
      <c r="G21" s="126"/>
      <c r="H21" s="126"/>
      <c r="I21" s="126"/>
      <c r="J21" s="126"/>
      <c r="K21" s="126"/>
    </row>
    <row r="22" spans="1:11" x14ac:dyDescent="0.35">
      <c r="C22" s="125" t="s">
        <v>82</v>
      </c>
      <c r="D22" s="112" t="s">
        <v>305</v>
      </c>
      <c r="E22" s="112">
        <f ca="1">Overview!D80</f>
        <v>0</v>
      </c>
      <c r="F22" s="113">
        <f ca="1">Overview!D74</f>
        <v>14629690.973559324</v>
      </c>
      <c r="G22" s="112">
        <f ca="1">Overview!D75</f>
        <v>0</v>
      </c>
      <c r="H22" s="112"/>
      <c r="I22" s="112"/>
      <c r="J22" s="112"/>
      <c r="K22" s="112"/>
    </row>
    <row r="23" spans="1:11" x14ac:dyDescent="0.35">
      <c r="C23" s="125" t="s">
        <v>65</v>
      </c>
      <c r="D23" s="112"/>
      <c r="E23" s="112"/>
      <c r="F23" s="112"/>
      <c r="G23" s="112"/>
      <c r="H23" s="112">
        <f ca="1">Overview!G76</f>
        <v>0</v>
      </c>
      <c r="I23" s="113">
        <f ca="1">Overview!G77</f>
        <v>0</v>
      </c>
      <c r="J23" s="112">
        <f ca="1">Overview!G78</f>
        <v>3600000</v>
      </c>
      <c r="K23" s="112">
        <f ca="1">Overview!G79</f>
        <v>0</v>
      </c>
    </row>
    <row r="24" spans="1:11" x14ac:dyDescent="0.35">
      <c r="C24" s="125" t="s">
        <v>66</v>
      </c>
      <c r="D24" s="112"/>
      <c r="E24" s="112"/>
      <c r="F24" s="112"/>
      <c r="G24" s="112"/>
      <c r="H24" s="112">
        <f ca="1">Overview!E76</f>
        <v>0</v>
      </c>
      <c r="I24" s="113">
        <f ca="1">Overview!E77</f>
        <v>0</v>
      </c>
      <c r="J24" s="112">
        <f ca="1">Overview!E78</f>
        <v>0</v>
      </c>
      <c r="K24" s="112">
        <f ca="1">Overview!E79</f>
        <v>5763000</v>
      </c>
    </row>
    <row r="25" spans="1:11" x14ac:dyDescent="0.35">
      <c r="C25" s="125" t="s">
        <v>64</v>
      </c>
      <c r="D25" s="112"/>
      <c r="E25" s="112"/>
      <c r="F25" s="112"/>
      <c r="G25" s="112"/>
      <c r="H25" s="113">
        <f ca="1">Overview!F76</f>
        <v>0</v>
      </c>
      <c r="I25" s="113">
        <f ca="1">Overview!F77</f>
        <v>0</v>
      </c>
      <c r="J25" s="112">
        <f ca="1">Overview!F78</f>
        <v>3600000</v>
      </c>
      <c r="K25" s="113">
        <f ca="1">Overview!F79</f>
        <v>0</v>
      </c>
    </row>
    <row r="26" spans="1:11" x14ac:dyDescent="0.35">
      <c r="C26" s="125" t="s">
        <v>69</v>
      </c>
      <c r="D26" s="112"/>
      <c r="E26" s="112"/>
      <c r="F26" s="112"/>
      <c r="G26" s="112"/>
      <c r="H26" s="113">
        <f ca="1">Overview!H76</f>
        <v>0</v>
      </c>
      <c r="I26" s="113">
        <f ca="1">Overview!H77</f>
        <v>0</v>
      </c>
      <c r="J26" s="112">
        <f ca="1">Overview!H78</f>
        <v>0</v>
      </c>
      <c r="K26" s="113">
        <f ca="1">Overview!H79</f>
        <v>0</v>
      </c>
    </row>
    <row r="27" spans="1:11" x14ac:dyDescent="0.35">
      <c r="C27" s="125" t="s">
        <v>306</v>
      </c>
      <c r="D27" s="112"/>
      <c r="E27" s="112"/>
      <c r="F27" s="112"/>
      <c r="G27" s="112"/>
      <c r="H27" s="112">
        <f ca="1">Overview!I76</f>
        <v>0</v>
      </c>
      <c r="I27" s="112">
        <f ca="1">Overview!I77</f>
        <v>0</v>
      </c>
      <c r="J27" s="112">
        <f ca="1">Overview!I78</f>
        <v>0</v>
      </c>
      <c r="K27" s="112">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heetViews>
  <sheetFormatPr defaultColWidth="8.81640625"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129" zoomScale="70" zoomScaleNormal="70" workbookViewId="0">
      <selection activeCell="E135" sqref="E135"/>
    </sheetView>
  </sheetViews>
  <sheetFormatPr defaultColWidth="8.81640625" defaultRowHeight="14.5" x14ac:dyDescent="0.35"/>
  <cols>
    <col min="1" max="1" width="23.1796875" customWidth="1"/>
    <col min="2" max="2" width="13.453125" customWidth="1"/>
    <col min="3" max="3" width="15.1796875" customWidth="1"/>
    <col min="4" max="4" width="33.453125" customWidth="1"/>
    <col min="5" max="5" width="23.81640625" customWidth="1"/>
    <col min="6" max="6" width="40.1796875" bestFit="1" customWidth="1"/>
    <col min="7" max="7" width="28.81640625" customWidth="1"/>
    <col min="8" max="8" width="37.1796875" bestFit="1" customWidth="1"/>
  </cols>
  <sheetData>
    <row r="1" spans="1:8" x14ac:dyDescent="0.35">
      <c r="A1" s="4" t="s">
        <v>308</v>
      </c>
      <c r="B1" s="4" t="s">
        <v>309</v>
      </c>
      <c r="C1" s="4" t="s">
        <v>310</v>
      </c>
      <c r="D1" s="4" t="s">
        <v>311</v>
      </c>
      <c r="E1" s="4" t="s">
        <v>148</v>
      </c>
      <c r="F1" s="4" t="s">
        <v>312</v>
      </c>
      <c r="G1" s="4" t="s">
        <v>149</v>
      </c>
      <c r="H1" s="4" t="s">
        <v>313</v>
      </c>
    </row>
    <row r="2" spans="1:8" x14ac:dyDescent="0.35">
      <c r="A2" s="5" t="s">
        <v>102</v>
      </c>
      <c r="B2" s="5" t="s">
        <v>314</v>
      </c>
      <c r="C2" s="5" t="s">
        <v>315</v>
      </c>
      <c r="D2" s="6" t="s">
        <v>316</v>
      </c>
      <c r="E2" s="5" t="s">
        <v>317</v>
      </c>
      <c r="F2" s="5" t="s">
        <v>318</v>
      </c>
      <c r="G2" s="5" t="s">
        <v>319</v>
      </c>
      <c r="H2" t="s">
        <v>320</v>
      </c>
    </row>
    <row r="3" spans="1:8" x14ac:dyDescent="0.35">
      <c r="A3" s="7" t="s">
        <v>321</v>
      </c>
      <c r="B3" s="7" t="s">
        <v>322</v>
      </c>
      <c r="C3" s="7"/>
      <c r="D3" s="7"/>
      <c r="E3" s="7" t="s">
        <v>323</v>
      </c>
      <c r="F3" s="7" t="s">
        <v>324</v>
      </c>
    </row>
    <row r="4" spans="1:8" x14ac:dyDescent="0.35">
      <c r="A4" s="5" t="s">
        <v>325</v>
      </c>
      <c r="B4" s="5" t="s">
        <v>326</v>
      </c>
      <c r="C4" s="5" t="s">
        <v>327</v>
      </c>
      <c r="D4" s="6" t="s">
        <v>328</v>
      </c>
      <c r="E4" s="5" t="s">
        <v>329</v>
      </c>
      <c r="F4" s="5"/>
    </row>
    <row r="5" spans="1:8" x14ac:dyDescent="0.35">
      <c r="A5" s="7" t="s">
        <v>330</v>
      </c>
      <c r="B5" s="7" t="s">
        <v>322</v>
      </c>
      <c r="C5" s="7"/>
      <c r="D5" s="7"/>
      <c r="E5" s="7" t="s">
        <v>323</v>
      </c>
      <c r="F5" s="7" t="s">
        <v>324</v>
      </c>
    </row>
    <row r="6" spans="1:8" x14ac:dyDescent="0.35">
      <c r="A6" s="5" t="s">
        <v>331</v>
      </c>
      <c r="B6" s="5" t="s">
        <v>326</v>
      </c>
      <c r="C6" s="5" t="s">
        <v>315</v>
      </c>
      <c r="D6" s="6" t="s">
        <v>316</v>
      </c>
      <c r="E6" s="5" t="s">
        <v>332</v>
      </c>
      <c r="F6" s="6" t="s">
        <v>333</v>
      </c>
    </row>
    <row r="7" spans="1:8" x14ac:dyDescent="0.35">
      <c r="A7" s="7" t="s">
        <v>334</v>
      </c>
      <c r="B7" s="7" t="s">
        <v>322</v>
      </c>
      <c r="C7" s="7"/>
      <c r="D7" s="7"/>
      <c r="E7" s="7" t="s">
        <v>335</v>
      </c>
      <c r="F7" s="7" t="s">
        <v>336</v>
      </c>
    </row>
    <row r="8" spans="1:8" x14ac:dyDescent="0.35">
      <c r="A8" s="5" t="s">
        <v>337</v>
      </c>
      <c r="B8" s="5" t="s">
        <v>322</v>
      </c>
      <c r="C8" s="5"/>
      <c r="D8" s="5"/>
      <c r="E8" s="5" t="s">
        <v>338</v>
      </c>
      <c r="F8" s="5" t="s">
        <v>339</v>
      </c>
    </row>
    <row r="9" spans="1:8" x14ac:dyDescent="0.35">
      <c r="A9" s="7" t="s">
        <v>340</v>
      </c>
      <c r="B9" s="7" t="s">
        <v>322</v>
      </c>
      <c r="C9" s="7"/>
      <c r="D9" s="7"/>
      <c r="E9" s="7" t="s">
        <v>323</v>
      </c>
      <c r="F9" s="7" t="s">
        <v>324</v>
      </c>
    </row>
    <row r="10" spans="1:8" x14ac:dyDescent="0.35">
      <c r="A10" s="5" t="s">
        <v>341</v>
      </c>
      <c r="B10" s="5" t="s">
        <v>322</v>
      </c>
      <c r="C10" s="5"/>
      <c r="D10" s="5"/>
      <c r="E10" s="5" t="s">
        <v>342</v>
      </c>
      <c r="F10" s="5" t="s">
        <v>343</v>
      </c>
    </row>
    <row r="11" spans="1:8" x14ac:dyDescent="0.35">
      <c r="A11" s="7" t="s">
        <v>344</v>
      </c>
      <c r="B11" s="7" t="s">
        <v>322</v>
      </c>
      <c r="C11" s="7"/>
      <c r="D11" s="7"/>
      <c r="E11" s="7" t="s">
        <v>323</v>
      </c>
      <c r="F11" s="7" t="s">
        <v>324</v>
      </c>
    </row>
    <row r="12" spans="1:8" x14ac:dyDescent="0.35">
      <c r="A12" s="5" t="s">
        <v>345</v>
      </c>
      <c r="B12" s="5" t="s">
        <v>322</v>
      </c>
      <c r="C12" s="5"/>
      <c r="D12" s="5"/>
      <c r="E12" s="5" t="s">
        <v>335</v>
      </c>
      <c r="F12" s="5" t="s">
        <v>336</v>
      </c>
    </row>
    <row r="13" spans="1:8" x14ac:dyDescent="0.35">
      <c r="A13" s="7" t="s">
        <v>346</v>
      </c>
      <c r="B13" s="7" t="s">
        <v>322</v>
      </c>
      <c r="C13" s="7"/>
      <c r="D13" s="7"/>
      <c r="E13" s="7" t="s">
        <v>347</v>
      </c>
      <c r="F13" s="7" t="s">
        <v>348</v>
      </c>
    </row>
    <row r="14" spans="1:8" x14ac:dyDescent="0.35">
      <c r="A14" s="5" t="s">
        <v>349</v>
      </c>
      <c r="B14" s="5" t="s">
        <v>314</v>
      </c>
      <c r="C14" s="5" t="s">
        <v>350</v>
      </c>
      <c r="D14" s="6" t="s">
        <v>351</v>
      </c>
      <c r="E14" s="5" t="s">
        <v>352</v>
      </c>
      <c r="F14" s="5" t="s">
        <v>353</v>
      </c>
    </row>
    <row r="15" spans="1:8" x14ac:dyDescent="0.35">
      <c r="A15" s="7" t="s">
        <v>354</v>
      </c>
      <c r="B15" s="7" t="s">
        <v>322</v>
      </c>
      <c r="C15" s="7"/>
      <c r="D15" s="7"/>
      <c r="E15" s="7" t="s">
        <v>335</v>
      </c>
      <c r="F15" s="7" t="s">
        <v>336</v>
      </c>
    </row>
    <row r="16" spans="1:8" x14ac:dyDescent="0.35">
      <c r="A16" s="5" t="s">
        <v>355</v>
      </c>
      <c r="B16" s="5" t="s">
        <v>322</v>
      </c>
      <c r="C16" s="5"/>
      <c r="D16" s="5"/>
      <c r="E16" s="5" t="s">
        <v>335</v>
      </c>
      <c r="F16" s="5" t="s">
        <v>336</v>
      </c>
    </row>
    <row r="17" spans="1:8" x14ac:dyDescent="0.35">
      <c r="A17" s="7" t="s">
        <v>356</v>
      </c>
      <c r="B17" s="7" t="s">
        <v>314</v>
      </c>
      <c r="C17" s="7" t="s">
        <v>357</v>
      </c>
      <c r="D17" s="8" t="s">
        <v>358</v>
      </c>
      <c r="E17" s="7" t="s">
        <v>359</v>
      </c>
      <c r="F17" s="8" t="s">
        <v>360</v>
      </c>
    </row>
    <row r="18" spans="1:8" x14ac:dyDescent="0.35">
      <c r="A18" s="5" t="s">
        <v>361</v>
      </c>
      <c r="B18" s="5" t="s">
        <v>322</v>
      </c>
      <c r="C18" s="5"/>
      <c r="D18" s="5"/>
      <c r="E18" s="5" t="s">
        <v>362</v>
      </c>
      <c r="F18" s="5" t="s">
        <v>363</v>
      </c>
    </row>
    <row r="19" spans="1:8" x14ac:dyDescent="0.35">
      <c r="A19" s="7" t="s">
        <v>364</v>
      </c>
      <c r="B19" s="7" t="s">
        <v>326</v>
      </c>
      <c r="C19" s="7"/>
      <c r="D19" s="9"/>
      <c r="E19" s="7" t="s">
        <v>365</v>
      </c>
      <c r="F19" s="7" t="s">
        <v>366</v>
      </c>
    </row>
    <row r="20" spans="1:8" x14ac:dyDescent="0.35">
      <c r="A20" s="5" t="s">
        <v>367</v>
      </c>
      <c r="B20" s="5" t="s">
        <v>326</v>
      </c>
      <c r="C20" s="5" t="s">
        <v>327</v>
      </c>
      <c r="D20" s="10" t="s">
        <v>328</v>
      </c>
      <c r="E20" s="5" t="s">
        <v>368</v>
      </c>
      <c r="F20" s="5" t="s">
        <v>369</v>
      </c>
    </row>
    <row r="21" spans="1:8" x14ac:dyDescent="0.35">
      <c r="A21" s="7" t="s">
        <v>370</v>
      </c>
      <c r="B21" s="7" t="s">
        <v>322</v>
      </c>
      <c r="C21" s="7"/>
      <c r="D21" s="7"/>
      <c r="E21" s="7" t="s">
        <v>323</v>
      </c>
      <c r="F21" s="7" t="s">
        <v>324</v>
      </c>
    </row>
    <row r="22" spans="1:8" x14ac:dyDescent="0.35">
      <c r="A22" s="5" t="s">
        <v>371</v>
      </c>
      <c r="B22" s="5" t="s">
        <v>322</v>
      </c>
      <c r="C22" s="5"/>
      <c r="D22" s="5"/>
      <c r="E22" s="5" t="s">
        <v>372</v>
      </c>
      <c r="F22" s="5" t="s">
        <v>373</v>
      </c>
    </row>
    <row r="23" spans="1:8" x14ac:dyDescent="0.35">
      <c r="A23" s="7" t="s">
        <v>374</v>
      </c>
      <c r="B23" s="7" t="s">
        <v>322</v>
      </c>
      <c r="C23" s="7"/>
      <c r="D23" s="7"/>
      <c r="E23" s="7" t="s">
        <v>342</v>
      </c>
      <c r="F23" s="7" t="s">
        <v>343</v>
      </c>
    </row>
    <row r="24" spans="1:8" x14ac:dyDescent="0.35">
      <c r="A24" s="5" t="s">
        <v>375</v>
      </c>
      <c r="B24" s="5" t="s">
        <v>322</v>
      </c>
      <c r="C24" s="5"/>
      <c r="D24" s="5"/>
      <c r="E24" s="5" t="s">
        <v>323</v>
      </c>
      <c r="F24" s="5" t="s">
        <v>324</v>
      </c>
    </row>
    <row r="25" spans="1:8" x14ac:dyDescent="0.35">
      <c r="A25" s="7" t="s">
        <v>92</v>
      </c>
      <c r="B25" s="7" t="s">
        <v>314</v>
      </c>
      <c r="C25" s="7" t="s">
        <v>357</v>
      </c>
      <c r="D25" s="8" t="s">
        <v>358</v>
      </c>
      <c r="E25" s="7" t="s">
        <v>376</v>
      </c>
      <c r="F25" s="8" t="s">
        <v>377</v>
      </c>
      <c r="G25" s="7" t="s">
        <v>378</v>
      </c>
    </row>
    <row r="26" spans="1:8" x14ac:dyDescent="0.35">
      <c r="A26" s="5" t="s">
        <v>379</v>
      </c>
      <c r="B26" s="5" t="s">
        <v>314</v>
      </c>
      <c r="C26" s="5" t="s">
        <v>315</v>
      </c>
      <c r="D26" s="6" t="s">
        <v>316</v>
      </c>
      <c r="E26" s="5" t="s">
        <v>376</v>
      </c>
      <c r="F26" s="5" t="s">
        <v>377</v>
      </c>
      <c r="G26" s="5" t="s">
        <v>380</v>
      </c>
      <c r="H26" s="8" t="s">
        <v>381</v>
      </c>
    </row>
    <row r="27" spans="1:8" x14ac:dyDescent="0.35">
      <c r="A27" s="7" t="s">
        <v>382</v>
      </c>
      <c r="B27" s="7" t="s">
        <v>326</v>
      </c>
      <c r="C27" s="7" t="s">
        <v>383</v>
      </c>
      <c r="D27" s="8" t="s">
        <v>384</v>
      </c>
      <c r="E27" s="7" t="s">
        <v>383</v>
      </c>
      <c r="F27" s="8" t="s">
        <v>384</v>
      </c>
    </row>
    <row r="28" spans="1:8" x14ac:dyDescent="0.35">
      <c r="A28" s="5" t="s">
        <v>385</v>
      </c>
      <c r="B28" s="5" t="s">
        <v>314</v>
      </c>
      <c r="C28" s="5" t="s">
        <v>350</v>
      </c>
      <c r="D28" s="6" t="s">
        <v>351</v>
      </c>
      <c r="E28" s="5"/>
      <c r="F28" s="5"/>
    </row>
    <row r="29" spans="1:8" x14ac:dyDescent="0.35">
      <c r="A29" s="7" t="s">
        <v>386</v>
      </c>
      <c r="B29" s="7" t="s">
        <v>314</v>
      </c>
      <c r="C29" s="7" t="s">
        <v>357</v>
      </c>
      <c r="D29" s="8" t="s">
        <v>358</v>
      </c>
      <c r="E29" s="7" t="s">
        <v>387</v>
      </c>
      <c r="F29" s="8" t="s">
        <v>388</v>
      </c>
    </row>
    <row r="30" spans="1:8" x14ac:dyDescent="0.35">
      <c r="A30" s="5" t="s">
        <v>389</v>
      </c>
      <c r="B30" s="5" t="s">
        <v>322</v>
      </c>
      <c r="C30" s="5"/>
      <c r="D30" s="5"/>
      <c r="E30" s="5" t="s">
        <v>390</v>
      </c>
      <c r="F30" s="5" t="s">
        <v>391</v>
      </c>
    </row>
    <row r="31" spans="1:8" x14ac:dyDescent="0.35">
      <c r="A31" s="7" t="s">
        <v>392</v>
      </c>
      <c r="B31" s="7" t="s">
        <v>322</v>
      </c>
      <c r="C31" s="7"/>
      <c r="D31" s="7"/>
      <c r="E31" s="7" t="s">
        <v>362</v>
      </c>
      <c r="F31" s="7" t="s">
        <v>363</v>
      </c>
    </row>
    <row r="32" spans="1:8" x14ac:dyDescent="0.35">
      <c r="A32" s="5" t="s">
        <v>393</v>
      </c>
      <c r="B32" s="5" t="s">
        <v>314</v>
      </c>
      <c r="C32" s="5" t="s">
        <v>357</v>
      </c>
      <c r="D32" s="6" t="s">
        <v>358</v>
      </c>
      <c r="E32" s="5" t="s">
        <v>394</v>
      </c>
      <c r="F32" s="5" t="s">
        <v>395</v>
      </c>
    </row>
    <row r="33" spans="1:8" x14ac:dyDescent="0.35">
      <c r="A33" s="7" t="s">
        <v>93</v>
      </c>
      <c r="B33" s="7" t="s">
        <v>314</v>
      </c>
      <c r="C33" s="7" t="s">
        <v>357</v>
      </c>
      <c r="D33" s="8" t="s">
        <v>358</v>
      </c>
      <c r="E33" s="7" t="s">
        <v>396</v>
      </c>
      <c r="F33" s="7" t="s">
        <v>397</v>
      </c>
      <c r="G33" s="5" t="s">
        <v>398</v>
      </c>
      <c r="H33" s="8" t="s">
        <v>399</v>
      </c>
    </row>
    <row r="34" spans="1:8" x14ac:dyDescent="0.35">
      <c r="A34" s="5" t="s">
        <v>400</v>
      </c>
      <c r="B34" s="5" t="s">
        <v>322</v>
      </c>
      <c r="C34" s="5"/>
      <c r="D34" s="5"/>
      <c r="E34" s="5" t="s">
        <v>338</v>
      </c>
      <c r="F34" s="5" t="s">
        <v>339</v>
      </c>
    </row>
    <row r="35" spans="1:8" x14ac:dyDescent="0.35">
      <c r="A35" s="7" t="s">
        <v>401</v>
      </c>
      <c r="B35" s="7" t="s">
        <v>322</v>
      </c>
      <c r="C35" s="7"/>
      <c r="D35" s="7"/>
      <c r="E35" s="7" t="s">
        <v>402</v>
      </c>
      <c r="F35" s="7" t="s">
        <v>403</v>
      </c>
    </row>
    <row r="36" spans="1:8" x14ac:dyDescent="0.35">
      <c r="A36" s="5" t="s">
        <v>404</v>
      </c>
      <c r="B36" s="5" t="s">
        <v>322</v>
      </c>
      <c r="C36" s="5"/>
      <c r="D36" s="5"/>
      <c r="E36" s="5" t="s">
        <v>338</v>
      </c>
      <c r="F36" s="5" t="s">
        <v>339</v>
      </c>
    </row>
    <row r="37" spans="1:8" x14ac:dyDescent="0.35">
      <c r="A37" s="7" t="s">
        <v>405</v>
      </c>
      <c r="B37" s="7" t="s">
        <v>314</v>
      </c>
      <c r="C37" s="7" t="s">
        <v>315</v>
      </c>
      <c r="D37" s="8" t="s">
        <v>316</v>
      </c>
      <c r="E37" s="7" t="s">
        <v>406</v>
      </c>
      <c r="F37" s="7" t="s">
        <v>407</v>
      </c>
    </row>
    <row r="38" spans="1:8" x14ac:dyDescent="0.35">
      <c r="A38" s="7" t="s">
        <v>408</v>
      </c>
      <c r="B38" s="7" t="s">
        <v>322</v>
      </c>
      <c r="C38" s="7"/>
      <c r="D38" s="7"/>
      <c r="E38" s="7" t="s">
        <v>335</v>
      </c>
      <c r="F38" s="7" t="s">
        <v>336</v>
      </c>
    </row>
    <row r="39" spans="1:8" x14ac:dyDescent="0.35">
      <c r="A39" s="5" t="s">
        <v>409</v>
      </c>
      <c r="B39" s="5" t="s">
        <v>314</v>
      </c>
      <c r="C39" s="5" t="s">
        <v>357</v>
      </c>
      <c r="D39" s="6" t="s">
        <v>358</v>
      </c>
      <c r="E39" s="5" t="s">
        <v>359</v>
      </c>
      <c r="F39" s="5" t="s">
        <v>360</v>
      </c>
    </row>
    <row r="40" spans="1:8" x14ac:dyDescent="0.35">
      <c r="A40" s="7" t="s">
        <v>410</v>
      </c>
      <c r="B40" s="7"/>
      <c r="C40" s="7" t="s">
        <v>368</v>
      </c>
      <c r="D40" s="8" t="s">
        <v>369</v>
      </c>
      <c r="E40" s="7" t="s">
        <v>368</v>
      </c>
      <c r="F40" s="7" t="s">
        <v>369</v>
      </c>
    </row>
    <row r="41" spans="1:8" x14ac:dyDescent="0.35">
      <c r="A41" s="7" t="s">
        <v>411</v>
      </c>
      <c r="B41" s="7" t="s">
        <v>314</v>
      </c>
      <c r="C41" s="7" t="s">
        <v>315</v>
      </c>
      <c r="D41" s="8" t="s">
        <v>316</v>
      </c>
      <c r="E41" s="7" t="s">
        <v>412</v>
      </c>
      <c r="F41" s="8" t="s">
        <v>413</v>
      </c>
    </row>
    <row r="42" spans="1:8" x14ac:dyDescent="0.35">
      <c r="A42" s="5" t="s">
        <v>414</v>
      </c>
      <c r="B42" s="5" t="s">
        <v>326</v>
      </c>
      <c r="C42" s="5" t="s">
        <v>415</v>
      </c>
      <c r="D42" s="6" t="s">
        <v>416</v>
      </c>
      <c r="E42" s="5" t="s">
        <v>368</v>
      </c>
      <c r="F42" s="5" t="s">
        <v>369</v>
      </c>
    </row>
    <row r="43" spans="1:8" x14ac:dyDescent="0.35">
      <c r="A43" s="7" t="s">
        <v>417</v>
      </c>
      <c r="B43" s="7" t="s">
        <v>322</v>
      </c>
      <c r="C43" s="7"/>
      <c r="D43" s="7"/>
      <c r="E43" s="7" t="s">
        <v>335</v>
      </c>
      <c r="F43" s="7" t="s">
        <v>336</v>
      </c>
    </row>
    <row r="44" spans="1:8" x14ac:dyDescent="0.35">
      <c r="A44" s="5" t="s">
        <v>418</v>
      </c>
      <c r="B44" s="5" t="s">
        <v>314</v>
      </c>
      <c r="C44" s="5" t="s">
        <v>350</v>
      </c>
      <c r="D44" s="6" t="s">
        <v>351</v>
      </c>
      <c r="E44" s="5" t="s">
        <v>419</v>
      </c>
      <c r="F44" s="5" t="s">
        <v>420</v>
      </c>
    </row>
    <row r="45" spans="1:8" x14ac:dyDescent="0.35">
      <c r="A45" s="5" t="s">
        <v>94</v>
      </c>
      <c r="B45" s="5" t="s">
        <v>314</v>
      </c>
      <c r="C45" s="5" t="s">
        <v>350</v>
      </c>
      <c r="D45" s="6" t="s">
        <v>358</v>
      </c>
      <c r="E45" s="5" t="s">
        <v>421</v>
      </c>
      <c r="F45" s="5" t="s">
        <v>422</v>
      </c>
      <c r="G45" s="5" t="s">
        <v>380</v>
      </c>
      <c r="H45" s="8" t="s">
        <v>381</v>
      </c>
    </row>
    <row r="46" spans="1:8" x14ac:dyDescent="0.35">
      <c r="A46" s="5" t="s">
        <v>423</v>
      </c>
      <c r="B46" s="5" t="s">
        <v>322</v>
      </c>
      <c r="C46" s="5"/>
      <c r="D46" s="5"/>
      <c r="E46" s="5" t="s">
        <v>338</v>
      </c>
      <c r="F46" s="5" t="s">
        <v>339</v>
      </c>
    </row>
    <row r="47" spans="1:8" x14ac:dyDescent="0.35">
      <c r="A47" s="7" t="s">
        <v>424</v>
      </c>
      <c r="B47" s="7" t="s">
        <v>326</v>
      </c>
      <c r="C47" s="7" t="s">
        <v>383</v>
      </c>
      <c r="D47" s="8" t="s">
        <v>384</v>
      </c>
      <c r="E47" s="7" t="s">
        <v>383</v>
      </c>
      <c r="F47" s="8" t="s">
        <v>384</v>
      </c>
    </row>
    <row r="48" spans="1:8" x14ac:dyDescent="0.35">
      <c r="A48" s="5" t="s">
        <v>425</v>
      </c>
      <c r="B48" s="5" t="s">
        <v>326</v>
      </c>
      <c r="C48" s="5" t="s">
        <v>426</v>
      </c>
      <c r="D48" s="6" t="s">
        <v>427</v>
      </c>
      <c r="E48" s="5" t="s">
        <v>368</v>
      </c>
      <c r="F48" s="5" t="s">
        <v>369</v>
      </c>
    </row>
    <row r="49" spans="1:8" x14ac:dyDescent="0.35">
      <c r="A49" s="7" t="s">
        <v>428</v>
      </c>
      <c r="B49" s="7" t="s">
        <v>322</v>
      </c>
      <c r="C49" s="7"/>
      <c r="D49" s="7"/>
      <c r="E49" s="7" t="s">
        <v>372</v>
      </c>
      <c r="F49" s="7" t="s">
        <v>373</v>
      </c>
    </row>
    <row r="50" spans="1:8" x14ac:dyDescent="0.35">
      <c r="A50" s="5" t="s">
        <v>429</v>
      </c>
      <c r="B50" s="5" t="s">
        <v>314</v>
      </c>
      <c r="C50" s="5" t="s">
        <v>315</v>
      </c>
      <c r="D50" s="6" t="s">
        <v>316</v>
      </c>
      <c r="E50" s="5"/>
      <c r="F50" s="5"/>
    </row>
    <row r="51" spans="1:8" x14ac:dyDescent="0.35">
      <c r="A51" s="7" t="s">
        <v>430</v>
      </c>
      <c r="B51" s="7" t="s">
        <v>326</v>
      </c>
      <c r="C51" s="7" t="s">
        <v>383</v>
      </c>
      <c r="D51" s="8" t="s">
        <v>384</v>
      </c>
      <c r="E51" s="7" t="s">
        <v>372</v>
      </c>
      <c r="F51" s="7" t="s">
        <v>373</v>
      </c>
    </row>
    <row r="52" spans="1:8" x14ac:dyDescent="0.35">
      <c r="A52" s="5" t="s">
        <v>95</v>
      </c>
      <c r="B52" s="5" t="s">
        <v>314</v>
      </c>
      <c r="C52" s="5" t="s">
        <v>350</v>
      </c>
      <c r="D52" s="6" t="s">
        <v>351</v>
      </c>
      <c r="E52" s="5" t="s">
        <v>431</v>
      </c>
      <c r="F52" s="5" t="s">
        <v>432</v>
      </c>
      <c r="G52" t="s">
        <v>433</v>
      </c>
      <c r="H52" s="8" t="s">
        <v>434</v>
      </c>
    </row>
    <row r="53" spans="1:8" x14ac:dyDescent="0.35">
      <c r="A53" s="7" t="s">
        <v>435</v>
      </c>
      <c r="B53" s="7" t="s">
        <v>326</v>
      </c>
      <c r="C53" s="7" t="s">
        <v>365</v>
      </c>
      <c r="D53" s="11" t="s">
        <v>366</v>
      </c>
      <c r="E53" s="7" t="s">
        <v>436</v>
      </c>
      <c r="F53" s="7" t="s">
        <v>437</v>
      </c>
    </row>
    <row r="54" spans="1:8" x14ac:dyDescent="0.35">
      <c r="A54" s="5" t="s">
        <v>438</v>
      </c>
      <c r="B54" s="5" t="s">
        <v>322</v>
      </c>
      <c r="C54" s="5"/>
      <c r="D54" s="5"/>
      <c r="E54" s="5" t="s">
        <v>372</v>
      </c>
      <c r="F54" s="5" t="s">
        <v>373</v>
      </c>
    </row>
    <row r="55" spans="1:8" x14ac:dyDescent="0.35">
      <c r="A55" s="7" t="s">
        <v>439</v>
      </c>
      <c r="B55" s="7" t="s">
        <v>314</v>
      </c>
      <c r="C55" s="7" t="s">
        <v>350</v>
      </c>
      <c r="D55" s="8" t="s">
        <v>351</v>
      </c>
      <c r="E55" s="7" t="s">
        <v>440</v>
      </c>
      <c r="F55" s="7" t="s">
        <v>441</v>
      </c>
      <c r="G55" t="s">
        <v>433</v>
      </c>
      <c r="H55" s="8" t="s">
        <v>434</v>
      </c>
    </row>
    <row r="56" spans="1:8" x14ac:dyDescent="0.35">
      <c r="A56" s="5" t="s">
        <v>442</v>
      </c>
      <c r="B56" s="5" t="s">
        <v>322</v>
      </c>
      <c r="C56" s="5"/>
      <c r="D56" s="5"/>
      <c r="E56" s="5" t="s">
        <v>323</v>
      </c>
      <c r="F56" s="5" t="s">
        <v>324</v>
      </c>
    </row>
    <row r="57" spans="1:8" x14ac:dyDescent="0.35">
      <c r="A57" s="7" t="s">
        <v>100</v>
      </c>
      <c r="B57" s="7" t="s">
        <v>314</v>
      </c>
      <c r="C57" s="7" t="s">
        <v>443</v>
      </c>
      <c r="D57" s="8" t="s">
        <v>358</v>
      </c>
      <c r="E57" s="7" t="s">
        <v>444</v>
      </c>
      <c r="F57" s="8" t="s">
        <v>445</v>
      </c>
      <c r="G57" s="7" t="s">
        <v>319</v>
      </c>
      <c r="H57" t="s">
        <v>320</v>
      </c>
    </row>
    <row r="58" spans="1:8" x14ac:dyDescent="0.35">
      <c r="A58" s="5" t="s">
        <v>446</v>
      </c>
      <c r="B58" s="5" t="s">
        <v>326</v>
      </c>
      <c r="C58" s="5" t="s">
        <v>415</v>
      </c>
      <c r="D58" s="6" t="s">
        <v>416</v>
      </c>
      <c r="E58" s="5" t="s">
        <v>368</v>
      </c>
      <c r="F58" s="5" t="s">
        <v>369</v>
      </c>
    </row>
    <row r="59" spans="1:8" x14ac:dyDescent="0.35">
      <c r="A59" s="7" t="s">
        <v>447</v>
      </c>
      <c r="B59" s="7" t="s">
        <v>322</v>
      </c>
      <c r="C59" s="7"/>
      <c r="D59" s="7"/>
      <c r="E59" s="7" t="s">
        <v>335</v>
      </c>
      <c r="F59" s="7" t="s">
        <v>336</v>
      </c>
    </row>
    <row r="60" spans="1:8" x14ac:dyDescent="0.35">
      <c r="A60" s="5" t="s">
        <v>448</v>
      </c>
      <c r="B60" s="5" t="s">
        <v>314</v>
      </c>
      <c r="C60" s="5" t="s">
        <v>357</v>
      </c>
      <c r="D60" s="6" t="s">
        <v>358</v>
      </c>
      <c r="E60" s="5" t="s">
        <v>376</v>
      </c>
      <c r="F60" s="6" t="s">
        <v>377</v>
      </c>
    </row>
    <row r="61" spans="1:8" x14ac:dyDescent="0.35">
      <c r="A61" s="7" t="s">
        <v>449</v>
      </c>
      <c r="B61" s="7" t="s">
        <v>314</v>
      </c>
      <c r="C61" s="7" t="s">
        <v>357</v>
      </c>
      <c r="D61" s="8" t="s">
        <v>358</v>
      </c>
      <c r="E61" s="7" t="s">
        <v>444</v>
      </c>
      <c r="F61" s="8" t="s">
        <v>445</v>
      </c>
    </row>
    <row r="62" spans="1:8" x14ac:dyDescent="0.35">
      <c r="A62" s="5" t="s">
        <v>450</v>
      </c>
      <c r="B62" s="5" t="s">
        <v>326</v>
      </c>
      <c r="C62" s="5" t="s">
        <v>368</v>
      </c>
      <c r="D62" s="6" t="s">
        <v>369</v>
      </c>
      <c r="E62" s="5" t="s">
        <v>368</v>
      </c>
      <c r="F62" s="5" t="s">
        <v>369</v>
      </c>
    </row>
    <row r="63" spans="1:8" x14ac:dyDescent="0.35">
      <c r="A63" s="7" t="s">
        <v>451</v>
      </c>
      <c r="B63" s="7" t="s">
        <v>314</v>
      </c>
      <c r="C63" s="7" t="s">
        <v>315</v>
      </c>
      <c r="D63" s="8" t="s">
        <v>316</v>
      </c>
      <c r="E63" s="7" t="s">
        <v>452</v>
      </c>
      <c r="F63" s="7" t="s">
        <v>453</v>
      </c>
      <c r="G63" t="s">
        <v>380</v>
      </c>
      <c r="H63" s="8" t="s">
        <v>381</v>
      </c>
    </row>
    <row r="64" spans="1:8" x14ac:dyDescent="0.35">
      <c r="A64" s="5" t="s">
        <v>454</v>
      </c>
      <c r="B64" s="5" t="s">
        <v>326</v>
      </c>
      <c r="C64" s="5" t="s">
        <v>368</v>
      </c>
      <c r="D64" s="6" t="s">
        <v>369</v>
      </c>
      <c r="E64" s="5" t="s">
        <v>368</v>
      </c>
      <c r="F64" s="5" t="s">
        <v>369</v>
      </c>
    </row>
    <row r="65" spans="1:7" x14ac:dyDescent="0.35">
      <c r="A65" s="7" t="s">
        <v>455</v>
      </c>
      <c r="B65" s="7" t="s">
        <v>314</v>
      </c>
      <c r="C65" s="7" t="s">
        <v>350</v>
      </c>
      <c r="D65" s="8" t="s">
        <v>351</v>
      </c>
      <c r="E65" s="7" t="s">
        <v>456</v>
      </c>
      <c r="F65" s="7" t="s">
        <v>457</v>
      </c>
    </row>
    <row r="66" spans="1:7" x14ac:dyDescent="0.35">
      <c r="A66" s="5" t="s">
        <v>458</v>
      </c>
      <c r="B66" s="5" t="s">
        <v>326</v>
      </c>
      <c r="C66" s="5" t="s">
        <v>327</v>
      </c>
      <c r="D66" s="6" t="s">
        <v>328</v>
      </c>
      <c r="E66" s="5" t="s">
        <v>365</v>
      </c>
      <c r="F66" s="5" t="s">
        <v>366</v>
      </c>
    </row>
    <row r="67" spans="1:7" x14ac:dyDescent="0.35">
      <c r="A67" s="7" t="s">
        <v>459</v>
      </c>
      <c r="B67" s="7" t="s">
        <v>322</v>
      </c>
      <c r="C67" s="7"/>
      <c r="D67" s="7"/>
      <c r="E67" s="7" t="s">
        <v>372</v>
      </c>
      <c r="F67" s="7" t="s">
        <v>373</v>
      </c>
    </row>
    <row r="68" spans="1:7" x14ac:dyDescent="0.35">
      <c r="A68" s="5" t="s">
        <v>460</v>
      </c>
      <c r="B68" s="5" t="s">
        <v>322</v>
      </c>
      <c r="C68" s="5"/>
      <c r="D68" s="5"/>
      <c r="E68" s="5" t="s">
        <v>372</v>
      </c>
      <c r="F68" s="5" t="s">
        <v>373</v>
      </c>
    </row>
    <row r="69" spans="1:7" x14ac:dyDescent="0.35">
      <c r="A69" s="7" t="s">
        <v>461</v>
      </c>
      <c r="B69" s="7" t="s">
        <v>322</v>
      </c>
      <c r="C69" s="7"/>
      <c r="D69" s="7"/>
      <c r="E69" s="7" t="s">
        <v>323</v>
      </c>
      <c r="F69" s="7" t="s">
        <v>324</v>
      </c>
    </row>
    <row r="70" spans="1:7" x14ac:dyDescent="0.35">
      <c r="A70" s="5" t="s">
        <v>462</v>
      </c>
      <c r="B70" s="5" t="s">
        <v>322</v>
      </c>
      <c r="C70" s="5"/>
      <c r="D70" s="5"/>
      <c r="E70" s="5" t="s">
        <v>335</v>
      </c>
      <c r="F70" s="5" t="s">
        <v>336</v>
      </c>
    </row>
    <row r="71" spans="1:7" x14ac:dyDescent="0.35">
      <c r="A71" s="7" t="s">
        <v>463</v>
      </c>
      <c r="B71" s="7" t="s">
        <v>322</v>
      </c>
      <c r="C71" s="7"/>
      <c r="D71" s="7"/>
      <c r="E71" s="7" t="s">
        <v>464</v>
      </c>
      <c r="F71" s="7" t="s">
        <v>465</v>
      </c>
    </row>
    <row r="72" spans="1:7" x14ac:dyDescent="0.35">
      <c r="A72" s="5" t="s">
        <v>466</v>
      </c>
      <c r="B72" s="5" t="s">
        <v>322</v>
      </c>
      <c r="C72" s="5"/>
      <c r="D72" s="5"/>
      <c r="E72" s="5" t="s">
        <v>372</v>
      </c>
      <c r="F72" s="5" t="s">
        <v>373</v>
      </c>
    </row>
    <row r="73" spans="1:7" x14ac:dyDescent="0.35">
      <c r="A73" s="7" t="s">
        <v>105</v>
      </c>
      <c r="B73" s="7" t="s">
        <v>314</v>
      </c>
      <c r="C73" s="7" t="s">
        <v>315</v>
      </c>
      <c r="D73" s="8" t="s">
        <v>316</v>
      </c>
      <c r="E73" s="7" t="s">
        <v>412</v>
      </c>
      <c r="F73" s="7" t="s">
        <v>413</v>
      </c>
      <c r="G73" s="7" t="s">
        <v>467</v>
      </c>
    </row>
    <row r="74" spans="1:7" x14ac:dyDescent="0.35">
      <c r="A74" s="5" t="s">
        <v>468</v>
      </c>
      <c r="B74" s="5" t="s">
        <v>326</v>
      </c>
      <c r="C74" s="5" t="s">
        <v>327</v>
      </c>
      <c r="D74" s="6" t="s">
        <v>328</v>
      </c>
      <c r="E74" s="5" t="s">
        <v>365</v>
      </c>
      <c r="F74" s="5" t="s">
        <v>366</v>
      </c>
    </row>
    <row r="75" spans="1:7" x14ac:dyDescent="0.35">
      <c r="A75" s="7" t="s">
        <v>469</v>
      </c>
      <c r="B75" s="7" t="s">
        <v>326</v>
      </c>
      <c r="C75" s="7" t="s">
        <v>383</v>
      </c>
      <c r="D75" s="8" t="s">
        <v>384</v>
      </c>
      <c r="E75" s="7" t="s">
        <v>383</v>
      </c>
      <c r="F75" s="8" t="s">
        <v>384</v>
      </c>
    </row>
    <row r="76" spans="1:7" x14ac:dyDescent="0.35">
      <c r="A76" s="5" t="s">
        <v>470</v>
      </c>
      <c r="B76" s="5" t="s">
        <v>322</v>
      </c>
      <c r="C76" s="5"/>
      <c r="D76" s="5"/>
      <c r="E76" s="5" t="s">
        <v>347</v>
      </c>
      <c r="F76" s="5" t="s">
        <v>348</v>
      </c>
    </row>
    <row r="77" spans="1:7" x14ac:dyDescent="0.35">
      <c r="A77" s="7" t="s">
        <v>471</v>
      </c>
      <c r="B77" s="7" t="s">
        <v>314</v>
      </c>
      <c r="C77" s="7" t="s">
        <v>350</v>
      </c>
      <c r="D77" s="8" t="s">
        <v>351</v>
      </c>
      <c r="E77" s="7" t="s">
        <v>472</v>
      </c>
      <c r="F77" s="7" t="s">
        <v>473</v>
      </c>
    </row>
    <row r="78" spans="1:7" x14ac:dyDescent="0.35">
      <c r="A78" s="5" t="s">
        <v>96</v>
      </c>
      <c r="B78" s="5" t="s">
        <v>314</v>
      </c>
      <c r="C78" s="5" t="s">
        <v>350</v>
      </c>
      <c r="D78" s="6" t="s">
        <v>351</v>
      </c>
      <c r="E78" s="5" t="s">
        <v>474</v>
      </c>
      <c r="F78" s="5" t="s">
        <v>475</v>
      </c>
    </row>
    <row r="79" spans="1:7" x14ac:dyDescent="0.35">
      <c r="A79" s="7" t="s">
        <v>476</v>
      </c>
      <c r="B79" s="7" t="s">
        <v>322</v>
      </c>
      <c r="C79" s="7"/>
      <c r="D79" s="7"/>
      <c r="E79" s="7" t="s">
        <v>372</v>
      </c>
      <c r="F79" s="7" t="s">
        <v>373</v>
      </c>
    </row>
    <row r="80" spans="1:7" x14ac:dyDescent="0.35">
      <c r="A80" s="5" t="s">
        <v>477</v>
      </c>
      <c r="B80" s="5" t="s">
        <v>314</v>
      </c>
      <c r="C80" s="5" t="s">
        <v>315</v>
      </c>
      <c r="D80" s="6" t="s">
        <v>316</v>
      </c>
      <c r="E80" s="5" t="s">
        <v>478</v>
      </c>
      <c r="F80" s="5" t="s">
        <v>479</v>
      </c>
    </row>
    <row r="81" spans="1:6" x14ac:dyDescent="0.35">
      <c r="A81" s="7" t="s">
        <v>480</v>
      </c>
      <c r="B81" s="7" t="s">
        <v>314</v>
      </c>
      <c r="C81" s="7" t="s">
        <v>350</v>
      </c>
      <c r="D81" s="8" t="s">
        <v>351</v>
      </c>
      <c r="E81" s="7" t="s">
        <v>440</v>
      </c>
      <c r="F81" s="7" t="s">
        <v>441</v>
      </c>
    </row>
    <row r="82" spans="1:6" x14ac:dyDescent="0.35">
      <c r="A82" s="5" t="s">
        <v>481</v>
      </c>
      <c r="B82" s="5" t="s">
        <v>322</v>
      </c>
      <c r="C82" s="5"/>
      <c r="D82" s="5"/>
      <c r="E82" s="5" t="s">
        <v>372</v>
      </c>
      <c r="F82" s="5" t="s">
        <v>373</v>
      </c>
    </row>
    <row r="83" spans="1:6" x14ac:dyDescent="0.35">
      <c r="A83" s="7" t="s">
        <v>482</v>
      </c>
      <c r="B83" s="7" t="s">
        <v>314</v>
      </c>
      <c r="C83" s="7" t="s">
        <v>315</v>
      </c>
      <c r="D83" s="8" t="s">
        <v>316</v>
      </c>
      <c r="E83" s="7" t="s">
        <v>406</v>
      </c>
      <c r="F83" s="7" t="s">
        <v>407</v>
      </c>
    </row>
    <row r="84" spans="1:6" x14ac:dyDescent="0.35">
      <c r="A84" s="5" t="s">
        <v>106</v>
      </c>
      <c r="B84" s="5" t="s">
        <v>314</v>
      </c>
      <c r="C84" s="5" t="s">
        <v>315</v>
      </c>
      <c r="D84" s="6" t="s">
        <v>316</v>
      </c>
      <c r="E84" s="5" t="s">
        <v>478</v>
      </c>
      <c r="F84" s="5" t="s">
        <v>479</v>
      </c>
    </row>
    <row r="85" spans="1:6" x14ac:dyDescent="0.35">
      <c r="A85" s="7" t="s">
        <v>483</v>
      </c>
      <c r="B85" s="7" t="s">
        <v>322</v>
      </c>
      <c r="C85" s="7"/>
      <c r="D85" s="7"/>
      <c r="E85" s="7" t="s">
        <v>323</v>
      </c>
      <c r="F85" s="7" t="s">
        <v>324</v>
      </c>
    </row>
    <row r="86" spans="1:6" x14ac:dyDescent="0.35">
      <c r="A86" s="5" t="s">
        <v>484</v>
      </c>
      <c r="B86" s="5" t="s">
        <v>326</v>
      </c>
      <c r="C86" s="5" t="s">
        <v>365</v>
      </c>
      <c r="D86" s="10" t="s">
        <v>366</v>
      </c>
      <c r="E86" s="5" t="s">
        <v>436</v>
      </c>
      <c r="F86" s="5" t="s">
        <v>437</v>
      </c>
    </row>
    <row r="87" spans="1:6" x14ac:dyDescent="0.35">
      <c r="A87" s="7" t="s">
        <v>485</v>
      </c>
      <c r="B87" s="7" t="s">
        <v>314</v>
      </c>
      <c r="C87" s="7" t="s">
        <v>357</v>
      </c>
      <c r="D87" s="8" t="s">
        <v>358</v>
      </c>
      <c r="E87" s="7" t="s">
        <v>396</v>
      </c>
      <c r="F87" s="8" t="s">
        <v>397</v>
      </c>
    </row>
    <row r="88" spans="1:6" x14ac:dyDescent="0.35">
      <c r="A88" s="5" t="s">
        <v>486</v>
      </c>
      <c r="B88" s="5" t="s">
        <v>326</v>
      </c>
      <c r="C88" s="5" t="s">
        <v>365</v>
      </c>
      <c r="D88" s="10" t="s">
        <v>366</v>
      </c>
      <c r="E88" s="5" t="s">
        <v>436</v>
      </c>
      <c r="F88" s="5" t="s">
        <v>437</v>
      </c>
    </row>
    <row r="89" spans="1:6" x14ac:dyDescent="0.35">
      <c r="A89" s="7" t="s">
        <v>487</v>
      </c>
      <c r="B89" s="7" t="s">
        <v>314</v>
      </c>
      <c r="C89" s="7" t="s">
        <v>357</v>
      </c>
      <c r="D89" s="8" t="s">
        <v>358</v>
      </c>
      <c r="E89" s="7" t="s">
        <v>359</v>
      </c>
      <c r="F89" s="7" t="s">
        <v>360</v>
      </c>
    </row>
    <row r="90" spans="1:6" x14ac:dyDescent="0.35">
      <c r="A90" s="5" t="s">
        <v>488</v>
      </c>
      <c r="B90" s="5" t="s">
        <v>322</v>
      </c>
      <c r="C90" s="5"/>
      <c r="D90" s="5"/>
      <c r="E90" s="5" t="s">
        <v>372</v>
      </c>
      <c r="F90" s="5" t="s">
        <v>373</v>
      </c>
    </row>
    <row r="91" spans="1:6" x14ac:dyDescent="0.35">
      <c r="A91" s="7" t="s">
        <v>489</v>
      </c>
      <c r="B91" s="7" t="s">
        <v>322</v>
      </c>
      <c r="C91" s="7"/>
      <c r="D91" s="7"/>
      <c r="E91" s="7" t="s">
        <v>342</v>
      </c>
      <c r="F91" s="7" t="s">
        <v>343</v>
      </c>
    </row>
    <row r="92" spans="1:6" x14ac:dyDescent="0.35">
      <c r="A92" s="5" t="s">
        <v>490</v>
      </c>
      <c r="B92" s="5" t="s">
        <v>326</v>
      </c>
      <c r="C92" s="5" t="s">
        <v>365</v>
      </c>
      <c r="D92" s="10" t="s">
        <v>366</v>
      </c>
      <c r="E92" s="5" t="s">
        <v>436</v>
      </c>
      <c r="F92" s="5" t="s">
        <v>437</v>
      </c>
    </row>
    <row r="93" spans="1:6" x14ac:dyDescent="0.35">
      <c r="A93" s="7" t="s">
        <v>491</v>
      </c>
      <c r="B93" s="7" t="s">
        <v>326</v>
      </c>
      <c r="C93" s="7" t="s">
        <v>327</v>
      </c>
      <c r="D93" s="8" t="s">
        <v>328</v>
      </c>
      <c r="E93" s="7" t="s">
        <v>492</v>
      </c>
      <c r="F93" s="7" t="s">
        <v>493</v>
      </c>
    </row>
    <row r="94" spans="1:6" x14ac:dyDescent="0.35">
      <c r="A94" s="5" t="s">
        <v>494</v>
      </c>
      <c r="B94" s="5" t="s">
        <v>322</v>
      </c>
      <c r="C94" s="5"/>
      <c r="D94" s="5"/>
      <c r="E94" s="5" t="s">
        <v>495</v>
      </c>
      <c r="F94" s="5" t="s">
        <v>496</v>
      </c>
    </row>
    <row r="95" spans="1:6" x14ac:dyDescent="0.35">
      <c r="A95" s="7" t="s">
        <v>497</v>
      </c>
      <c r="B95" s="7" t="s">
        <v>326</v>
      </c>
      <c r="C95" s="7" t="s">
        <v>350</v>
      </c>
      <c r="D95" s="8" t="s">
        <v>351</v>
      </c>
      <c r="E95" s="7" t="s">
        <v>365</v>
      </c>
      <c r="F95" s="7" t="s">
        <v>366</v>
      </c>
    </row>
    <row r="96" spans="1:6" x14ac:dyDescent="0.35">
      <c r="A96" s="5" t="s">
        <v>498</v>
      </c>
      <c r="B96" s="5" t="s">
        <v>322</v>
      </c>
      <c r="C96" s="5"/>
      <c r="D96" s="5"/>
      <c r="E96" s="5" t="s">
        <v>323</v>
      </c>
      <c r="F96" s="5" t="s">
        <v>324</v>
      </c>
    </row>
    <row r="97" spans="1:8" x14ac:dyDescent="0.35">
      <c r="A97" s="7" t="s">
        <v>499</v>
      </c>
      <c r="B97" s="7" t="s">
        <v>322</v>
      </c>
      <c r="C97" s="7"/>
      <c r="D97" s="7"/>
      <c r="E97" s="7" t="s">
        <v>362</v>
      </c>
      <c r="F97" s="7" t="s">
        <v>363</v>
      </c>
    </row>
    <row r="98" spans="1:8" x14ac:dyDescent="0.35">
      <c r="A98" s="5" t="s">
        <v>500</v>
      </c>
      <c r="B98" s="5" t="s">
        <v>326</v>
      </c>
      <c r="C98" s="5" t="s">
        <v>383</v>
      </c>
      <c r="D98" s="6" t="s">
        <v>384</v>
      </c>
      <c r="E98" s="5" t="s">
        <v>383</v>
      </c>
      <c r="F98" s="6" t="s">
        <v>384</v>
      </c>
    </row>
    <row r="99" spans="1:8" x14ac:dyDescent="0.35">
      <c r="A99" s="7" t="s">
        <v>501</v>
      </c>
      <c r="B99" s="7" t="s">
        <v>314</v>
      </c>
      <c r="C99" s="7" t="s">
        <v>315</v>
      </c>
      <c r="D99" s="8" t="s">
        <v>316</v>
      </c>
      <c r="E99" s="7" t="s">
        <v>502</v>
      </c>
      <c r="F99" s="8" t="s">
        <v>333</v>
      </c>
    </row>
    <row r="100" spans="1:8" x14ac:dyDescent="0.35">
      <c r="A100" s="5" t="s">
        <v>503</v>
      </c>
      <c r="B100" s="5" t="s">
        <v>314</v>
      </c>
      <c r="C100" s="5" t="s">
        <v>350</v>
      </c>
      <c r="D100" s="6" t="s">
        <v>351</v>
      </c>
      <c r="E100" s="5" t="s">
        <v>419</v>
      </c>
      <c r="F100" s="5" t="s">
        <v>420</v>
      </c>
    </row>
    <row r="101" spans="1:8" x14ac:dyDescent="0.35">
      <c r="A101" s="7" t="s">
        <v>504</v>
      </c>
      <c r="B101" s="7" t="s">
        <v>322</v>
      </c>
      <c r="C101" s="7"/>
      <c r="D101" s="7"/>
      <c r="E101" s="7" t="s">
        <v>372</v>
      </c>
      <c r="F101" s="7" t="s">
        <v>373</v>
      </c>
    </row>
    <row r="102" spans="1:8" x14ac:dyDescent="0.35">
      <c r="A102" s="5" t="s">
        <v>505</v>
      </c>
      <c r="B102" s="5" t="s">
        <v>322</v>
      </c>
      <c r="C102" s="5"/>
      <c r="D102" s="5"/>
      <c r="E102" s="5" t="s">
        <v>436</v>
      </c>
      <c r="F102" s="5" t="s">
        <v>437</v>
      </c>
    </row>
    <row r="103" spans="1:8" x14ac:dyDescent="0.35">
      <c r="A103" s="7" t="s">
        <v>506</v>
      </c>
      <c r="B103" s="7" t="s">
        <v>314</v>
      </c>
      <c r="C103" s="7" t="s">
        <v>350</v>
      </c>
      <c r="D103" s="8" t="s">
        <v>351</v>
      </c>
      <c r="E103" s="7" t="s">
        <v>456</v>
      </c>
      <c r="F103" s="7" t="s">
        <v>457</v>
      </c>
    </row>
    <row r="104" spans="1:8" x14ac:dyDescent="0.35">
      <c r="A104" s="5" t="s">
        <v>507</v>
      </c>
      <c r="B104" s="5" t="s">
        <v>322</v>
      </c>
      <c r="C104" s="5"/>
      <c r="D104" s="5"/>
      <c r="E104" s="5" t="s">
        <v>342</v>
      </c>
      <c r="F104" s="5" t="s">
        <v>343</v>
      </c>
    </row>
    <row r="105" spans="1:8" x14ac:dyDescent="0.35">
      <c r="A105" s="7" t="s">
        <v>508</v>
      </c>
      <c r="B105" s="7" t="s">
        <v>314</v>
      </c>
      <c r="C105" s="7"/>
      <c r="D105" s="7"/>
      <c r="E105" s="7" t="s">
        <v>368</v>
      </c>
      <c r="F105" s="7" t="s">
        <v>369</v>
      </c>
    </row>
    <row r="106" spans="1:8" x14ac:dyDescent="0.35">
      <c r="A106" s="5" t="s">
        <v>509</v>
      </c>
      <c r="B106" s="5" t="s">
        <v>314</v>
      </c>
      <c r="C106" s="5" t="s">
        <v>357</v>
      </c>
      <c r="D106" s="6" t="s">
        <v>358</v>
      </c>
      <c r="E106" s="5" t="s">
        <v>394</v>
      </c>
      <c r="F106" s="5" t="s">
        <v>395</v>
      </c>
    </row>
    <row r="107" spans="1:8" x14ac:dyDescent="0.35">
      <c r="A107" s="7" t="s">
        <v>101</v>
      </c>
      <c r="B107" s="7" t="s">
        <v>314</v>
      </c>
      <c r="C107" s="7" t="s">
        <v>350</v>
      </c>
      <c r="D107" s="8" t="s">
        <v>351</v>
      </c>
      <c r="E107" s="5" t="s">
        <v>510</v>
      </c>
      <c r="F107" s="7" t="s">
        <v>511</v>
      </c>
      <c r="G107" s="7" t="s">
        <v>433</v>
      </c>
      <c r="H107" s="8" t="s">
        <v>434</v>
      </c>
    </row>
    <row r="108" spans="1:8" x14ac:dyDescent="0.35">
      <c r="A108" s="5" t="s">
        <v>512</v>
      </c>
      <c r="B108" s="5" t="s">
        <v>322</v>
      </c>
      <c r="C108" s="5"/>
      <c r="D108" s="5"/>
      <c r="E108" s="5" t="s">
        <v>323</v>
      </c>
      <c r="F108" s="5" t="s">
        <v>324</v>
      </c>
    </row>
    <row r="109" spans="1:8" x14ac:dyDescent="0.35">
      <c r="A109" s="7" t="s">
        <v>513</v>
      </c>
      <c r="B109" s="7" t="s">
        <v>322</v>
      </c>
      <c r="C109" s="7"/>
      <c r="D109" s="7"/>
      <c r="E109" s="7" t="s">
        <v>347</v>
      </c>
      <c r="F109" s="7" t="s">
        <v>348</v>
      </c>
    </row>
    <row r="110" spans="1:8" x14ac:dyDescent="0.35">
      <c r="A110" s="5" t="s">
        <v>514</v>
      </c>
      <c r="B110" s="5" t="s">
        <v>314</v>
      </c>
      <c r="C110" s="5" t="s">
        <v>350</v>
      </c>
      <c r="D110" s="6" t="s">
        <v>351</v>
      </c>
      <c r="E110" s="5" t="s">
        <v>515</v>
      </c>
      <c r="F110" s="5" t="s">
        <v>516</v>
      </c>
    </row>
    <row r="111" spans="1:8" x14ac:dyDescent="0.35">
      <c r="A111" s="7" t="s">
        <v>517</v>
      </c>
      <c r="B111" s="7" t="s">
        <v>322</v>
      </c>
      <c r="C111" s="7"/>
      <c r="D111" s="7"/>
      <c r="E111" s="7" t="s">
        <v>436</v>
      </c>
      <c r="F111" s="7" t="s">
        <v>437</v>
      </c>
    </row>
    <row r="112" spans="1:8" x14ac:dyDescent="0.35">
      <c r="A112" s="5" t="s">
        <v>518</v>
      </c>
      <c r="B112" s="5" t="s">
        <v>322</v>
      </c>
      <c r="C112" s="5"/>
      <c r="D112" s="5"/>
      <c r="E112" s="5" t="s">
        <v>338</v>
      </c>
      <c r="F112" s="5" t="s">
        <v>339</v>
      </c>
    </row>
    <row r="113" spans="1:8" x14ac:dyDescent="0.35">
      <c r="A113" s="11" t="s">
        <v>519</v>
      </c>
      <c r="B113" s="7" t="s">
        <v>314</v>
      </c>
      <c r="C113" s="7" t="s">
        <v>315</v>
      </c>
      <c r="D113" s="8" t="s">
        <v>316</v>
      </c>
      <c r="E113" s="7" t="s">
        <v>520</v>
      </c>
      <c r="F113" s="8" t="s">
        <v>521</v>
      </c>
    </row>
    <row r="114" spans="1:8" x14ac:dyDescent="0.35">
      <c r="A114" s="5" t="s">
        <v>522</v>
      </c>
      <c r="B114" s="5" t="s">
        <v>322</v>
      </c>
      <c r="C114" s="5"/>
      <c r="D114" s="5"/>
      <c r="E114" s="5" t="s">
        <v>338</v>
      </c>
      <c r="F114" s="5" t="s">
        <v>339</v>
      </c>
    </row>
    <row r="115" spans="1:8" x14ac:dyDescent="0.35">
      <c r="A115" s="7" t="s">
        <v>523</v>
      </c>
      <c r="B115" s="7" t="s">
        <v>322</v>
      </c>
      <c r="C115" s="7"/>
      <c r="D115" s="7"/>
      <c r="E115" s="7" t="s">
        <v>338</v>
      </c>
      <c r="F115" s="7" t="s">
        <v>339</v>
      </c>
    </row>
    <row r="116" spans="1:8" x14ac:dyDescent="0.35">
      <c r="A116" s="5" t="s">
        <v>524</v>
      </c>
      <c r="B116" s="5" t="s">
        <v>326</v>
      </c>
      <c r="C116" s="5" t="s">
        <v>365</v>
      </c>
      <c r="D116" s="6" t="s">
        <v>366</v>
      </c>
      <c r="E116" s="5" t="s">
        <v>436</v>
      </c>
      <c r="F116" s="5" t="s">
        <v>437</v>
      </c>
    </row>
    <row r="117" spans="1:8" x14ac:dyDescent="0.35">
      <c r="A117" s="7" t="s">
        <v>525</v>
      </c>
      <c r="B117" s="7" t="s">
        <v>322</v>
      </c>
      <c r="C117" s="7"/>
      <c r="D117" s="7"/>
      <c r="E117" s="7" t="s">
        <v>464</v>
      </c>
      <c r="F117" s="7" t="s">
        <v>465</v>
      </c>
    </row>
    <row r="118" spans="1:8" x14ac:dyDescent="0.35">
      <c r="A118" s="5" t="s">
        <v>526</v>
      </c>
      <c r="B118" s="5" t="s">
        <v>314</v>
      </c>
      <c r="C118" s="5" t="s">
        <v>315</v>
      </c>
      <c r="D118" s="6" t="s">
        <v>316</v>
      </c>
      <c r="E118" s="5" t="s">
        <v>472</v>
      </c>
      <c r="F118" s="6" t="s">
        <v>473</v>
      </c>
    </row>
    <row r="119" spans="1:8" x14ac:dyDescent="0.35">
      <c r="A119" s="7" t="s">
        <v>527</v>
      </c>
      <c r="B119" s="7" t="s">
        <v>326</v>
      </c>
      <c r="C119" s="7"/>
      <c r="D119" s="8" t="s">
        <v>416</v>
      </c>
      <c r="E119" s="7" t="s">
        <v>368</v>
      </c>
      <c r="F119" s="7" t="s">
        <v>369</v>
      </c>
    </row>
    <row r="120" spans="1:8" x14ac:dyDescent="0.35">
      <c r="A120" s="5" t="s">
        <v>528</v>
      </c>
      <c r="B120" s="5" t="s">
        <v>326</v>
      </c>
      <c r="C120" s="5"/>
      <c r="D120" s="6" t="s">
        <v>416</v>
      </c>
      <c r="E120" s="5" t="s">
        <v>368</v>
      </c>
      <c r="F120" s="5" t="s">
        <v>369</v>
      </c>
    </row>
    <row r="121" spans="1:8" x14ac:dyDescent="0.35">
      <c r="A121" s="7" t="s">
        <v>529</v>
      </c>
      <c r="B121" s="7" t="s">
        <v>326</v>
      </c>
      <c r="C121" s="7" t="s">
        <v>365</v>
      </c>
      <c r="D121" s="11" t="s">
        <v>366</v>
      </c>
      <c r="E121" s="7" t="s">
        <v>436</v>
      </c>
      <c r="F121" s="7" t="s">
        <v>437</v>
      </c>
    </row>
    <row r="122" spans="1:8" x14ac:dyDescent="0.35">
      <c r="A122" s="5" t="s">
        <v>530</v>
      </c>
      <c r="B122" s="5" t="s">
        <v>314</v>
      </c>
      <c r="C122" s="5" t="s">
        <v>357</v>
      </c>
      <c r="D122" s="6" t="s">
        <v>358</v>
      </c>
      <c r="E122" s="5" t="s">
        <v>531</v>
      </c>
      <c r="F122" s="6" t="s">
        <v>445</v>
      </c>
    </row>
    <row r="123" spans="1:8" x14ac:dyDescent="0.35">
      <c r="A123" s="7" t="s">
        <v>532</v>
      </c>
      <c r="B123" s="7" t="s">
        <v>322</v>
      </c>
      <c r="C123" s="7"/>
      <c r="D123" s="7"/>
      <c r="E123" s="7" t="s">
        <v>347</v>
      </c>
      <c r="F123" s="7" t="s">
        <v>348</v>
      </c>
    </row>
    <row r="124" spans="1:8" x14ac:dyDescent="0.35">
      <c r="A124" s="5" t="s">
        <v>533</v>
      </c>
      <c r="B124" s="5" t="s">
        <v>314</v>
      </c>
      <c r="C124" s="5" t="s">
        <v>357</v>
      </c>
      <c r="D124" s="6" t="s">
        <v>358</v>
      </c>
      <c r="E124" s="5" t="s">
        <v>376</v>
      </c>
      <c r="F124" s="5" t="s">
        <v>377</v>
      </c>
      <c r="G124" t="s">
        <v>398</v>
      </c>
      <c r="H124" t="s">
        <v>399</v>
      </c>
    </row>
    <row r="125" spans="1:8" x14ac:dyDescent="0.35">
      <c r="A125" s="7" t="s">
        <v>534</v>
      </c>
      <c r="B125" s="7" t="s">
        <v>322</v>
      </c>
      <c r="C125" s="7"/>
      <c r="D125" s="7"/>
      <c r="E125" s="7" t="s">
        <v>323</v>
      </c>
      <c r="F125" s="7" t="s">
        <v>324</v>
      </c>
    </row>
    <row r="126" spans="1:8" x14ac:dyDescent="0.35">
      <c r="A126" s="5" t="s">
        <v>535</v>
      </c>
      <c r="B126" s="5" t="s">
        <v>322</v>
      </c>
      <c r="C126" s="5"/>
      <c r="D126" s="5"/>
      <c r="E126" s="5" t="s">
        <v>372</v>
      </c>
      <c r="F126" s="5" t="s">
        <v>373</v>
      </c>
    </row>
    <row r="127" spans="1:8" x14ac:dyDescent="0.35">
      <c r="A127" s="7" t="s">
        <v>97</v>
      </c>
      <c r="B127" s="7" t="s">
        <v>314</v>
      </c>
      <c r="C127" s="7" t="s">
        <v>350</v>
      </c>
      <c r="D127" s="8" t="s">
        <v>351</v>
      </c>
      <c r="E127" s="7" t="s">
        <v>452</v>
      </c>
      <c r="F127" s="7" t="s">
        <v>453</v>
      </c>
      <c r="G127" s="7" t="s">
        <v>319</v>
      </c>
      <c r="H127" t="s">
        <v>320</v>
      </c>
    </row>
    <row r="128" spans="1:8" x14ac:dyDescent="0.35">
      <c r="A128" s="7" t="s">
        <v>536</v>
      </c>
      <c r="B128" s="7" t="s">
        <v>322</v>
      </c>
      <c r="C128" s="7"/>
      <c r="D128" s="7"/>
      <c r="E128" s="7" t="s">
        <v>402</v>
      </c>
      <c r="F128" s="7" t="s">
        <v>403</v>
      </c>
    </row>
    <row r="129" spans="1:8" x14ac:dyDescent="0.35">
      <c r="A129" s="5" t="s">
        <v>537</v>
      </c>
      <c r="B129" s="5" t="s">
        <v>314</v>
      </c>
      <c r="C129" s="5" t="s">
        <v>350</v>
      </c>
      <c r="D129" s="6" t="s">
        <v>351</v>
      </c>
      <c r="E129" s="5" t="s">
        <v>520</v>
      </c>
      <c r="F129" s="5" t="s">
        <v>521</v>
      </c>
    </row>
    <row r="130" spans="1:8" x14ac:dyDescent="0.35">
      <c r="A130" s="7" t="s">
        <v>104</v>
      </c>
      <c r="B130" s="7" t="s">
        <v>314</v>
      </c>
      <c r="C130" s="7" t="s">
        <v>315</v>
      </c>
      <c r="D130" s="8" t="s">
        <v>316</v>
      </c>
      <c r="E130" s="7" t="s">
        <v>538</v>
      </c>
      <c r="F130" s="8" t="s">
        <v>539</v>
      </c>
      <c r="G130" s="7" t="s">
        <v>540</v>
      </c>
      <c r="H130" t="s">
        <v>541</v>
      </c>
    </row>
    <row r="131" spans="1:8" x14ac:dyDescent="0.35">
      <c r="A131" s="5" t="s">
        <v>542</v>
      </c>
      <c r="B131" s="5" t="s">
        <v>322</v>
      </c>
      <c r="C131" s="5"/>
      <c r="D131" s="5"/>
      <c r="E131" s="5" t="s">
        <v>543</v>
      </c>
      <c r="F131" s="5" t="s">
        <v>544</v>
      </c>
    </row>
    <row r="132" spans="1:8" x14ac:dyDescent="0.35">
      <c r="A132" s="7" t="s">
        <v>545</v>
      </c>
      <c r="B132" s="7" t="s">
        <v>322</v>
      </c>
      <c r="C132" s="7"/>
      <c r="D132" s="7"/>
      <c r="E132" s="7" t="s">
        <v>464</v>
      </c>
      <c r="F132" s="7" t="s">
        <v>465</v>
      </c>
    </row>
    <row r="133" spans="1:8" x14ac:dyDescent="0.35">
      <c r="A133" s="5" t="s">
        <v>98</v>
      </c>
      <c r="B133" s="5" t="s">
        <v>314</v>
      </c>
      <c r="C133" s="5" t="s">
        <v>315</v>
      </c>
      <c r="D133" s="6" t="s">
        <v>316</v>
      </c>
      <c r="E133" s="5" t="s">
        <v>538</v>
      </c>
      <c r="F133" s="5" t="s">
        <v>539</v>
      </c>
      <c r="G133" t="s">
        <v>546</v>
      </c>
      <c r="H133" t="s">
        <v>547</v>
      </c>
    </row>
    <row r="134" spans="1:8" x14ac:dyDescent="0.35">
      <c r="A134" s="7" t="s">
        <v>548</v>
      </c>
      <c r="B134" s="7" t="s">
        <v>326</v>
      </c>
      <c r="C134" s="7" t="s">
        <v>350</v>
      </c>
      <c r="D134" s="8" t="s">
        <v>351</v>
      </c>
      <c r="E134" s="7" t="s">
        <v>365</v>
      </c>
      <c r="F134" s="7" t="s">
        <v>366</v>
      </c>
    </row>
    <row r="135" spans="1:8" x14ac:dyDescent="0.35">
      <c r="A135" s="5" t="s">
        <v>103</v>
      </c>
      <c r="B135" s="5" t="s">
        <v>314</v>
      </c>
      <c r="C135" s="5" t="s">
        <v>315</v>
      </c>
      <c r="D135" s="6" t="s">
        <v>316</v>
      </c>
      <c r="E135" s="5" t="s">
        <v>549</v>
      </c>
      <c r="F135" s="6" t="s">
        <v>550</v>
      </c>
      <c r="G135" s="5" t="s">
        <v>540</v>
      </c>
      <c r="H135" t="s">
        <v>541</v>
      </c>
    </row>
    <row r="136" spans="1:8" x14ac:dyDescent="0.35">
      <c r="A136" s="7" t="s">
        <v>551</v>
      </c>
      <c r="B136" s="7" t="s">
        <v>322</v>
      </c>
      <c r="C136" s="7"/>
      <c r="D136" s="7"/>
      <c r="E136" s="7" t="s">
        <v>338</v>
      </c>
      <c r="F136" s="7" t="s">
        <v>339</v>
      </c>
    </row>
    <row r="137" spans="1:8" x14ac:dyDescent="0.35">
      <c r="A137" s="5" t="s">
        <v>552</v>
      </c>
      <c r="B137" s="5" t="s">
        <v>322</v>
      </c>
      <c r="C137" s="5"/>
      <c r="D137" s="5"/>
      <c r="E137" s="5" t="s">
        <v>495</v>
      </c>
      <c r="F137" s="5" t="s">
        <v>496</v>
      </c>
    </row>
    <row r="138" spans="1:8" x14ac:dyDescent="0.35">
      <c r="A138" s="7" t="s">
        <v>553</v>
      </c>
      <c r="B138" s="7" t="s">
        <v>314</v>
      </c>
      <c r="C138" s="7" t="s">
        <v>315</v>
      </c>
      <c r="D138" s="8" t="s">
        <v>316</v>
      </c>
      <c r="E138" s="7" t="s">
        <v>317</v>
      </c>
      <c r="F138" s="7" t="s">
        <v>318</v>
      </c>
    </row>
    <row r="139" spans="1:8" x14ac:dyDescent="0.35">
      <c r="A139" s="5" t="s">
        <v>554</v>
      </c>
      <c r="B139" s="5" t="s">
        <v>314</v>
      </c>
      <c r="C139" s="5" t="s">
        <v>315</v>
      </c>
      <c r="D139" s="6" t="s">
        <v>316</v>
      </c>
      <c r="E139" s="7" t="s">
        <v>317</v>
      </c>
      <c r="F139" s="7" t="s">
        <v>318</v>
      </c>
    </row>
    <row r="140" spans="1:8" x14ac:dyDescent="0.35">
      <c r="A140" s="7" t="s">
        <v>555</v>
      </c>
      <c r="B140" s="7" t="s">
        <v>314</v>
      </c>
      <c r="C140" s="7" t="s">
        <v>315</v>
      </c>
      <c r="D140" s="8" t="s">
        <v>316</v>
      </c>
      <c r="E140" s="7" t="s">
        <v>317</v>
      </c>
      <c r="F140" s="7" t="s">
        <v>318</v>
      </c>
    </row>
    <row r="141" spans="1:8" x14ac:dyDescent="0.35">
      <c r="A141" s="5" t="s">
        <v>556</v>
      </c>
      <c r="B141" s="5" t="s">
        <v>314</v>
      </c>
      <c r="C141" s="5" t="s">
        <v>350</v>
      </c>
      <c r="D141" s="6" t="s">
        <v>351</v>
      </c>
      <c r="E141" s="5" t="s">
        <v>387</v>
      </c>
      <c r="F141" s="5" t="s">
        <v>388</v>
      </c>
    </row>
    <row r="142" spans="1:8" x14ac:dyDescent="0.35">
      <c r="A142" s="7" t="s">
        <v>557</v>
      </c>
      <c r="B142" s="7" t="s">
        <v>314</v>
      </c>
      <c r="C142" s="7" t="s">
        <v>315</v>
      </c>
      <c r="D142" s="8" t="s">
        <v>316</v>
      </c>
      <c r="E142" s="7" t="s">
        <v>440</v>
      </c>
      <c r="F142" s="7" t="s">
        <v>441</v>
      </c>
    </row>
    <row r="143" spans="1:8" x14ac:dyDescent="0.35">
      <c r="A143" s="5" t="s">
        <v>558</v>
      </c>
      <c r="B143" s="5" t="s">
        <v>326</v>
      </c>
      <c r="C143" s="5" t="s">
        <v>350</v>
      </c>
      <c r="D143" s="6" t="s">
        <v>351</v>
      </c>
      <c r="E143" s="5" t="s">
        <v>352</v>
      </c>
      <c r="F143" s="5" t="s">
        <v>353</v>
      </c>
    </row>
    <row r="144" spans="1:8" x14ac:dyDescent="0.35">
      <c r="A144" s="7" t="s">
        <v>559</v>
      </c>
      <c r="B144" s="7" t="s">
        <v>314</v>
      </c>
      <c r="C144" s="7" t="s">
        <v>357</v>
      </c>
      <c r="D144" s="8" t="s">
        <v>358</v>
      </c>
      <c r="E144" s="7" t="s">
        <v>502</v>
      </c>
      <c r="F144" s="7" t="s">
        <v>333</v>
      </c>
    </row>
    <row r="145" spans="1:6" x14ac:dyDescent="0.35">
      <c r="A145" s="5" t="s">
        <v>560</v>
      </c>
      <c r="B145" s="5" t="s">
        <v>326</v>
      </c>
      <c r="C145" s="5" t="s">
        <v>365</v>
      </c>
      <c r="D145" s="10" t="s">
        <v>366</v>
      </c>
      <c r="E145" s="5" t="s">
        <v>436</v>
      </c>
      <c r="F145" s="5" t="s">
        <v>437</v>
      </c>
    </row>
    <row r="146" spans="1:6" x14ac:dyDescent="0.35">
      <c r="A146" s="7" t="s">
        <v>561</v>
      </c>
      <c r="B146" s="7" t="s">
        <v>322</v>
      </c>
      <c r="C146" s="7"/>
      <c r="D146" s="7"/>
      <c r="E146" s="7" t="s">
        <v>335</v>
      </c>
      <c r="F146" s="7" t="s">
        <v>336</v>
      </c>
    </row>
    <row r="147" spans="1:6" x14ac:dyDescent="0.35">
      <c r="A147" s="5" t="s">
        <v>562</v>
      </c>
      <c r="B147" s="5" t="s">
        <v>326</v>
      </c>
      <c r="C147" s="5" t="s">
        <v>383</v>
      </c>
      <c r="D147" s="6" t="s">
        <v>384</v>
      </c>
      <c r="E147" s="5" t="s">
        <v>383</v>
      </c>
      <c r="F147" s="6" t="s">
        <v>384</v>
      </c>
    </row>
    <row r="148" spans="1:6" x14ac:dyDescent="0.35">
      <c r="A148" s="7" t="s">
        <v>563</v>
      </c>
      <c r="B148" s="7" t="s">
        <v>322</v>
      </c>
      <c r="C148" s="7"/>
      <c r="D148" s="7"/>
      <c r="E148" s="7" t="s">
        <v>362</v>
      </c>
      <c r="F148" s="7" t="s">
        <v>363</v>
      </c>
    </row>
    <row r="149" spans="1:6" x14ac:dyDescent="0.35">
      <c r="A149" s="5" t="s">
        <v>564</v>
      </c>
      <c r="B149" s="5" t="s">
        <v>326</v>
      </c>
      <c r="C149" s="5" t="s">
        <v>365</v>
      </c>
      <c r="D149" s="10" t="s">
        <v>366</v>
      </c>
      <c r="E149" s="5" t="s">
        <v>436</v>
      </c>
      <c r="F149" s="5" t="s">
        <v>437</v>
      </c>
    </row>
    <row r="150" spans="1:6" x14ac:dyDescent="0.35">
      <c r="A150" s="7" t="s">
        <v>565</v>
      </c>
      <c r="B150" s="7" t="s">
        <v>314</v>
      </c>
      <c r="C150" s="7" t="s">
        <v>315</v>
      </c>
      <c r="D150" s="8" t="s">
        <v>316</v>
      </c>
      <c r="E150" s="7" t="s">
        <v>412</v>
      </c>
      <c r="F150" s="7" t="s">
        <v>413</v>
      </c>
    </row>
    <row r="151" spans="1:6" x14ac:dyDescent="0.35">
      <c r="A151" s="5" t="s">
        <v>566</v>
      </c>
      <c r="B151" s="5" t="s">
        <v>326</v>
      </c>
      <c r="C151" s="5" t="s">
        <v>383</v>
      </c>
      <c r="D151" s="6" t="s">
        <v>384</v>
      </c>
      <c r="E151" s="5" t="s">
        <v>383</v>
      </c>
      <c r="F151" s="6" t="s">
        <v>384</v>
      </c>
    </row>
    <row r="152" spans="1:6" x14ac:dyDescent="0.35">
      <c r="A152" s="7" t="s">
        <v>567</v>
      </c>
      <c r="B152" s="7" t="s">
        <v>322</v>
      </c>
      <c r="C152" s="7"/>
      <c r="D152" s="7"/>
      <c r="E152" s="7" t="s">
        <v>347</v>
      </c>
      <c r="F152" s="7" t="s">
        <v>348</v>
      </c>
    </row>
    <row r="153" spans="1:6" x14ac:dyDescent="0.35">
      <c r="A153" s="5" t="s">
        <v>568</v>
      </c>
      <c r="B153" s="5" t="s">
        <v>322</v>
      </c>
      <c r="C153" s="5"/>
      <c r="D153" s="5"/>
      <c r="E153" s="5" t="s">
        <v>338</v>
      </c>
      <c r="F153" s="5" t="s">
        <v>339</v>
      </c>
    </row>
    <row r="154" spans="1:6" x14ac:dyDescent="0.35">
      <c r="A154" s="7" t="s">
        <v>569</v>
      </c>
      <c r="B154" s="7" t="s">
        <v>314</v>
      </c>
      <c r="C154" s="7" t="s">
        <v>350</v>
      </c>
      <c r="D154" s="8" t="s">
        <v>351</v>
      </c>
      <c r="E154" s="7" t="s">
        <v>472</v>
      </c>
      <c r="F154" s="7" t="s">
        <v>473</v>
      </c>
    </row>
    <row r="155" spans="1:6" x14ac:dyDescent="0.35">
      <c r="A155" s="5" t="s">
        <v>570</v>
      </c>
      <c r="B155" s="5" t="s">
        <v>326</v>
      </c>
      <c r="C155" s="5" t="s">
        <v>365</v>
      </c>
      <c r="D155" s="10" t="s">
        <v>366</v>
      </c>
      <c r="E155" s="5" t="s">
        <v>436</v>
      </c>
      <c r="F155" s="5" t="s">
        <v>437</v>
      </c>
    </row>
    <row r="156" spans="1:6" x14ac:dyDescent="0.35">
      <c r="A156" s="7" t="s">
        <v>571</v>
      </c>
      <c r="B156" s="7" t="s">
        <v>322</v>
      </c>
      <c r="C156" s="7"/>
      <c r="D156" s="7"/>
      <c r="E156" s="7" t="s">
        <v>338</v>
      </c>
      <c r="F156" s="7" t="s">
        <v>339</v>
      </c>
    </row>
    <row r="157" spans="1:6" x14ac:dyDescent="0.35">
      <c r="A157" s="5" t="s">
        <v>572</v>
      </c>
      <c r="B157" s="5" t="s">
        <v>326</v>
      </c>
      <c r="C157" s="5" t="s">
        <v>573</v>
      </c>
      <c r="D157" s="6" t="s">
        <v>366</v>
      </c>
      <c r="E157" s="5"/>
      <c r="F157" s="5"/>
    </row>
    <row r="158" spans="1:6" x14ac:dyDescent="0.35">
      <c r="A158" s="7" t="s">
        <v>574</v>
      </c>
      <c r="B158" s="7" t="s">
        <v>326</v>
      </c>
      <c r="C158" s="7" t="s">
        <v>383</v>
      </c>
      <c r="D158" s="8" t="s">
        <v>384</v>
      </c>
      <c r="E158" s="7" t="s">
        <v>372</v>
      </c>
      <c r="F158" s="7" t="s">
        <v>373</v>
      </c>
    </row>
    <row r="159" spans="1:6" x14ac:dyDescent="0.35">
      <c r="A159" s="5" t="s">
        <v>99</v>
      </c>
      <c r="B159" s="5" t="s">
        <v>314</v>
      </c>
      <c r="C159" s="5" t="s">
        <v>315</v>
      </c>
      <c r="D159" s="6" t="s">
        <v>316</v>
      </c>
      <c r="E159" s="5" t="s">
        <v>549</v>
      </c>
      <c r="F159" s="6" t="s">
        <v>550</v>
      </c>
    </row>
    <row r="160" spans="1:6" x14ac:dyDescent="0.35">
      <c r="A160" s="7" t="s">
        <v>575</v>
      </c>
      <c r="B160" s="7" t="s">
        <v>314</v>
      </c>
      <c r="C160" s="7" t="s">
        <v>315</v>
      </c>
      <c r="D160" s="8" t="s">
        <v>316</v>
      </c>
      <c r="E160" s="7" t="s">
        <v>478</v>
      </c>
      <c r="F160" s="7" t="s">
        <v>479</v>
      </c>
    </row>
    <row r="161" spans="1:6" x14ac:dyDescent="0.35">
      <c r="A161" s="5" t="s">
        <v>576</v>
      </c>
      <c r="B161" s="5" t="s">
        <v>314</v>
      </c>
      <c r="C161" s="5" t="s">
        <v>315</v>
      </c>
      <c r="D161" s="6" t="s">
        <v>316</v>
      </c>
      <c r="E161" s="5" t="s">
        <v>431</v>
      </c>
      <c r="F161" s="5" t="s">
        <v>432</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s>
  <pageMargins left="0.7" right="0.7" top="0.75" bottom="0.75" header="0.3" footer="0.3"/>
  <pageSetup paperSize="9" orientation="portrait" horizontalDpi="1200" verticalDpi="1200" r:id="rId112"/>
  <tableParts count="1">
    <tablePart r:id="rId1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915D1A-18AD-4B30-BF03-467F55554A05}">
  <ds:schemaRefs>
    <ds:schemaRef ds:uri="http://schemas.microsoft.com/sharepoint/v3/contenttype/forms"/>
  </ds:schemaRefs>
</ds:datastoreItem>
</file>

<file path=customXml/itemProps2.xml><?xml version="1.0" encoding="utf-8"?>
<ds:datastoreItem xmlns:ds="http://schemas.openxmlformats.org/officeDocument/2006/customXml" ds:itemID="{5277850E-7C3F-4765-B404-56867E9CDD6E}"/>
</file>

<file path=customXml/itemProps3.xml><?xml version="1.0" encoding="utf-8"?>
<ds:datastoreItem xmlns:ds="http://schemas.openxmlformats.org/officeDocument/2006/customXml" ds:itemID="{C313A188-427D-4CF3-BDF7-2C5D4A5374CA}">
  <ds:schemaRefs>
    <ds:schemaRef ds:uri="http://schemas.microsoft.com/office/2006/metadata/properties"/>
    <ds:schemaRef ds:uri="http://schemas.microsoft.com/office/infopath/2007/PartnerControls"/>
    <ds:schemaRef ds:uri="cd273273-2d29-47ce-b53b-3ecfd61fda9e"/>
    <ds:schemaRef ds:uri="cf217452-244c-46eb-9f4c-99f380b0c60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Utilities</vt:lpstr>
      <vt:lpstr>Tracking &gt;&gt;</vt:lpstr>
      <vt:lpstr>Overview</vt:lpstr>
      <vt:lpstr>Funding tracker</vt:lpstr>
      <vt:lpstr>Other actions identified</vt:lpstr>
      <vt:lpstr>Extract &gt;&gt;</vt:lpstr>
      <vt:lpstr>Slides making</vt:lpstr>
      <vt:lpstr>Sources &gt;&gt;</vt:lpstr>
      <vt:lpstr>SCM &amp; DO contact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Xander</cp:lastModifiedBy>
  <cp:revision/>
  <dcterms:created xsi:type="dcterms:W3CDTF">2022-03-01T11:23:55Z</dcterms:created>
  <dcterms:modified xsi:type="dcterms:W3CDTF">2022-08-12T09:41:01Z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