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yler\USU\Teaching\Fall2020\repos\Fin5350\Fall2020\Notes\McDonald\Chapter10\"/>
    </mc:Choice>
  </mc:AlternateContent>
  <bookViews>
    <workbookView xWindow="0" yWindow="0" windowWidth="15540" windowHeight="13660" activeTab="1"/>
  </bookViews>
  <sheets>
    <sheet name="Single-Period Binomial Model" sheetId="1" r:id="rId1"/>
    <sheet name="Arbitraging a Mispriced O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12" i="2"/>
  <c r="C21" i="2"/>
  <c r="H8" i="1"/>
  <c r="I7" i="1" s="1"/>
  <c r="L12" i="1" s="1"/>
  <c r="F16" i="1"/>
  <c r="E16" i="1"/>
  <c r="L7" i="1" l="1"/>
  <c r="L5" i="2"/>
  <c r="L21" i="2"/>
  <c r="I9" i="1"/>
  <c r="K21" i="2" s="1"/>
  <c r="L12" i="2"/>
  <c r="F12" i="1"/>
  <c r="L9" i="1" l="1"/>
  <c r="E13" i="1" s="1"/>
  <c r="K5" i="2"/>
  <c r="E12" i="1"/>
  <c r="L14" i="1"/>
  <c r="K13" i="1" s="1"/>
  <c r="F13" i="1"/>
  <c r="K12" i="2" l="1"/>
  <c r="F7" i="1"/>
  <c r="E17" i="1" s="1"/>
  <c r="F8" i="1"/>
  <c r="E18" i="1" s="1"/>
  <c r="L8" i="2"/>
  <c r="G8" i="2"/>
  <c r="F17" i="1"/>
  <c r="F18" i="1" l="1"/>
  <c r="F20" i="1" s="1"/>
  <c r="K8" i="2"/>
  <c r="K8" i="1"/>
  <c r="C4" i="2" s="1"/>
  <c r="K7" i="2"/>
  <c r="G7" i="2"/>
  <c r="G9" i="2" s="1"/>
  <c r="G15" i="2" s="1"/>
  <c r="L7" i="2"/>
  <c r="L9" i="2" s="1"/>
  <c r="L15" i="2" s="1"/>
  <c r="C20" i="2"/>
  <c r="E20" i="1"/>
  <c r="K9" i="2" l="1"/>
  <c r="K15" i="2" s="1"/>
</calcChain>
</file>

<file path=xl/sharedStrings.xml><?xml version="1.0" encoding="utf-8"?>
<sst xmlns="http://schemas.openxmlformats.org/spreadsheetml/2006/main" count="44" uniqueCount="35">
  <si>
    <t>Portfolio A</t>
  </si>
  <si>
    <t>Stock Price in 1 Year</t>
  </si>
  <si>
    <t>Call option payoff</t>
  </si>
  <si>
    <t>Portfolio B</t>
  </si>
  <si>
    <t>Risk-free rate</t>
  </si>
  <si>
    <t>Up factor</t>
  </si>
  <si>
    <t>Down factor</t>
  </si>
  <si>
    <t>Spot price</t>
  </si>
  <si>
    <t>Strike price</t>
  </si>
  <si>
    <t>Expiry</t>
  </si>
  <si>
    <t>Stock Price Tree</t>
  </si>
  <si>
    <t>Totals</t>
  </si>
  <si>
    <t>Market Data</t>
  </si>
  <si>
    <t>Model Parameters</t>
  </si>
  <si>
    <t>Delta purchased shares</t>
  </si>
  <si>
    <t>Repay loan</t>
  </si>
  <si>
    <t>Call Option Price Tree</t>
  </si>
  <si>
    <t>Put Option Price Tree</t>
  </si>
  <si>
    <t>Call Delta</t>
  </si>
  <si>
    <t>Call B</t>
  </si>
  <si>
    <t>Risk-neutral Prob</t>
  </si>
  <si>
    <t>The Single-Period Binomial Option Pricing Model</t>
  </si>
  <si>
    <t>Observed Market Price</t>
  </si>
  <si>
    <t>Long Portfolio (Buy)</t>
  </si>
  <si>
    <t>Short Portfolio (Sell)</t>
  </si>
  <si>
    <t>Grand Total</t>
  </si>
  <si>
    <t>No-arbitrage (Model) Price</t>
  </si>
  <si>
    <t>Cash Flows at Expiry</t>
  </si>
  <si>
    <t>Cash Flows Now</t>
  </si>
  <si>
    <t>Purchase Delta Shares</t>
  </si>
  <si>
    <t>Borrow</t>
  </si>
  <si>
    <t>Value of Delta shares</t>
  </si>
  <si>
    <t>Sell call option</t>
  </si>
  <si>
    <t>Arbitraging a Mispriced Call Option (Call &gt; Replicating Portfolio)</t>
  </si>
  <si>
    <t>Arbitraging a Mispriced Call Option (Call &lt; Replicating Portfolio)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</si>
</sst>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_([$$-409]* #,##0.00_);_([$$-409]* \(#,##0.00\);_([$$-409]* &quot;-&quot;??_);_(@_)"/>
    <numFmt numFmtId="168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168" fontId="0" fillId="0" borderId="0" xfId="0" applyNumberFormat="1"/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2" borderId="11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right"/>
    </xf>
    <xf numFmtId="168" fontId="0" fillId="2" borderId="0" xfId="1" applyNumberFormat="1" applyFont="1" applyFill="1" applyBorder="1"/>
    <xf numFmtId="0" fontId="0" fillId="2" borderId="0" xfId="0" applyFill="1" applyBorder="1" applyAlignment="1">
      <alignment horizontal="right"/>
    </xf>
    <xf numFmtId="44" fontId="0" fillId="2" borderId="0" xfId="0" applyNumberFormat="1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2" xfId="0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0" fillId="2" borderId="1" xfId="0" applyFill="1" applyBorder="1" applyAlignment="1">
      <alignment horizontal="right"/>
    </xf>
    <xf numFmtId="44" fontId="0" fillId="2" borderId="1" xfId="0" applyNumberFormat="1" applyFill="1" applyBorder="1"/>
    <xf numFmtId="168" fontId="0" fillId="2" borderId="0" xfId="0" applyNumberFormat="1" applyFill="1" applyBorder="1"/>
    <xf numFmtId="4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0" fillId="2" borderId="2" xfId="0" applyFill="1" applyBorder="1"/>
    <xf numFmtId="168" fontId="0" fillId="2" borderId="2" xfId="0" applyNumberFormat="1" applyFill="1" applyBorder="1"/>
    <xf numFmtId="44" fontId="0" fillId="2" borderId="2" xfId="0" applyNumberFormat="1" applyFill="1" applyBorder="1"/>
    <xf numFmtId="168" fontId="0" fillId="2" borderId="1" xfId="0" applyNumberFormat="1" applyFill="1" applyBorder="1"/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0" fillId="4" borderId="0" xfId="0" applyFill="1" applyBorder="1"/>
    <xf numFmtId="168" fontId="0" fillId="4" borderId="0" xfId="0" applyNumberFormat="1" applyFill="1" applyBorder="1"/>
    <xf numFmtId="44" fontId="0" fillId="4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2" borderId="0" xfId="1" applyFon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ont="1" applyFill="1" applyBorder="1" applyAlignment="1">
      <alignment horizontal="right"/>
    </xf>
    <xf numFmtId="44" fontId="0" fillId="2" borderId="10" xfId="0" applyNumberFormat="1" applyFill="1" applyBorder="1"/>
    <xf numFmtId="2" fontId="0" fillId="2" borderId="0" xfId="0" applyNumberFormat="1" applyFill="1" applyBorder="1"/>
    <xf numFmtId="44" fontId="0" fillId="2" borderId="10" xfId="1" applyFont="1" applyFill="1" applyBorder="1"/>
    <xf numFmtId="0" fontId="2" fillId="2" borderId="9" xfId="0" applyFont="1" applyFill="1" applyBorder="1" applyAlignment="1">
      <alignment horizontal="center"/>
    </xf>
    <xf numFmtId="44" fontId="2" fillId="2" borderId="2" xfId="0" applyNumberFormat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44" fontId="0" fillId="2" borderId="0" xfId="0" applyNumberFormat="1" applyFill="1" applyBorder="1" applyAlignment="1">
      <alignment horizontal="center"/>
    </xf>
    <xf numFmtId="8" fontId="2" fillId="2" borderId="2" xfId="0" applyNumberFormat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right"/>
    </xf>
    <xf numFmtId="44" fontId="0" fillId="2" borderId="1" xfId="1" applyFont="1" applyFill="1" applyBorder="1" applyAlignment="1">
      <alignment horizontal="center"/>
    </xf>
    <xf numFmtId="0" fontId="2" fillId="2" borderId="11" xfId="0" applyFont="1" applyFill="1" applyBorder="1"/>
    <xf numFmtId="0" fontId="0" fillId="2" borderId="0" xfId="0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168" fontId="2" fillId="2" borderId="0" xfId="1" applyNumberFormat="1" applyFont="1" applyFill="1" applyBorder="1"/>
    <xf numFmtId="168" fontId="2" fillId="2" borderId="0" xfId="1" applyNumberFormat="1" applyFont="1" applyFill="1" applyBorder="1" applyAlignment="1"/>
    <xf numFmtId="44" fontId="0" fillId="2" borderId="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zoomScale="190" zoomScaleNormal="190" workbookViewId="0">
      <selection activeCell="K13" sqref="K13"/>
    </sheetView>
  </sheetViews>
  <sheetFormatPr defaultRowHeight="14.5" x14ac:dyDescent="0.35"/>
  <cols>
    <col min="2" max="2" width="22.08984375" customWidth="1"/>
    <col min="4" max="4" width="2.7265625" customWidth="1"/>
    <col min="5" max="5" width="15.1796875" bestFit="1" customWidth="1"/>
    <col min="6" max="6" width="13.54296875" customWidth="1"/>
    <col min="7" max="7" width="3.08984375" customWidth="1"/>
    <col min="10" max="10" width="3.6328125" customWidth="1"/>
    <col min="11" max="12" width="10.08984375" customWidth="1"/>
  </cols>
  <sheetData>
    <row r="1" spans="2:14" ht="15" thickBot="1" x14ac:dyDescent="0.4"/>
    <row r="2" spans="2:14" ht="19" thickBot="1" x14ac:dyDescent="0.5">
      <c r="B2" s="2" t="s">
        <v>21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2:14" x14ac:dyDescent="0.35">
      <c r="B3" s="36"/>
      <c r="C3" s="37"/>
      <c r="D3" s="37"/>
      <c r="E3" s="37"/>
      <c r="F3" s="37"/>
      <c r="G3" s="37"/>
      <c r="H3" s="37"/>
      <c r="I3" s="37"/>
      <c r="J3" s="37"/>
      <c r="K3" s="37"/>
      <c r="L3" s="38"/>
    </row>
    <row r="4" spans="2:14" ht="15" thickBot="1" x14ac:dyDescent="0.4">
      <c r="B4" s="39" t="s">
        <v>12</v>
      </c>
      <c r="C4" s="40"/>
      <c r="D4" s="9"/>
      <c r="E4" s="40" t="s">
        <v>13</v>
      </c>
      <c r="F4" s="40"/>
      <c r="G4" s="9"/>
      <c r="H4" s="9"/>
      <c r="I4" s="9"/>
      <c r="J4" s="9"/>
      <c r="K4" s="9"/>
      <c r="L4" s="10"/>
    </row>
    <row r="5" spans="2:14" ht="15" thickBot="1" x14ac:dyDescent="0.4">
      <c r="B5" s="11" t="s">
        <v>7</v>
      </c>
      <c r="C5" s="41">
        <v>100</v>
      </c>
      <c r="D5" s="9"/>
      <c r="E5" s="13" t="s">
        <v>5</v>
      </c>
      <c r="F5" s="9">
        <v>1.3</v>
      </c>
      <c r="G5" s="9"/>
      <c r="H5" s="42" t="s">
        <v>10</v>
      </c>
      <c r="I5" s="43"/>
      <c r="J5" s="9"/>
      <c r="K5" s="42" t="s">
        <v>16</v>
      </c>
      <c r="L5" s="43"/>
    </row>
    <row r="6" spans="2:14" x14ac:dyDescent="0.35">
      <c r="B6" s="11" t="s">
        <v>8</v>
      </c>
      <c r="C6" s="41">
        <v>95</v>
      </c>
      <c r="D6" s="9"/>
      <c r="E6" s="13" t="s">
        <v>6</v>
      </c>
      <c r="F6" s="9">
        <v>0.8</v>
      </c>
      <c r="G6" s="9"/>
      <c r="H6" s="9"/>
      <c r="I6" s="9"/>
      <c r="J6" s="9"/>
      <c r="K6" s="9"/>
      <c r="L6" s="10"/>
    </row>
    <row r="7" spans="2:14" x14ac:dyDescent="0.35">
      <c r="B7" s="44" t="s">
        <v>4</v>
      </c>
      <c r="C7" s="9">
        <v>0.08</v>
      </c>
      <c r="D7" s="9"/>
      <c r="E7" s="13" t="s">
        <v>18</v>
      </c>
      <c r="F7" s="9">
        <f>($L$7-$L$9) / ($H$8*($F$5-$F$6))</f>
        <v>0.7</v>
      </c>
      <c r="G7" s="9"/>
      <c r="H7" s="9"/>
      <c r="I7" s="14">
        <f>$H$8*$F$5</f>
        <v>130</v>
      </c>
      <c r="J7" s="9"/>
      <c r="K7" s="9"/>
      <c r="L7" s="45">
        <f>MAX($I$7-$C$6, 0)</f>
        <v>35</v>
      </c>
    </row>
    <row r="8" spans="2:14" x14ac:dyDescent="0.35">
      <c r="B8" s="44" t="s">
        <v>9</v>
      </c>
      <c r="C8" s="46">
        <v>0.5</v>
      </c>
      <c r="D8" s="9"/>
      <c r="E8" s="13" t="s">
        <v>19</v>
      </c>
      <c r="F8" s="12">
        <f>EXP(-$C$7*$C$8)*(($F$5*$L$9-$F$6*$L$7) / ($F$5-$F$6))</f>
        <v>-53.804208592530095</v>
      </c>
      <c r="G8" s="9"/>
      <c r="H8" s="14">
        <f>$C$5</f>
        <v>100</v>
      </c>
      <c r="I8" s="9"/>
      <c r="J8" s="9"/>
      <c r="K8" s="22">
        <f>$C$5*$F$7+$F$8</f>
        <v>16.195791407469905</v>
      </c>
      <c r="L8" s="10"/>
      <c r="N8" s="1"/>
    </row>
    <row r="9" spans="2:14" x14ac:dyDescent="0.35">
      <c r="B9" s="44"/>
      <c r="C9" s="46"/>
      <c r="D9" s="9"/>
      <c r="E9" s="13" t="s">
        <v>20</v>
      </c>
      <c r="F9" s="12">
        <f>(EXP($C$7*$C$8) - $F$6)/($F$5-$F$6)</f>
        <v>0.48162154838477633</v>
      </c>
      <c r="G9" s="9"/>
      <c r="H9" s="9"/>
      <c r="I9" s="14">
        <f>$H$8*$F$6</f>
        <v>80</v>
      </c>
      <c r="J9" s="9"/>
      <c r="K9" s="9"/>
      <c r="L9" s="47">
        <f>MAX($I$9-$C$6, 0)</f>
        <v>0</v>
      </c>
    </row>
    <row r="10" spans="2:14" ht="15" thickBot="1" x14ac:dyDescent="0.4">
      <c r="B10" s="8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2:14" ht="15" thickBot="1" x14ac:dyDescent="0.4">
      <c r="B11" s="48" t="s">
        <v>0</v>
      </c>
      <c r="C11" s="9"/>
      <c r="D11" s="9"/>
      <c r="E11" s="5" t="s">
        <v>1</v>
      </c>
      <c r="F11" s="6"/>
      <c r="G11" s="9"/>
      <c r="H11" s="9"/>
      <c r="I11" s="9"/>
      <c r="J11" s="9"/>
      <c r="K11" s="42" t="s">
        <v>17</v>
      </c>
      <c r="L11" s="43"/>
    </row>
    <row r="12" spans="2:14" ht="15" thickBot="1" x14ac:dyDescent="0.4">
      <c r="B12" s="11"/>
      <c r="C12" s="9"/>
      <c r="D12" s="9"/>
      <c r="E12" s="49">
        <f>$I$9</f>
        <v>80</v>
      </c>
      <c r="F12" s="49">
        <f>$I$7</f>
        <v>130</v>
      </c>
      <c r="G12" s="9"/>
      <c r="H12" s="9"/>
      <c r="I12" s="9"/>
      <c r="J12" s="9"/>
      <c r="K12" s="9"/>
      <c r="L12" s="45">
        <f>MAX($C$6-$I$7, 0)</f>
        <v>0</v>
      </c>
    </row>
    <row r="13" spans="2:14" x14ac:dyDescent="0.35">
      <c r="B13" s="11" t="s">
        <v>2</v>
      </c>
      <c r="C13" s="9"/>
      <c r="D13" s="9"/>
      <c r="E13" s="50">
        <f>$L$9</f>
        <v>0</v>
      </c>
      <c r="F13" s="51">
        <f>$L$7</f>
        <v>35</v>
      </c>
      <c r="G13" s="9"/>
      <c r="H13" s="9"/>
      <c r="I13" s="9"/>
      <c r="J13" s="9"/>
      <c r="K13" s="61">
        <f>EXP(-C7*C8)*(F9*L12+(1-F9)*L14)</f>
        <v>7.4707881269406062</v>
      </c>
      <c r="L13" s="10"/>
    </row>
    <row r="14" spans="2:14" ht="15" thickBot="1" x14ac:dyDescent="0.4">
      <c r="B14" s="8"/>
      <c r="C14" s="9"/>
      <c r="D14" s="9"/>
      <c r="E14" s="9"/>
      <c r="F14" s="9"/>
      <c r="G14" s="9"/>
      <c r="H14" s="9"/>
      <c r="I14" s="9"/>
      <c r="J14" s="9"/>
      <c r="K14" s="9"/>
      <c r="L14" s="45">
        <f>MAX($C$6-$I$9, 0)</f>
        <v>15</v>
      </c>
    </row>
    <row r="15" spans="2:14" ht="15" thickBot="1" x14ac:dyDescent="0.4">
      <c r="B15" s="48" t="s">
        <v>3</v>
      </c>
      <c r="C15" s="9"/>
      <c r="D15" s="9"/>
      <c r="E15" s="5" t="s">
        <v>1</v>
      </c>
      <c r="F15" s="6"/>
      <c r="G15" s="9"/>
      <c r="H15" s="9"/>
      <c r="I15" s="9"/>
      <c r="J15" s="9"/>
      <c r="K15" s="9"/>
      <c r="L15" s="10"/>
    </row>
    <row r="16" spans="2:14" ht="15" thickBot="1" x14ac:dyDescent="0.4">
      <c r="B16" s="8"/>
      <c r="C16" s="9"/>
      <c r="D16" s="9"/>
      <c r="E16" s="52">
        <f>$F$6*$C$5</f>
        <v>80</v>
      </c>
      <c r="F16" s="52">
        <f>$F$5*$C$5</f>
        <v>130</v>
      </c>
      <c r="G16" s="9"/>
      <c r="H16" s="9"/>
      <c r="I16" s="9"/>
      <c r="J16" s="9"/>
      <c r="K16" s="14"/>
      <c r="L16" s="10"/>
    </row>
    <row r="17" spans="2:12" x14ac:dyDescent="0.35">
      <c r="B17" s="11" t="s">
        <v>14</v>
      </c>
      <c r="C17" s="9"/>
      <c r="D17" s="9"/>
      <c r="E17" s="53">
        <f>$F$7*$I$9</f>
        <v>56</v>
      </c>
      <c r="F17" s="50">
        <f>$F$7*$I$7</f>
        <v>91</v>
      </c>
      <c r="G17" s="9"/>
      <c r="H17" s="9"/>
      <c r="I17" s="9"/>
      <c r="J17" s="9"/>
      <c r="K17" s="9"/>
      <c r="L17" s="10"/>
    </row>
    <row r="18" spans="2:12" ht="15" thickBot="1" x14ac:dyDescent="0.4">
      <c r="B18" s="54" t="s">
        <v>15</v>
      </c>
      <c r="C18" s="9"/>
      <c r="D18" s="9"/>
      <c r="E18" s="55">
        <f>ROUND(EXP($C$7*$C$8)*$F$8, 2)</f>
        <v>-56</v>
      </c>
      <c r="F18" s="55">
        <f>ROUND(EXP($C$7*$C$8)*$F$8, 2)</f>
        <v>-56</v>
      </c>
      <c r="G18" s="9"/>
      <c r="H18" s="9"/>
      <c r="I18" s="9"/>
      <c r="J18" s="9"/>
      <c r="K18" s="9"/>
      <c r="L18" s="10"/>
    </row>
    <row r="19" spans="2:12" x14ac:dyDescent="0.35">
      <c r="B19" s="56"/>
      <c r="C19" s="9"/>
      <c r="D19" s="9"/>
      <c r="E19" s="57"/>
      <c r="F19" s="57"/>
      <c r="G19" s="9"/>
      <c r="H19" s="9"/>
      <c r="I19" s="9"/>
      <c r="J19" s="9"/>
      <c r="K19" s="9"/>
      <c r="L19" s="10"/>
    </row>
    <row r="20" spans="2:12" x14ac:dyDescent="0.35">
      <c r="B20" s="56" t="s">
        <v>11</v>
      </c>
      <c r="C20" s="9"/>
      <c r="D20" s="9"/>
      <c r="E20" s="50">
        <f>SUM(E17:E18)</f>
        <v>0</v>
      </c>
      <c r="F20" s="51">
        <f>SUM(F17:F18)</f>
        <v>35</v>
      </c>
      <c r="G20" s="9"/>
      <c r="H20" s="9"/>
      <c r="I20" s="9"/>
      <c r="J20" s="9"/>
      <c r="K20" s="9"/>
      <c r="L20" s="10"/>
    </row>
    <row r="21" spans="2:12" ht="15" thickBot="1" x14ac:dyDescent="0.4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</sheetData>
  <mergeCells count="8">
    <mergeCell ref="B2:L2"/>
    <mergeCell ref="E11:F11"/>
    <mergeCell ref="E15:F15"/>
    <mergeCell ref="H5:I5"/>
    <mergeCell ref="K5:L5"/>
    <mergeCell ref="B4:C4"/>
    <mergeCell ref="E4:F4"/>
    <mergeCell ref="K11:L1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zoomScale="220" zoomScaleNormal="220" workbookViewId="0">
      <selection activeCell="K15" sqref="K15:L15"/>
    </sheetView>
  </sheetViews>
  <sheetFormatPr defaultRowHeight="14.5" x14ac:dyDescent="0.35"/>
  <cols>
    <col min="2" max="2" width="23.08984375" bestFit="1" customWidth="1"/>
    <col min="3" max="3" width="9.6328125" bestFit="1" customWidth="1"/>
    <col min="5" max="5" width="18.81640625" customWidth="1"/>
    <col min="6" max="6" width="3.7265625" customWidth="1"/>
    <col min="7" max="7" width="14.36328125" bestFit="1" customWidth="1"/>
    <col min="9" max="9" width="18.6328125" bestFit="1" customWidth="1"/>
    <col min="10" max="10" width="3.7265625" customWidth="1"/>
    <col min="11" max="12" width="10.1796875" customWidth="1"/>
  </cols>
  <sheetData>
    <row r="1" spans="2:13" ht="15" thickBot="1" x14ac:dyDescent="0.4"/>
    <row r="2" spans="2:13" ht="16" thickBot="1" x14ac:dyDescent="0.4">
      <c r="B2" s="29" t="s">
        <v>33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 ht="15" thickBot="1" x14ac:dyDescent="0.4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</row>
    <row r="4" spans="2:13" ht="15" thickBot="1" x14ac:dyDescent="0.4">
      <c r="B4" s="58" t="s">
        <v>26</v>
      </c>
      <c r="C4" s="59">
        <f>'Single-Period Binomial Model'!$K$8</f>
        <v>16.195791407469905</v>
      </c>
      <c r="D4" s="9"/>
      <c r="E4" s="9"/>
      <c r="F4" s="9"/>
      <c r="G4" s="19" t="s">
        <v>28</v>
      </c>
      <c r="H4" s="9"/>
      <c r="I4" s="9"/>
      <c r="J4" s="9"/>
      <c r="K4" s="5" t="s">
        <v>27</v>
      </c>
      <c r="L4" s="6"/>
      <c r="M4" s="10"/>
    </row>
    <row r="5" spans="2:13" ht="15" thickBot="1" x14ac:dyDescent="0.4">
      <c r="B5" s="58" t="s">
        <v>22</v>
      </c>
      <c r="C5" s="60">
        <v>17</v>
      </c>
      <c r="D5" s="9"/>
      <c r="E5" s="16"/>
      <c r="F5" s="16"/>
      <c r="G5" s="16"/>
      <c r="H5" s="16"/>
      <c r="I5" s="16"/>
      <c r="J5" s="16"/>
      <c r="K5" s="23">
        <f>'Single-Period Binomial Model'!$I$9</f>
        <v>80</v>
      </c>
      <c r="L5" s="23">
        <f>'Single-Period Binomial Model'!$I$7</f>
        <v>130</v>
      </c>
      <c r="M5" s="10"/>
    </row>
    <row r="6" spans="2:13" ht="15" thickBot="1" x14ac:dyDescent="0.4">
      <c r="B6" s="8"/>
      <c r="C6" s="9"/>
      <c r="D6" s="9"/>
      <c r="E6" s="7" t="s">
        <v>23</v>
      </c>
      <c r="F6" s="9"/>
      <c r="G6" s="9"/>
      <c r="H6" s="9"/>
      <c r="I6" s="9"/>
      <c r="J6" s="9"/>
      <c r="K6" s="9"/>
      <c r="L6" s="9"/>
      <c r="M6" s="10"/>
    </row>
    <row r="7" spans="2:13" x14ac:dyDescent="0.35">
      <c r="B7" s="8"/>
      <c r="C7" s="9"/>
      <c r="D7" s="9"/>
      <c r="E7" s="13" t="s">
        <v>29</v>
      </c>
      <c r="F7" s="9"/>
      <c r="G7" s="14">
        <f>-'Single-Period Binomial Model'!$F$7*'Single-Period Binomial Model'!$C$5</f>
        <v>-70</v>
      </c>
      <c r="H7" s="9"/>
      <c r="I7" s="13" t="s">
        <v>31</v>
      </c>
      <c r="J7" s="9"/>
      <c r="K7" s="14">
        <f>'Single-Period Binomial Model'!$F$7*'Arbitraging a Mispriced Option'!K5</f>
        <v>56</v>
      </c>
      <c r="L7" s="14">
        <f>'Single-Period Binomial Model'!$F$7*'Arbitraging a Mispriced Option'!L5</f>
        <v>91</v>
      </c>
      <c r="M7" s="10"/>
    </row>
    <row r="8" spans="2:13" ht="15" thickBot="1" x14ac:dyDescent="0.4">
      <c r="B8" s="8"/>
      <c r="C8" s="9"/>
      <c r="D8" s="9"/>
      <c r="E8" s="20" t="s">
        <v>30</v>
      </c>
      <c r="F8" s="16"/>
      <c r="G8" s="21">
        <f>-'Single-Period Binomial Model'!F8</f>
        <v>53.804208592530095</v>
      </c>
      <c r="H8" s="16"/>
      <c r="I8" s="20" t="s">
        <v>15</v>
      </c>
      <c r="J8" s="16"/>
      <c r="K8" s="21">
        <f>EXP('Single-Period Binomial Model'!$C$7*'Single-Period Binomial Model'!$C$8)*'Single-Period Binomial Model'!$F$8</f>
        <v>-55.999999999999993</v>
      </c>
      <c r="L8" s="21">
        <f>EXP('Single-Period Binomial Model'!$C$7*'Single-Period Binomial Model'!$C$8)*'Single-Period Binomial Model'!$F$8</f>
        <v>-55.999999999999993</v>
      </c>
      <c r="M8" s="10"/>
    </row>
    <row r="9" spans="2:13" ht="15" thickBot="1" x14ac:dyDescent="0.4">
      <c r="B9" s="8"/>
      <c r="C9" s="9"/>
      <c r="D9" s="9"/>
      <c r="E9" s="24" t="s">
        <v>11</v>
      </c>
      <c r="F9" s="25"/>
      <c r="G9" s="26">
        <f>SUM(G7:G8)</f>
        <v>-16.195791407469905</v>
      </c>
      <c r="H9" s="25"/>
      <c r="I9" s="25"/>
      <c r="J9" s="25"/>
      <c r="K9" s="27">
        <f>SUM(K7:K8)</f>
        <v>0</v>
      </c>
      <c r="L9" s="27">
        <f>SUM(L7:L8)</f>
        <v>35.000000000000007</v>
      </c>
      <c r="M9" s="10"/>
    </row>
    <row r="10" spans="2:13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ht="15" thickBot="1" x14ac:dyDescent="0.4">
      <c r="B11" s="8"/>
      <c r="C11" s="9"/>
      <c r="D11" s="9"/>
      <c r="E11" s="7" t="s">
        <v>24</v>
      </c>
      <c r="F11" s="9"/>
      <c r="G11" s="9"/>
      <c r="H11" s="9"/>
      <c r="I11" s="9"/>
      <c r="J11" s="9"/>
      <c r="K11" s="9"/>
      <c r="L11" s="9"/>
      <c r="M11" s="10"/>
    </row>
    <row r="12" spans="2:13" ht="15" thickBot="1" x14ac:dyDescent="0.4">
      <c r="B12" s="8"/>
      <c r="C12" s="9"/>
      <c r="D12" s="9"/>
      <c r="E12" s="20" t="s">
        <v>32</v>
      </c>
      <c r="F12" s="16"/>
      <c r="G12" s="28">
        <f>C5</f>
        <v>17</v>
      </c>
      <c r="H12" s="16"/>
      <c r="I12" s="16"/>
      <c r="J12" s="16"/>
      <c r="K12" s="21">
        <f>'Single-Period Binomial Model'!$L$9</f>
        <v>0</v>
      </c>
      <c r="L12" s="21">
        <f>'Single-Period Binomial Model'!$L$7</f>
        <v>35</v>
      </c>
      <c r="M12" s="10"/>
    </row>
    <row r="13" spans="2:13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2:13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</row>
    <row r="15" spans="2:13" x14ac:dyDescent="0.35">
      <c r="B15" s="8"/>
      <c r="C15" s="9"/>
      <c r="D15" s="9"/>
      <c r="E15" s="32" t="s">
        <v>25</v>
      </c>
      <c r="F15" s="33"/>
      <c r="G15" s="34">
        <f>G9+G12</f>
        <v>0.80420859253009525</v>
      </c>
      <c r="H15" s="33"/>
      <c r="I15" s="33"/>
      <c r="J15" s="33"/>
      <c r="K15" s="35">
        <f>K9-K12</f>
        <v>0</v>
      </c>
      <c r="L15" s="35">
        <f>L9-L12</f>
        <v>0</v>
      </c>
      <c r="M15" s="10"/>
    </row>
    <row r="16" spans="2:13" ht="15" thickBot="1" x14ac:dyDescent="0.4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2:13" ht="15" thickBot="1" x14ac:dyDescent="0.4"/>
    <row r="18" spans="2:13" ht="16" thickBot="1" x14ac:dyDescent="0.4">
      <c r="B18" s="29" t="s">
        <v>34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1"/>
    </row>
    <row r="19" spans="2:13" ht="15" thickBot="1" x14ac:dyDescent="0.4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2:13" ht="15" thickBot="1" x14ac:dyDescent="0.4">
      <c r="B20" s="58" t="s">
        <v>26</v>
      </c>
      <c r="C20" s="18">
        <f>'Single-Period Binomial Model'!$K$8</f>
        <v>16.195791407469905</v>
      </c>
      <c r="D20" s="9"/>
      <c r="E20" s="9"/>
      <c r="F20" s="9"/>
      <c r="G20" s="19" t="s">
        <v>28</v>
      </c>
      <c r="H20" s="9"/>
      <c r="I20" s="9"/>
      <c r="J20" s="9"/>
      <c r="K20" s="5" t="s">
        <v>27</v>
      </c>
      <c r="L20" s="6"/>
      <c r="M20" s="10"/>
    </row>
    <row r="21" spans="2:13" ht="15" thickBot="1" x14ac:dyDescent="0.4">
      <c r="B21" s="58" t="s">
        <v>22</v>
      </c>
      <c r="C21" s="18">
        <f>15.5</f>
        <v>15.5</v>
      </c>
      <c r="D21" s="9"/>
      <c r="E21" s="16"/>
      <c r="F21" s="16"/>
      <c r="G21" s="16"/>
      <c r="H21" s="16"/>
      <c r="I21" s="16"/>
      <c r="J21" s="16"/>
      <c r="K21" s="23">
        <f>'Single-Period Binomial Model'!$I$9</f>
        <v>80</v>
      </c>
      <c r="L21" s="23">
        <f>'Single-Period Binomial Model'!$I$7</f>
        <v>130</v>
      </c>
      <c r="M21" s="10"/>
    </row>
    <row r="22" spans="2:13" ht="15" thickBot="1" x14ac:dyDescent="0.4">
      <c r="B22" s="8"/>
      <c r="C22" s="9"/>
      <c r="D22" s="9"/>
      <c r="E22" s="7" t="s">
        <v>23</v>
      </c>
      <c r="F22" s="9"/>
      <c r="G22" s="9"/>
      <c r="H22" s="9"/>
      <c r="I22" s="9"/>
      <c r="J22" s="9"/>
      <c r="K22" s="9"/>
      <c r="L22" s="9"/>
      <c r="M22" s="10"/>
    </row>
    <row r="23" spans="2:13" x14ac:dyDescent="0.3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3" x14ac:dyDescent="0.35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2:13" x14ac:dyDescent="0.35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2:13" x14ac:dyDescent="0.35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2:13" x14ac:dyDescent="0.35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spans="2:13" x14ac:dyDescent="0.35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3" x14ac:dyDescent="0.35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2:13" x14ac:dyDescent="0.3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2:13" x14ac:dyDescent="0.35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3" x14ac:dyDescent="0.35">
      <c r="B32" s="8"/>
      <c r="C32" s="9"/>
      <c r="D32" s="9"/>
      <c r="E32" s="32" t="s">
        <v>25</v>
      </c>
      <c r="F32" s="33"/>
      <c r="G32" s="33"/>
      <c r="H32" s="33"/>
      <c r="I32" s="33"/>
      <c r="J32" s="33"/>
      <c r="K32" s="33"/>
      <c r="L32" s="33"/>
      <c r="M32" s="10"/>
    </row>
    <row r="33" spans="2:13" ht="15" thickBot="1" x14ac:dyDescent="0.4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</row>
  </sheetData>
  <mergeCells count="4">
    <mergeCell ref="K4:L4"/>
    <mergeCell ref="B2:M2"/>
    <mergeCell ref="B18:M18"/>
    <mergeCell ref="K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Single-Period Binomial Model</vt:lpstr>
      <vt:lpstr>Arbitraging a Mispriced Option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2020-11-30T20:05:05Z</dcterms:created>
  <dcterms:modified xsi:type="dcterms:W3CDTF">2020-11-30T23:19:19Z</dcterms:modified>
</cp:coreProperties>
</file>