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1" l="1"/>
  <c r="H34" i="1"/>
  <c r="H33" i="1"/>
  <c r="J34" i="1"/>
  <c r="J35" i="1"/>
  <c r="J30" i="1"/>
  <c r="J31" i="1"/>
  <c r="I30" i="1"/>
  <c r="H30" i="1"/>
  <c r="H31" i="1"/>
  <c r="I46" i="1"/>
  <c r="H46" i="1"/>
  <c r="H3" i="1"/>
  <c r="I4" i="1"/>
  <c r="H4" i="1"/>
  <c r="I3" i="1"/>
  <c r="H2" i="1"/>
  <c r="I43" i="1"/>
  <c r="H43" i="1"/>
  <c r="H41" i="1"/>
  <c r="I41" i="1"/>
  <c r="H40" i="1"/>
  <c r="I40" i="1"/>
  <c r="H38" i="1"/>
  <c r="I38" i="1"/>
  <c r="H36" i="1"/>
  <c r="H37" i="1"/>
  <c r="I36" i="1"/>
  <c r="H35" i="1"/>
  <c r="I33" i="1"/>
  <c r="H32" i="1"/>
  <c r="I32" i="1"/>
  <c r="I31" i="1"/>
  <c r="H29" i="1"/>
  <c r="I29" i="1"/>
  <c r="I28" i="1"/>
  <c r="H28" i="1"/>
  <c r="J28" i="1"/>
  <c r="J29" i="1"/>
  <c r="H25" i="1"/>
  <c r="I25" i="1"/>
  <c r="H24" i="1"/>
  <c r="I23" i="1"/>
  <c r="H23" i="1"/>
  <c r="H22" i="1"/>
  <c r="I17" i="1"/>
  <c r="H17" i="1"/>
  <c r="H18" i="1"/>
  <c r="J3" i="1"/>
  <c r="J4" i="1"/>
  <c r="H7" i="1"/>
  <c r="I7" i="1"/>
  <c r="J7" i="1"/>
  <c r="H9" i="1"/>
  <c r="I9" i="1"/>
  <c r="J9" i="1"/>
  <c r="H10" i="1"/>
  <c r="I10" i="1"/>
  <c r="J10" i="1"/>
  <c r="H11" i="1"/>
  <c r="I11" i="1"/>
  <c r="J11" i="1"/>
  <c r="H12" i="1"/>
  <c r="I12" i="1"/>
  <c r="J12" i="1"/>
  <c r="H14" i="1"/>
  <c r="I14" i="1"/>
  <c r="J14" i="1"/>
  <c r="H16" i="1"/>
  <c r="I16" i="1"/>
  <c r="J16" i="1"/>
  <c r="J17" i="1"/>
  <c r="I18" i="1"/>
  <c r="J18" i="1"/>
  <c r="H20" i="1"/>
  <c r="I20" i="1"/>
  <c r="J20" i="1"/>
  <c r="H21" i="1"/>
  <c r="I21" i="1"/>
  <c r="J21" i="1"/>
  <c r="I22" i="1"/>
  <c r="J22" i="1"/>
  <c r="J23" i="1"/>
  <c r="I24" i="1"/>
  <c r="J24" i="1"/>
  <c r="J25" i="1"/>
  <c r="J32" i="1"/>
  <c r="J33" i="1"/>
  <c r="I35" i="1"/>
  <c r="J36" i="1"/>
  <c r="I37" i="1"/>
  <c r="J37" i="1"/>
  <c r="J38" i="1"/>
  <c r="H39" i="1"/>
  <c r="I39" i="1"/>
  <c r="J39" i="1"/>
  <c r="J40" i="1"/>
  <c r="J41" i="1"/>
  <c r="H42" i="1"/>
  <c r="I42" i="1"/>
  <c r="J42" i="1"/>
  <c r="J43" i="1"/>
  <c r="H45" i="1"/>
  <c r="I45" i="1"/>
  <c r="J45" i="1"/>
  <c r="J46" i="1"/>
  <c r="H47" i="1"/>
  <c r="I47" i="1"/>
  <c r="J47" i="1"/>
  <c r="H48" i="1"/>
  <c r="I48" i="1"/>
  <c r="J48" i="1"/>
  <c r="H49" i="1"/>
  <c r="I49" i="1"/>
  <c r="J49" i="1"/>
  <c r="K49" i="1"/>
  <c r="I2" i="1"/>
  <c r="J2" i="1"/>
</calcChain>
</file>

<file path=xl/sharedStrings.xml><?xml version="1.0" encoding="utf-8"?>
<sst xmlns="http://schemas.openxmlformats.org/spreadsheetml/2006/main" count="197" uniqueCount="103">
  <si>
    <t>bud</t>
  </si>
  <si>
    <t>species</t>
  </si>
  <si>
    <t>habitat</t>
  </si>
  <si>
    <t>margin</t>
  </si>
  <si>
    <t>habit</t>
  </si>
  <si>
    <t>bud_type</t>
  </si>
  <si>
    <t>scales</t>
  </si>
  <si>
    <t>leaf_volume</t>
  </si>
  <si>
    <t>bud_volume</t>
  </si>
  <si>
    <t>leaf_bud_ratio</t>
  </si>
  <si>
    <t>compactness</t>
  </si>
  <si>
    <t>fractal_dimension_D</t>
  </si>
  <si>
    <t>sigma_D</t>
  </si>
  <si>
    <t>25_centerMass</t>
  </si>
  <si>
    <t>50_centerMass</t>
  </si>
  <si>
    <t>75_centerMass</t>
  </si>
  <si>
    <t>voxel_size</t>
  </si>
  <si>
    <t>downsc_factor</t>
  </si>
  <si>
    <t>notes</t>
  </si>
  <si>
    <t>dentatum</t>
  </si>
  <si>
    <t>temperate</t>
  </si>
  <si>
    <t>toothed</t>
  </si>
  <si>
    <t>deciduous</t>
  </si>
  <si>
    <t>II</t>
  </si>
  <si>
    <t>scale</t>
  </si>
  <si>
    <t>plicatum</t>
  </si>
  <si>
    <t>I</t>
  </si>
  <si>
    <t>lobophyllum</t>
  </si>
  <si>
    <t>sargentii</t>
  </si>
  <si>
    <t>lobed</t>
  </si>
  <si>
    <t>dilatatum</t>
  </si>
  <si>
    <t>acerifolium</t>
  </si>
  <si>
    <t>lentago</t>
  </si>
  <si>
    <t>erosum</t>
  </si>
  <si>
    <t>burejaeticum</t>
  </si>
  <si>
    <t>naked</t>
  </si>
  <si>
    <t>furcatum</t>
  </si>
  <si>
    <t>opulus</t>
  </si>
  <si>
    <t>rhytidophyllum</t>
  </si>
  <si>
    <t>entire</t>
  </si>
  <si>
    <t>evergreen</t>
  </si>
  <si>
    <t>prunifolium</t>
  </si>
  <si>
    <t>hupehense</t>
  </si>
  <si>
    <t>lantana_discolor</t>
  </si>
  <si>
    <t>carlesii</t>
  </si>
  <si>
    <t>molle</t>
  </si>
  <si>
    <t>sample01*</t>
  </si>
  <si>
    <t>sample06*</t>
  </si>
  <si>
    <t>sample08*</t>
  </si>
  <si>
    <t>sample09*</t>
  </si>
  <si>
    <t>sample10*</t>
  </si>
  <si>
    <t>sample13*</t>
  </si>
  <si>
    <t>sample15*</t>
  </si>
  <si>
    <t>sample17*</t>
  </si>
  <si>
    <t>sample19*</t>
  </si>
  <si>
    <t>sample20*</t>
  </si>
  <si>
    <t>sample21*</t>
  </si>
  <si>
    <t>sample23*</t>
  </si>
  <si>
    <t>sample34*</t>
  </si>
  <si>
    <t>sample36*</t>
  </si>
  <si>
    <t>sample38*</t>
  </si>
  <si>
    <t>sample41*</t>
  </si>
  <si>
    <t>sample44*</t>
  </si>
  <si>
    <t>clemensae</t>
  </si>
  <si>
    <t>tropical</t>
  </si>
  <si>
    <t>glaberrimum</t>
  </si>
  <si>
    <t>awabuki</t>
  </si>
  <si>
    <t>subtropical</t>
  </si>
  <si>
    <t>T2*</t>
  </si>
  <si>
    <t>T3*</t>
  </si>
  <si>
    <t>T6*</t>
  </si>
  <si>
    <t>sample02</t>
  </si>
  <si>
    <t>sample03</t>
  </si>
  <si>
    <t>sample04</t>
  </si>
  <si>
    <t>sample05</t>
  </si>
  <si>
    <t>sample07</t>
  </si>
  <si>
    <t>sample11</t>
  </si>
  <si>
    <t>sample12</t>
  </si>
  <si>
    <t>sample14</t>
  </si>
  <si>
    <t>sample16</t>
  </si>
  <si>
    <t>sample18</t>
  </si>
  <si>
    <t>sample22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</si>
  <si>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</si>
  <si>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</si>
  <si>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</si>
  <si>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</si>
  <si>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</si>
  <si>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</si>
  <si>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</si>
  <si>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</si>
  <si>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</si>
  <si>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</si>
  <si>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sample35</t>
  </si>
  <si>
    <t>sample37</t>
  </si>
  <si>
    <t>sample39</t>
  </si>
  <si>
    <t>sample40</t>
  </si>
  <si>
    <t>sample42</t>
  </si>
  <si>
    <t>sample43</t>
  </si>
  <si>
    <t>T1</t>
  </si>
  <si>
    <t>The dye didn't soak through the bud. The flower voxels in the middle are too dark.</t>
  </si>
  <si>
    <t>Couldn't segment the bud with 1 continuous contour.</t>
  </si>
  <si>
    <t>sample05 image stack directory does not exist.</t>
  </si>
  <si>
    <t>Voxel size is missing (once the voxel size is added here, the leaf and bud volumes will be correctly displayed.)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</si>
</sst>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"/>
  </numFmts>
  <fonts count="6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165" fontId="0" fillId="0" borderId="0" xfId="0" applyNumberFormat="1" applyBorder="1"/>
    <xf numFmtId="165" fontId="1" fillId="0" borderId="0" xfId="0" applyNumberFormat="1" applyFont="1"/>
    <xf numFmtId="165" fontId="3" fillId="0" borderId="0" xfId="0" applyNumberFormat="1" applyFont="1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topLeftCell="A22" workbookViewId="0">
      <selection activeCell="I35" sqref="I35"/>
    </sheetView>
  </sheetViews>
  <sheetFormatPr baseColWidth="10" defaultRowHeight="15" x14ac:dyDescent="0"/>
  <cols>
    <col min="2" max="2" width="14.6640625" bestFit="1" customWidth="1"/>
    <col min="3" max="3" width="10.33203125" bestFit="1" customWidth="1"/>
    <col min="4" max="4" width="7.83203125" bestFit="1" customWidth="1"/>
    <col min="5" max="5" width="9.6640625" bestFit="1" customWidth="1"/>
    <col min="6" max="6" width="9" bestFit="1" customWidth="1"/>
    <col min="7" max="7" width="6.1640625" bestFit="1" customWidth="1"/>
    <col min="8" max="8" width="11.33203125" bestFit="1" customWidth="1"/>
    <col min="9" max="9" width="11.5" bestFit="1" customWidth="1"/>
    <col min="10" max="10" width="13.1640625" bestFit="1" customWidth="1"/>
    <col min="11" max="11" width="11.83203125" bestFit="1" customWidth="1"/>
    <col min="12" max="12" width="18.1640625" bestFit="1" customWidth="1"/>
    <col min="13" max="13" width="8.1640625" bestFit="1" customWidth="1"/>
    <col min="14" max="16" width="13.83203125" bestFit="1" customWidth="1"/>
    <col min="18" max="18" width="9.5" bestFit="1" customWidth="1"/>
    <col min="19" max="19" width="13.33203125" bestFit="1" customWidth="1"/>
    <col min="20" max="20" width="68" bestFit="1" customWidth="1"/>
  </cols>
  <sheetData>
    <row r="1" spans="1:20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R1" s="3" t="s">
        <v>16</v>
      </c>
      <c r="S1" t="s">
        <v>17</v>
      </c>
      <c r="T1" t="s">
        <v>18</v>
      </c>
    </row>
    <row r="2" spans="1:20">
      <c r="A2" s="3" t="s">
        <v>46</v>
      </c>
      <c r="B2" s="3" t="s">
        <v>41</v>
      </c>
      <c r="C2" s="3" t="s">
        <v>20</v>
      </c>
      <c r="D2" s="3" t="s">
        <v>21</v>
      </c>
      <c r="E2" s="3" t="s">
        <v>22</v>
      </c>
      <c r="F2" s="3" t="s">
        <v>26</v>
      </c>
      <c r="G2" s="3" t="s">
        <v>24</v>
      </c>
      <c r="H2" s="2">
        <f>0.279962621159*22834309*R2^3*S2^3*0.000000000001</f>
        <v>4.4528284101980863E-3</v>
      </c>
      <c r="I2" s="2">
        <f>19073870*R2^3*S2^3*0.000000000001</f>
        <v>1.3285773786113347E-2</v>
      </c>
      <c r="J2" s="2">
        <f t="shared" ref="J2:J49" si="0">H2/I2</f>
        <v>0.33515762663762227</v>
      </c>
      <c r="K2" s="3">
        <v>0.50970000000000004</v>
      </c>
      <c r="L2" s="3">
        <v>2.4689999999999999</v>
      </c>
      <c r="M2" s="3">
        <v>2.3E-2</v>
      </c>
      <c r="N2" s="3">
        <v>0.25</v>
      </c>
      <c r="O2" s="3">
        <v>0.81899999999999995</v>
      </c>
      <c r="P2" s="3">
        <v>0.96499999999999997</v>
      </c>
      <c r="R2" s="9">
        <v>2.2161</v>
      </c>
      <c r="S2">
        <v>4</v>
      </c>
    </row>
    <row r="3" spans="1:20">
      <c r="A3" t="s">
        <v>71</v>
      </c>
      <c r="H3">
        <f>1954034*R3^3*(S3*2)^3*0.000000000001</f>
        <v>1.4210747424065701E-3</v>
      </c>
      <c r="I3">
        <f>9458637*R3^3*(S3*2)^3*0.000000000001</f>
        <v>6.8788107772394204E-3</v>
      </c>
      <c r="J3" s="2">
        <f t="shared" si="0"/>
        <v>0.2065872704492201</v>
      </c>
      <c r="K3">
        <v>0.6089</v>
      </c>
      <c r="L3">
        <v>3</v>
      </c>
      <c r="M3">
        <v>1.2999999999999999E-2</v>
      </c>
      <c r="N3">
        <v>0.108</v>
      </c>
      <c r="O3">
        <v>0.73899999999999999</v>
      </c>
      <c r="P3">
        <v>0.96299999999999997</v>
      </c>
      <c r="R3" s="4">
        <v>2.2482000000000002</v>
      </c>
      <c r="S3">
        <v>2</v>
      </c>
    </row>
    <row r="4" spans="1:20">
      <c r="A4" t="s">
        <v>72</v>
      </c>
      <c r="H4">
        <f>2039088*R4^3*(S4*2)^3*0.000000000001</f>
        <v>1.747821444731121E-3</v>
      </c>
      <c r="I4">
        <f>8805414*R4^3*(S4*2)^3*0.000000000001</f>
        <v>7.5476347361838423E-3</v>
      </c>
      <c r="J4" s="2">
        <f t="shared" si="0"/>
        <v>0.23157207599778953</v>
      </c>
      <c r="K4">
        <v>0.47899999999999998</v>
      </c>
      <c r="L4">
        <v>2.2789999999999999</v>
      </c>
      <c r="M4">
        <v>1.2E-2</v>
      </c>
      <c r="N4">
        <v>0.23799999999999999</v>
      </c>
      <c r="O4">
        <v>0.85</v>
      </c>
      <c r="P4">
        <v>0.97799999999999998</v>
      </c>
      <c r="R4" s="4">
        <v>2.3748</v>
      </c>
      <c r="S4">
        <v>2</v>
      </c>
    </row>
    <row r="5" spans="1:20">
      <c r="A5" t="s">
        <v>73</v>
      </c>
      <c r="J5" s="2"/>
      <c r="R5" s="4">
        <v>2.3153000000000001</v>
      </c>
      <c r="T5" t="s">
        <v>100</v>
      </c>
    </row>
    <row r="6" spans="1:20">
      <c r="A6" t="s">
        <v>74</v>
      </c>
      <c r="J6" s="2"/>
      <c r="R6" s="4">
        <v>9.4818999999999996</v>
      </c>
      <c r="T6" t="s">
        <v>101</v>
      </c>
    </row>
    <row r="7" spans="1:20">
      <c r="A7" s="3" t="s">
        <v>47</v>
      </c>
      <c r="B7" s="3" t="s">
        <v>33</v>
      </c>
      <c r="C7" s="3" t="s">
        <v>20</v>
      </c>
      <c r="D7" s="3" t="s">
        <v>21</v>
      </c>
      <c r="E7" s="3" t="s">
        <v>22</v>
      </c>
      <c r="F7" s="3" t="s">
        <v>23</v>
      </c>
      <c r="G7" s="3" t="s">
        <v>24</v>
      </c>
      <c r="H7" s="2">
        <f>0.166773748515*20439194*R7^3*S7^3*0.000000000001</f>
        <v>4.9027805938251416E-3</v>
      </c>
      <c r="I7" s="3">
        <f>17441956*R7^3*S7^3*0.000000000001</f>
        <v>2.5086853220025674E-2</v>
      </c>
      <c r="J7" s="2">
        <f t="shared" si="0"/>
        <v>0.19543226688596713</v>
      </c>
      <c r="K7" s="2">
        <v>0.45200000000000001</v>
      </c>
      <c r="L7" s="2">
        <v>2.7559999999999998</v>
      </c>
      <c r="M7" s="2">
        <v>1.7000000000000001E-2</v>
      </c>
      <c r="N7" s="2">
        <v>0.19900000000000001</v>
      </c>
      <c r="O7" s="2">
        <v>0.79600000000000004</v>
      </c>
      <c r="P7" s="2">
        <v>0.98399999999999999</v>
      </c>
      <c r="R7" s="6">
        <v>5.6440000000000001</v>
      </c>
      <c r="S7">
        <v>2</v>
      </c>
    </row>
    <row r="8" spans="1:20">
      <c r="A8" t="s">
        <v>75</v>
      </c>
      <c r="J8" s="2"/>
      <c r="R8" s="4">
        <v>6.7728000000000002</v>
      </c>
      <c r="S8">
        <v>2</v>
      </c>
      <c r="T8" t="s">
        <v>100</v>
      </c>
    </row>
    <row r="9" spans="1:20">
      <c r="A9" s="3" t="s">
        <v>48</v>
      </c>
      <c r="B9" s="3" t="s">
        <v>43</v>
      </c>
      <c r="C9" s="3" t="s">
        <v>20</v>
      </c>
      <c r="D9" s="3" t="s">
        <v>21</v>
      </c>
      <c r="E9" s="3" t="s">
        <v>22</v>
      </c>
      <c r="F9" s="3" t="s">
        <v>26</v>
      </c>
      <c r="G9" s="3" t="s">
        <v>35</v>
      </c>
      <c r="H9" s="2">
        <f>0.741087689542*2749792*R9^3*S9^3*0.000000000001</f>
        <v>4.0518575689501672E-2</v>
      </c>
      <c r="I9" s="2">
        <f>2039400*R9^3*S9^3*0.000000000001</f>
        <v>4.0549653019905964E-2</v>
      </c>
      <c r="J9" s="2">
        <f t="shared" si="0"/>
        <v>0.99923359811762047</v>
      </c>
      <c r="K9" s="2">
        <v>0.32500000000000001</v>
      </c>
      <c r="L9" s="2">
        <v>2.4980000000000002</v>
      </c>
      <c r="M9" s="2">
        <v>4.9000000000000002E-2</v>
      </c>
      <c r="N9" s="2">
        <v>0.187</v>
      </c>
      <c r="O9" s="2">
        <v>0.60299999999999998</v>
      </c>
      <c r="P9" s="2">
        <v>0.91200000000000003</v>
      </c>
      <c r="R9" s="6">
        <v>13.5456</v>
      </c>
      <c r="S9">
        <v>2</v>
      </c>
    </row>
    <row r="10" spans="1:20">
      <c r="A10" s="3" t="s">
        <v>49</v>
      </c>
      <c r="B10" s="3" t="s">
        <v>30</v>
      </c>
      <c r="C10" s="3" t="s">
        <v>20</v>
      </c>
      <c r="D10" s="3" t="s">
        <v>21</v>
      </c>
      <c r="E10" s="3" t="s">
        <v>22</v>
      </c>
      <c r="F10" s="3" t="s">
        <v>23</v>
      </c>
      <c r="G10" s="3" t="s">
        <v>24</v>
      </c>
      <c r="H10" s="2">
        <f>0.153812636362*17724389*R10^3*S10^3*0.000000000001</f>
        <v>3.6485465826279983E-3</v>
      </c>
      <c r="I10" s="2">
        <f>13517311*R10^3*S10^3*0.000000000001</f>
        <v>1.8090347624268952E-2</v>
      </c>
      <c r="J10" s="2">
        <f t="shared" si="0"/>
        <v>0.20168471377152097</v>
      </c>
      <c r="K10" s="2">
        <v>0.48799999999999999</v>
      </c>
      <c r="L10" s="2">
        <v>2.9409999999999998</v>
      </c>
      <c r="M10" s="2">
        <v>1.9E-2</v>
      </c>
      <c r="N10" s="2">
        <v>0.13900000000000001</v>
      </c>
      <c r="O10" s="2">
        <v>0.67</v>
      </c>
      <c r="P10" s="2">
        <v>0.93100000000000005</v>
      </c>
      <c r="R10" s="6">
        <v>11.020099999999999</v>
      </c>
      <c r="S10">
        <v>1</v>
      </c>
    </row>
    <row r="11" spans="1:20">
      <c r="A11" s="3" t="s">
        <v>50</v>
      </c>
      <c r="B11" s="3" t="s">
        <v>32</v>
      </c>
      <c r="C11" s="3" t="s">
        <v>20</v>
      </c>
      <c r="D11" s="3" t="s">
        <v>21</v>
      </c>
      <c r="E11" s="3" t="s">
        <v>22</v>
      </c>
      <c r="F11" s="3" t="s">
        <v>26</v>
      </c>
      <c r="G11" s="3" t="s">
        <v>24</v>
      </c>
      <c r="H11" s="2">
        <f>0.114883610761*25508286*R11^3*S11^3*0.000000000001</f>
        <v>3.9218949883919468E-3</v>
      </c>
      <c r="I11" s="2">
        <f>18650032*R11^3*S11^3*0.000000000001</f>
        <v>2.4959517620312198E-2</v>
      </c>
      <c r="J11" s="2">
        <f t="shared" si="0"/>
        <v>0.15713023977676099</v>
      </c>
      <c r="K11" s="2">
        <v>0.42849999999999999</v>
      </c>
      <c r="L11" s="2">
        <v>2.2749999999999999</v>
      </c>
      <c r="M11" s="2">
        <v>5.5E-2</v>
      </c>
      <c r="N11" s="2">
        <v>0.24</v>
      </c>
      <c r="O11" s="2">
        <v>0.69799999999999995</v>
      </c>
      <c r="P11" s="2">
        <v>0.94899999999999995</v>
      </c>
      <c r="R11" s="6">
        <v>11.020099999999999</v>
      </c>
      <c r="S11">
        <v>1</v>
      </c>
    </row>
    <row r="12" spans="1:20">
      <c r="A12" t="s">
        <v>76</v>
      </c>
      <c r="H12">
        <f>1173762*R12^3*S12^3*0.000000000001</f>
        <v>5.5319848557289102E-2</v>
      </c>
      <c r="I12">
        <f>2309102*R12^3*S12^3*0.000000000001</f>
        <v>0.10882885367164158</v>
      </c>
      <c r="J12" s="2">
        <f t="shared" si="0"/>
        <v>0.50831968444875975</v>
      </c>
      <c r="K12">
        <v>0.44600000000000001</v>
      </c>
      <c r="L12">
        <v>1.714</v>
      </c>
      <c r="M12">
        <v>6.8500000000000005E-2</v>
      </c>
      <c r="N12">
        <v>0.61699999999999999</v>
      </c>
      <c r="O12">
        <v>0.93400000000000005</v>
      </c>
      <c r="P12">
        <v>0.97899999999999998</v>
      </c>
      <c r="R12" s="4">
        <v>18.0608</v>
      </c>
      <c r="S12">
        <v>2</v>
      </c>
    </row>
    <row r="13" spans="1:20">
      <c r="A13" t="s">
        <v>77</v>
      </c>
      <c r="J13" s="2"/>
      <c r="R13" s="4">
        <v>5.3715000000000002</v>
      </c>
      <c r="S13">
        <v>1</v>
      </c>
      <c r="T13" t="s">
        <v>99</v>
      </c>
    </row>
    <row r="14" spans="1:20">
      <c r="A14" s="3" t="s">
        <v>51</v>
      </c>
      <c r="B14" s="3" t="s">
        <v>37</v>
      </c>
      <c r="C14" s="3" t="s">
        <v>20</v>
      </c>
      <c r="D14" s="3" t="s">
        <v>29</v>
      </c>
      <c r="E14" s="3" t="s">
        <v>22</v>
      </c>
      <c r="F14" s="3" t="s">
        <v>23</v>
      </c>
      <c r="G14" s="3" t="s">
        <v>24</v>
      </c>
      <c r="H14" s="2">
        <f>0.196507366792*97200244*R14^3*S14^3*0.000000000001</f>
        <v>1.9990829475511994E-4</v>
      </c>
      <c r="I14" s="3">
        <f>84241125*R14^3*S14^3*0.000000000001</f>
        <v>8.8167551738370798E-4</v>
      </c>
      <c r="J14" s="2">
        <f t="shared" si="0"/>
        <v>0.22673681055398889</v>
      </c>
      <c r="K14" s="2">
        <v>0.59599999999999997</v>
      </c>
      <c r="L14" s="2">
        <v>2.9769999999999999</v>
      </c>
      <c r="M14" s="2">
        <v>3.0000000000000001E-3</v>
      </c>
      <c r="N14" s="2">
        <v>0.14000000000000001</v>
      </c>
      <c r="O14" s="2">
        <v>0.80700000000000005</v>
      </c>
      <c r="P14" s="2">
        <v>0.98299999999999998</v>
      </c>
      <c r="R14" s="6">
        <v>2.1873999999999998</v>
      </c>
      <c r="S14">
        <v>1</v>
      </c>
    </row>
    <row r="15" spans="1:20">
      <c r="A15" t="s">
        <v>78</v>
      </c>
      <c r="J15" s="2"/>
      <c r="R15" s="4">
        <v>5.4100999999999999</v>
      </c>
      <c r="S15">
        <v>1</v>
      </c>
      <c r="T15" t="s">
        <v>99</v>
      </c>
    </row>
    <row r="16" spans="1:20">
      <c r="A16" s="3" t="s">
        <v>52</v>
      </c>
      <c r="B16" s="3" t="s">
        <v>42</v>
      </c>
      <c r="C16" s="3" t="s">
        <v>20</v>
      </c>
      <c r="D16" s="3" t="s">
        <v>21</v>
      </c>
      <c r="E16" s="3" t="s">
        <v>22</v>
      </c>
      <c r="F16" s="3" t="s">
        <v>26</v>
      </c>
      <c r="G16" s="3" t="s">
        <v>24</v>
      </c>
      <c r="H16" s="2">
        <f>0.750113949123*12685486*R16^3*S16^3*0.000000000001</f>
        <v>5.6058994299743932E-2</v>
      </c>
      <c r="I16" s="2">
        <f>9570903*R16^3*S16^3*0.000000000001</f>
        <v>5.6385036374122677E-2</v>
      </c>
      <c r="J16" s="2">
        <f t="shared" si="0"/>
        <v>0.99421757800748034</v>
      </c>
      <c r="K16" s="2">
        <v>0.33700000000000002</v>
      </c>
      <c r="L16" s="2">
        <v>2.1880000000000002</v>
      </c>
      <c r="M16" s="2">
        <v>0.03</v>
      </c>
      <c r="N16" s="2">
        <v>0.255</v>
      </c>
      <c r="O16" s="2">
        <v>0.68899999999999995</v>
      </c>
      <c r="P16" s="2">
        <v>0.96</v>
      </c>
      <c r="R16" s="7">
        <v>18.0608</v>
      </c>
      <c r="S16">
        <v>1</v>
      </c>
    </row>
    <row r="17" spans="1:20">
      <c r="A17" t="s">
        <v>79</v>
      </c>
      <c r="H17">
        <f>5663562*R17^3*S17^3*0.000000000001</f>
        <v>1.3606993504335273E-2</v>
      </c>
      <c r="I17">
        <f>17865010*R17^3*S17^3*0.000000000001</f>
        <v>4.2921588043864388E-2</v>
      </c>
      <c r="J17" s="2">
        <f t="shared" si="0"/>
        <v>0.31701980575437688</v>
      </c>
      <c r="K17">
        <v>0.81</v>
      </c>
      <c r="L17">
        <v>2.8010000000000002</v>
      </c>
      <c r="M17">
        <v>3.5999999999999999E-3</v>
      </c>
      <c r="N17">
        <v>9.2999999999999999E-2</v>
      </c>
      <c r="O17">
        <v>0.70599999999999996</v>
      </c>
      <c r="P17">
        <v>0.98499999999999999</v>
      </c>
      <c r="R17" s="4">
        <v>6.6966999999999999</v>
      </c>
      <c r="S17">
        <v>2</v>
      </c>
    </row>
    <row r="18" spans="1:20">
      <c r="A18" s="3" t="s">
        <v>53</v>
      </c>
      <c r="B18" s="3" t="s">
        <v>28</v>
      </c>
      <c r="C18" s="3" t="s">
        <v>20</v>
      </c>
      <c r="D18" s="3" t="s">
        <v>29</v>
      </c>
      <c r="E18" s="3" t="s">
        <v>22</v>
      </c>
      <c r="F18" s="3" t="s">
        <v>23</v>
      </c>
      <c r="G18" s="3" t="s">
        <v>24</v>
      </c>
      <c r="H18" s="2">
        <f>0.24119647073*17739874*R18^3*S18^3*0.000000000001</f>
        <v>6.37766950431166E-3</v>
      </c>
      <c r="I18" s="2">
        <f>17739874*R18^3*S18^3*0.000000000001</f>
        <v>2.644180275527724E-2</v>
      </c>
      <c r="J18" s="2">
        <f t="shared" si="0"/>
        <v>0.24119647073</v>
      </c>
      <c r="K18" s="2">
        <v>0.502</v>
      </c>
      <c r="L18" s="2">
        <v>2.85</v>
      </c>
      <c r="M18" s="2">
        <v>2.2700000000000001E-2</v>
      </c>
      <c r="N18" s="2">
        <v>8.7999999999999995E-2</v>
      </c>
      <c r="O18" s="2">
        <v>0.60399999999999998</v>
      </c>
      <c r="P18" s="2">
        <v>0.93</v>
      </c>
      <c r="R18" s="6">
        <v>5.7115</v>
      </c>
      <c r="S18">
        <v>2</v>
      </c>
    </row>
    <row r="19" spans="1:20">
      <c r="A19" t="s">
        <v>80</v>
      </c>
      <c r="J19" s="2"/>
      <c r="R19" s="4">
        <v>9.9997000000000007</v>
      </c>
      <c r="S19">
        <v>1</v>
      </c>
      <c r="T19" t="s">
        <v>99</v>
      </c>
    </row>
    <row r="20" spans="1:20">
      <c r="A20" s="3" t="s">
        <v>54</v>
      </c>
      <c r="B20" s="3" t="s">
        <v>44</v>
      </c>
      <c r="C20" s="3" t="s">
        <v>20</v>
      </c>
      <c r="D20" s="3" t="s">
        <v>21</v>
      </c>
      <c r="E20" s="3" t="s">
        <v>22</v>
      </c>
      <c r="F20" s="3" t="s">
        <v>26</v>
      </c>
      <c r="G20" s="3" t="s">
        <v>35</v>
      </c>
      <c r="H20" s="2">
        <f>0.731866283073*33536547*R20^3*S20^3*0.000000000001</f>
        <v>2.5828981411787381E-3</v>
      </c>
      <c r="I20" s="2">
        <f>25091124*R20^3*S20^3*0.000000000001</f>
        <v>2.6404461334802814E-3</v>
      </c>
      <c r="J20" s="2">
        <f t="shared" si="0"/>
        <v>0.97820520116966325</v>
      </c>
      <c r="K20" s="2">
        <v>0.35099999999999998</v>
      </c>
      <c r="L20" s="2">
        <v>2.6890000000000001</v>
      </c>
      <c r="M20" s="2">
        <v>2.4E-2</v>
      </c>
      <c r="N20" s="2">
        <v>0.19</v>
      </c>
      <c r="O20" s="2">
        <v>0.68600000000000005</v>
      </c>
      <c r="P20" s="2">
        <v>0.95099999999999996</v>
      </c>
      <c r="R20" s="6">
        <v>2.3605999999999998</v>
      </c>
      <c r="S20">
        <v>2</v>
      </c>
    </row>
    <row r="21" spans="1:20">
      <c r="A21" s="3" t="s">
        <v>55</v>
      </c>
      <c r="B21" s="3" t="s">
        <v>45</v>
      </c>
      <c r="C21" s="3" t="s">
        <v>20</v>
      </c>
      <c r="D21" s="3" t="s">
        <v>21</v>
      </c>
      <c r="E21" s="3" t="s">
        <v>22</v>
      </c>
      <c r="F21" s="3" t="s">
        <v>23</v>
      </c>
      <c r="G21" s="3" t="s">
        <v>24</v>
      </c>
      <c r="H21" s="2">
        <f>0.123408983124*17197492*R21^3*S21^3*0.000000000001</f>
        <v>1.7002876426714343E-3</v>
      </c>
      <c r="I21" s="2">
        <f>11426974*R21^3*S21^3*0.000000000001</f>
        <v>9.1546500584496534E-3</v>
      </c>
      <c r="J21" s="2">
        <f t="shared" si="0"/>
        <v>0.18572939782685469</v>
      </c>
      <c r="K21" s="2">
        <v>0.55100000000000005</v>
      </c>
      <c r="L21" s="2">
        <v>2.6779999999999999</v>
      </c>
      <c r="M21" s="2">
        <v>3.49E-2</v>
      </c>
      <c r="N21" s="2">
        <v>0.14000000000000001</v>
      </c>
      <c r="O21" s="2">
        <v>0.79200000000000004</v>
      </c>
      <c r="P21" s="2">
        <v>0.96699999999999997</v>
      </c>
      <c r="R21" s="6">
        <v>4.6437999999999997</v>
      </c>
      <c r="S21">
        <v>2</v>
      </c>
    </row>
    <row r="22" spans="1:20">
      <c r="A22" s="3" t="s">
        <v>56</v>
      </c>
      <c r="B22" s="3" t="s">
        <v>31</v>
      </c>
      <c r="C22" s="3" t="s">
        <v>20</v>
      </c>
      <c r="D22" s="3" t="s">
        <v>29</v>
      </c>
      <c r="E22" s="3" t="s">
        <v>22</v>
      </c>
      <c r="F22" s="3" t="s">
        <v>23</v>
      </c>
      <c r="G22" s="3" t="s">
        <v>24</v>
      </c>
      <c r="H22" s="2">
        <f>0.320970513188*11590775*R22^3*S22^3*0.000000000001</f>
        <v>2.9804930989139663E-3</v>
      </c>
      <c r="I22" s="2">
        <f>8709085*R22^3*S22^3*0.000000000001</f>
        <v>6.9772299739452462E-3</v>
      </c>
      <c r="J22" s="2">
        <f t="shared" si="0"/>
        <v>0.42717426687150728</v>
      </c>
      <c r="K22" s="2">
        <v>0.32300000000000001</v>
      </c>
      <c r="L22" s="2">
        <v>2.363</v>
      </c>
      <c r="M22" s="2">
        <v>5.0999999999999997E-2</v>
      </c>
      <c r="N22" s="2">
        <v>0.29599999999999999</v>
      </c>
      <c r="O22" s="2">
        <v>0.76500000000000001</v>
      </c>
      <c r="P22" s="2">
        <v>0.97099999999999997</v>
      </c>
      <c r="R22" s="6">
        <v>4.6437999999999997</v>
      </c>
      <c r="S22">
        <v>2</v>
      </c>
    </row>
    <row r="23" spans="1:20">
      <c r="A23" t="s">
        <v>81</v>
      </c>
      <c r="H23">
        <f>1293413*R23^3*S23^3*0.000000000001</f>
        <v>7.4530279907057545E-3</v>
      </c>
      <c r="I23">
        <f>7359845*R23^3*S23^3*0.000000000001</f>
        <v>4.2409602186042505E-2</v>
      </c>
      <c r="J23" s="2">
        <f t="shared" si="0"/>
        <v>0.17573916298509004</v>
      </c>
      <c r="K23">
        <v>0.89</v>
      </c>
      <c r="L23">
        <v>2.79</v>
      </c>
      <c r="M23">
        <v>8.0000000000000002E-3</v>
      </c>
      <c r="N23">
        <v>7.0999999999999994E-2</v>
      </c>
      <c r="O23">
        <v>0.61299999999999999</v>
      </c>
      <c r="P23">
        <v>0.98099999999999998</v>
      </c>
      <c r="R23" s="4">
        <v>17.928000000000001</v>
      </c>
      <c r="S23">
        <v>1</v>
      </c>
    </row>
    <row r="24" spans="1:20">
      <c r="A24" s="3" t="s">
        <v>57</v>
      </c>
      <c r="B24" s="3" t="s">
        <v>27</v>
      </c>
      <c r="C24" s="3" t="s">
        <v>20</v>
      </c>
      <c r="D24" s="3" t="s">
        <v>21</v>
      </c>
      <c r="E24" s="3" t="s">
        <v>22</v>
      </c>
      <c r="F24" s="3" t="s">
        <v>23</v>
      </c>
      <c r="G24" s="3" t="s">
        <v>24</v>
      </c>
      <c r="H24" s="2">
        <f>0.157669663158*21716397*R24^3*S24^3*0.000000000001</f>
        <v>2.8825914530121841E-3</v>
      </c>
      <c r="I24" s="2">
        <f>11291449*R24^3*S24^3*0.000000000001</f>
        <v>9.5059791991589666E-3</v>
      </c>
      <c r="J24" s="2">
        <f t="shared" si="0"/>
        <v>0.3032398233384751</v>
      </c>
      <c r="K24" s="2">
        <v>0.4556</v>
      </c>
      <c r="L24" s="2">
        <v>3</v>
      </c>
      <c r="M24" s="2">
        <v>0.01</v>
      </c>
      <c r="N24" s="2">
        <v>0.127</v>
      </c>
      <c r="O24" s="2">
        <v>0.63200000000000001</v>
      </c>
      <c r="P24" s="2">
        <v>0.91279999999999994</v>
      </c>
      <c r="R24" s="6">
        <v>4.7211999999999996</v>
      </c>
      <c r="S24">
        <v>2</v>
      </c>
    </row>
    <row r="25" spans="1:20">
      <c r="A25" t="s">
        <v>82</v>
      </c>
      <c r="H25">
        <f>8421308*R25^3*S25^3*0.000000000001</f>
        <v>1.4935512022856151E-2</v>
      </c>
      <c r="I25">
        <f>19257138*R25^3*S25^3*0.000000000001</f>
        <v>3.4153271216870354E-2</v>
      </c>
      <c r="J25" s="2">
        <f t="shared" si="0"/>
        <v>0.43730838923208631</v>
      </c>
      <c r="K25">
        <v>0.622</v>
      </c>
      <c r="L25">
        <v>2.569</v>
      </c>
      <c r="M25">
        <v>4.5999999999999999E-2</v>
      </c>
      <c r="N25">
        <v>0.11</v>
      </c>
      <c r="O25">
        <v>0.80600000000000005</v>
      </c>
      <c r="P25">
        <v>0.97599999999999998</v>
      </c>
      <c r="R25" s="4">
        <v>12.1045</v>
      </c>
      <c r="S25">
        <v>1</v>
      </c>
    </row>
    <row r="26" spans="1:20">
      <c r="A26" t="s">
        <v>83</v>
      </c>
      <c r="J26" s="2"/>
      <c r="R26" s="4">
        <v>4.64825</v>
      </c>
      <c r="S26">
        <v>2</v>
      </c>
      <c r="T26" t="s">
        <v>99</v>
      </c>
    </row>
    <row r="27" spans="1:20">
      <c r="A27" t="s">
        <v>84</v>
      </c>
      <c r="J27" s="2"/>
      <c r="R27" s="4">
        <v>14.5131</v>
      </c>
      <c r="S27">
        <v>1</v>
      </c>
      <c r="T27" t="s">
        <v>99</v>
      </c>
    </row>
    <row r="28" spans="1:20">
      <c r="A28" t="s">
        <v>85</v>
      </c>
      <c r="H28">
        <f>3332167*R28^3*S28^3*0.000000000001</f>
        <v>2.4145169857176314E-2</v>
      </c>
      <c r="I28">
        <f>6906513*R28^3*S28^3*0.000000000001</f>
        <v>5.0045189663602205E-2</v>
      </c>
      <c r="J28" s="2">
        <f t="shared" si="0"/>
        <v>0.48246734640186728</v>
      </c>
      <c r="K28">
        <v>0.56599999999999995</v>
      </c>
      <c r="L28">
        <v>2.5990000000000002</v>
      </c>
      <c r="M28">
        <v>1.4999999999999999E-2</v>
      </c>
      <c r="N28">
        <v>0.312</v>
      </c>
      <c r="O28">
        <v>0.91200000000000003</v>
      </c>
      <c r="P28">
        <v>0.98799999999999999</v>
      </c>
      <c r="R28" s="4">
        <v>19.350899999999999</v>
      </c>
      <c r="S28">
        <v>1</v>
      </c>
    </row>
    <row r="29" spans="1:20">
      <c r="A29" t="s">
        <v>86</v>
      </c>
      <c r="H29">
        <f>1400955*R29^3*S29^3*0.000000000001</f>
        <v>1.1452836626909147E-2</v>
      </c>
      <c r="I29">
        <f>7210456*R29^3*S29^3*0.000000000001</f>
        <v>5.8945629640864132E-2</v>
      </c>
      <c r="J29" s="2">
        <f t="shared" si="0"/>
        <v>0.1942949239271414</v>
      </c>
      <c r="K29">
        <v>0.70499999999999996</v>
      </c>
      <c r="L29">
        <v>2.915</v>
      </c>
      <c r="M29">
        <v>0.04</v>
      </c>
      <c r="N29">
        <v>6.8000000000000005E-2</v>
      </c>
      <c r="O29">
        <v>0.53800000000000003</v>
      </c>
      <c r="P29">
        <v>0.97699999999999998</v>
      </c>
      <c r="R29" s="4">
        <v>20.1448</v>
      </c>
      <c r="S29">
        <v>1</v>
      </c>
    </row>
    <row r="30" spans="1:20">
      <c r="A30" s="1" t="s">
        <v>87</v>
      </c>
      <c r="H30">
        <f>7843753*R30^3*S30^3*0.000000000001</f>
        <v>7.7148088621508066E-3</v>
      </c>
      <c r="I30">
        <f>26886756*R30^3*S30^3*0.000000000001</f>
        <v>2.6444762279394362E-2</v>
      </c>
      <c r="J30" s="2">
        <f t="shared" si="0"/>
        <v>0.29173296324777898</v>
      </c>
      <c r="K30">
        <v>0.86699999999999999</v>
      </c>
      <c r="L30">
        <v>2.9129999999999998</v>
      </c>
      <c r="M30">
        <v>2.5000000000000001E-2</v>
      </c>
      <c r="N30">
        <v>3.5000000000000003E-2</v>
      </c>
      <c r="O30">
        <v>0.315</v>
      </c>
      <c r="P30">
        <v>0.90500000000000003</v>
      </c>
      <c r="R30" s="4">
        <v>9.9449000000000005</v>
      </c>
      <c r="S30">
        <v>1</v>
      </c>
    </row>
    <row r="31" spans="1:20">
      <c r="A31" t="s">
        <v>88</v>
      </c>
      <c r="H31">
        <f>5291385*R31^3*S31^3*0.000000000001</f>
        <v>3.8113155382890622E-3</v>
      </c>
      <c r="I31">
        <f>18224391*R31^3*S31^3*0.000000000001</f>
        <v>1.3126790924144689E-2</v>
      </c>
      <c r="J31" s="2">
        <f t="shared" si="0"/>
        <v>0.29034632762214108</v>
      </c>
      <c r="K31">
        <v>0.57640000000000002</v>
      </c>
      <c r="L31">
        <v>2.79</v>
      </c>
      <c r="M31">
        <v>1.4999999999999999E-2</v>
      </c>
      <c r="N31">
        <v>0.13600000000000001</v>
      </c>
      <c r="O31">
        <v>0.63300000000000001</v>
      </c>
      <c r="P31">
        <v>0.93799999999999994</v>
      </c>
      <c r="R31" s="4">
        <v>8.9640000000000004</v>
      </c>
      <c r="S31">
        <v>1</v>
      </c>
    </row>
    <row r="32" spans="1:20">
      <c r="A32" t="s">
        <v>89</v>
      </c>
      <c r="H32">
        <f>8249626*R32^3*S32^3*0.000000000001</f>
        <v>9.4871907016735955E-3</v>
      </c>
      <c r="I32">
        <f>22220554*R32^3*S32^3*0.000000000001</f>
        <v>2.5553962482036882E-2</v>
      </c>
      <c r="J32" s="2">
        <f t="shared" si="0"/>
        <v>0.37126104056631537</v>
      </c>
      <c r="K32">
        <v>0.44</v>
      </c>
      <c r="L32">
        <v>3</v>
      </c>
      <c r="M32">
        <v>0.04</v>
      </c>
      <c r="N32">
        <v>0.18</v>
      </c>
      <c r="O32">
        <v>0.77300000000000002</v>
      </c>
      <c r="P32">
        <v>0.96699999999999997</v>
      </c>
      <c r="R32" s="4">
        <v>5.2384700000000004</v>
      </c>
      <c r="S32">
        <v>2</v>
      </c>
    </row>
    <row r="33" spans="1:20">
      <c r="A33" t="s">
        <v>90</v>
      </c>
      <c r="H33">
        <f>7862005*R33^3*S33^3*0.000000000001</f>
        <v>8.2368356961130974E-3</v>
      </c>
      <c r="I33">
        <f>16198143*R33^3*S33^3*0.000000000001</f>
        <v>1.6970409262413912E-2</v>
      </c>
      <c r="J33" s="2">
        <f t="shared" si="0"/>
        <v>0.48536458778021657</v>
      </c>
      <c r="K33">
        <v>0.372</v>
      </c>
      <c r="L33">
        <v>2.5019999999999998</v>
      </c>
      <c r="M33">
        <v>4.2000000000000003E-2</v>
      </c>
      <c r="N33">
        <v>0.20100000000000001</v>
      </c>
      <c r="O33">
        <v>0.66600000000000004</v>
      </c>
      <c r="P33">
        <v>0.93799999999999994</v>
      </c>
      <c r="R33" s="4">
        <v>5.0782299999999996</v>
      </c>
      <c r="S33">
        <v>2</v>
      </c>
    </row>
    <row r="34" spans="1:20">
      <c r="A34" s="1" t="s">
        <v>91</v>
      </c>
      <c r="H34">
        <f>2911824*R34^3*S34^3*0.000000000001</f>
        <v>2.8085070324611874E-3</v>
      </c>
      <c r="I34">
        <f>8695632*R34^3*S34^3*0.000000000001</f>
        <v>8.3870946951788775E-3</v>
      </c>
      <c r="J34" s="2">
        <f t="shared" si="0"/>
        <v>0.33486053687644557</v>
      </c>
      <c r="K34">
        <v>0.50800000000000001</v>
      </c>
      <c r="L34">
        <v>2.8370000000000002</v>
      </c>
      <c r="M34">
        <v>2.7E-2</v>
      </c>
      <c r="N34">
        <v>0.188</v>
      </c>
      <c r="O34">
        <v>0.73399999999999999</v>
      </c>
      <c r="P34">
        <v>0.95499999999999996</v>
      </c>
      <c r="R34" s="4">
        <v>9.8803000000000001</v>
      </c>
      <c r="S34">
        <v>1</v>
      </c>
    </row>
    <row r="35" spans="1:20">
      <c r="A35" s="3" t="s">
        <v>58</v>
      </c>
      <c r="B35" s="3" t="s">
        <v>34</v>
      </c>
      <c r="C35" s="3" t="s">
        <v>20</v>
      </c>
      <c r="D35" s="3" t="s">
        <v>21</v>
      </c>
      <c r="E35" s="3" t="s">
        <v>22</v>
      </c>
      <c r="F35" s="3" t="s">
        <v>26</v>
      </c>
      <c r="G35" s="3" t="s">
        <v>35</v>
      </c>
      <c r="H35" s="2">
        <f>0.609696476461*33611034*R35^3*S35^3*0.000000000001</f>
        <v>1.9138293208756065E-2</v>
      </c>
      <c r="I35" s="3">
        <f>20644288*R35^3*S35^3*0.000000000001</f>
        <v>1.9280023311412407E-2</v>
      </c>
      <c r="J35" s="2">
        <f t="shared" si="0"/>
        <v>0.99264886248490958</v>
      </c>
      <c r="K35" s="2">
        <v>0.23</v>
      </c>
      <c r="L35" s="2">
        <v>1.792</v>
      </c>
      <c r="M35" s="2">
        <v>3.6900000000000002E-2</v>
      </c>
      <c r="N35" s="2">
        <v>0.26500000000000001</v>
      </c>
      <c r="O35" s="2">
        <v>0.625</v>
      </c>
      <c r="P35" s="2">
        <v>0.94699999999999995</v>
      </c>
      <c r="R35" s="7">
        <v>4.88734</v>
      </c>
      <c r="S35">
        <v>2</v>
      </c>
    </row>
    <row r="36" spans="1:20">
      <c r="A36" s="1" t="s">
        <v>92</v>
      </c>
      <c r="H36">
        <f>8748784*R36^3*S36^3*0.000000000001</f>
        <v>8.364530210151766E-3</v>
      </c>
      <c r="I36">
        <f>18217702*R36^3*S36^3*0.000000000001</f>
        <v>1.7417565542656242E-2</v>
      </c>
      <c r="J36" s="2">
        <f t="shared" si="0"/>
        <v>0.48023532276463848</v>
      </c>
      <c r="K36">
        <v>0.69299999999999995</v>
      </c>
      <c r="L36" s="2">
        <v>3</v>
      </c>
      <c r="M36">
        <v>5.0000000000000001E-3</v>
      </c>
      <c r="N36">
        <v>8.8999999999999996E-2</v>
      </c>
      <c r="O36">
        <v>0.70399999999999996</v>
      </c>
      <c r="P36">
        <v>0.97499999999999998</v>
      </c>
      <c r="R36" s="4">
        <v>9.8513999999999999</v>
      </c>
      <c r="S36">
        <v>1</v>
      </c>
    </row>
    <row r="37" spans="1:20">
      <c r="A37" s="3" t="s">
        <v>59</v>
      </c>
      <c r="B37" s="3" t="s">
        <v>25</v>
      </c>
      <c r="C37" s="3" t="s">
        <v>20</v>
      </c>
      <c r="D37" s="3" t="s">
        <v>21</v>
      </c>
      <c r="E37" s="3" t="s">
        <v>22</v>
      </c>
      <c r="F37" s="3" t="s">
        <v>26</v>
      </c>
      <c r="G37" s="3" t="s">
        <v>24</v>
      </c>
      <c r="H37" s="2">
        <f>0.157512299053*39137566*S37^3*R37^3*0.000000000001</f>
        <v>5.7571197857159643E-3</v>
      </c>
      <c r="I37" s="2">
        <f>33692124*R37^3*S37^3*0.000000000001</f>
        <v>3.1464828762849409E-2</v>
      </c>
      <c r="J37" s="2">
        <f t="shared" si="0"/>
        <v>0.18297000212864364</v>
      </c>
      <c r="K37" s="2">
        <v>0.3493</v>
      </c>
      <c r="L37" s="2">
        <v>2.4548999999999999</v>
      </c>
      <c r="M37" s="2">
        <v>4.9000000000000002E-2</v>
      </c>
      <c r="N37" s="2">
        <v>0.223</v>
      </c>
      <c r="O37" s="2">
        <v>0.65439999999999998</v>
      </c>
      <c r="P37" s="2">
        <v>0.94799999999999995</v>
      </c>
      <c r="R37" s="5">
        <v>4.8872999999999998</v>
      </c>
      <c r="S37">
        <v>2</v>
      </c>
    </row>
    <row r="38" spans="1:20">
      <c r="A38" s="1" t="s">
        <v>93</v>
      </c>
      <c r="H38">
        <f>4356846*R38^3*S38^3*0.000000000001</f>
        <v>3.7348610622647323E-3</v>
      </c>
      <c r="I38">
        <f>9946394*R38^3*S38^3*0.000000000001</f>
        <v>8.5264431335290627E-3</v>
      </c>
      <c r="J38" s="2">
        <f t="shared" si="0"/>
        <v>0.43803271818912459</v>
      </c>
      <c r="K38">
        <v>0.65200000000000002</v>
      </c>
      <c r="L38">
        <v>2.552</v>
      </c>
      <c r="M38">
        <v>2.1000000000000001E-2</v>
      </c>
      <c r="N38">
        <v>0.151</v>
      </c>
      <c r="O38">
        <v>0.79800000000000004</v>
      </c>
      <c r="P38">
        <v>0.96899999999999997</v>
      </c>
      <c r="R38" s="4">
        <v>9.4994999999999994</v>
      </c>
      <c r="S38">
        <v>1</v>
      </c>
    </row>
    <row r="39" spans="1:20">
      <c r="A39" s="3" t="s">
        <v>60</v>
      </c>
      <c r="B39" s="3" t="s">
        <v>36</v>
      </c>
      <c r="C39" s="3" t="s">
        <v>20</v>
      </c>
      <c r="D39" s="3" t="s">
        <v>21</v>
      </c>
      <c r="E39" s="3" t="s">
        <v>22</v>
      </c>
      <c r="F39" s="3" t="s">
        <v>26</v>
      </c>
      <c r="G39" s="3" t="s">
        <v>35</v>
      </c>
      <c r="H39" s="2">
        <f>0.837117078978*3203043*R39^3*S39^3*0.000000000001</f>
        <v>0.1263717235464932</v>
      </c>
      <c r="I39" s="2">
        <f>2692983*R39^3*S39^3*0.000000000001</f>
        <v>0.12692131090234141</v>
      </c>
      <c r="J39" s="2">
        <f t="shared" si="0"/>
        <v>0.99566985755236115</v>
      </c>
      <c r="K39" s="2">
        <v>0.23899999999999999</v>
      </c>
      <c r="L39" s="2">
        <v>2.1789999999999998</v>
      </c>
      <c r="M39" s="2">
        <v>5.8000000000000003E-2</v>
      </c>
      <c r="N39" s="2">
        <v>0.22500000000000001</v>
      </c>
      <c r="O39" s="2">
        <v>0.58699999999999997</v>
      </c>
      <c r="P39" s="2">
        <v>0.83299999999999996</v>
      </c>
      <c r="R39" s="7">
        <v>18.0608</v>
      </c>
      <c r="S39">
        <v>2</v>
      </c>
    </row>
    <row r="40" spans="1:20">
      <c r="A40" s="1" t="s">
        <v>94</v>
      </c>
      <c r="H40">
        <f>6825427*R40^3*S40^3*0.000000000001</f>
        <v>6.1049903679703428E-3</v>
      </c>
      <c r="I40">
        <f>19955037*R40^3*S40^3*0.000000000001</f>
        <v>1.7848745386551169E-2</v>
      </c>
      <c r="J40" s="2">
        <f t="shared" si="0"/>
        <v>0.34204030791824647</v>
      </c>
      <c r="K40">
        <v>0.58899999999999997</v>
      </c>
      <c r="L40">
        <v>2.4620000000000002</v>
      </c>
      <c r="M40">
        <v>2.3E-2</v>
      </c>
      <c r="N40">
        <v>0.29399999999999998</v>
      </c>
      <c r="O40">
        <v>0.89300000000000002</v>
      </c>
      <c r="P40">
        <v>0.98899999999999999</v>
      </c>
      <c r="R40" s="4">
        <v>9.6349999999999998</v>
      </c>
      <c r="S40">
        <v>1</v>
      </c>
    </row>
    <row r="41" spans="1:20">
      <c r="A41" s="1" t="s">
        <v>95</v>
      </c>
      <c r="H41">
        <f>8474038*R41^3*S41^3*0.000000000001</f>
        <v>7.7630525584926838E-3</v>
      </c>
      <c r="I41">
        <f>26742064*R41^3*S41^3*0.000000000001</f>
        <v>2.4498361743784381E-2</v>
      </c>
      <c r="J41" s="2">
        <f t="shared" si="0"/>
        <v>0.31688047713893736</v>
      </c>
      <c r="K41">
        <v>0.752</v>
      </c>
      <c r="L41">
        <v>2.774</v>
      </c>
      <c r="M41">
        <v>1.0999999999999999E-2</v>
      </c>
      <c r="N41">
        <v>0.126</v>
      </c>
      <c r="O41">
        <v>0.81499999999999995</v>
      </c>
      <c r="P41">
        <v>0.97899999999999998</v>
      </c>
      <c r="R41">
        <v>9.7121200000000005</v>
      </c>
      <c r="S41">
        <v>1</v>
      </c>
    </row>
    <row r="42" spans="1:20">
      <c r="A42" s="3" t="s">
        <v>61</v>
      </c>
      <c r="B42" s="3" t="s">
        <v>19</v>
      </c>
      <c r="C42" s="3" t="s">
        <v>20</v>
      </c>
      <c r="D42" s="3" t="s">
        <v>21</v>
      </c>
      <c r="E42" s="3" t="s">
        <v>22</v>
      </c>
      <c r="F42" s="3" t="s">
        <v>23</v>
      </c>
      <c r="G42" s="3" t="s">
        <v>24</v>
      </c>
      <c r="H42" s="2">
        <f>0.223913389133*18553330*S42^3*R42^3*0.000000000001</f>
        <v>3.2998154660522274E-3</v>
      </c>
      <c r="I42" s="2">
        <f>12038786*R42^3*S42^3*0.000000000001</f>
        <v>9.5624772641964718E-3</v>
      </c>
      <c r="J42" s="2">
        <f t="shared" si="0"/>
        <v>0.34507956200923928</v>
      </c>
      <c r="K42" s="2">
        <v>0.46789999999999998</v>
      </c>
      <c r="L42" s="2">
        <v>2.8439999999999999</v>
      </c>
      <c r="M42" s="2">
        <v>2.1000000000000001E-2</v>
      </c>
      <c r="N42" s="2">
        <v>0.158</v>
      </c>
      <c r="O42" s="2">
        <v>0.68200000000000005</v>
      </c>
      <c r="P42" s="2">
        <v>0.93300000000000005</v>
      </c>
      <c r="R42" s="5">
        <v>9.2611000000000008</v>
      </c>
      <c r="S42">
        <v>1</v>
      </c>
    </row>
    <row r="43" spans="1:20">
      <c r="A43" s="1" t="s">
        <v>96</v>
      </c>
      <c r="H43">
        <f>6537082*R43^3*S43^3*0.000000000001</f>
        <v>6.2346781513627735E-3</v>
      </c>
      <c r="I43">
        <f>16943779*R43^3*S43^3*0.000000000001</f>
        <v>1.6159963839036957E-2</v>
      </c>
      <c r="J43" s="2">
        <f t="shared" si="0"/>
        <v>0.38581015486568843</v>
      </c>
      <c r="K43">
        <v>0.65700000000000003</v>
      </c>
      <c r="L43" s="2">
        <v>3</v>
      </c>
      <c r="M43">
        <v>0.01</v>
      </c>
      <c r="N43">
        <v>0.111</v>
      </c>
      <c r="O43">
        <v>0.77</v>
      </c>
      <c r="P43">
        <v>0.98699999999999999</v>
      </c>
      <c r="R43" s="4">
        <v>4.9216800000000003</v>
      </c>
      <c r="S43">
        <v>2</v>
      </c>
    </row>
    <row r="44" spans="1:20">
      <c r="A44" s="1" t="s">
        <v>97</v>
      </c>
      <c r="J44" s="2"/>
      <c r="R44" s="4">
        <v>9.2777999999999992</v>
      </c>
      <c r="S44">
        <v>1</v>
      </c>
      <c r="T44" t="s">
        <v>99</v>
      </c>
    </row>
    <row r="45" spans="1:20">
      <c r="A45" s="3" t="s">
        <v>62</v>
      </c>
      <c r="B45" s="3" t="s">
        <v>38</v>
      </c>
      <c r="C45" s="3" t="s">
        <v>20</v>
      </c>
      <c r="D45" s="3" t="s">
        <v>39</v>
      </c>
      <c r="E45" s="3" t="s">
        <v>40</v>
      </c>
      <c r="F45" s="3" t="s">
        <v>26</v>
      </c>
      <c r="G45" s="3" t="s">
        <v>35</v>
      </c>
      <c r="H45" s="2">
        <f>0.787931636093*2943249*R45^3*S45^3*0.000000000001</f>
        <v>0.11419235105208436</v>
      </c>
      <c r="I45" s="2">
        <f>2321913*R45^3*S45^3*0.000000000001</f>
        <v>0.11433189831329717</v>
      </c>
      <c r="J45" s="2">
        <f t="shared" si="0"/>
        <v>0.99877945469924401</v>
      </c>
      <c r="K45" s="2">
        <v>0.2137</v>
      </c>
      <c r="L45" s="2">
        <v>1.7889999999999999</v>
      </c>
      <c r="M45" s="2">
        <v>4.1000000000000002E-2</v>
      </c>
      <c r="N45" s="2">
        <v>0.23699999999999999</v>
      </c>
      <c r="O45" s="2">
        <v>0.59</v>
      </c>
      <c r="P45" s="2">
        <v>0.89800000000000002</v>
      </c>
      <c r="R45" s="8">
        <v>18.3264</v>
      </c>
      <c r="S45">
        <v>2</v>
      </c>
    </row>
    <row r="46" spans="1:20">
      <c r="A46" s="1" t="s">
        <v>98</v>
      </c>
      <c r="H46">
        <f>105858*R46^3*(S46*2)^3*0.000000000001</f>
        <v>0</v>
      </c>
      <c r="I46">
        <f>7999942*R46^3*(S46*2)^3*0.000000000001</f>
        <v>0</v>
      </c>
      <c r="J46" s="2" t="e">
        <f t="shared" si="0"/>
        <v>#DIV/0!</v>
      </c>
      <c r="K46">
        <v>0.68600000000000005</v>
      </c>
      <c r="L46">
        <v>2.714</v>
      </c>
      <c r="M46">
        <v>8.9999999999999993E-3</v>
      </c>
      <c r="N46">
        <v>6.0999999999999999E-2</v>
      </c>
      <c r="O46">
        <v>0.41299999999999998</v>
      </c>
      <c r="P46">
        <v>0.85099999999999998</v>
      </c>
      <c r="S46">
        <v>1</v>
      </c>
      <c r="T46" t="s">
        <v>102</v>
      </c>
    </row>
    <row r="47" spans="1:20">
      <c r="A47" s="3" t="s">
        <v>68</v>
      </c>
      <c r="B47" s="3" t="s">
        <v>63</v>
      </c>
      <c r="C47" s="3" t="s">
        <v>64</v>
      </c>
      <c r="D47" s="3" t="s">
        <v>39</v>
      </c>
      <c r="E47" s="3" t="s">
        <v>40</v>
      </c>
      <c r="F47" s="3" t="s">
        <v>26</v>
      </c>
      <c r="G47" s="3" t="s">
        <v>24</v>
      </c>
      <c r="H47" s="2">
        <f>0.00863269757486*5414530*S47^3*R47^3*0.000000000001</f>
        <v>8.1590737205446614E-5</v>
      </c>
      <c r="I47" s="2">
        <f>2141586*S47^3*R47^3*0.000000000001</f>
        <v>3.7382563974335389E-3</v>
      </c>
      <c r="J47" s="2">
        <f t="shared" si="0"/>
        <v>2.182588044561681E-2</v>
      </c>
      <c r="K47" s="2">
        <v>0.749</v>
      </c>
      <c r="L47" s="2">
        <v>2.2789999999999999</v>
      </c>
      <c r="M47" s="2">
        <v>4.5999999999999999E-2</v>
      </c>
      <c r="N47" s="2">
        <v>4.5699999999999998E-2</v>
      </c>
      <c r="O47" s="2">
        <v>0.45169999999999999</v>
      </c>
      <c r="P47" s="2">
        <v>0.91720000000000002</v>
      </c>
      <c r="R47" s="10">
        <v>12.0405</v>
      </c>
      <c r="S47">
        <v>1</v>
      </c>
    </row>
    <row r="48" spans="1:20">
      <c r="A48" s="3" t="s">
        <v>69</v>
      </c>
      <c r="B48" s="3" t="s">
        <v>65</v>
      </c>
      <c r="C48" s="3" t="s">
        <v>64</v>
      </c>
      <c r="D48" s="3" t="s">
        <v>39</v>
      </c>
      <c r="E48" s="3" t="s">
        <v>40</v>
      </c>
      <c r="F48" s="3" t="s">
        <v>26</v>
      </c>
      <c r="G48" s="3" t="s">
        <v>24</v>
      </c>
      <c r="H48" s="2">
        <f>0.0180310872795*59850911*S48^3*R48^3*0.000000000001</f>
        <v>2.3254323407983249E-4</v>
      </c>
      <c r="I48" s="2">
        <f>27038317*R48^3*S48^3*0.000000000001</f>
        <v>5.8262710188078035E-3</v>
      </c>
      <c r="J48" s="2">
        <f t="shared" si="0"/>
        <v>3.9912876234071325E-2</v>
      </c>
      <c r="K48" s="2">
        <v>0.66200000000000003</v>
      </c>
      <c r="L48" s="2">
        <v>2.923</v>
      </c>
      <c r="M48" s="2">
        <v>8.9999999999999993E-3</v>
      </c>
      <c r="N48" s="2">
        <v>6.6000000000000003E-2</v>
      </c>
      <c r="O48" s="2">
        <v>0.46300000000000002</v>
      </c>
      <c r="P48" s="2">
        <v>0.91500000000000004</v>
      </c>
      <c r="R48" s="10">
        <v>2.9975999999999998</v>
      </c>
      <c r="S48">
        <v>2</v>
      </c>
    </row>
    <row r="49" spans="1:19">
      <c r="A49" s="3" t="s">
        <v>70</v>
      </c>
      <c r="B49" s="3" t="s">
        <v>66</v>
      </c>
      <c r="C49" s="3" t="s">
        <v>67</v>
      </c>
      <c r="D49" s="3" t="s">
        <v>39</v>
      </c>
      <c r="E49" s="3" t="s">
        <v>40</v>
      </c>
      <c r="F49" s="3" t="s">
        <v>26</v>
      </c>
      <c r="G49" s="3" t="s">
        <v>24</v>
      </c>
      <c r="H49" s="2">
        <f>0.00429116672022*25519400*S49^3*R49^3*0.000000000001</f>
        <v>7.6122266030492422E-5</v>
      </c>
      <c r="I49" s="2">
        <f>8262931*R49^3*S49^3*0.000000000001</f>
        <v>5.7438089616622043E-3</v>
      </c>
      <c r="J49" s="2">
        <f t="shared" si="0"/>
        <v>1.3252924416285488E-2</v>
      </c>
      <c r="K49" s="3">
        <f>0.712</f>
        <v>0.71199999999999997</v>
      </c>
      <c r="L49" s="3">
        <v>2.6190000000000002</v>
      </c>
      <c r="M49" s="3">
        <v>2.7E-2</v>
      </c>
      <c r="N49" s="3">
        <v>5.7799999999999997E-2</v>
      </c>
      <c r="O49" s="3">
        <v>0.51100000000000001</v>
      </c>
      <c r="P49" s="3">
        <v>0.94399999999999995</v>
      </c>
      <c r="R49" s="5">
        <v>2.2145999999999999</v>
      </c>
      <c r="S49">
        <v>4</v>
      </c>
    </row>
    <row r="50" spans="1:19">
      <c r="J50" s="2"/>
    </row>
    <row r="51" spans="1:19">
      <c r="J51" s="2"/>
    </row>
    <row r="52" spans="1:19">
      <c r="J52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2017-05-01T15:05:40Z</dcterms:created>
  <dcterms:modified xsi:type="dcterms:W3CDTF">2017-06-02T16:25:40Z</dcterms:modified>
</cp:coreProperties>
</file>