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260" yWindow="0" windowWidth="25600" windowHeight="146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I10" i="1"/>
  <c r="I9" i="1"/>
  <c r="I8" i="1"/>
  <c r="I7" i="1"/>
  <c r="I6" i="1"/>
  <c r="I5" i="1"/>
  <c r="I4" i="1"/>
  <c r="I3" i="1"/>
  <c r="H11" i="1"/>
  <c r="H10" i="1"/>
  <c r="H9" i="1"/>
  <c r="H8" i="1"/>
  <c r="H7" i="1"/>
  <c r="K4" i="1"/>
  <c r="H3" i="1"/>
  <c r="J3" i="1"/>
  <c r="H4" i="1"/>
  <c r="J4" i="1"/>
  <c r="H5" i="1"/>
  <c r="J5" i="1"/>
  <c r="H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2" i="1"/>
  <c r="H2" i="1"/>
  <c r="J2" i="1"/>
</calcChain>
</file>

<file path=xl/sharedStrings.xml><?xml version="1.0" encoding="utf-8"?>
<sst xmlns="http://schemas.openxmlformats.org/spreadsheetml/2006/main" count="191" uniqueCount="102">
  <si>
    <t>T2</t>
  </si>
  <si>
    <t>T3</t>
  </si>
  <si>
    <t>T6</t>
  </si>
  <si>
    <t>sample41</t>
  </si>
  <si>
    <t>sample36</t>
  </si>
  <si>
    <t>sample23</t>
  </si>
  <si>
    <t>sample17</t>
  </si>
  <si>
    <t>sample09</t>
  </si>
  <si>
    <t>sample21</t>
  </si>
  <si>
    <t>sample10</t>
  </si>
  <si>
    <t>sample13</t>
  </si>
  <si>
    <t>sample44</t>
  </si>
  <si>
    <t>sample01</t>
  </si>
  <si>
    <t>sample15</t>
  </si>
  <si>
    <t>sample08</t>
  </si>
  <si>
    <t>sample19</t>
  </si>
  <si>
    <t>sample20</t>
  </si>
  <si>
    <t>sample06</t>
  </si>
  <si>
    <t>sample34</t>
  </si>
  <si>
    <t>sample38</t>
  </si>
  <si>
    <t>compactness</t>
  </si>
  <si>
    <t>species</t>
  </si>
  <si>
    <t>habitat</t>
  </si>
  <si>
    <t>margin</t>
  </si>
  <si>
    <t>habit</t>
  </si>
  <si>
    <t>bud_type</t>
  </si>
  <si>
    <t>scales</t>
  </si>
  <si>
    <t>clemensae</t>
  </si>
  <si>
    <t>tropical</t>
  </si>
  <si>
    <t>entire</t>
  </si>
  <si>
    <t>evergreen</t>
  </si>
  <si>
    <t>I</t>
  </si>
  <si>
    <t>scale</t>
  </si>
  <si>
    <t>glaberrimum</t>
  </si>
  <si>
    <t>awabuki</t>
  </si>
  <si>
    <t>subtropical</t>
  </si>
  <si>
    <t>dentatum</t>
  </si>
  <si>
    <t>temperate</t>
  </si>
  <si>
    <t>toothed</t>
  </si>
  <si>
    <t>deciduous</t>
  </si>
  <si>
    <t>II</t>
  </si>
  <si>
    <t>plicatum</t>
  </si>
  <si>
    <t>lobophyllum</t>
  </si>
  <si>
    <t>sargentii</t>
  </si>
  <si>
    <t>lobed</t>
  </si>
  <si>
    <t>dilatatum</t>
  </si>
  <si>
    <t>acerifolium</t>
  </si>
  <si>
    <t>lentago</t>
  </si>
  <si>
    <t>erosum</t>
  </si>
  <si>
    <t>burejaeticum</t>
  </si>
  <si>
    <t>naked</t>
  </si>
  <si>
    <t>furcatum</t>
  </si>
  <si>
    <t>opulus</t>
  </si>
  <si>
    <t>rhytidophyllum</t>
  </si>
  <si>
    <t>prunifolium</t>
  </si>
  <si>
    <t>hupehense</t>
  </si>
  <si>
    <t>lantana_discolor</t>
  </si>
  <si>
    <t>carlesii</t>
  </si>
  <si>
    <t>molle</t>
  </si>
  <si>
    <t>bud</t>
  </si>
  <si>
    <t>leaf_volume</t>
  </si>
  <si>
    <t>bud_volume</t>
  </si>
  <si>
    <t>leaf_bud_ratio</t>
  </si>
  <si>
    <t>fractal_dimension_D</t>
  </si>
  <si>
    <t>sigma_D</t>
  </si>
  <si>
    <t>25_centerMass</t>
  </si>
  <si>
    <t>50_centerMass</t>
  </si>
  <si>
    <t>75_centerMass</t>
  </si>
  <si>
    <t>voxel_size</t>
  </si>
  <si>
    <t>downsc_factor</t>
  </si>
  <si>
    <t>sample26_batch6_FG_stack_ok</t>
  </si>
  <si>
    <t>sample27_batch7_B_stack_ok</t>
  </si>
  <si>
    <t xml:space="preserve">sample03_batch1_stack_ok             </t>
  </si>
  <si>
    <t>sample28_batch7_C_stack_ok</t>
  </si>
  <si>
    <t xml:space="preserve">sample04_batch1_stack_ok             </t>
  </si>
  <si>
    <t>sample29_batch7_D_stack_ok</t>
  </si>
  <si>
    <t>sample30_batch6_H_stack_ok</t>
  </si>
  <si>
    <t xml:space="preserve">sample07_batch2_stack_ok             </t>
  </si>
  <si>
    <t>sample31_batch8_BC_stack_ok</t>
  </si>
  <si>
    <t>sample32_batch8_DE_stack_ok</t>
  </si>
  <si>
    <t>sample33_batch9_B_quickscan_stack_ok</t>
  </si>
  <si>
    <t xml:space="preserve">sample11_batch5_BC_stack_cropped_ok  </t>
  </si>
  <si>
    <t>sample35_batch9_C_quickscan_stack_ok</t>
  </si>
  <si>
    <t xml:space="preserve">sample12_batch3_A_stack_m??ig       </t>
  </si>
  <si>
    <t>sample37_batch9_E_quickscan_stack_ok</t>
  </si>
  <si>
    <t xml:space="preserve">sample14_batch3_C_stack_m??ig       </t>
  </si>
  <si>
    <t>sample39_batch11_39_42_BC_stack_ok</t>
  </si>
  <si>
    <t xml:space="preserve">sample16_batch5_F_stack_ok           </t>
  </si>
  <si>
    <t>sample40_batch11_40_41_BC_stack_ok</t>
  </si>
  <si>
    <t xml:space="preserve">sample18_batch3_D_stack_m??ig        </t>
  </si>
  <si>
    <t>sample42_batch11_39_42_DE_stack_ok</t>
  </si>
  <si>
    <t>sample43_batch9_D_quickscan_stack_ok</t>
  </si>
  <si>
    <t>T1</t>
  </si>
  <si>
    <t xml:space="preserve">sample22_batch6_BC_stack            </t>
  </si>
  <si>
    <t xml:space="preserve">sample24_batch4_G_stack_ok          </t>
  </si>
  <si>
    <t xml:space="preserve">sample25_batch6_DE_stack_ok </t>
  </si>
  <si>
    <t>*flower to bud ratio</t>
  </si>
  <si>
    <t>*flower volume</t>
  </si>
  <si>
    <t>notes</t>
  </si>
  <si>
    <t>sample02_batch1_stack_ok</t>
  </si>
  <si>
    <t>image file names are weird</t>
  </si>
  <si>
    <t>the bud is oddly positioned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</si>
</sst>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/>
    </xf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0" fillId="0" borderId="0" xfId="0" applyNumberFormat="1" applyBorder="1"/>
    <xf numFmtId="0" fontId="0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A2" sqref="A2:XFD4"/>
    </sheetView>
  </sheetViews>
  <sheetFormatPr baseColWidth="10" defaultRowHeight="15" x14ac:dyDescent="0"/>
  <cols>
    <col min="1" max="1" width="35.6640625" bestFit="1" customWidth="1"/>
    <col min="2" max="2" width="22.83203125" customWidth="1"/>
    <col min="3" max="7" width="9.1640625" customWidth="1"/>
    <col min="8" max="8" width="16.83203125" bestFit="1" customWidth="1"/>
    <col min="9" max="9" width="17" bestFit="1" customWidth="1"/>
    <col min="10" max="10" width="20.83203125" bestFit="1" customWidth="1"/>
    <col min="11" max="11" width="11.83203125" bestFit="1" customWidth="1"/>
    <col min="12" max="12" width="18.33203125" bestFit="1" customWidth="1"/>
    <col min="13" max="13" width="19.33203125" bestFit="1" customWidth="1"/>
    <col min="14" max="16" width="61" bestFit="1" customWidth="1"/>
    <col min="18" max="18" width="20.33203125" bestFit="1" customWidth="1"/>
    <col min="19" max="19" width="15.33203125" bestFit="1" customWidth="1"/>
    <col min="20" max="20" width="24.83203125" bestFit="1" customWidth="1"/>
    <col min="21" max="21" width="69.6640625" bestFit="1" customWidth="1"/>
  </cols>
  <sheetData>
    <row r="1" spans="1:20">
      <c r="A1" s="8" t="s">
        <v>59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8" t="s">
        <v>60</v>
      </c>
      <c r="I1" s="8" t="s">
        <v>61</v>
      </c>
      <c r="J1" s="8" t="s">
        <v>62</v>
      </c>
      <c r="K1" s="8" t="s">
        <v>20</v>
      </c>
      <c r="L1" s="8" t="s">
        <v>63</v>
      </c>
      <c r="M1" s="8" t="s">
        <v>64</v>
      </c>
      <c r="N1" s="8" t="s">
        <v>65</v>
      </c>
      <c r="O1" s="8" t="s">
        <v>66</v>
      </c>
      <c r="P1" s="8" t="s">
        <v>67</v>
      </c>
      <c r="R1" s="1" t="s">
        <v>68</v>
      </c>
      <c r="S1" t="s">
        <v>69</v>
      </c>
      <c r="T1" t="s">
        <v>98</v>
      </c>
    </row>
    <row r="2" spans="1:20">
      <c r="A2" s="1" t="s">
        <v>0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8">
        <f>0.00863269757486*5414530*S2^3*R2^3*0.000000000001</f>
        <v>8.1590737205446614E-5</v>
      </c>
      <c r="I2" s="8">
        <f>2141586*S2^3*R2^3*0.000000000001</f>
        <v>3.7382563974335389E-3</v>
      </c>
      <c r="J2" s="8">
        <f>H2/I2</f>
        <v>2.182588044561681E-2</v>
      </c>
      <c r="K2" s="8">
        <v>0.749</v>
      </c>
      <c r="L2" s="8">
        <v>2.2789999999999999</v>
      </c>
      <c r="M2" s="8">
        <v>4.5999999999999999E-2</v>
      </c>
      <c r="N2" s="8">
        <v>4.5699999999999998E-2</v>
      </c>
      <c r="O2" s="8">
        <v>0.45169999999999999</v>
      </c>
      <c r="P2" s="8">
        <v>0.91720000000000002</v>
      </c>
      <c r="R2" s="2">
        <v>12.0405</v>
      </c>
      <c r="S2">
        <v>1</v>
      </c>
    </row>
    <row r="3" spans="1:20">
      <c r="A3" s="1" t="s">
        <v>1</v>
      </c>
      <c r="B3" s="1" t="s">
        <v>33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8">
        <f>0.0180310872795*59850911*S3^3*R3^3*0.000000000001</f>
        <v>2.3254323407983249E-4</v>
      </c>
      <c r="I3" s="8">
        <f>27038317*R3^3*S3^3*0.000000000001</f>
        <v>5.8262710188078035E-3</v>
      </c>
      <c r="J3" s="8">
        <f t="shared" ref="J3:J21" si="0">H3/I3</f>
        <v>3.9912876234071325E-2</v>
      </c>
      <c r="K3" s="8">
        <v>0.66200000000000003</v>
      </c>
      <c r="L3" s="8">
        <v>2.923</v>
      </c>
      <c r="M3" s="8">
        <v>8.9999999999999993E-3</v>
      </c>
      <c r="N3" s="8">
        <v>6.6000000000000003E-2</v>
      </c>
      <c r="O3" s="8">
        <v>0.46300000000000002</v>
      </c>
      <c r="P3" s="8">
        <v>0.91500000000000004</v>
      </c>
      <c r="R3" s="2">
        <v>2.9975999999999998</v>
      </c>
      <c r="S3">
        <v>2</v>
      </c>
    </row>
    <row r="4" spans="1:20">
      <c r="A4" s="1" t="s">
        <v>2</v>
      </c>
      <c r="B4" s="1" t="s">
        <v>34</v>
      </c>
      <c r="C4" s="1" t="s">
        <v>35</v>
      </c>
      <c r="D4" s="1" t="s">
        <v>29</v>
      </c>
      <c r="E4" s="1" t="s">
        <v>30</v>
      </c>
      <c r="F4" s="1" t="s">
        <v>31</v>
      </c>
      <c r="G4" s="1" t="s">
        <v>32</v>
      </c>
      <c r="H4" s="8">
        <f>0.00429116672022*25519400*S4^3*R4^3*0.000000000001</f>
        <v>7.6122266030492422E-5</v>
      </c>
      <c r="I4" s="8">
        <f>8262931*R4^3*S4^3*0.000000000001</f>
        <v>5.7438089616622043E-3</v>
      </c>
      <c r="J4" s="8">
        <f t="shared" si="0"/>
        <v>1.3252924416285488E-2</v>
      </c>
      <c r="K4" s="1">
        <f>0.712</f>
        <v>0.71199999999999997</v>
      </c>
      <c r="L4" s="1">
        <v>2.6190000000000002</v>
      </c>
      <c r="M4" s="1">
        <v>2.7E-2</v>
      </c>
      <c r="N4" s="1">
        <v>5.7799999999999997E-2</v>
      </c>
      <c r="O4" s="1">
        <v>0.51100000000000001</v>
      </c>
      <c r="P4" s="1">
        <v>0.94399999999999995</v>
      </c>
      <c r="R4" s="4">
        <v>2.2145999999999999</v>
      </c>
      <c r="S4">
        <v>4</v>
      </c>
    </row>
    <row r="5" spans="1:20">
      <c r="A5" s="1" t="s">
        <v>3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32</v>
      </c>
      <c r="H5" s="8">
        <f>0.223913389133*18553330*S5^3*R5^3*0.000000000001</f>
        <v>3.2998154660522274E-3</v>
      </c>
      <c r="I5" s="8">
        <f>12038786*R5^3*S5^3*0.000000000001</f>
        <v>9.5624772641964718E-3</v>
      </c>
      <c r="J5" s="8">
        <f t="shared" si="0"/>
        <v>0.34507956200923928</v>
      </c>
      <c r="K5" s="8">
        <v>0.46789999999999998</v>
      </c>
      <c r="L5" s="8">
        <v>2.8439999999999999</v>
      </c>
      <c r="M5" s="8">
        <v>2.1000000000000001E-2</v>
      </c>
      <c r="N5" s="8">
        <v>0.158</v>
      </c>
      <c r="O5" s="8">
        <v>0.68200000000000005</v>
      </c>
      <c r="P5" s="8">
        <v>0.93300000000000005</v>
      </c>
      <c r="R5" s="4">
        <v>9.2611000000000008</v>
      </c>
      <c r="S5">
        <v>1</v>
      </c>
    </row>
    <row r="6" spans="1:20">
      <c r="A6" s="1" t="s">
        <v>4</v>
      </c>
      <c r="B6" s="1" t="s">
        <v>41</v>
      </c>
      <c r="C6" s="1" t="s">
        <v>37</v>
      </c>
      <c r="D6" s="1" t="s">
        <v>38</v>
      </c>
      <c r="E6" s="1" t="s">
        <v>39</v>
      </c>
      <c r="F6" s="1" t="s">
        <v>31</v>
      </c>
      <c r="G6" s="1" t="s">
        <v>32</v>
      </c>
      <c r="H6" s="8">
        <f>0.157512299053*39137566*S6^3*R6^3*0.000000000001</f>
        <v>5.7571197857159643E-3</v>
      </c>
      <c r="I6" s="8">
        <f>33692124*R6^3*S6^3*0.000000000001</f>
        <v>3.1464828762849409E-2</v>
      </c>
      <c r="J6" s="8">
        <f t="shared" si="0"/>
        <v>0.18297000212864364</v>
      </c>
      <c r="K6" s="8">
        <v>0.3493</v>
      </c>
      <c r="L6" s="8">
        <v>2.4548999999999999</v>
      </c>
      <c r="M6" s="8">
        <v>4.9000000000000002E-2</v>
      </c>
      <c r="N6" s="8">
        <v>0.223</v>
      </c>
      <c r="O6" s="8">
        <v>0.65439999999999998</v>
      </c>
      <c r="P6" s="8">
        <v>0.94799999999999995</v>
      </c>
      <c r="R6" s="4">
        <v>4.8872999999999998</v>
      </c>
      <c r="S6">
        <v>2</v>
      </c>
    </row>
    <row r="7" spans="1:20">
      <c r="A7" s="1" t="s">
        <v>5</v>
      </c>
      <c r="B7" s="1" t="s">
        <v>42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32</v>
      </c>
      <c r="H7" s="8">
        <f>0.157669663158*21716397*R7^3*S7^3*0.000000000001</f>
        <v>2.8825914530121841E-3</v>
      </c>
      <c r="I7" s="8">
        <f>11291449*R7^3*S7^3*0.000000000001</f>
        <v>9.5059791991589666E-3</v>
      </c>
      <c r="J7" s="8">
        <f t="shared" si="0"/>
        <v>0.3032398233384751</v>
      </c>
      <c r="K7" s="8">
        <v>0.4556</v>
      </c>
      <c r="L7" s="8">
        <v>3</v>
      </c>
      <c r="M7" s="8">
        <v>0.01</v>
      </c>
      <c r="N7" s="8">
        <v>0.127</v>
      </c>
      <c r="O7" s="8">
        <v>0.63200000000000001</v>
      </c>
      <c r="P7" s="8">
        <v>0.91279999999999994</v>
      </c>
      <c r="R7" s="5">
        <v>4.7211999999999996</v>
      </c>
      <c r="S7">
        <v>2</v>
      </c>
    </row>
    <row r="8" spans="1:20">
      <c r="A8" s="1" t="s">
        <v>6</v>
      </c>
      <c r="B8" s="1" t="s">
        <v>43</v>
      </c>
      <c r="C8" s="1" t="s">
        <v>37</v>
      </c>
      <c r="D8" s="1" t="s">
        <v>44</v>
      </c>
      <c r="E8" s="1" t="s">
        <v>39</v>
      </c>
      <c r="F8" s="1" t="s">
        <v>40</v>
      </c>
      <c r="G8" s="1" t="s">
        <v>32</v>
      </c>
      <c r="H8" s="8">
        <f>0.24119647073*17739874*R8^3*S8^3*0.000000000001</f>
        <v>6.37766950431166E-3</v>
      </c>
      <c r="I8" s="8">
        <f>17739874*R8^3*S8^3*0.000000000001</f>
        <v>2.644180275527724E-2</v>
      </c>
      <c r="J8" s="8">
        <f t="shared" si="0"/>
        <v>0.24119647073</v>
      </c>
      <c r="K8" s="8">
        <v>0.502</v>
      </c>
      <c r="L8" s="8">
        <v>2.85</v>
      </c>
      <c r="M8" s="8">
        <v>2.2700000000000001E-2</v>
      </c>
      <c r="N8" s="8">
        <v>8.7999999999999995E-2</v>
      </c>
      <c r="O8" s="8">
        <v>0.60399999999999998</v>
      </c>
      <c r="P8" s="8">
        <v>0.93</v>
      </c>
      <c r="R8" s="5">
        <v>5.7115</v>
      </c>
      <c r="S8">
        <v>2</v>
      </c>
    </row>
    <row r="9" spans="1:20">
      <c r="A9" s="1" t="s">
        <v>7</v>
      </c>
      <c r="B9" s="1" t="s">
        <v>45</v>
      </c>
      <c r="C9" s="1" t="s">
        <v>37</v>
      </c>
      <c r="D9" s="1" t="s">
        <v>38</v>
      </c>
      <c r="E9" s="1" t="s">
        <v>39</v>
      </c>
      <c r="F9" s="1" t="s">
        <v>40</v>
      </c>
      <c r="G9" s="1" t="s">
        <v>32</v>
      </c>
      <c r="H9" s="8">
        <f>0.153812636362*17724389*R9^3*S9^3*0.000000000001</f>
        <v>3.6485465826279983E-3</v>
      </c>
      <c r="I9" s="8">
        <f>13517311*R9^3*S9^3*0.000000000001</f>
        <v>1.8090347624268952E-2</v>
      </c>
      <c r="J9" s="8">
        <f t="shared" si="0"/>
        <v>0.20168471377152097</v>
      </c>
      <c r="K9" s="8">
        <v>0.48799999999999999</v>
      </c>
      <c r="L9" s="8">
        <v>2.9409999999999998</v>
      </c>
      <c r="M9" s="8">
        <v>1.9E-2</v>
      </c>
      <c r="N9" s="8">
        <v>0.13900000000000001</v>
      </c>
      <c r="O9" s="8">
        <v>0.67</v>
      </c>
      <c r="P9" s="8">
        <v>0.93100000000000005</v>
      </c>
      <c r="R9" s="5">
        <v>11.020099999999999</v>
      </c>
      <c r="S9">
        <v>1</v>
      </c>
    </row>
    <row r="10" spans="1:20">
      <c r="A10" s="1" t="s">
        <v>8</v>
      </c>
      <c r="B10" s="1" t="s">
        <v>46</v>
      </c>
      <c r="C10" s="1" t="s">
        <v>37</v>
      </c>
      <c r="D10" s="1" t="s">
        <v>44</v>
      </c>
      <c r="E10" s="1" t="s">
        <v>39</v>
      </c>
      <c r="F10" s="1" t="s">
        <v>40</v>
      </c>
      <c r="G10" s="1" t="s">
        <v>32</v>
      </c>
      <c r="H10" s="8">
        <f>0.320970513188*11590775*R10^3*S10^3*0.000000000001</f>
        <v>2.9804930989139663E-3</v>
      </c>
      <c r="I10" s="8">
        <f>8709085*R10^3*S10^3*0.000000000001</f>
        <v>6.9772299739452462E-3</v>
      </c>
      <c r="J10" s="8">
        <f t="shared" si="0"/>
        <v>0.42717426687150728</v>
      </c>
      <c r="K10" s="8">
        <v>0.32300000000000001</v>
      </c>
      <c r="L10" s="8">
        <v>2.363</v>
      </c>
      <c r="M10" s="8">
        <v>5.0999999999999997E-2</v>
      </c>
      <c r="N10" s="8">
        <v>0.29599999999999999</v>
      </c>
      <c r="O10" s="8">
        <v>0.76500000000000001</v>
      </c>
      <c r="P10" s="8">
        <v>0.97099999999999997</v>
      </c>
      <c r="R10" s="5">
        <v>4.6437999999999997</v>
      </c>
      <c r="S10">
        <v>2</v>
      </c>
    </row>
    <row r="11" spans="1:20">
      <c r="A11" s="1" t="s">
        <v>9</v>
      </c>
      <c r="B11" s="1" t="s">
        <v>47</v>
      </c>
      <c r="C11" s="1" t="s">
        <v>37</v>
      </c>
      <c r="D11" s="1" t="s">
        <v>38</v>
      </c>
      <c r="E11" s="1" t="s">
        <v>39</v>
      </c>
      <c r="F11" s="1" t="s">
        <v>31</v>
      </c>
      <c r="G11" s="1" t="s">
        <v>32</v>
      </c>
      <c r="H11" s="8">
        <f>0.114883610761*25508286*R11^3*S11^3*0.000000000001</f>
        <v>3.9218949883919468E-3</v>
      </c>
      <c r="I11" s="8">
        <f>18650032*R11^3*S11^3*0.000000000001</f>
        <v>2.4959517620312198E-2</v>
      </c>
      <c r="J11" s="8">
        <f t="shared" si="0"/>
        <v>0.15713023977676099</v>
      </c>
      <c r="K11" s="8">
        <v>0.42849999999999999</v>
      </c>
      <c r="L11" s="8">
        <v>2.2749999999999999</v>
      </c>
      <c r="M11" s="8">
        <v>5.5E-2</v>
      </c>
      <c r="N11" s="8">
        <v>0.24</v>
      </c>
      <c r="O11" s="8">
        <v>0.69799999999999995</v>
      </c>
      <c r="P11" s="8">
        <v>0.94899999999999995</v>
      </c>
      <c r="R11" s="5">
        <v>11.020099999999999</v>
      </c>
      <c r="S11">
        <v>1</v>
      </c>
    </row>
    <row r="12" spans="1:20">
      <c r="A12" s="1" t="s">
        <v>17</v>
      </c>
      <c r="B12" s="1" t="s">
        <v>48</v>
      </c>
      <c r="C12" s="1" t="s">
        <v>37</v>
      </c>
      <c r="D12" s="1" t="s">
        <v>38</v>
      </c>
      <c r="E12" s="1" t="s">
        <v>39</v>
      </c>
      <c r="F12" s="1" t="s">
        <v>40</v>
      </c>
      <c r="G12" s="1" t="s">
        <v>32</v>
      </c>
      <c r="H12" s="8">
        <f>0.166773748515*20439194*R12^3*S12^3*0.000000000001</f>
        <v>4.9027805938251416E-3</v>
      </c>
      <c r="I12" s="1">
        <f>17441956*R12^3*S12^3*0.000000000001</f>
        <v>2.5086853220025674E-2</v>
      </c>
      <c r="J12" s="8">
        <f t="shared" si="0"/>
        <v>0.19543226688596713</v>
      </c>
      <c r="K12" s="8">
        <v>0.45200000000000001</v>
      </c>
      <c r="L12" s="8">
        <v>2.7559999999999998</v>
      </c>
      <c r="M12" s="8">
        <v>1.7000000000000001E-2</v>
      </c>
      <c r="N12" s="8">
        <v>0.19900000000000001</v>
      </c>
      <c r="O12" s="8">
        <v>0.79600000000000004</v>
      </c>
      <c r="P12" s="8">
        <v>0.98399999999999999</v>
      </c>
      <c r="R12" s="5">
        <v>5.6440000000000001</v>
      </c>
      <c r="S12">
        <v>2</v>
      </c>
    </row>
    <row r="13" spans="1:20">
      <c r="A13" s="1" t="s">
        <v>18</v>
      </c>
      <c r="B13" s="1" t="s">
        <v>49</v>
      </c>
      <c r="C13" s="1" t="s">
        <v>37</v>
      </c>
      <c r="D13" s="1" t="s">
        <v>38</v>
      </c>
      <c r="E13" s="1" t="s">
        <v>39</v>
      </c>
      <c r="F13" s="1" t="s">
        <v>31</v>
      </c>
      <c r="G13" s="1" t="s">
        <v>50</v>
      </c>
      <c r="H13" s="8">
        <f>0.609696476461*33611034*R13^3*S13^3*0.000000000001</f>
        <v>1.9138293208756065E-2</v>
      </c>
      <c r="I13" s="1">
        <f>20644288*R13^3*S13^3*0.000000000001</f>
        <v>1.9280023311412407E-2</v>
      </c>
      <c r="J13" s="8">
        <f t="shared" si="0"/>
        <v>0.99264886248490958</v>
      </c>
      <c r="K13" s="8">
        <v>0.23</v>
      </c>
      <c r="L13" s="8">
        <v>1.792</v>
      </c>
      <c r="M13" s="8">
        <v>3.6900000000000002E-2</v>
      </c>
      <c r="N13" s="8">
        <v>0.26500000000000001</v>
      </c>
      <c r="O13" s="8">
        <v>0.625</v>
      </c>
      <c r="P13" s="8">
        <v>0.94699999999999995</v>
      </c>
      <c r="R13" s="3">
        <v>4.88734</v>
      </c>
      <c r="S13">
        <v>2</v>
      </c>
    </row>
    <row r="14" spans="1:20">
      <c r="A14" s="1" t="s">
        <v>19</v>
      </c>
      <c r="B14" s="1" t="s">
        <v>51</v>
      </c>
      <c r="C14" s="1" t="s">
        <v>37</v>
      </c>
      <c r="D14" s="1" t="s">
        <v>38</v>
      </c>
      <c r="E14" s="1" t="s">
        <v>39</v>
      </c>
      <c r="F14" s="1" t="s">
        <v>31</v>
      </c>
      <c r="G14" s="1" t="s">
        <v>50</v>
      </c>
      <c r="H14" s="8">
        <f>0.837117078978*3203043*R14^3*S14^3*0.000000000001</f>
        <v>0.1263717235464932</v>
      </c>
      <c r="I14" s="8">
        <f>2692983*R14^3*S14^3*0.000000000001</f>
        <v>0.12692131090234141</v>
      </c>
      <c r="J14" s="8">
        <f t="shared" si="0"/>
        <v>0.99566985755236115</v>
      </c>
      <c r="K14" s="8">
        <v>0.23899999999999999</v>
      </c>
      <c r="L14" s="8">
        <v>2.1789999999999998</v>
      </c>
      <c r="M14" s="8">
        <v>5.8000000000000003E-2</v>
      </c>
      <c r="N14" s="8">
        <v>0.22500000000000001</v>
      </c>
      <c r="O14" s="8">
        <v>0.58699999999999997</v>
      </c>
      <c r="P14" s="8">
        <v>0.83299999999999996</v>
      </c>
      <c r="R14" s="3">
        <v>18.0608</v>
      </c>
      <c r="S14">
        <v>2</v>
      </c>
    </row>
    <row r="15" spans="1:20">
      <c r="A15" s="1" t="s">
        <v>10</v>
      </c>
      <c r="B15" s="1" t="s">
        <v>52</v>
      </c>
      <c r="C15" s="1" t="s">
        <v>37</v>
      </c>
      <c r="D15" s="1" t="s">
        <v>44</v>
      </c>
      <c r="E15" s="1" t="s">
        <v>39</v>
      </c>
      <c r="F15" s="1" t="s">
        <v>40</v>
      </c>
      <c r="G15" s="1" t="s">
        <v>32</v>
      </c>
      <c r="H15" s="8">
        <f>0.196507366792*97200244*R15^3*S15^3*0.000000000001</f>
        <v>1.9990829475511994E-4</v>
      </c>
      <c r="I15" s="1">
        <f>84241125*R15^3*S15^3*0.000000000001</f>
        <v>8.8167551738370798E-4</v>
      </c>
      <c r="J15" s="8">
        <f t="shared" si="0"/>
        <v>0.22673681055398889</v>
      </c>
      <c r="K15" s="8">
        <v>0.59599999999999997</v>
      </c>
      <c r="L15" s="8">
        <v>2.9769999999999999</v>
      </c>
      <c r="M15" s="8">
        <v>3.0000000000000001E-3</v>
      </c>
      <c r="N15" s="8">
        <v>0.14000000000000001</v>
      </c>
      <c r="O15" s="8">
        <v>0.80700000000000005</v>
      </c>
      <c r="P15" s="8">
        <v>0.98299999999999998</v>
      </c>
      <c r="R15" s="5">
        <v>2.1873999999999998</v>
      </c>
      <c r="S15">
        <v>1</v>
      </c>
    </row>
    <row r="16" spans="1:20">
      <c r="A16" s="1" t="s">
        <v>11</v>
      </c>
      <c r="B16" s="1" t="s">
        <v>53</v>
      </c>
      <c r="C16" s="1" t="s">
        <v>37</v>
      </c>
      <c r="D16" s="1" t="s">
        <v>29</v>
      </c>
      <c r="E16" s="1" t="s">
        <v>30</v>
      </c>
      <c r="F16" s="1" t="s">
        <v>31</v>
      </c>
      <c r="G16" s="1" t="s">
        <v>50</v>
      </c>
      <c r="H16" s="8">
        <f>0.787931636093*2943249*R16^3*S16^3*0.000000000001</f>
        <v>0.11419235105208436</v>
      </c>
      <c r="I16" s="8">
        <f>2321913*R16^3*S16^3*0.000000000001</f>
        <v>0.11433189831329717</v>
      </c>
      <c r="J16" s="8">
        <f t="shared" si="0"/>
        <v>0.99877945469924401</v>
      </c>
      <c r="K16" s="8">
        <v>0.2137</v>
      </c>
      <c r="L16" s="8">
        <v>1.7889999999999999</v>
      </c>
      <c r="M16" s="8">
        <v>4.1000000000000002E-2</v>
      </c>
      <c r="N16" s="8">
        <v>0.23699999999999999</v>
      </c>
      <c r="O16" s="8">
        <v>0.59</v>
      </c>
      <c r="P16" s="8">
        <v>0.89800000000000002</v>
      </c>
      <c r="R16" s="7">
        <v>18.3264</v>
      </c>
      <c r="S16">
        <v>2</v>
      </c>
    </row>
    <row r="17" spans="1:20">
      <c r="A17" s="1" t="s">
        <v>12</v>
      </c>
      <c r="B17" s="1" t="s">
        <v>54</v>
      </c>
      <c r="C17" s="1" t="s">
        <v>37</v>
      </c>
      <c r="D17" s="1" t="s">
        <v>38</v>
      </c>
      <c r="E17" s="1" t="s">
        <v>39</v>
      </c>
      <c r="F17" s="1" t="s">
        <v>31</v>
      </c>
      <c r="G17" s="1" t="s">
        <v>32</v>
      </c>
      <c r="H17" s="8">
        <f>0.279962621159*22834309*R17^3*S17^3*0.000000000001</f>
        <v>4.4528284101980863E-3</v>
      </c>
      <c r="I17" s="8">
        <f>19073870*R17^3*S17^3*0.000000000001</f>
        <v>1.3285773786113347E-2</v>
      </c>
      <c r="J17" s="8">
        <f t="shared" si="0"/>
        <v>0.33515762663762227</v>
      </c>
      <c r="K17" s="1">
        <v>0.50970000000000004</v>
      </c>
      <c r="L17" s="1">
        <v>2.4689999999999999</v>
      </c>
      <c r="M17" s="1">
        <v>2.3E-2</v>
      </c>
      <c r="N17" s="1">
        <v>0.25</v>
      </c>
      <c r="O17" s="1">
        <v>0.81899999999999995</v>
      </c>
      <c r="P17" s="1">
        <v>0.96499999999999997</v>
      </c>
      <c r="R17" s="6">
        <v>2.2161</v>
      </c>
      <c r="S17">
        <v>4</v>
      </c>
    </row>
    <row r="18" spans="1:20">
      <c r="A18" s="1" t="s">
        <v>13</v>
      </c>
      <c r="B18" s="1" t="s">
        <v>55</v>
      </c>
      <c r="C18" s="1" t="s">
        <v>37</v>
      </c>
      <c r="D18" s="1" t="s">
        <v>38</v>
      </c>
      <c r="E18" s="1" t="s">
        <v>39</v>
      </c>
      <c r="F18" s="1" t="s">
        <v>31</v>
      </c>
      <c r="G18" s="1" t="s">
        <v>32</v>
      </c>
      <c r="H18" s="8">
        <f>0.750113949123*12685486*R18^3*S18^3*0.000000000001</f>
        <v>5.6058994299743932E-2</v>
      </c>
      <c r="I18" s="8">
        <f>9570903*R18^3*S18^3*0.000000000001</f>
        <v>5.6385036374122677E-2</v>
      </c>
      <c r="J18" s="8">
        <f t="shared" si="0"/>
        <v>0.99421757800748034</v>
      </c>
      <c r="K18" s="8">
        <v>0.33700000000000002</v>
      </c>
      <c r="L18" s="8">
        <v>2.1880000000000002</v>
      </c>
      <c r="M18" s="8">
        <v>0.03</v>
      </c>
      <c r="N18" s="8">
        <v>0.255</v>
      </c>
      <c r="O18" s="8">
        <v>0.68899999999999995</v>
      </c>
      <c r="P18" s="8">
        <v>0.96</v>
      </c>
      <c r="R18" s="3">
        <v>18.0608</v>
      </c>
      <c r="S18">
        <v>1</v>
      </c>
    </row>
    <row r="19" spans="1:20">
      <c r="A19" s="1" t="s">
        <v>14</v>
      </c>
      <c r="B19" s="1" t="s">
        <v>56</v>
      </c>
      <c r="C19" s="1" t="s">
        <v>37</v>
      </c>
      <c r="D19" s="1" t="s">
        <v>38</v>
      </c>
      <c r="E19" s="1" t="s">
        <v>39</v>
      </c>
      <c r="F19" s="1" t="s">
        <v>31</v>
      </c>
      <c r="G19" s="1" t="s">
        <v>50</v>
      </c>
      <c r="H19" s="8">
        <f>0.741087689542*2749792*R19^3*S19^3*0.000000000001</f>
        <v>4.0518575689501672E-2</v>
      </c>
      <c r="I19" s="8">
        <f>2039400*R19^3*S19^3*0.000000000001</f>
        <v>4.0549653019905964E-2</v>
      </c>
      <c r="J19" s="8">
        <f t="shared" si="0"/>
        <v>0.99923359811762047</v>
      </c>
      <c r="K19" s="8">
        <v>0.32500000000000001</v>
      </c>
      <c r="L19" s="8">
        <v>2.4980000000000002</v>
      </c>
      <c r="M19" s="8">
        <v>4.9000000000000002E-2</v>
      </c>
      <c r="N19" s="8">
        <v>0.187</v>
      </c>
      <c r="O19" s="8">
        <v>0.60299999999999998</v>
      </c>
      <c r="P19" s="8">
        <v>0.91200000000000003</v>
      </c>
      <c r="R19" s="5">
        <v>13.5456</v>
      </c>
      <c r="S19">
        <v>2</v>
      </c>
    </row>
    <row r="20" spans="1:20">
      <c r="A20" s="1" t="s">
        <v>15</v>
      </c>
      <c r="B20" s="1" t="s">
        <v>57</v>
      </c>
      <c r="C20" s="1" t="s">
        <v>37</v>
      </c>
      <c r="D20" s="1" t="s">
        <v>38</v>
      </c>
      <c r="E20" s="1" t="s">
        <v>39</v>
      </c>
      <c r="F20" s="1" t="s">
        <v>31</v>
      </c>
      <c r="G20" s="1" t="s">
        <v>50</v>
      </c>
      <c r="H20" s="8">
        <f>0.731866283073*33536547*R20^3*S20^3*0.000000000001</f>
        <v>2.5828981411787381E-3</v>
      </c>
      <c r="I20" s="8">
        <f>25091124*R20^3*S20^3*0.000000000001</f>
        <v>2.6404461334802814E-3</v>
      </c>
      <c r="J20" s="8">
        <f t="shared" si="0"/>
        <v>0.97820520116966325</v>
      </c>
      <c r="K20" s="8">
        <v>0.35099999999999998</v>
      </c>
      <c r="L20" s="8">
        <v>2.6890000000000001</v>
      </c>
      <c r="M20" s="8">
        <v>2.4E-2</v>
      </c>
      <c r="N20" s="8">
        <v>0.19</v>
      </c>
      <c r="O20" s="8">
        <v>0.68600000000000005</v>
      </c>
      <c r="P20" s="8">
        <v>0.95099999999999996</v>
      </c>
      <c r="R20" s="5">
        <v>2.3605999999999998</v>
      </c>
      <c r="S20">
        <v>2</v>
      </c>
    </row>
    <row r="21" spans="1:20">
      <c r="A21" s="1" t="s">
        <v>16</v>
      </c>
      <c r="B21" s="1" t="s">
        <v>58</v>
      </c>
      <c r="C21" s="1" t="s">
        <v>37</v>
      </c>
      <c r="D21" s="1" t="s">
        <v>38</v>
      </c>
      <c r="E21" s="1" t="s">
        <v>39</v>
      </c>
      <c r="F21" s="1" t="s">
        <v>40</v>
      </c>
      <c r="G21" s="1" t="s">
        <v>32</v>
      </c>
      <c r="H21" s="8">
        <f>0.123408983124*17197492*R21^3*S21^3*0.000000000001</f>
        <v>1.7002876426714343E-3</v>
      </c>
      <c r="I21" s="8">
        <f>11426974*R21^3*S21^3*0.000000000001</f>
        <v>9.1546500584496534E-3</v>
      </c>
      <c r="J21" s="8">
        <f t="shared" si="0"/>
        <v>0.18572939782685469</v>
      </c>
      <c r="K21" s="8">
        <v>0.55100000000000005</v>
      </c>
      <c r="L21" s="8">
        <v>2.6779999999999999</v>
      </c>
      <c r="M21" s="8">
        <v>3.49E-2</v>
      </c>
      <c r="N21" s="8">
        <v>0.14000000000000001</v>
      </c>
      <c r="O21" s="8">
        <v>0.79200000000000004</v>
      </c>
      <c r="P21" s="8">
        <v>0.96699999999999997</v>
      </c>
      <c r="R21" s="5">
        <v>4.6437999999999997</v>
      </c>
      <c r="S21">
        <v>2</v>
      </c>
    </row>
    <row r="22" spans="1:20">
      <c r="H22" t="s">
        <v>97</v>
      </c>
      <c r="J22" t="s">
        <v>96</v>
      </c>
    </row>
    <row r="23" spans="1:20">
      <c r="A23" s="1" t="s">
        <v>99</v>
      </c>
    </row>
    <row r="24" spans="1:20">
      <c r="A24" t="s">
        <v>72</v>
      </c>
    </row>
    <row r="25" spans="1:20">
      <c r="A25" t="s">
        <v>74</v>
      </c>
      <c r="T25" t="s">
        <v>101</v>
      </c>
    </row>
    <row r="26" spans="1:20">
      <c r="A26" t="s">
        <v>77</v>
      </c>
    </row>
    <row r="27" spans="1:20">
      <c r="A27" t="s">
        <v>81</v>
      </c>
    </row>
    <row r="28" spans="1:20">
      <c r="A28" t="s">
        <v>83</v>
      </c>
    </row>
    <row r="29" spans="1:20">
      <c r="A29" t="s">
        <v>85</v>
      </c>
    </row>
    <row r="30" spans="1:20">
      <c r="A30" t="s">
        <v>87</v>
      </c>
    </row>
    <row r="31" spans="1:20">
      <c r="A31" t="s">
        <v>89</v>
      </c>
    </row>
    <row r="32" spans="1:20">
      <c r="A32" t="s">
        <v>93</v>
      </c>
    </row>
    <row r="33" spans="1:20">
      <c r="A33" t="s">
        <v>94</v>
      </c>
    </row>
    <row r="34" spans="1:20">
      <c r="A34" t="s">
        <v>95</v>
      </c>
    </row>
    <row r="35" spans="1:20">
      <c r="A35" t="s">
        <v>70</v>
      </c>
    </row>
    <row r="36" spans="1:20">
      <c r="A36" t="s">
        <v>71</v>
      </c>
    </row>
    <row r="37" spans="1:20">
      <c r="A37" t="s">
        <v>73</v>
      </c>
    </row>
    <row r="38" spans="1:20">
      <c r="A38" t="s">
        <v>75</v>
      </c>
      <c r="T38" t="s">
        <v>100</v>
      </c>
    </row>
    <row r="39" spans="1:20">
      <c r="A39" t="s">
        <v>76</v>
      </c>
    </row>
    <row r="40" spans="1:20">
      <c r="A40" t="s">
        <v>78</v>
      </c>
    </row>
    <row r="41" spans="1:20">
      <c r="A41" t="s">
        <v>79</v>
      </c>
    </row>
    <row r="42" spans="1:20">
      <c r="A42" t="s">
        <v>80</v>
      </c>
      <c r="T42" t="s">
        <v>100</v>
      </c>
    </row>
    <row r="43" spans="1:20">
      <c r="A43" t="s">
        <v>82</v>
      </c>
    </row>
    <row r="44" spans="1:20">
      <c r="A44" t="s">
        <v>84</v>
      </c>
    </row>
    <row r="45" spans="1:20">
      <c r="A45" t="s">
        <v>86</v>
      </c>
    </row>
    <row r="46" spans="1:20">
      <c r="A46" t="s">
        <v>88</v>
      </c>
    </row>
    <row r="47" spans="1:20">
      <c r="A47" t="s">
        <v>90</v>
      </c>
    </row>
    <row r="48" spans="1:20">
      <c r="A48" t="s">
        <v>91</v>
      </c>
    </row>
    <row r="49" spans="1:1">
      <c r="A49" t="s">
        <v>92</v>
      </c>
    </row>
  </sheetData>
  <sortState ref="B29:B55">
    <sortCondition ref="B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2016-07-28T19:32:31Z</dcterms:created>
  <dcterms:modified xsi:type="dcterms:W3CDTF">2017-05-01T15:16:24Z</dcterms:modified>
</cp:coreProperties>
</file>