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codeName="ThisWorkbook" defaultThemeVersion="124226"/>
  <xr:revisionPtr revIDLastSave="0" documentId="13_ncr:1_{45CD87C6-30A0-40D5-8B3F-0C0B9C182CED}" xr6:coauthVersionLast="47" xr6:coauthVersionMax="47" xr10:uidLastSave="{00000000-0000-0000-0000-000000000000}"/>
  <workbookProtection workbookAlgorithmName="SHA-512" workbookHashValue="pDGoBXLpS1TkzM8ifdTP+pX3uFXwvuJJ5D9BZpegxlIljDwug5nWIiJjxxY2ziukj4Ia5j5BMUYP+67uxH/ksA==" workbookSaltValue="SLY3cxEIo4WpgtpaKpT2mg==" workbookSpinCount="100000" lockStructure="1"/>
  <bookViews>
    <workbookView xWindow="-120" yWindow="-120" windowWidth="29040" windowHeight="15720" activeTab="4" xr2:uid="{00000000-000D-0000-FFFF-FFFF00000000}"/>
  </bookViews>
  <sheets>
    <sheet name="Cover" sheetId="9" r:id="rId1"/>
    <sheet name="Summary" sheetId="10" r:id="rId2"/>
    <sheet name="Assumptions" sheetId="11" r:id="rId3"/>
    <sheet name="Scenarios" sheetId="12" r:id="rId4"/>
    <sheet name="Model" sheetId="1" r:id="rId5"/>
  </sheets>
  <definedNames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40869.3787037037</definedName>
    <definedName name="IQ_NTM" hidden="1">6000</definedName>
    <definedName name="IQ_OPENED55" hidden="1">1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QRA8" hidden="1">"$A$9:$A$261"</definedName>
    <definedName name="IQRB8" hidden="1">"$B$9:$B$261"</definedName>
    <definedName name="IQRC8" hidden="1">"$C$9:$C$261"</definedName>
    <definedName name="_xlnm.Print_Area" localSheetId="2">Assumptions!$C$1:$P$44,Assumptions!$C$46:$P$76</definedName>
    <definedName name="_xlnm.Print_Area" localSheetId="0">Cover!$A$1:$J$28</definedName>
    <definedName name="_xlnm.Print_Area" localSheetId="3">Scenarios!$B$1:$O$36</definedName>
    <definedName name="_xlnm.Print_Area" localSheetId="1">Summary!$B$1:$Q$66</definedName>
  </definedNames>
  <calcPr calcId="191029" iterate="1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3" i="10" l="1"/>
  <c r="Y23" i="10"/>
  <c r="Y21" i="10"/>
  <c r="Z21" i="10"/>
  <c r="Y22" i="10"/>
  <c r="Z22" i="10"/>
  <c r="X22" i="10"/>
  <c r="X21" i="10"/>
  <c r="Z18" i="10"/>
  <c r="Y18" i="10"/>
  <c r="Y16" i="10"/>
  <c r="Y17" i="10" s="1"/>
  <c r="Z16" i="10"/>
  <c r="Z17" i="10"/>
  <c r="X17" i="10"/>
  <c r="X16" i="10"/>
  <c r="Z13" i="10"/>
  <c r="Y13" i="10"/>
  <c r="Y12" i="10"/>
  <c r="Z12" i="10"/>
  <c r="X12" i="10"/>
  <c r="J18" i="1"/>
  <c r="C27" i="12"/>
  <c r="C26" i="12"/>
  <c r="K303" i="1"/>
  <c r="L300" i="1"/>
  <c r="M300" i="1"/>
  <c r="N300" i="1"/>
  <c r="O300" i="1"/>
  <c r="M299" i="1"/>
  <c r="N299" i="1"/>
  <c r="O299" i="1"/>
  <c r="L299" i="1"/>
  <c r="K300" i="1"/>
  <c r="K299" i="1"/>
  <c r="L297" i="1"/>
  <c r="K297" i="1"/>
  <c r="J297" i="1"/>
  <c r="L295" i="1"/>
  <c r="M295" i="1"/>
  <c r="M297" i="1" s="1"/>
  <c r="L296" i="1"/>
  <c r="L282" i="1" s="1"/>
  <c r="M296" i="1"/>
  <c r="N296" i="1"/>
  <c r="N282" i="1" s="1"/>
  <c r="O296" i="1"/>
  <c r="O282" i="1" s="1"/>
  <c r="K296" i="1"/>
  <c r="K295" i="1"/>
  <c r="K292" i="1"/>
  <c r="M291" i="1"/>
  <c r="N291" i="1"/>
  <c r="O291" i="1" s="1"/>
  <c r="L291" i="1"/>
  <c r="K291" i="1"/>
  <c r="J289" i="1"/>
  <c r="K287" i="1"/>
  <c r="L281" i="1"/>
  <c r="M281" i="1"/>
  <c r="N281" i="1"/>
  <c r="O281" i="1"/>
  <c r="M282" i="1"/>
  <c r="L283" i="1"/>
  <c r="M283" i="1"/>
  <c r="N283" i="1"/>
  <c r="O283" i="1"/>
  <c r="K282" i="1"/>
  <c r="K281" i="1"/>
  <c r="K277" i="1"/>
  <c r="M276" i="1"/>
  <c r="N276" i="1"/>
  <c r="O276" i="1"/>
  <c r="K276" i="1"/>
  <c r="L276" i="1" s="1"/>
  <c r="J274" i="1"/>
  <c r="K272" i="1" s="1"/>
  <c r="J328" i="1"/>
  <c r="K325" i="1"/>
  <c r="K320" i="1"/>
  <c r="L320" i="1" s="1"/>
  <c r="M320" i="1" s="1"/>
  <c r="N320" i="1" s="1"/>
  <c r="O320" i="1" s="1"/>
  <c r="L317" i="1"/>
  <c r="M317" i="1"/>
  <c r="N317" i="1"/>
  <c r="N130" i="1" s="1"/>
  <c r="O317" i="1"/>
  <c r="O130" i="1" s="1"/>
  <c r="J318" i="1"/>
  <c r="K317" i="1"/>
  <c r="K318" i="1" s="1"/>
  <c r="L316" i="1" s="1"/>
  <c r="K316" i="1"/>
  <c r="J256" i="1"/>
  <c r="J255" i="1"/>
  <c r="J254" i="1"/>
  <c r="I255" i="1"/>
  <c r="I254" i="1"/>
  <c r="I256" i="1"/>
  <c r="L249" i="1"/>
  <c r="M249" i="1"/>
  <c r="N249" i="1"/>
  <c r="O249" i="1"/>
  <c r="L250" i="1"/>
  <c r="M250" i="1"/>
  <c r="N250" i="1"/>
  <c r="O250" i="1"/>
  <c r="L251" i="1"/>
  <c r="M251" i="1"/>
  <c r="N251" i="1"/>
  <c r="O251" i="1"/>
  <c r="K251" i="1"/>
  <c r="K250" i="1"/>
  <c r="K249" i="1"/>
  <c r="J246" i="1"/>
  <c r="I246" i="1"/>
  <c r="L221" i="1"/>
  <c r="M221" i="1"/>
  <c r="N221" i="1"/>
  <c r="O221" i="1"/>
  <c r="K221" i="1"/>
  <c r="E216" i="1"/>
  <c r="I206" i="1"/>
  <c r="J206" i="1"/>
  <c r="H206" i="1"/>
  <c r="K197" i="1"/>
  <c r="L197" i="1" s="1"/>
  <c r="M197" i="1" s="1"/>
  <c r="N197" i="1" s="1"/>
  <c r="O197" i="1" s="1"/>
  <c r="F195" i="1"/>
  <c r="F194" i="1"/>
  <c r="L169" i="1"/>
  <c r="K171" i="1"/>
  <c r="L171" i="1" s="1"/>
  <c r="M171" i="1" s="1"/>
  <c r="N171" i="1" s="1"/>
  <c r="O171" i="1" s="1"/>
  <c r="K169" i="1"/>
  <c r="K166" i="1"/>
  <c r="L166" i="1" s="1"/>
  <c r="M166" i="1" s="1"/>
  <c r="K157" i="1"/>
  <c r="L157" i="1" s="1"/>
  <c r="M157" i="1" s="1"/>
  <c r="N157" i="1" s="1"/>
  <c r="O157" i="1" s="1"/>
  <c r="K156" i="1"/>
  <c r="L156" i="1" s="1"/>
  <c r="K152" i="1"/>
  <c r="L152" i="1" s="1"/>
  <c r="M152" i="1" s="1"/>
  <c r="N152" i="1" s="1"/>
  <c r="O152" i="1" s="1"/>
  <c r="L129" i="1"/>
  <c r="M129" i="1"/>
  <c r="N129" i="1"/>
  <c r="M130" i="1"/>
  <c r="K130" i="1"/>
  <c r="K129" i="1"/>
  <c r="L123" i="1"/>
  <c r="M123" i="1"/>
  <c r="N123" i="1"/>
  <c r="O123" i="1"/>
  <c r="O124" i="1" s="1"/>
  <c r="K123" i="1"/>
  <c r="L122" i="1"/>
  <c r="M122" i="1"/>
  <c r="N122" i="1"/>
  <c r="O122" i="1"/>
  <c r="K122" i="1"/>
  <c r="K124" i="1" s="1"/>
  <c r="K89" i="1"/>
  <c r="L83" i="1"/>
  <c r="M83" i="1"/>
  <c r="N83" i="1"/>
  <c r="O83" i="1"/>
  <c r="K83" i="1"/>
  <c r="J63" i="1"/>
  <c r="J60" i="1"/>
  <c r="J59" i="1"/>
  <c r="J55" i="1"/>
  <c r="J54" i="1"/>
  <c r="J31" i="1"/>
  <c r="J30" i="1"/>
  <c r="J32" i="1" s="1"/>
  <c r="L27" i="1"/>
  <c r="M27" i="1"/>
  <c r="N27" i="1"/>
  <c r="O27" i="1"/>
  <c r="K27" i="1"/>
  <c r="K18" i="1"/>
  <c r="L18" i="1" s="1"/>
  <c r="M18" i="1" s="1"/>
  <c r="N18" i="1" s="1"/>
  <c r="O18" i="1" s="1"/>
  <c r="J13" i="1"/>
  <c r="J10" i="1"/>
  <c r="C1" i="11"/>
  <c r="O1" i="1"/>
  <c r="O30" i="12"/>
  <c r="O20" i="1" s="1"/>
  <c r="N30" i="12"/>
  <c r="N20" i="1" s="1"/>
  <c r="M30" i="12"/>
  <c r="M20" i="1" s="1"/>
  <c r="L30" i="12"/>
  <c r="L20" i="1" s="1"/>
  <c r="K30" i="12"/>
  <c r="K20" i="1" s="1"/>
  <c r="O23" i="12"/>
  <c r="O10" i="1" s="1"/>
  <c r="N23" i="12"/>
  <c r="N10" i="1" s="1"/>
  <c r="M23" i="12"/>
  <c r="M10" i="1" s="1"/>
  <c r="L23" i="12"/>
  <c r="L10" i="1" s="1"/>
  <c r="K23" i="12"/>
  <c r="K10" i="1" s="1"/>
  <c r="O12" i="12"/>
  <c r="O12" i="1" s="1"/>
  <c r="O44" i="1" s="1"/>
  <c r="N12" i="12"/>
  <c r="N12" i="1" s="1"/>
  <c r="N44" i="1" s="1"/>
  <c r="M12" i="12"/>
  <c r="M12" i="1" s="1"/>
  <c r="M44" i="1" s="1"/>
  <c r="L12" i="12"/>
  <c r="L12" i="1" s="1"/>
  <c r="L44" i="1" s="1"/>
  <c r="K12" i="12"/>
  <c r="K12" i="1" s="1"/>
  <c r="K44" i="1" s="1"/>
  <c r="F41" i="11"/>
  <c r="F36" i="11"/>
  <c r="F35" i="11"/>
  <c r="B13" i="9"/>
  <c r="K283" i="1" l="1"/>
  <c r="N295" i="1"/>
  <c r="N297" i="1" s="1"/>
  <c r="M169" i="1"/>
  <c r="O129" i="1"/>
  <c r="K63" i="1"/>
  <c r="K80" i="1" s="1"/>
  <c r="N124" i="1"/>
  <c r="K177" i="1"/>
  <c r="J58" i="1"/>
  <c r="L124" i="1"/>
  <c r="M124" i="1"/>
  <c r="I257" i="1"/>
  <c r="J257" i="1"/>
  <c r="L318" i="1"/>
  <c r="M316" i="1" s="1"/>
  <c r="M318" i="1" s="1"/>
  <c r="J56" i="1"/>
  <c r="L130" i="1"/>
  <c r="N166" i="1"/>
  <c r="J14" i="1"/>
  <c r="J21" i="1" s="1"/>
  <c r="J43" i="1" s="1"/>
  <c r="K59" i="1"/>
  <c r="M156" i="1"/>
  <c r="N156" i="1" s="1"/>
  <c r="L59" i="1"/>
  <c r="K13" i="1"/>
  <c r="L13" i="1" s="1"/>
  <c r="J27" i="1"/>
  <c r="L63" i="1" l="1"/>
  <c r="M63" i="1"/>
  <c r="L80" i="1"/>
  <c r="N169" i="1"/>
  <c r="O295" i="1"/>
  <c r="O297" i="1" s="1"/>
  <c r="O169" i="1" s="1"/>
  <c r="K14" i="1"/>
  <c r="L177" i="1"/>
  <c r="K21" i="1"/>
  <c r="K23" i="1" s="1"/>
  <c r="J259" i="1"/>
  <c r="M177" i="1"/>
  <c r="N316" i="1"/>
  <c r="N318" i="1" s="1"/>
  <c r="J48" i="1"/>
  <c r="J49" i="1"/>
  <c r="O166" i="1"/>
  <c r="O156" i="1"/>
  <c r="M59" i="1"/>
  <c r="L14" i="1"/>
  <c r="M13" i="1"/>
  <c r="N63" i="1" l="1"/>
  <c r="M80" i="1"/>
  <c r="K43" i="1"/>
  <c r="K49" i="1" s="1"/>
  <c r="L21" i="1"/>
  <c r="L43" i="1" s="1"/>
  <c r="L49" i="1" s="1"/>
  <c r="K30" i="1"/>
  <c r="N177" i="1"/>
  <c r="O316" i="1"/>
  <c r="O318" i="1" s="1"/>
  <c r="O177" i="1" s="1"/>
  <c r="J50" i="1"/>
  <c r="K48" i="1"/>
  <c r="N59" i="1"/>
  <c r="M14" i="1"/>
  <c r="N13" i="1"/>
  <c r="O63" i="1" l="1"/>
  <c r="O80" i="1" s="1"/>
  <c r="N80" i="1"/>
  <c r="L23" i="1"/>
  <c r="L30" i="1"/>
  <c r="L75" i="1" s="1"/>
  <c r="K75" i="1"/>
  <c r="K31" i="1"/>
  <c r="K76" i="1" s="1"/>
  <c r="M21" i="1"/>
  <c r="M30" i="1" s="1"/>
  <c r="L48" i="1"/>
  <c r="K58" i="1"/>
  <c r="K50" i="1"/>
  <c r="O59" i="1"/>
  <c r="N14" i="1"/>
  <c r="O13" i="1"/>
  <c r="O14" i="1" s="1"/>
  <c r="K32" i="1" l="1"/>
  <c r="L31" i="1"/>
  <c r="L76" i="1" s="1"/>
  <c r="L77" i="1" s="1"/>
  <c r="M75" i="1"/>
  <c r="M31" i="1"/>
  <c r="M76" i="1" s="1"/>
  <c r="N21" i="1"/>
  <c r="N30" i="1" s="1"/>
  <c r="N75" i="1" s="1"/>
  <c r="M23" i="1"/>
  <c r="K77" i="1"/>
  <c r="M43" i="1"/>
  <c r="M49" i="1" s="1"/>
  <c r="K60" i="1"/>
  <c r="L58" i="1"/>
  <c r="L50" i="1"/>
  <c r="M48" i="1"/>
  <c r="O21" i="1" l="1"/>
  <c r="O30" i="1" s="1"/>
  <c r="O75" i="1" s="1"/>
  <c r="N23" i="1"/>
  <c r="L245" i="1"/>
  <c r="AB12" i="10"/>
  <c r="N43" i="1"/>
  <c r="N49" i="1" s="1"/>
  <c r="L32" i="1"/>
  <c r="M32" i="1"/>
  <c r="K245" i="1"/>
  <c r="AA12" i="10"/>
  <c r="AA13" i="10" s="1"/>
  <c r="M77" i="1"/>
  <c r="L60" i="1"/>
  <c r="L100" i="1"/>
  <c r="K79" i="1"/>
  <c r="K55" i="1"/>
  <c r="K54" i="1"/>
  <c r="M58" i="1"/>
  <c r="M50" i="1"/>
  <c r="N48" i="1"/>
  <c r="N31" i="1"/>
  <c r="O31" i="1"/>
  <c r="O23" i="1"/>
  <c r="O10" i="11" s="1"/>
  <c r="O43" i="1"/>
  <c r="O49" i="1" s="1"/>
  <c r="AB13" i="10" l="1"/>
  <c r="M245" i="1"/>
  <c r="AC12" i="10"/>
  <c r="AC13" i="10" s="1"/>
  <c r="M100" i="1"/>
  <c r="K56" i="1"/>
  <c r="K81" i="1"/>
  <c r="K84" i="1" s="1"/>
  <c r="AA16" i="10" s="1"/>
  <c r="K246" i="1"/>
  <c r="N32" i="1"/>
  <c r="N76" i="1"/>
  <c r="N77" i="1" s="1"/>
  <c r="L79" i="1"/>
  <c r="L55" i="1"/>
  <c r="K101" i="1"/>
  <c r="O32" i="1"/>
  <c r="O76" i="1"/>
  <c r="O77" i="1" s="1"/>
  <c r="M60" i="1"/>
  <c r="M54" i="1" s="1"/>
  <c r="N58" i="1"/>
  <c r="N50" i="1"/>
  <c r="O48" i="1"/>
  <c r="L54" i="1"/>
  <c r="AA17" i="10" l="1"/>
  <c r="AA18" i="10"/>
  <c r="N245" i="1"/>
  <c r="AD12" i="10"/>
  <c r="AD13" i="10" s="1"/>
  <c r="O245" i="1"/>
  <c r="AE12" i="10"/>
  <c r="L81" i="1"/>
  <c r="L84" i="1" s="1"/>
  <c r="L246" i="1"/>
  <c r="L56" i="1"/>
  <c r="O100" i="1"/>
  <c r="N100" i="1"/>
  <c r="O50" i="1"/>
  <c r="O58" i="1"/>
  <c r="N60" i="1"/>
  <c r="N54" i="1" s="1"/>
  <c r="M79" i="1"/>
  <c r="M55" i="1"/>
  <c r="M56" i="1" s="1"/>
  <c r="AE13" i="10" l="1"/>
  <c r="L101" i="1"/>
  <c r="AB16" i="10"/>
  <c r="M81" i="1"/>
  <c r="M84" i="1" s="1"/>
  <c r="M246" i="1"/>
  <c r="N79" i="1"/>
  <c r="N55" i="1"/>
  <c r="N56" i="1" s="1"/>
  <c r="O60" i="1"/>
  <c r="O54" i="1" s="1"/>
  <c r="M101" i="1" l="1"/>
  <c r="AC16" i="10"/>
  <c r="AB17" i="10"/>
  <c r="AB18" i="10"/>
  <c r="N81" i="1"/>
  <c r="N84" i="1" s="1"/>
  <c r="N246" i="1"/>
  <c r="O79" i="1"/>
  <c r="O55" i="1"/>
  <c r="O56" i="1" s="1"/>
  <c r="N101" i="1" l="1"/>
  <c r="AD16" i="10"/>
  <c r="AC17" i="10"/>
  <c r="AC18" i="10"/>
  <c r="O81" i="1"/>
  <c r="O84" i="1" s="1"/>
  <c r="O246" i="1"/>
  <c r="O101" i="1" l="1"/>
  <c r="AE16" i="10"/>
  <c r="AD18" i="10"/>
  <c r="AD17" i="10"/>
  <c r="AE17" i="10" l="1"/>
  <c r="AE18" i="10"/>
  <c r="F18" i="11" l="1"/>
  <c r="A27" i="12"/>
  <c r="A26" i="12"/>
  <c r="B1" i="10"/>
  <c r="J77" i="1"/>
  <c r="J245" i="1" s="1"/>
  <c r="J81" i="1"/>
  <c r="J84" i="1" s="1"/>
  <c r="J94" i="1"/>
  <c r="I77" i="1"/>
  <c r="I81" i="1"/>
  <c r="I94" i="1"/>
  <c r="J124" i="1"/>
  <c r="J132" i="1"/>
  <c r="J118" i="1"/>
  <c r="H132" i="1"/>
  <c r="H124" i="1"/>
  <c r="H77" i="1"/>
  <c r="H81" i="1"/>
  <c r="H94" i="1"/>
  <c r="H118" i="1"/>
  <c r="I132" i="1"/>
  <c r="I124" i="1"/>
  <c r="I118" i="1"/>
  <c r="C227" i="1"/>
  <c r="B1" i="12"/>
  <c r="B2" i="1" s="1"/>
  <c r="F33" i="11"/>
  <c r="F40" i="11" s="1"/>
  <c r="K6" i="12"/>
  <c r="L6" i="12" s="1"/>
  <c r="K50" i="11"/>
  <c r="J50" i="11" s="1"/>
  <c r="C14" i="12"/>
  <c r="T5" i="10" s="1"/>
  <c r="C256" i="1"/>
  <c r="C251" i="1" s="1"/>
  <c r="C255" i="1"/>
  <c r="C250" i="1" s="1"/>
  <c r="C254" i="1"/>
  <c r="C249" i="1" s="1"/>
  <c r="J179" i="1"/>
  <c r="I179" i="1"/>
  <c r="H179" i="1"/>
  <c r="C16" i="12"/>
  <c r="C34" i="12" s="1"/>
  <c r="C15" i="12"/>
  <c r="C33" i="12" s="1"/>
  <c r="I172" i="1"/>
  <c r="J172" i="1"/>
  <c r="H172" i="1"/>
  <c r="I167" i="1"/>
  <c r="I158" i="1"/>
  <c r="J167" i="1"/>
  <c r="J158" i="1"/>
  <c r="H167" i="1"/>
  <c r="H158" i="1"/>
  <c r="C315" i="1"/>
  <c r="I100" i="1" l="1"/>
  <c r="I245" i="1"/>
  <c r="I84" i="1"/>
  <c r="I101" i="1" s="1"/>
  <c r="J87" i="1"/>
  <c r="J90" i="1" s="1"/>
  <c r="J96" i="1" s="1"/>
  <c r="J102" i="1" s="1"/>
  <c r="J101" i="1"/>
  <c r="J100" i="1"/>
  <c r="K100" i="1"/>
  <c r="H174" i="1"/>
  <c r="H181" i="1" s="1"/>
  <c r="I135" i="1"/>
  <c r="J174" i="1"/>
  <c r="J181" i="1" s="1"/>
  <c r="H135" i="1"/>
  <c r="H137" i="1" s="1"/>
  <c r="H84" i="1"/>
  <c r="I174" i="1"/>
  <c r="I181" i="1" s="1"/>
  <c r="J135" i="1"/>
  <c r="I136" i="1"/>
  <c r="I137" i="1" s="1"/>
  <c r="H153" i="1"/>
  <c r="H160" i="1" s="1"/>
  <c r="C46" i="11"/>
  <c r="L50" i="11"/>
  <c r="M50" i="11" s="1"/>
  <c r="N50" i="11" s="1"/>
  <c r="O50" i="11" s="1"/>
  <c r="G18" i="11" s="1"/>
  <c r="C224" i="1"/>
  <c r="C32" i="12"/>
  <c r="O306" i="1"/>
  <c r="L7" i="1"/>
  <c r="L192" i="1" s="1"/>
  <c r="M6" i="12"/>
  <c r="N6" i="12" s="1"/>
  <c r="N7" i="1" s="1"/>
  <c r="K7" i="1"/>
  <c r="K312" i="1" s="1"/>
  <c r="C25" i="12"/>
  <c r="B307" i="1"/>
  <c r="B36" i="1"/>
  <c r="B67" i="1"/>
  <c r="B187" i="1"/>
  <c r="B235" i="1"/>
  <c r="B263" i="1"/>
  <c r="B106" i="1"/>
  <c r="B210" i="1"/>
  <c r="B141" i="1"/>
  <c r="I87" i="1" l="1"/>
  <c r="I90" i="1" s="1"/>
  <c r="I96" i="1" s="1"/>
  <c r="I102" i="1" s="1"/>
  <c r="H87" i="1"/>
  <c r="H90" i="1" s="1"/>
  <c r="H96" i="1" s="1"/>
  <c r="H101" i="1"/>
  <c r="H183" i="1"/>
  <c r="J136" i="1"/>
  <c r="J137" i="1" s="1"/>
  <c r="K136" i="1" s="1"/>
  <c r="I153" i="1"/>
  <c r="I160" i="1" s="1"/>
  <c r="I183" i="1" s="1"/>
  <c r="L41" i="1"/>
  <c r="O209" i="1"/>
  <c r="O262" i="1"/>
  <c r="L240" i="1"/>
  <c r="L242" i="1" s="1"/>
  <c r="O234" i="1"/>
  <c r="O140" i="1"/>
  <c r="O35" i="1"/>
  <c r="O186" i="1"/>
  <c r="O66" i="1"/>
  <c r="O105" i="1"/>
  <c r="L215" i="1"/>
  <c r="K240" i="1"/>
  <c r="K111" i="1"/>
  <c r="K72" i="1"/>
  <c r="K41" i="1"/>
  <c r="AA7" i="10"/>
  <c r="K7" i="10" s="1"/>
  <c r="K28" i="10" s="1"/>
  <c r="K49" i="10" s="1"/>
  <c r="K268" i="1"/>
  <c r="K146" i="1"/>
  <c r="K215" i="1"/>
  <c r="K192" i="1"/>
  <c r="D200" i="1" s="1"/>
  <c r="E200" i="1" s="1"/>
  <c r="L111" i="1"/>
  <c r="AB7" i="10"/>
  <c r="L7" i="10" s="1"/>
  <c r="L28" i="10" s="1"/>
  <c r="L49" i="10" s="1"/>
  <c r="O6" i="12"/>
  <c r="O7" i="1" s="1"/>
  <c r="O192" i="1" s="1"/>
  <c r="L72" i="1"/>
  <c r="M7" i="1"/>
  <c r="M111" i="1" s="1"/>
  <c r="L146" i="1"/>
  <c r="J7" i="1"/>
  <c r="I7" i="1" s="1"/>
  <c r="L312" i="1"/>
  <c r="L268" i="1"/>
  <c r="N240" i="1"/>
  <c r="N312" i="1"/>
  <c r="N41" i="1"/>
  <c r="N192" i="1"/>
  <c r="AD7" i="10"/>
  <c r="N7" i="10" s="1"/>
  <c r="N28" i="10" s="1"/>
  <c r="N49" i="10" s="1"/>
  <c r="N72" i="1"/>
  <c r="N215" i="1"/>
  <c r="N111" i="1"/>
  <c r="N146" i="1"/>
  <c r="N268" i="1"/>
  <c r="L254" i="1" l="1"/>
  <c r="L256" i="1"/>
  <c r="L165" i="1" s="1"/>
  <c r="L255" i="1"/>
  <c r="L151" i="1" s="1"/>
  <c r="K200" i="1"/>
  <c r="K206" i="1" s="1"/>
  <c r="K86" i="1" s="1"/>
  <c r="L200" i="1"/>
  <c r="N200" i="1"/>
  <c r="O200" i="1"/>
  <c r="O215" i="1"/>
  <c r="AE7" i="10"/>
  <c r="O7" i="10" s="1"/>
  <c r="O28" i="10" s="1"/>
  <c r="O49" i="10" s="1"/>
  <c r="O268" i="1"/>
  <c r="O146" i="1"/>
  <c r="M41" i="1"/>
  <c r="M268" i="1"/>
  <c r="M312" i="1"/>
  <c r="J41" i="1"/>
  <c r="M215" i="1"/>
  <c r="O72" i="1"/>
  <c r="O111" i="1"/>
  <c r="M72" i="1"/>
  <c r="J111" i="1"/>
  <c r="J312" i="1"/>
  <c r="J240" i="1"/>
  <c r="M240" i="1"/>
  <c r="M242" i="1" s="1"/>
  <c r="J146" i="1"/>
  <c r="M146" i="1"/>
  <c r="J72" i="1"/>
  <c r="O240" i="1"/>
  <c r="O242" i="1" s="1"/>
  <c r="AC7" i="10"/>
  <c r="M7" i="10" s="1"/>
  <c r="M28" i="10" s="1"/>
  <c r="M49" i="10" s="1"/>
  <c r="Z7" i="10"/>
  <c r="J7" i="10" s="1"/>
  <c r="J28" i="10" s="1"/>
  <c r="J49" i="10" s="1"/>
  <c r="D201" i="1"/>
  <c r="E201" i="1" s="1"/>
  <c r="J192" i="1"/>
  <c r="O41" i="1"/>
  <c r="O312" i="1"/>
  <c r="M192" i="1"/>
  <c r="M200" i="1" s="1"/>
  <c r="J268" i="1"/>
  <c r="I146" i="1"/>
  <c r="I240" i="1"/>
  <c r="Y7" i="10"/>
  <c r="I7" i="10" s="1"/>
  <c r="I28" i="10" s="1"/>
  <c r="I49" i="10" s="1"/>
  <c r="I111" i="1"/>
  <c r="I72" i="1"/>
  <c r="H7" i="1"/>
  <c r="I192" i="1"/>
  <c r="I41" i="1"/>
  <c r="O254" i="1" l="1"/>
  <c r="O256" i="1"/>
  <c r="O165" i="1" s="1"/>
  <c r="O255" i="1"/>
  <c r="O151" i="1" s="1"/>
  <c r="I242" i="1"/>
  <c r="L257" i="1"/>
  <c r="L150" i="1"/>
  <c r="M254" i="1"/>
  <c r="M256" i="1"/>
  <c r="M165" i="1" s="1"/>
  <c r="M255" i="1"/>
  <c r="M151" i="1" s="1"/>
  <c r="N242" i="1"/>
  <c r="J242" i="1"/>
  <c r="K242" i="1"/>
  <c r="L201" i="1"/>
  <c r="L206" i="1" s="1"/>
  <c r="L86" i="1" s="1"/>
  <c r="O201" i="1"/>
  <c r="M201" i="1"/>
  <c r="N201" i="1"/>
  <c r="K115" i="1"/>
  <c r="K155" i="1"/>
  <c r="K87" i="1"/>
  <c r="K90" i="1" s="1"/>
  <c r="K219" i="1" s="1"/>
  <c r="J153" i="1"/>
  <c r="J160" i="1" s="1"/>
  <c r="J183" i="1" s="1"/>
  <c r="D202" i="1"/>
  <c r="E202" i="1" s="1"/>
  <c r="H41" i="1"/>
  <c r="H146" i="1"/>
  <c r="X7" i="10"/>
  <c r="H7" i="10" s="1"/>
  <c r="H28" i="10" s="1"/>
  <c r="H49" i="10" s="1"/>
  <c r="H240" i="1"/>
  <c r="H192" i="1"/>
  <c r="H111" i="1"/>
  <c r="H72" i="1"/>
  <c r="K254" i="1" l="1"/>
  <c r="K256" i="1"/>
  <c r="K165" i="1" s="1"/>
  <c r="K255" i="1"/>
  <c r="K151" i="1" s="1"/>
  <c r="I251" i="1"/>
  <c r="I250" i="1"/>
  <c r="I249" i="1"/>
  <c r="J251" i="1"/>
  <c r="J70" i="11" s="1"/>
  <c r="J250" i="1"/>
  <c r="J69" i="11" s="1"/>
  <c r="J249" i="1"/>
  <c r="J68" i="11" s="1"/>
  <c r="N254" i="1"/>
  <c r="N256" i="1"/>
  <c r="N165" i="1" s="1"/>
  <c r="N255" i="1"/>
  <c r="N151" i="1" s="1"/>
  <c r="M150" i="1"/>
  <c r="M257" i="1"/>
  <c r="M259" i="1" s="1"/>
  <c r="M117" i="1" s="1"/>
  <c r="O257" i="1"/>
  <c r="O150" i="1"/>
  <c r="K224" i="1"/>
  <c r="K222" i="1"/>
  <c r="K227" i="1" s="1"/>
  <c r="L115" i="1"/>
  <c r="L87" i="1"/>
  <c r="L155" i="1"/>
  <c r="K158" i="1"/>
  <c r="M202" i="1"/>
  <c r="M206" i="1" s="1"/>
  <c r="M86" i="1" s="1"/>
  <c r="N202" i="1"/>
  <c r="O202" i="1"/>
  <c r="D203" i="1"/>
  <c r="E203" i="1" s="1"/>
  <c r="N150" i="1" l="1"/>
  <c r="N257" i="1"/>
  <c r="O259" i="1" s="1"/>
  <c r="O117" i="1" s="1"/>
  <c r="N259" i="1"/>
  <c r="N117" i="1" s="1"/>
  <c r="K150" i="1"/>
  <c r="K257" i="1"/>
  <c r="K92" i="1"/>
  <c r="K228" i="1"/>
  <c r="K229" i="1" s="1"/>
  <c r="M115" i="1"/>
  <c r="M87" i="1"/>
  <c r="O203" i="1"/>
  <c r="N203" i="1"/>
  <c r="N206" i="1" s="1"/>
  <c r="N86" i="1" s="1"/>
  <c r="M155" i="1"/>
  <c r="L158" i="1"/>
  <c r="D204" i="1"/>
  <c r="E204" i="1" s="1"/>
  <c r="O204" i="1" s="1"/>
  <c r="K93" i="1" l="1"/>
  <c r="K94" i="1" s="1"/>
  <c r="L259" i="1"/>
  <c r="L117" i="1" s="1"/>
  <c r="K259" i="1"/>
  <c r="K117" i="1" s="1"/>
  <c r="K170" i="1"/>
  <c r="K116" i="1"/>
  <c r="O206" i="1"/>
  <c r="O86" i="1" s="1"/>
  <c r="O87" i="1" s="1"/>
  <c r="N115" i="1"/>
  <c r="N87" i="1"/>
  <c r="N155" i="1"/>
  <c r="M158" i="1"/>
  <c r="O115" i="1" l="1"/>
  <c r="K172" i="1"/>
  <c r="O155" i="1"/>
  <c r="O158" i="1" s="1"/>
  <c r="N158" i="1"/>
  <c r="K96" i="1" l="1"/>
  <c r="K114" i="1" l="1"/>
  <c r="K118" i="1" s="1"/>
  <c r="K280" i="1" s="1"/>
  <c r="AA21" i="10"/>
  <c r="K321" i="1"/>
  <c r="AA22" i="10" l="1"/>
  <c r="AA23" i="10"/>
  <c r="K322" i="1"/>
  <c r="K326" i="1"/>
  <c r="K284" i="1" l="1"/>
  <c r="K285" i="1" s="1"/>
  <c r="K288" i="1" s="1"/>
  <c r="K131" i="1"/>
  <c r="K327" i="1"/>
  <c r="K328" i="1" s="1"/>
  <c r="L325" i="1" l="1"/>
  <c r="K178" i="1"/>
  <c r="K179" i="1" s="1"/>
  <c r="K102" i="1" s="1"/>
  <c r="K289" i="1"/>
  <c r="K128" i="1"/>
  <c r="K132" i="1" s="1"/>
  <c r="K135" i="1" s="1"/>
  <c r="K164" i="1" l="1"/>
  <c r="K167" i="1" s="1"/>
  <c r="K174" i="1" s="1"/>
  <c r="K181" i="1" s="1"/>
  <c r="L287" i="1"/>
  <c r="K137" i="1"/>
  <c r="K273" i="1"/>
  <c r="K274" i="1" s="1"/>
  <c r="L272" i="1" s="1"/>
  <c r="L277" i="1" l="1"/>
  <c r="L136" i="1"/>
  <c r="K149" i="1"/>
  <c r="K153" i="1" s="1"/>
  <c r="K160" i="1" s="1"/>
  <c r="K183" i="1" s="1"/>
  <c r="L292" i="1"/>
  <c r="L303" i="1" s="1"/>
  <c r="L89" i="1" l="1"/>
  <c r="L90" i="1" s="1"/>
  <c r="L219" i="1" s="1"/>
  <c r="L224" i="1" l="1"/>
  <c r="L222" i="1"/>
  <c r="L227" i="1" s="1"/>
  <c r="L92" i="1" l="1"/>
  <c r="L228" i="1"/>
  <c r="L93" i="1" s="1"/>
  <c r="L94" i="1" l="1"/>
  <c r="L170" i="1"/>
  <c r="L116" i="1"/>
  <c r="L229" i="1"/>
  <c r="L172" i="1" l="1"/>
  <c r="L96" i="1"/>
  <c r="L321" i="1" s="1"/>
  <c r="L326" i="1" l="1"/>
  <c r="L322" i="1"/>
  <c r="L131" i="1" s="1"/>
  <c r="L114" i="1"/>
  <c r="L118" i="1" s="1"/>
  <c r="L280" i="1" s="1"/>
  <c r="AB21" i="10"/>
  <c r="L284" i="1"/>
  <c r="L285" i="1"/>
  <c r="L288" i="1" s="1"/>
  <c r="L128" i="1" s="1"/>
  <c r="L132" i="1" s="1"/>
  <c r="L135" i="1" s="1"/>
  <c r="L327" i="1" l="1"/>
  <c r="L328" i="1" s="1"/>
  <c r="AB23" i="10"/>
  <c r="AB22" i="10"/>
  <c r="L289" i="1"/>
  <c r="M287" i="1" s="1"/>
  <c r="L178" i="1"/>
  <c r="L179" i="1" s="1"/>
  <c r="L102" i="1" s="1"/>
  <c r="M325" i="1"/>
  <c r="L273" i="1"/>
  <c r="L274" i="1" s="1"/>
  <c r="M272" i="1" s="1"/>
  <c r="L137" i="1"/>
  <c r="L164" i="1" l="1"/>
  <c r="L167" i="1" s="1"/>
  <c r="L174" i="1" s="1"/>
  <c r="L181" i="1" s="1"/>
  <c r="M292" i="1"/>
  <c r="M136" i="1"/>
  <c r="L149" i="1"/>
  <c r="L153" i="1" s="1"/>
  <c r="L160" i="1" s="1"/>
  <c r="L183" i="1" s="1"/>
  <c r="M277" i="1"/>
  <c r="M303" i="1" l="1"/>
  <c r="M89" i="1" l="1"/>
  <c r="M90" i="1" s="1"/>
  <c r="M219" i="1" s="1"/>
  <c r="M222" i="1" l="1"/>
  <c r="M227" i="1" s="1"/>
  <c r="M224" i="1"/>
  <c r="M228" i="1" s="1"/>
  <c r="M93" i="1" s="1"/>
  <c r="M116" i="1" l="1"/>
  <c r="M170" i="1"/>
  <c r="M92" i="1"/>
  <c r="M94" i="1" s="1"/>
  <c r="M96" i="1" s="1"/>
  <c r="AC21" i="10" s="1"/>
  <c r="M229" i="1"/>
  <c r="AC22" i="10" l="1"/>
  <c r="AC23" i="10"/>
  <c r="M321" i="1"/>
  <c r="M114" i="1"/>
  <c r="M118" i="1" s="1"/>
  <c r="M280" i="1" s="1"/>
  <c r="M172" i="1"/>
  <c r="M326" i="1" l="1"/>
  <c r="M322" i="1"/>
  <c r="M284" i="1" l="1"/>
  <c r="M285" i="1" s="1"/>
  <c r="M288" i="1" s="1"/>
  <c r="M131" i="1"/>
  <c r="M327" i="1"/>
  <c r="M328" i="1" s="1"/>
  <c r="M178" i="1" l="1"/>
  <c r="M179" i="1" s="1"/>
  <c r="M102" i="1" s="1"/>
  <c r="N325" i="1"/>
  <c r="M128" i="1"/>
  <c r="M132" i="1" s="1"/>
  <c r="M135" i="1" s="1"/>
  <c r="M289" i="1"/>
  <c r="M164" i="1" l="1"/>
  <c r="M167" i="1" s="1"/>
  <c r="M174" i="1" s="1"/>
  <c r="M181" i="1" s="1"/>
  <c r="N287" i="1"/>
  <c r="M273" i="1"/>
  <c r="M274" i="1" s="1"/>
  <c r="N272" i="1" s="1"/>
  <c r="M137" i="1"/>
  <c r="N277" i="1" l="1"/>
  <c r="N292" i="1"/>
  <c r="N303" i="1" s="1"/>
  <c r="N136" i="1"/>
  <c r="M149" i="1"/>
  <c r="M153" i="1" s="1"/>
  <c r="M160" i="1" s="1"/>
  <c r="M183" i="1" s="1"/>
  <c r="N89" i="1" l="1"/>
  <c r="N90" i="1" s="1"/>
  <c r="N219" i="1" s="1"/>
  <c r="N224" i="1" l="1"/>
  <c r="N222" i="1"/>
  <c r="N227" i="1" s="1"/>
  <c r="N92" i="1" l="1"/>
  <c r="N228" i="1"/>
  <c r="N93" i="1" s="1"/>
  <c r="N116" i="1" l="1"/>
  <c r="N170" i="1"/>
  <c r="N229" i="1"/>
  <c r="N94" i="1"/>
  <c r="N96" i="1" s="1"/>
  <c r="AD21" i="10" s="1"/>
  <c r="AD22" i="10" l="1"/>
  <c r="AD23" i="10"/>
  <c r="N321" i="1"/>
  <c r="N114" i="1"/>
  <c r="N118" i="1" s="1"/>
  <c r="N280" i="1" s="1"/>
  <c r="N172" i="1"/>
  <c r="N322" i="1" l="1"/>
  <c r="N326" i="1"/>
  <c r="N284" i="1" l="1"/>
  <c r="N285" i="1" s="1"/>
  <c r="N288" i="1" s="1"/>
  <c r="N131" i="1"/>
  <c r="N327" i="1"/>
  <c r="N328" i="1" s="1"/>
  <c r="N178" i="1" l="1"/>
  <c r="N179" i="1" s="1"/>
  <c r="N102" i="1" s="1"/>
  <c r="O325" i="1"/>
  <c r="N128" i="1"/>
  <c r="N132" i="1" s="1"/>
  <c r="N135" i="1" s="1"/>
  <c r="N289" i="1"/>
  <c r="N164" i="1" l="1"/>
  <c r="N167" i="1" s="1"/>
  <c r="N174" i="1" s="1"/>
  <c r="N181" i="1" s="1"/>
  <c r="O287" i="1"/>
  <c r="N273" i="1"/>
  <c r="N274" i="1" s="1"/>
  <c r="O272" i="1" s="1"/>
  <c r="N137" i="1"/>
  <c r="O136" i="1" l="1"/>
  <c r="N149" i="1"/>
  <c r="N153" i="1" s="1"/>
  <c r="N160" i="1" s="1"/>
  <c r="N183" i="1" s="1"/>
  <c r="O277" i="1"/>
  <c r="O292" i="1"/>
  <c r="O303" i="1" s="1"/>
  <c r="O89" i="1" l="1"/>
  <c r="O90" i="1" s="1"/>
  <c r="O219" i="1" s="1"/>
  <c r="O224" i="1" l="1"/>
  <c r="O222" i="1"/>
  <c r="O227" i="1" s="1"/>
  <c r="O92" i="1" l="1"/>
  <c r="O228" i="1"/>
  <c r="O93" i="1" s="1"/>
  <c r="O116" i="1" l="1"/>
  <c r="O170" i="1"/>
  <c r="O172" i="1" s="1"/>
  <c r="O94" i="1"/>
  <c r="O96" i="1" s="1"/>
  <c r="AE21" i="10" s="1"/>
  <c r="O229" i="1"/>
  <c r="AE22" i="10" l="1"/>
  <c r="AE23" i="10"/>
  <c r="O114" i="1"/>
  <c r="O118" i="1" s="1"/>
  <c r="O280" i="1" s="1"/>
  <c r="O321" i="1"/>
  <c r="O326" i="1" l="1"/>
  <c r="O322" i="1"/>
  <c r="O327" i="1" l="1"/>
  <c r="O284" i="1"/>
  <c r="O285" i="1" s="1"/>
  <c r="O288" i="1" s="1"/>
  <c r="O131" i="1"/>
  <c r="O328" i="1"/>
  <c r="O178" i="1" s="1"/>
  <c r="O179" i="1" s="1"/>
  <c r="O102" i="1" s="1"/>
  <c r="O128" i="1" l="1"/>
  <c r="O132" i="1" s="1"/>
  <c r="O135" i="1" s="1"/>
  <c r="O289" i="1"/>
  <c r="O164" i="1" s="1"/>
  <c r="O167" i="1" s="1"/>
  <c r="O174" i="1" s="1"/>
  <c r="O181" i="1" s="1"/>
  <c r="O273" i="1" l="1"/>
  <c r="O274" i="1" s="1"/>
  <c r="O137" i="1"/>
  <c r="O149" i="1" s="1"/>
  <c r="O153" i="1" s="1"/>
  <c r="O160" i="1" s="1"/>
  <c r="O183" i="1" s="1"/>
</calcChain>
</file>

<file path=xl/sharedStrings.xml><?xml version="1.0" encoding="utf-8"?>
<sst xmlns="http://schemas.openxmlformats.org/spreadsheetml/2006/main" count="374" uniqueCount="209">
  <si>
    <t>Income Statement</t>
  </si>
  <si>
    <t>Revenue Growth</t>
  </si>
  <si>
    <t>Revenue</t>
  </si>
  <si>
    <t>Cost of Sales</t>
  </si>
  <si>
    <t>SG&amp;A</t>
  </si>
  <si>
    <t>Total Costs</t>
  </si>
  <si>
    <t>Cost Adjustments - Gain / (Loss)</t>
  </si>
  <si>
    <t>EBITDA</t>
  </si>
  <si>
    <t>Depreciation</t>
  </si>
  <si>
    <t>EBIT</t>
  </si>
  <si>
    <t>EBT</t>
  </si>
  <si>
    <t>Current Taxes</t>
  </si>
  <si>
    <t>Deferred Income Taxes</t>
  </si>
  <si>
    <t>Total Income Taxes</t>
  </si>
  <si>
    <t>Net Income</t>
  </si>
  <si>
    <t>Cash Flow Statement</t>
  </si>
  <si>
    <t>Operating Activities</t>
  </si>
  <si>
    <t>Changes in Working Capital</t>
  </si>
  <si>
    <t>Operating Cash Flow</t>
  </si>
  <si>
    <t>Investing Activities</t>
  </si>
  <si>
    <t>CAPEX</t>
  </si>
  <si>
    <t>Investing Cash Flow</t>
  </si>
  <si>
    <t>Financing Activities</t>
  </si>
  <si>
    <t>Financing Cash Flow</t>
  </si>
  <si>
    <t>ASSETS</t>
  </si>
  <si>
    <t>Accounts Receivable</t>
  </si>
  <si>
    <t>Other</t>
  </si>
  <si>
    <t>Total Current Assets</t>
  </si>
  <si>
    <t>Net PP&amp;E</t>
  </si>
  <si>
    <t>Goodwill</t>
  </si>
  <si>
    <t>Total Long Term Assets</t>
  </si>
  <si>
    <t>Total Assets</t>
  </si>
  <si>
    <t>LIABILITIES AND EQUITY</t>
  </si>
  <si>
    <t>Bank Debt - Revolver</t>
  </si>
  <si>
    <t>Accounts Payable</t>
  </si>
  <si>
    <t>Total Current Liabilities</t>
  </si>
  <si>
    <t>Total Long Term Liabilities</t>
  </si>
  <si>
    <t>Total Liabilities</t>
  </si>
  <si>
    <t>Retained Earnings</t>
  </si>
  <si>
    <t>Shareholder's Equity</t>
  </si>
  <si>
    <t>Total Liabilities and Equity</t>
  </si>
  <si>
    <t>Change in Cash Position</t>
  </si>
  <si>
    <t>Beginning Cash</t>
  </si>
  <si>
    <t>Ending Cash</t>
  </si>
  <si>
    <t>Cash and Equivalents</t>
  </si>
  <si>
    <t>Check</t>
  </si>
  <si>
    <t>Revenue Schedule</t>
  </si>
  <si>
    <t>Cost Schedule</t>
  </si>
  <si>
    <t>Percent Fixed</t>
  </si>
  <si>
    <t>Fixed Costs</t>
  </si>
  <si>
    <t>Percent Variable</t>
  </si>
  <si>
    <t>Variable Costs</t>
  </si>
  <si>
    <t>Costs per Unit</t>
  </si>
  <si>
    <t>Depreciation Schedule</t>
  </si>
  <si>
    <t>Depreciation to existing assets</t>
  </si>
  <si>
    <t>Total Depreciation</t>
  </si>
  <si>
    <t>Tax Rate</t>
  </si>
  <si>
    <t>Working Capital Schedule</t>
  </si>
  <si>
    <t>Days per year</t>
  </si>
  <si>
    <t>Net working capital</t>
  </si>
  <si>
    <t>Cash</t>
  </si>
  <si>
    <t>Amount Outstanding - Beginning</t>
  </si>
  <si>
    <t>Change in Cash</t>
  </si>
  <si>
    <t>Amount Outstanding - Ending</t>
  </si>
  <si>
    <t>Interest Rate</t>
  </si>
  <si>
    <t>Annual Interest Income</t>
  </si>
  <si>
    <t>Mandatory Debt Repayments</t>
  </si>
  <si>
    <t>FCF After Mandatory Debt Repayment and Dividend</t>
  </si>
  <si>
    <t>Revolver Outstanding - Beginning</t>
  </si>
  <si>
    <t>Additions / (Repayments)</t>
  </si>
  <si>
    <t>Revolver Outstanding - Ending</t>
  </si>
  <si>
    <t>Annual Interest Expense</t>
  </si>
  <si>
    <t>Net Interest Expense</t>
  </si>
  <si>
    <t>New Issuance / (Buy-Back)</t>
  </si>
  <si>
    <t>Dividend Payout Rate</t>
  </si>
  <si>
    <t>Common Dividend</t>
  </si>
  <si>
    <t>Common Shares</t>
  </si>
  <si>
    <t>A</t>
  </si>
  <si>
    <t>B</t>
  </si>
  <si>
    <t>Taxes as Appearing on Income Statement</t>
  </si>
  <si>
    <t>Increase / (Decrease) in Deferred Income Tax</t>
  </si>
  <si>
    <t>Total Income Taxes (Same as Accounting Taxes Above)</t>
  </si>
  <si>
    <t>Accounting EBT (as is on I/S)</t>
  </si>
  <si>
    <t>Common Share Dividends</t>
  </si>
  <si>
    <t>Inventory</t>
  </si>
  <si>
    <t>Common Share Issuance / (Buy-Back)</t>
  </si>
  <si>
    <t>Cost Inflation</t>
  </si>
  <si>
    <t>Inputs and Assumptions</t>
  </si>
  <si>
    <t>Income Statement Items</t>
  </si>
  <si>
    <t>Net Revenue</t>
  </si>
  <si>
    <t xml:space="preserve">   Growth</t>
  </si>
  <si>
    <t xml:space="preserve">   Margin</t>
  </si>
  <si>
    <t>SUMMARY VALUES - BASE CASE</t>
  </si>
  <si>
    <t>SCENARIO SWITCH:</t>
  </si>
  <si>
    <t>Base Case</t>
  </si>
  <si>
    <t>Best Case</t>
  </si>
  <si>
    <t>Worst Case</t>
  </si>
  <si>
    <t>SUMMARY VALUES - WORST CASE</t>
  </si>
  <si>
    <t>Working Capital Days</t>
  </si>
  <si>
    <t>SUMMARY VALUES - BEST CASE</t>
  </si>
  <si>
    <t>Freight &amp; Warehousing</t>
  </si>
  <si>
    <t>Pricing</t>
  </si>
  <si>
    <t>Net Sales Price</t>
  </si>
  <si>
    <t>Sales Volume</t>
  </si>
  <si>
    <t>Annual Factory Capacity</t>
  </si>
  <si>
    <t>Sales Volume Growth</t>
  </si>
  <si>
    <t>Annual Sales Volume</t>
  </si>
  <si>
    <t>Implied Operating Rate</t>
  </si>
  <si>
    <t>FINANCIAL MODELING INSTITUTE</t>
  </si>
  <si>
    <t xml:space="preserve"> </t>
  </si>
  <si>
    <t>FOUNDATIONS IN FINANCIAL MODELING</t>
  </si>
  <si>
    <t>This model has been designed to demonstrate the concepts required to build a best-in-class financial model of a company.</t>
  </si>
  <si>
    <t xml:space="preserve">This model also provides an indication for what AFM candidates need to build from scratch on the AFM exam. </t>
  </si>
  <si>
    <t>Summary Outputs</t>
  </si>
  <si>
    <t>Projected</t>
  </si>
  <si>
    <t>($ Millions)</t>
  </si>
  <si>
    <t>Trend</t>
  </si>
  <si>
    <t>(MM)</t>
  </si>
  <si>
    <t>(%)</t>
  </si>
  <si>
    <t>Financial Model Solution - Vertical Orientation</t>
  </si>
  <si>
    <t>GENERAL</t>
  </si>
  <si>
    <t>-</t>
  </si>
  <si>
    <t>First year of forecast in financial model:</t>
  </si>
  <si>
    <t>Common Dividend Payout Rate</t>
  </si>
  <si>
    <t>PRODUCT PRICING</t>
  </si>
  <si>
    <t>OPERATIONS</t>
  </si>
  <si>
    <t>Annual Factory Capacity (000's units):</t>
  </si>
  <si>
    <t>Increases</t>
  </si>
  <si>
    <t>Inflation on a unit basis</t>
  </si>
  <si>
    <t>Interest earned on Cash balances:</t>
  </si>
  <si>
    <t>MM</t>
  </si>
  <si>
    <t>Inflation on a total basis</t>
  </si>
  <si>
    <t>DEPRECIATION</t>
  </si>
  <si>
    <t>TAXES</t>
  </si>
  <si>
    <t>Depreciation Methodology Used:</t>
  </si>
  <si>
    <t>Tax rate assumed in the model:</t>
  </si>
  <si>
    <t>OTHER ASSUMPTIONS</t>
  </si>
  <si>
    <t>Cost Adjustments - Gain/(Loss)</t>
  </si>
  <si>
    <t>Income Tax</t>
  </si>
  <si>
    <t>Reduction in EBT for timing differences</t>
  </si>
  <si>
    <t>days</t>
  </si>
  <si>
    <t>Change in Debt &amp; Equity</t>
  </si>
  <si>
    <t>Common Stock Issuance / (Buy-back)</t>
  </si>
  <si>
    <t>Additional tax assumptions in "Other Assumptions" below</t>
  </si>
  <si>
    <t>Other Investing Activities</t>
  </si>
  <si>
    <t>Long Term Debt Issuance / (Repayment)</t>
  </si>
  <si>
    <t>Long Term Debt</t>
  </si>
  <si>
    <t>INTEREST &amp; DIVIDEND RATES</t>
  </si>
  <si>
    <t>EQUITY COMPONENT</t>
  </si>
  <si>
    <t>Common Share Issuance / (Buyback)</t>
  </si>
  <si>
    <t>Economic and Sales Scenarios</t>
  </si>
  <si>
    <t>ECONOMIC SCENARIOS</t>
  </si>
  <si>
    <t>SALES SCENARIOS</t>
  </si>
  <si>
    <t>Sales Price - $/Unit</t>
  </si>
  <si>
    <t>Margins</t>
  </si>
  <si>
    <t>Interest Expense</t>
  </si>
  <si>
    <t xml:space="preserve"> Balance Sheet</t>
  </si>
  <si>
    <t>Years Remaining Existing Assets:</t>
  </si>
  <si>
    <t>Years to Depreciate New Assets:</t>
  </si>
  <si>
    <t>Capital Expenditures (CAPEX)</t>
  </si>
  <si>
    <t>EBITDA Margin</t>
  </si>
  <si>
    <t>Return on Equity</t>
  </si>
  <si>
    <t>Bank Debt - Revolver Issuance / (Repayment)</t>
  </si>
  <si>
    <t>Days In</t>
  </si>
  <si>
    <t>(days)</t>
  </si>
  <si>
    <t>($ MM)</t>
  </si>
  <si>
    <t>Account Balances</t>
  </si>
  <si>
    <t>Change in Working Capital</t>
  </si>
  <si>
    <t>Debt and Interest Schedule</t>
  </si>
  <si>
    <t>DEBT COMPONENT</t>
  </si>
  <si>
    <t>Shareholders' Equity Schedule</t>
  </si>
  <si>
    <t>Income Tax Schedule</t>
  </si>
  <si>
    <r>
      <t>Less: Reduction in EBT for Timing Differences</t>
    </r>
    <r>
      <rPr>
        <vertAlign val="superscript"/>
        <sz val="10"/>
        <rFont val="Arial"/>
        <family val="2"/>
      </rPr>
      <t>(1)</t>
    </r>
  </si>
  <si>
    <t>Government EBT / Taxable Income (TI)</t>
  </si>
  <si>
    <r>
      <rPr>
        <i/>
        <vertAlign val="superscript"/>
        <sz val="9"/>
        <rFont val="Arial"/>
        <family val="2"/>
      </rPr>
      <t>(1)</t>
    </r>
    <r>
      <rPr>
        <i/>
        <sz val="9"/>
        <rFont val="Arial"/>
        <family val="2"/>
      </rPr>
      <t>Assumes aggregate reduction in government pre-tax earnings due to timing differences between accounting and government rules.</t>
    </r>
  </si>
  <si>
    <t>FMI Foundations</t>
  </si>
  <si>
    <t>Total Revenue</t>
  </si>
  <si>
    <t>Interest rate on Bank Debt - Revolver:</t>
  </si>
  <si>
    <t>Mgmt Forecast</t>
  </si>
  <si>
    <t>Bicycle Revenue</t>
  </si>
  <si>
    <t>Parts Revenue</t>
  </si>
  <si>
    <t>As a % of Bike Revenue</t>
  </si>
  <si>
    <t xml:space="preserve">Bicycle Sales Price </t>
  </si>
  <si>
    <t>(000's units)</t>
  </si>
  <si>
    <t>($/unit)</t>
  </si>
  <si>
    <t>Bicycle Revenue (after F&amp;W)</t>
  </si>
  <si>
    <t xml:space="preserve">Annual Sales Volume </t>
  </si>
  <si>
    <t>Total</t>
  </si>
  <si>
    <t>Three scenarios have been used for Cost Inflation, Product Pricing</t>
  </si>
  <si>
    <t>and Sales Volume Growth</t>
  </si>
  <si>
    <t>OPERATING COSTS</t>
  </si>
  <si>
    <t>Years remaining on Existing assets:</t>
  </si>
  <si>
    <t>Years to depreciate new assets:</t>
  </si>
  <si>
    <t>Maximum Operating Rate Reached:</t>
  </si>
  <si>
    <t>%</t>
  </si>
  <si>
    <t>Costs in Total</t>
  </si>
  <si>
    <t>Total Costs per Unit</t>
  </si>
  <si>
    <t>Interest rate on Long Term Debt:</t>
  </si>
  <si>
    <t>($ Millions, except days)</t>
  </si>
  <si>
    <t>Bicycle Pricing Cases</t>
  </si>
  <si>
    <t>Interest Rates</t>
  </si>
  <si>
    <t>Payout based on Net Income in profitable years</t>
  </si>
  <si>
    <t>See cases below</t>
  </si>
  <si>
    <t>Growth at inflation</t>
  </si>
  <si>
    <t>Values on Scenarios</t>
  </si>
  <si>
    <t>Cost Category</t>
  </si>
  <si>
    <t>Grand Crew Cycling Company</t>
  </si>
  <si>
    <t>Straight Line</t>
  </si>
  <si>
    <t xml:space="preserve">NM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</si>
</sst>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164" formatCode="&quot;$&quot;#,##0_);\(&quot;$&quot;#,##0\)"/>
    <numFmt numFmtId="165" formatCode="&quot;$&quot;#,##0_);[Red]\(&quot;$&quot;#,##0\)"/>
    <numFmt numFmtId="166" formatCode="&quot;$&quot;#,##0.00_);[Red]\(&quot;$&quot;#,##0.00\)"/>
    <numFmt numFmtId="167" formatCode="_(* #,##0.00_);_(* \(#,##0.00\);_(* &quot;-&quot;??_);_(@_)"/>
    <numFmt numFmtId="168" formatCode="_(* #,##0_);_(* \(#,##0\);_(* &quot;-&quot;??_);_(@_)"/>
    <numFmt numFmtId="169" formatCode="0\A"/>
    <numFmt numFmtId="170" formatCode="0.0%;\(0.0%\)"/>
    <numFmt numFmtId="171" formatCode="#,##0.0_);\(#,##0.0\)"/>
    <numFmt numFmtId="172" formatCode="&quot;$&quot;#,##0.0_);\(&quot;$&quot;#,##0.0\)"/>
    <numFmt numFmtId="173" formatCode="#,##0.000_);\(#,##0.000\)"/>
    <numFmt numFmtId="174" formatCode="_-* #,##0_-;\-* #,##0_-;_-* &quot;-&quot;??_-;_-@_-"/>
    <numFmt numFmtId="175" formatCode="\F0\A"/>
    <numFmt numFmtId="176" formatCode="#,##0.0"/>
    <numFmt numFmtId="177" formatCode="0.0%"/>
    <numFmt numFmtId="178" formatCode="0&quot;F&quot;"/>
    <numFmt numFmtId="179" formatCode="#,##0.0000_);\(#,##0.0000\)"/>
    <numFmt numFmtId="180" formatCode="#,##0.00000_);\(#,##0.00000\)"/>
    <numFmt numFmtId="181" formatCode="mmmm\ d\,\ yyyy"/>
    <numFmt numFmtId="182" formatCode="0\F"/>
    <numFmt numFmtId="183" formatCode="&quot;$&quot;#,##0.0"/>
    <numFmt numFmtId="184" formatCode="0\ &quot;years&quot;"/>
    <numFmt numFmtId="185" formatCode="&quot;- EBITDA margin of &quot;0.0%"/>
    <numFmt numFmtId="186" formatCode="0.0_);\(0.0\)"/>
    <numFmt numFmtId="187" formatCode="0.00_);\(0.00\)"/>
    <numFmt numFmtId="188" formatCode="0_);\(0\)"/>
    <numFmt numFmtId="189" formatCode="0.00\ "/>
    <numFmt numFmtId="190" formatCode="\+0%;\-0%"/>
    <numFmt numFmtId="191" formatCode="0.0%\ ;\(0.0%\)"/>
  </numFmts>
  <fonts count="62"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name val="Aldine401 BT"/>
    </font>
    <font>
      <sz val="10"/>
      <name val="Book Antiqua"/>
      <family val="1"/>
    </font>
    <font>
      <sz val="11"/>
      <color indexed="12"/>
      <name val="Book Antiqua"/>
      <family val="1"/>
    </font>
    <font>
      <sz val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9"/>
      <name val="Arial"/>
      <family val="2"/>
    </font>
    <font>
      <b/>
      <u/>
      <sz val="9"/>
      <name val="Arial"/>
      <family val="2"/>
    </font>
    <font>
      <sz val="10"/>
      <color indexed="12"/>
      <name val="Arial"/>
      <family val="2"/>
    </font>
    <font>
      <sz val="10"/>
      <color rgb="FF0000FF"/>
      <name val="Arial"/>
      <family val="2"/>
    </font>
    <font>
      <b/>
      <i/>
      <sz val="10"/>
      <name val="Arial"/>
      <family val="2"/>
    </font>
    <font>
      <sz val="8"/>
      <color indexed="12"/>
      <name val="Arial"/>
      <family val="2"/>
    </font>
    <font>
      <sz val="10"/>
      <color rgb="FFFF0000"/>
      <name val="Arial"/>
      <family val="2"/>
    </font>
    <font>
      <sz val="10"/>
      <color rgb="FF993366"/>
      <name val="Arial"/>
      <family val="2"/>
    </font>
    <font>
      <b/>
      <sz val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20"/>
      <color indexed="12"/>
      <name val="Arial"/>
      <family val="2"/>
    </font>
    <font>
      <b/>
      <sz val="2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8"/>
      <color rgb="FF008ED6"/>
      <name val="Arial"/>
      <family val="2"/>
    </font>
    <font>
      <i/>
      <sz val="9"/>
      <name val="Arial"/>
      <family val="2"/>
    </font>
    <font>
      <sz val="10"/>
      <color rgb="FF4586BB"/>
      <name val="Arial"/>
      <family val="2"/>
    </font>
    <font>
      <b/>
      <sz val="8"/>
      <name val="Arial"/>
      <family val="2"/>
    </font>
    <font>
      <b/>
      <sz val="10"/>
      <color rgb="FFFF0000"/>
      <name val="Arial"/>
      <family val="2"/>
    </font>
    <font>
      <sz val="12"/>
      <color theme="1"/>
      <name val="Arial"/>
      <family val="2"/>
    </font>
    <font>
      <b/>
      <sz val="24"/>
      <color theme="1"/>
      <name val="Arial"/>
      <family val="2"/>
    </font>
    <font>
      <b/>
      <sz val="24"/>
      <color theme="4"/>
      <name val="Arial"/>
      <family val="2"/>
    </font>
    <font>
      <sz val="14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8"/>
      <color indexed="12"/>
      <name val="Arial"/>
      <family val="2"/>
    </font>
    <font>
      <b/>
      <sz val="14"/>
      <color indexed="8"/>
      <name val="Arial"/>
      <family val="2"/>
    </font>
    <font>
      <u/>
      <sz val="10"/>
      <name val="Arial"/>
      <family val="2"/>
    </font>
    <font>
      <sz val="12"/>
      <name val="Arial"/>
      <family val="2"/>
    </font>
    <font>
      <strike/>
      <sz val="10"/>
      <color rgb="FF0000FF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color indexed="12"/>
      <name val="Arial"/>
      <family val="2"/>
    </font>
    <font>
      <b/>
      <i/>
      <sz val="12"/>
      <name val="Arial"/>
      <family val="2"/>
    </font>
    <font>
      <b/>
      <sz val="11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b/>
      <i/>
      <u/>
      <sz val="9"/>
      <name val="Arial"/>
      <family val="2"/>
    </font>
    <font>
      <vertAlign val="superscript"/>
      <sz val="10"/>
      <name val="Arial"/>
      <family val="2"/>
    </font>
    <font>
      <i/>
      <vertAlign val="superscript"/>
      <sz val="9"/>
      <name val="Arial"/>
      <family val="2"/>
    </font>
    <font>
      <b/>
      <sz val="26"/>
      <color rgb="FFE0A94A"/>
      <name val="Arial"/>
      <family val="2"/>
    </font>
    <font>
      <sz val="9"/>
      <color rgb="FF993366"/>
      <name val="Arial"/>
      <family val="2"/>
    </font>
    <font>
      <b/>
      <sz val="9"/>
      <name val="Arial"/>
      <family val="2"/>
    </font>
    <font>
      <sz val="10"/>
      <color rgb="FF00B050"/>
      <name val="Arial"/>
      <family val="2"/>
    </font>
    <font>
      <b/>
      <sz val="10"/>
      <color rgb="FF993366"/>
      <name val="Arial"/>
      <family val="2"/>
    </font>
    <font>
      <b/>
      <sz val="12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22B39"/>
        <bgColor indexed="64"/>
      </patternFill>
    </fill>
    <fill>
      <patternFill patternType="solid">
        <fgColor rgb="FFEBD181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FF99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222B39"/>
      </left>
      <right/>
      <top style="thin">
        <color rgb="FF222B39"/>
      </top>
      <bottom/>
      <diagonal/>
    </border>
    <border>
      <left/>
      <right/>
      <top style="thin">
        <color rgb="FF222B39"/>
      </top>
      <bottom/>
      <diagonal/>
    </border>
    <border>
      <left/>
      <right style="thin">
        <color rgb="FF222B39"/>
      </right>
      <top style="thin">
        <color rgb="FF222B39"/>
      </top>
      <bottom/>
      <diagonal/>
    </border>
    <border>
      <left style="thin">
        <color rgb="FF222B39"/>
      </left>
      <right/>
      <top/>
      <bottom/>
      <diagonal/>
    </border>
    <border>
      <left/>
      <right style="thin">
        <color rgb="FF222B39"/>
      </right>
      <top/>
      <bottom/>
      <diagonal/>
    </border>
    <border>
      <left style="thin">
        <color rgb="FF222B39"/>
      </left>
      <right/>
      <top/>
      <bottom style="thin">
        <color rgb="FF222B39"/>
      </bottom>
      <diagonal/>
    </border>
    <border>
      <left/>
      <right/>
      <top/>
      <bottom style="thin">
        <color rgb="FF222B39"/>
      </bottom>
      <diagonal/>
    </border>
    <border>
      <left/>
      <right style="thin">
        <color rgb="FF222B39"/>
      </right>
      <top/>
      <bottom style="thin">
        <color rgb="FF222B3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6">
    <xf numFmtId="0" fontId="0" fillId="0" borderId="0"/>
    <xf numFmtId="167" fontId="3" fillId="0" borderId="0" applyFont="0" applyFill="0" applyBorder="0" applyAlignment="0" applyProtection="0"/>
    <xf numFmtId="0" fontId="2" fillId="0" borderId="0"/>
    <xf numFmtId="0" fontId="4" fillId="0" borderId="0" applyNumberFormat="0" applyFont="0" applyFill="0" applyBorder="0" applyProtection="0">
      <alignment horizontal="centerContinuous"/>
    </xf>
    <xf numFmtId="0" fontId="4" fillId="0" borderId="2" applyNumberFormat="0" applyFont="0" applyFill="0" applyAlignment="0" applyProtection="0"/>
    <xf numFmtId="0" fontId="4" fillId="0" borderId="0" applyNumberFormat="0" applyFont="0" applyFill="0" applyBorder="0" applyProtection="0">
      <alignment horizontal="center"/>
    </xf>
    <xf numFmtId="166" fontId="5" fillId="0" borderId="6">
      <protection locked="0"/>
    </xf>
    <xf numFmtId="0" fontId="4" fillId="0" borderId="7" applyNumberFormat="0" applyFont="0" applyFill="0" applyAlignment="0" applyProtection="0"/>
    <xf numFmtId="0" fontId="6" fillId="0" borderId="0" applyNumberFormat="0" applyFill="0" applyBorder="0" applyAlignment="0" applyProtection="0"/>
    <xf numFmtId="174" fontId="3" fillId="0" borderId="0" applyNumberFormat="0" applyFill="0" applyBorder="0" applyAlignment="0" applyProtection="0"/>
    <xf numFmtId="0" fontId="4" fillId="0" borderId="5" applyNumberFormat="0" applyFont="0" applyFill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4" fillId="0" borderId="0"/>
    <xf numFmtId="0" fontId="1" fillId="0" borderId="0"/>
    <xf numFmtId="0" fontId="1" fillId="0" borderId="0"/>
  </cellStyleXfs>
  <cellXfs count="512">
    <xf numFmtId="0" fontId="0" fillId="0" borderId="0" xfId="0"/>
    <xf numFmtId="0" fontId="7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8" fillId="0" borderId="0" xfId="0" applyFont="1" applyAlignment="1">
      <alignment horizontal="centerContinuous"/>
    </xf>
    <xf numFmtId="0" fontId="8" fillId="0" borderId="1" xfId="0" applyFont="1" applyBorder="1" applyAlignment="1">
      <alignment horizontal="centerContinuous"/>
    </xf>
    <xf numFmtId="0" fontId="9" fillId="0" borderId="0" xfId="0" quotePrefix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170" fontId="12" fillId="0" borderId="0" xfId="0" applyNumberFormat="1" applyFont="1"/>
    <xf numFmtId="0" fontId="10" fillId="0" borderId="0" xfId="0" applyFont="1"/>
    <xf numFmtId="171" fontId="14" fillId="0" borderId="0" xfId="1" applyNumberFormat="1" applyFont="1" applyAlignment="1" applyProtection="1">
      <alignment horizontal="right"/>
      <protection locked="0"/>
    </xf>
    <xf numFmtId="171" fontId="0" fillId="0" borderId="0" xfId="0" applyNumberFormat="1"/>
    <xf numFmtId="0" fontId="0" fillId="0" borderId="0" xfId="0" quotePrefix="1" applyAlignment="1">
      <alignment horizontal="left"/>
    </xf>
    <xf numFmtId="9" fontId="15" fillId="0" borderId="0" xfId="0" applyNumberFormat="1" applyFont="1"/>
    <xf numFmtId="171" fontId="14" fillId="0" borderId="2" xfId="1" applyNumberFormat="1" applyFont="1" applyBorder="1" applyAlignment="1" applyProtection="1">
      <alignment horizontal="right"/>
      <protection locked="0"/>
    </xf>
    <xf numFmtId="171" fontId="0" fillId="0" borderId="2" xfId="0" applyNumberFormat="1" applyBorder="1"/>
    <xf numFmtId="0" fontId="10" fillId="0" borderId="0" xfId="0" quotePrefix="1" applyFont="1" applyAlignment="1">
      <alignment horizontal="left"/>
    </xf>
    <xf numFmtId="171" fontId="10" fillId="0" borderId="0" xfId="1" applyNumberFormat="1" applyFont="1" applyAlignment="1">
      <alignment horizontal="right"/>
    </xf>
    <xf numFmtId="171" fontId="10" fillId="0" borderId="0" xfId="1" applyNumberFormat="1" applyFont="1"/>
    <xf numFmtId="171" fontId="14" fillId="0" borderId="2" xfId="1" applyNumberFormat="1" applyFont="1" applyBorder="1" applyProtection="1">
      <protection locked="0"/>
    </xf>
    <xf numFmtId="171" fontId="14" fillId="0" borderId="0" xfId="1" applyNumberFormat="1" applyFont="1" applyProtection="1">
      <protection locked="0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165" fontId="10" fillId="0" borderId="0" xfId="0" quotePrefix="1" applyNumberFormat="1" applyFont="1" applyAlignment="1">
      <alignment horizontal="left"/>
    </xf>
    <xf numFmtId="0" fontId="0" fillId="0" borderId="2" xfId="0" applyBorder="1"/>
    <xf numFmtId="168" fontId="0" fillId="0" borderId="2" xfId="1" applyNumberFormat="1" applyFont="1" applyBorder="1"/>
    <xf numFmtId="168" fontId="0" fillId="0" borderId="0" xfId="1" applyNumberFormat="1" applyFont="1"/>
    <xf numFmtId="0" fontId="9" fillId="0" borderId="0" xfId="0" quotePrefix="1" applyFont="1" applyAlignment="1">
      <alignment horizontal="left"/>
    </xf>
    <xf numFmtId="169" fontId="11" fillId="0" borderId="0" xfId="0" applyNumberFormat="1" applyFont="1" applyAlignment="1">
      <alignment horizontal="right"/>
    </xf>
    <xf numFmtId="37" fontId="0" fillId="0" borderId="0" xfId="1" applyNumberFormat="1" applyFont="1"/>
    <xf numFmtId="171" fontId="15" fillId="0" borderId="0" xfId="1" applyNumberFormat="1" applyFont="1" applyProtection="1">
      <protection locked="0"/>
    </xf>
    <xf numFmtId="37" fontId="14" fillId="0" borderId="0" xfId="1" applyNumberFormat="1" applyFont="1"/>
    <xf numFmtId="37" fontId="10" fillId="0" borderId="0" xfId="1" applyNumberFormat="1" applyFont="1"/>
    <xf numFmtId="171" fontId="10" fillId="0" borderId="0" xfId="1" applyNumberFormat="1" applyFont="1" applyProtection="1">
      <protection locked="0"/>
    </xf>
    <xf numFmtId="9" fontId="0" fillId="0" borderId="0" xfId="12" applyFont="1"/>
    <xf numFmtId="179" fontId="0" fillId="0" borderId="0" xfId="1" applyNumberFormat="1" applyFont="1"/>
    <xf numFmtId="171" fontId="0" fillId="0" borderId="0" xfId="1" applyNumberFormat="1" applyFont="1"/>
    <xf numFmtId="171" fontId="0" fillId="0" borderId="2" xfId="1" applyNumberFormat="1" applyFont="1" applyBorder="1"/>
    <xf numFmtId="176" fontId="0" fillId="0" borderId="0" xfId="0" applyNumberFormat="1"/>
    <xf numFmtId="171" fontId="15" fillId="0" borderId="0" xfId="0" applyNumberFormat="1" applyFont="1"/>
    <xf numFmtId="171" fontId="0" fillId="0" borderId="4" xfId="1" applyNumberFormat="1" applyFont="1" applyBorder="1"/>
    <xf numFmtId="173" fontId="17" fillId="0" borderId="0" xfId="1" applyNumberFormat="1" applyFont="1"/>
    <xf numFmtId="173" fontId="9" fillId="0" borderId="0" xfId="1" applyNumberFormat="1" applyFont="1"/>
    <xf numFmtId="177" fontId="15" fillId="0" borderId="0" xfId="0" applyNumberFormat="1" applyFont="1"/>
    <xf numFmtId="177" fontId="0" fillId="0" borderId="0" xfId="0" applyNumberFormat="1"/>
    <xf numFmtId="175" fontId="11" fillId="0" borderId="0" xfId="0" quotePrefix="1" applyNumberFormat="1" applyFont="1" applyAlignment="1">
      <alignment horizontal="right"/>
    </xf>
    <xf numFmtId="180" fontId="0" fillId="0" borderId="0" xfId="0" applyNumberFormat="1"/>
    <xf numFmtId="9" fontId="0" fillId="0" borderId="0" xfId="0" applyNumberFormat="1"/>
    <xf numFmtId="178" fontId="0" fillId="0" borderId="0" xfId="0" applyNumberFormat="1" applyAlignment="1">
      <alignment horizontal="left"/>
    </xf>
    <xf numFmtId="171" fontId="10" fillId="0" borderId="0" xfId="0" applyNumberFormat="1" applyFont="1"/>
    <xf numFmtId="0" fontId="10" fillId="0" borderId="18" xfId="0" applyFont="1" applyBorder="1"/>
    <xf numFmtId="0" fontId="0" fillId="0" borderId="4" xfId="0" applyBorder="1"/>
    <xf numFmtId="171" fontId="0" fillId="0" borderId="4" xfId="0" applyNumberFormat="1" applyBorder="1"/>
    <xf numFmtId="171" fontId="0" fillId="0" borderId="19" xfId="0" applyNumberFormat="1" applyBorder="1"/>
    <xf numFmtId="0" fontId="0" fillId="0" borderId="20" xfId="0" applyBorder="1"/>
    <xf numFmtId="0" fontId="10" fillId="0" borderId="17" xfId="0" applyFont="1" applyBorder="1"/>
    <xf numFmtId="10" fontId="0" fillId="0" borderId="0" xfId="0" applyNumberFormat="1"/>
    <xf numFmtId="0" fontId="0" fillId="0" borderId="0" xfId="0" quotePrefix="1"/>
    <xf numFmtId="0" fontId="0" fillId="0" borderId="17" xfId="0" applyBorder="1"/>
    <xf numFmtId="177" fontId="19" fillId="0" borderId="0" xfId="0" applyNumberFormat="1" applyFont="1"/>
    <xf numFmtId="171" fontId="19" fillId="0" borderId="0" xfId="0" applyNumberFormat="1" applyFont="1"/>
    <xf numFmtId="9" fontId="19" fillId="0" borderId="0" xfId="0" applyNumberFormat="1" applyFont="1"/>
    <xf numFmtId="0" fontId="12" fillId="0" borderId="0" xfId="2" applyFont="1" applyAlignment="1">
      <alignment horizontal="left" vertical="center"/>
    </xf>
    <xf numFmtId="171" fontId="10" fillId="0" borderId="4" xfId="1" applyNumberFormat="1" applyFont="1" applyBorder="1" applyAlignment="1">
      <alignment horizontal="right"/>
    </xf>
    <xf numFmtId="0" fontId="2" fillId="0" borderId="0" xfId="0" applyFont="1"/>
    <xf numFmtId="0" fontId="21" fillId="0" borderId="0" xfId="0" applyFont="1"/>
    <xf numFmtId="0" fontId="21" fillId="0" borderId="0" xfId="0" quotePrefix="1" applyFont="1" applyAlignment="1">
      <alignment horizontal="left"/>
    </xf>
    <xf numFmtId="0" fontId="22" fillId="0" borderId="0" xfId="0" quotePrefix="1" applyFont="1" applyAlignment="1">
      <alignment horizontal="left"/>
    </xf>
    <xf numFmtId="171" fontId="10" fillId="0" borderId="0" xfId="1" applyNumberFormat="1" applyFont="1" applyAlignment="1" applyProtection="1">
      <alignment horizontal="right"/>
      <protection locked="0"/>
    </xf>
    <xf numFmtId="0" fontId="18" fillId="0" borderId="0" xfId="0" applyFont="1"/>
    <xf numFmtId="0" fontId="7" fillId="0" borderId="0" xfId="15" applyFont="1" applyAlignment="1">
      <alignment horizontal="centerContinuous"/>
    </xf>
    <xf numFmtId="0" fontId="25" fillId="0" borderId="0" xfId="15" applyFont="1" applyAlignment="1">
      <alignment horizontal="centerContinuous"/>
    </xf>
    <xf numFmtId="0" fontId="26" fillId="0" borderId="0" xfId="15" applyFont="1" applyAlignment="1">
      <alignment horizontal="centerContinuous"/>
    </xf>
    <xf numFmtId="0" fontId="1" fillId="0" borderId="0" xfId="15"/>
    <xf numFmtId="0" fontId="8" fillId="0" borderId="0" xfId="15" applyFont="1" applyAlignment="1">
      <alignment horizontal="centerContinuous"/>
    </xf>
    <xf numFmtId="0" fontId="1" fillId="0" borderId="1" xfId="15" applyBorder="1"/>
    <xf numFmtId="0" fontId="27" fillId="0" borderId="0" xfId="15" applyFont="1" applyAlignment="1">
      <alignment horizontal="centerContinuous"/>
    </xf>
    <xf numFmtId="0" fontId="10" fillId="0" borderId="0" xfId="15" applyFont="1" applyAlignment="1">
      <alignment horizontal="centerContinuous"/>
    </xf>
    <xf numFmtId="0" fontId="28" fillId="0" borderId="0" xfId="15" applyFont="1" applyAlignment="1">
      <alignment horizontal="centerContinuous"/>
    </xf>
    <xf numFmtId="0" fontId="1" fillId="0" borderId="0" xfId="15" applyAlignment="1">
      <alignment vertical="center"/>
    </xf>
    <xf numFmtId="0" fontId="1" fillId="0" borderId="18" xfId="15" applyBorder="1" applyAlignment="1">
      <alignment vertical="center"/>
    </xf>
    <xf numFmtId="0" fontId="1" fillId="0" borderId="4" xfId="15" applyBorder="1" applyAlignment="1">
      <alignment vertical="center"/>
    </xf>
    <xf numFmtId="0" fontId="16" fillId="0" borderId="8" xfId="15" applyFont="1" applyBorder="1" applyAlignment="1">
      <alignment horizontal="centerContinuous" vertical="center"/>
    </xf>
    <xf numFmtId="0" fontId="9" fillId="0" borderId="8" xfId="15" applyFont="1" applyBorder="1" applyAlignment="1">
      <alignment horizontal="centerContinuous" vertical="center"/>
    </xf>
    <xf numFmtId="0" fontId="1" fillId="0" borderId="19" xfId="15" applyBorder="1" applyAlignment="1">
      <alignment vertical="center"/>
    </xf>
    <xf numFmtId="0" fontId="1" fillId="0" borderId="20" xfId="15" applyBorder="1" applyAlignment="1">
      <alignment vertical="center"/>
    </xf>
    <xf numFmtId="0" fontId="1" fillId="0" borderId="2" xfId="15" applyBorder="1" applyAlignment="1">
      <alignment vertical="center"/>
    </xf>
    <xf numFmtId="169" fontId="10" fillId="0" borderId="2" xfId="0" applyNumberFormat="1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" fillId="0" borderId="21" xfId="15" applyBorder="1" applyAlignment="1">
      <alignment vertical="center"/>
    </xf>
    <xf numFmtId="0" fontId="1" fillId="0" borderId="20" xfId="15" applyBorder="1"/>
    <xf numFmtId="169" fontId="11" fillId="0" borderId="0" xfId="0" applyNumberFormat="1" applyFont="1"/>
    <xf numFmtId="182" fontId="11" fillId="0" borderId="0" xfId="0" quotePrefix="1" applyNumberFormat="1" applyFont="1" applyAlignment="1">
      <alignment horizontal="right"/>
    </xf>
    <xf numFmtId="0" fontId="1" fillId="0" borderId="21" xfId="15" applyBorder="1"/>
    <xf numFmtId="0" fontId="10" fillId="0" borderId="0" xfId="15" applyFont="1"/>
    <xf numFmtId="0" fontId="29" fillId="0" borderId="0" xfId="15" applyFont="1"/>
    <xf numFmtId="0" fontId="6" fillId="0" borderId="0" xfId="15" applyFont="1"/>
    <xf numFmtId="164" fontId="1" fillId="0" borderId="0" xfId="1" applyNumberFormat="1" applyFont="1" applyBorder="1"/>
    <xf numFmtId="0" fontId="30" fillId="0" borderId="0" xfId="15" applyFont="1"/>
    <xf numFmtId="0" fontId="12" fillId="0" borderId="0" xfId="15" applyFont="1"/>
    <xf numFmtId="0" fontId="1" fillId="0" borderId="17" xfId="15" applyBorder="1"/>
    <xf numFmtId="0" fontId="1" fillId="0" borderId="2" xfId="15" applyBorder="1"/>
    <xf numFmtId="0" fontId="1" fillId="0" borderId="22" xfId="15" applyBorder="1"/>
    <xf numFmtId="0" fontId="9" fillId="0" borderId="0" xfId="15" applyFont="1"/>
    <xf numFmtId="170" fontId="9" fillId="0" borderId="0" xfId="0" applyNumberFormat="1" applyFont="1"/>
    <xf numFmtId="0" fontId="1" fillId="0" borderId="0" xfId="15" applyAlignment="1">
      <alignment horizontal="right"/>
    </xf>
    <xf numFmtId="0" fontId="34" fillId="2" borderId="25" xfId="13" applyFont="1" applyFill="1" applyBorder="1"/>
    <xf numFmtId="0" fontId="34" fillId="2" borderId="0" xfId="13" applyFont="1" applyFill="1"/>
    <xf numFmtId="0" fontId="35" fillId="2" borderId="0" xfId="13" applyFont="1" applyFill="1"/>
    <xf numFmtId="0" fontId="36" fillId="2" borderId="0" xfId="13" applyFont="1" applyFill="1"/>
    <xf numFmtId="181" fontId="37" fillId="2" borderId="0" xfId="14" applyNumberFormat="1" applyFont="1" applyFill="1" applyAlignment="1">
      <alignment horizontal="left" wrapText="1"/>
    </xf>
    <xf numFmtId="0" fontId="34" fillId="2" borderId="0" xfId="13" applyFont="1" applyFill="1" applyAlignment="1">
      <alignment wrapText="1"/>
    </xf>
    <xf numFmtId="0" fontId="38" fillId="2" borderId="0" xfId="13" applyFont="1" applyFill="1"/>
    <xf numFmtId="0" fontId="39" fillId="2" borderId="0" xfId="13" applyFont="1" applyFill="1"/>
    <xf numFmtId="0" fontId="34" fillId="2" borderId="1" xfId="13" applyFont="1" applyFill="1" applyBorder="1"/>
    <xf numFmtId="0" fontId="34" fillId="2" borderId="0" xfId="13" applyFont="1" applyFill="1" applyAlignment="1">
      <alignment vertical="center"/>
    </xf>
    <xf numFmtId="0" fontId="40" fillId="0" borderId="0" xfId="0" applyFont="1" applyAlignment="1">
      <alignment horizontal="centerContinuous"/>
    </xf>
    <xf numFmtId="0" fontId="41" fillId="0" borderId="0" xfId="0" applyFont="1" applyAlignment="1">
      <alignment horizontal="centerContinuous"/>
    </xf>
    <xf numFmtId="0" fontId="41" fillId="0" borderId="1" xfId="0" applyFont="1" applyBorder="1"/>
    <xf numFmtId="0" fontId="0" fillId="0" borderId="1" xfId="0" applyBorder="1"/>
    <xf numFmtId="37" fontId="14" fillId="0" borderId="0" xfId="0" applyNumberFormat="1" applyFont="1" applyAlignment="1">
      <alignment horizontal="right"/>
    </xf>
    <xf numFmtId="39" fontId="14" fillId="0" borderId="0" xfId="0" applyNumberFormat="1" applyFont="1" applyAlignment="1">
      <alignment horizontal="right"/>
    </xf>
    <xf numFmtId="0" fontId="0" fillId="0" borderId="0" xfId="0" applyAlignment="1">
      <alignment vertical="center"/>
    </xf>
    <xf numFmtId="0" fontId="10" fillId="0" borderId="0" xfId="0" applyFont="1" applyAlignment="1">
      <alignment horizontal="left" vertical="center"/>
    </xf>
    <xf numFmtId="0" fontId="43" fillId="0" borderId="0" xfId="0" applyFont="1" applyAlignment="1">
      <alignment vertical="center"/>
    </xf>
    <xf numFmtId="0" fontId="33" fillId="0" borderId="0" xfId="0" applyFont="1"/>
    <xf numFmtId="185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Continuous"/>
    </xf>
    <xf numFmtId="0" fontId="0" fillId="0" borderId="0" xfId="0" applyAlignment="1">
      <alignment horizontal="center" vertical="center"/>
    </xf>
    <xf numFmtId="184" fontId="14" fillId="0" borderId="0" xfId="0" applyNumberFormat="1" applyFont="1" applyAlignment="1">
      <alignment horizontal="right"/>
    </xf>
    <xf numFmtId="0" fontId="33" fillId="0" borderId="0" xfId="0" applyFont="1" applyAlignment="1">
      <alignment vertical="center"/>
    </xf>
    <xf numFmtId="185" fontId="0" fillId="0" borderId="0" xfId="0" applyNumberFormat="1" applyAlignment="1">
      <alignment horizontal="left"/>
    </xf>
    <xf numFmtId="0" fontId="44" fillId="0" borderId="0" xfId="0" applyFont="1"/>
    <xf numFmtId="177" fontId="0" fillId="0" borderId="2" xfId="0" applyNumberFormat="1" applyBorder="1"/>
    <xf numFmtId="0" fontId="23" fillId="0" borderId="0" xfId="0" applyFont="1"/>
    <xf numFmtId="0" fontId="45" fillId="0" borderId="0" xfId="2" applyFont="1"/>
    <xf numFmtId="0" fontId="7" fillId="0" borderId="0" xfId="2" applyFont="1" applyAlignment="1">
      <alignment horizontal="centerContinuous"/>
    </xf>
    <xf numFmtId="0" fontId="46" fillId="0" borderId="0" xfId="2" applyFont="1" applyAlignment="1">
      <alignment horizontal="centerContinuous"/>
    </xf>
    <xf numFmtId="0" fontId="1" fillId="0" borderId="0" xfId="2" applyFont="1"/>
    <xf numFmtId="0" fontId="8" fillId="0" borderId="0" xfId="2" applyFont="1" applyAlignment="1">
      <alignment horizontal="centerContinuous"/>
    </xf>
    <xf numFmtId="0" fontId="1" fillId="0" borderId="1" xfId="2" applyFont="1" applyBorder="1"/>
    <xf numFmtId="0" fontId="1" fillId="0" borderId="1" xfId="2" applyFont="1" applyBorder="1" applyAlignment="1">
      <alignment horizontal="center"/>
    </xf>
    <xf numFmtId="0" fontId="9" fillId="0" borderId="0" xfId="2" quotePrefix="1" applyFont="1" applyAlignment="1">
      <alignment horizontal="left"/>
    </xf>
    <xf numFmtId="0" fontId="9" fillId="0" borderId="0" xfId="2" quotePrefix="1" applyFont="1" applyAlignment="1">
      <alignment horizontal="center"/>
    </xf>
    <xf numFmtId="0" fontId="1" fillId="0" borderId="18" xfId="2" applyFont="1" applyBorder="1"/>
    <xf numFmtId="0" fontId="1" fillId="0" borderId="4" xfId="2" applyFont="1" applyBorder="1"/>
    <xf numFmtId="0" fontId="1" fillId="0" borderId="4" xfId="2" applyFont="1" applyBorder="1" applyAlignment="1">
      <alignment horizontal="center"/>
    </xf>
    <xf numFmtId="0" fontId="1" fillId="0" borderId="19" xfId="2" applyFont="1" applyBorder="1" applyAlignment="1">
      <alignment horizontal="center"/>
    </xf>
    <xf numFmtId="0" fontId="10" fillId="0" borderId="2" xfId="2" applyFont="1" applyBorder="1" applyAlignment="1">
      <alignment horizontal="centerContinuous"/>
    </xf>
    <xf numFmtId="0" fontId="10" fillId="0" borderId="20" xfId="2" applyFont="1" applyBorder="1" applyAlignment="1">
      <alignment vertical="center"/>
    </xf>
    <xf numFmtId="0" fontId="10" fillId="0" borderId="0" xfId="2" applyFont="1"/>
    <xf numFmtId="0" fontId="47" fillId="0" borderId="0" xfId="2" applyFont="1" applyAlignment="1">
      <alignment horizontal="center" vertical="center"/>
    </xf>
    <xf numFmtId="0" fontId="47" fillId="0" borderId="21" xfId="2" applyFont="1" applyBorder="1" applyAlignment="1">
      <alignment horizontal="center" vertical="center"/>
    </xf>
    <xf numFmtId="0" fontId="10" fillId="0" borderId="0" xfId="2" quotePrefix="1" applyFont="1" applyAlignment="1">
      <alignment horizontal="right"/>
    </xf>
    <xf numFmtId="0" fontId="10" fillId="0" borderId="17" xfId="2" applyFont="1" applyBorder="1"/>
    <xf numFmtId="0" fontId="10" fillId="0" borderId="2" xfId="2" applyFont="1" applyBorder="1"/>
    <xf numFmtId="0" fontId="10" fillId="0" borderId="2" xfId="2" applyFont="1" applyBorder="1" applyAlignment="1">
      <alignment horizontal="center"/>
    </xf>
    <xf numFmtId="0" fontId="10" fillId="0" borderId="22" xfId="2" applyFont="1" applyBorder="1" applyAlignment="1">
      <alignment horizontal="center"/>
    </xf>
    <xf numFmtId="0" fontId="11" fillId="0" borderId="0" xfId="2" quotePrefix="1" applyFont="1" applyAlignment="1">
      <alignment horizontal="right"/>
    </xf>
    <xf numFmtId="0" fontId="11" fillId="0" borderId="0" xfId="2" applyFont="1" applyAlignment="1">
      <alignment horizontal="right"/>
    </xf>
    <xf numFmtId="0" fontId="10" fillId="0" borderId="0" xfId="2" applyFont="1" applyAlignment="1">
      <alignment horizontal="center"/>
    </xf>
    <xf numFmtId="0" fontId="10" fillId="0" borderId="0" xfId="2" quotePrefix="1" applyFont="1" applyAlignment="1">
      <alignment horizontal="left"/>
    </xf>
    <xf numFmtId="0" fontId="48" fillId="0" borderId="0" xfId="2" quotePrefix="1" applyFont="1" applyAlignment="1">
      <alignment horizontal="left"/>
    </xf>
    <xf numFmtId="0" fontId="49" fillId="0" borderId="0" xfId="2" applyFont="1" applyAlignment="1">
      <alignment horizontal="left"/>
    </xf>
    <xf numFmtId="0" fontId="1" fillId="0" borderId="0" xfId="2" applyFont="1" applyAlignment="1">
      <alignment horizontal="center"/>
    </xf>
    <xf numFmtId="0" fontId="0" fillId="0" borderId="0" xfId="2" applyFont="1"/>
    <xf numFmtId="0" fontId="10" fillId="0" borderId="0" xfId="2" applyFont="1" applyAlignment="1">
      <alignment horizontal="left" vertical="center"/>
    </xf>
    <xf numFmtId="0" fontId="47" fillId="0" borderId="0" xfId="2" applyFont="1" applyAlignment="1">
      <alignment horizontal="center"/>
    </xf>
    <xf numFmtId="177" fontId="14" fillId="0" borderId="0" xfId="0" applyNumberFormat="1" applyFont="1"/>
    <xf numFmtId="177" fontId="1" fillId="0" borderId="0" xfId="0" applyNumberFormat="1" applyFont="1"/>
    <xf numFmtId="0" fontId="1" fillId="0" borderId="0" xfId="2" applyFont="1" applyAlignment="1">
      <alignment horizontal="left"/>
    </xf>
    <xf numFmtId="0" fontId="12" fillId="0" borderId="0" xfId="2" applyFont="1" applyAlignment="1">
      <alignment horizontal="center"/>
    </xf>
    <xf numFmtId="187" fontId="50" fillId="0" borderId="0" xfId="1" applyNumberFormat="1" applyFont="1" applyBorder="1" applyAlignment="1" applyProtection="1">
      <alignment horizontal="right"/>
    </xf>
    <xf numFmtId="187" fontId="51" fillId="0" borderId="0" xfId="1" applyNumberFormat="1" applyFont="1" applyBorder="1" applyAlignment="1" applyProtection="1">
      <alignment horizontal="right"/>
    </xf>
    <xf numFmtId="0" fontId="1" fillId="0" borderId="15" xfId="2" applyFont="1" applyBorder="1"/>
    <xf numFmtId="0" fontId="1" fillId="0" borderId="15" xfId="2" applyFont="1" applyBorder="1" applyAlignment="1">
      <alignment horizontal="center"/>
    </xf>
    <xf numFmtId="0" fontId="1" fillId="0" borderId="0" xfId="2" applyFont="1" applyAlignment="1">
      <alignment vertical="center"/>
    </xf>
    <xf numFmtId="0" fontId="10" fillId="0" borderId="0" xfId="2" applyFont="1" applyAlignment="1">
      <alignment horizontal="left"/>
    </xf>
    <xf numFmtId="188" fontId="52" fillId="0" borderId="0" xfId="0" applyNumberFormat="1" applyFont="1"/>
    <xf numFmtId="189" fontId="1" fillId="0" borderId="0" xfId="2" applyNumberFormat="1" applyFont="1"/>
    <xf numFmtId="37" fontId="1" fillId="0" borderId="0" xfId="2" applyNumberFormat="1" applyFont="1"/>
    <xf numFmtId="0" fontId="1" fillId="0" borderId="0" xfId="2" quotePrefix="1" applyFont="1" applyAlignment="1">
      <alignment horizontal="left"/>
    </xf>
    <xf numFmtId="37" fontId="50" fillId="0" borderId="0" xfId="0" applyNumberFormat="1" applyFont="1"/>
    <xf numFmtId="37" fontId="12" fillId="0" borderId="0" xfId="0" applyNumberFormat="1" applyFont="1"/>
    <xf numFmtId="0" fontId="1" fillId="0" borderId="2" xfId="2" applyFont="1" applyBorder="1"/>
    <xf numFmtId="0" fontId="1" fillId="0" borderId="2" xfId="2" applyFont="1" applyBorder="1" applyAlignment="1">
      <alignment horizontal="center"/>
    </xf>
    <xf numFmtId="0" fontId="14" fillId="0" borderId="0" xfId="2" applyFont="1"/>
    <xf numFmtId="0" fontId="0" fillId="3" borderId="0" xfId="0" applyFill="1"/>
    <xf numFmtId="169" fontId="10" fillId="0" borderId="0" xfId="0" quotePrefix="1" applyNumberFormat="1" applyFont="1" applyAlignment="1">
      <alignment horizontal="right"/>
    </xf>
    <xf numFmtId="0" fontId="32" fillId="0" borderId="0" xfId="0" applyFont="1" applyAlignment="1">
      <alignment horizontal="right" vertical="center"/>
    </xf>
    <xf numFmtId="37" fontId="14" fillId="0" borderId="0" xfId="1" applyNumberFormat="1" applyFont="1" applyFill="1"/>
    <xf numFmtId="172" fontId="10" fillId="0" borderId="3" xfId="1" applyNumberFormat="1" applyFont="1" applyBorder="1" applyAlignment="1" applyProtection="1">
      <alignment vertical="center"/>
    </xf>
    <xf numFmtId="0" fontId="10" fillId="0" borderId="0" xfId="0" applyFont="1" applyAlignment="1">
      <alignment vertical="center"/>
    </xf>
    <xf numFmtId="171" fontId="15" fillId="0" borderId="2" xfId="1" applyNumberFormat="1" applyFont="1" applyBorder="1" applyProtection="1">
      <protection locked="0"/>
    </xf>
    <xf numFmtId="0" fontId="16" fillId="0" borderId="2" xfId="0" applyFont="1" applyBorder="1" applyAlignment="1">
      <alignment horizontal="centerContinuous"/>
    </xf>
    <xf numFmtId="1" fontId="10" fillId="0" borderId="0" xfId="0" quotePrefix="1" applyNumberFormat="1" applyFont="1" applyAlignment="1">
      <alignment horizontal="right"/>
    </xf>
    <xf numFmtId="0" fontId="2" fillId="0" borderId="2" xfId="0" applyFont="1" applyBorder="1"/>
    <xf numFmtId="0" fontId="20" fillId="0" borderId="2" xfId="0" applyFont="1" applyBorder="1" applyAlignment="1">
      <alignment horizontal="left"/>
    </xf>
    <xf numFmtId="0" fontId="22" fillId="0" borderId="2" xfId="0" quotePrefix="1" applyFont="1" applyBorder="1" applyAlignment="1">
      <alignment horizontal="left"/>
    </xf>
    <xf numFmtId="177" fontId="15" fillId="0" borderId="2" xfId="0" applyNumberFormat="1" applyFont="1" applyBorder="1"/>
    <xf numFmtId="171" fontId="10" fillId="0" borderId="0" xfId="1" applyNumberFormat="1" applyFont="1" applyBorder="1" applyAlignment="1">
      <alignment horizontal="right"/>
    </xf>
    <xf numFmtId="165" fontId="10" fillId="0" borderId="4" xfId="0" quotePrefix="1" applyNumberFormat="1" applyFont="1" applyBorder="1" applyAlignment="1">
      <alignment horizontal="left"/>
    </xf>
    <xf numFmtId="0" fontId="10" fillId="0" borderId="4" xfId="0" applyFont="1" applyBorder="1"/>
    <xf numFmtId="171" fontId="10" fillId="0" borderId="19" xfId="1" applyNumberFormat="1" applyFont="1" applyBorder="1" applyAlignment="1">
      <alignment horizontal="right"/>
    </xf>
    <xf numFmtId="0" fontId="12" fillId="0" borderId="2" xfId="2" applyFont="1" applyBorder="1" applyAlignment="1">
      <alignment horizontal="left" vertical="center"/>
    </xf>
    <xf numFmtId="0" fontId="12" fillId="0" borderId="2" xfId="0" applyFont="1" applyBorder="1"/>
    <xf numFmtId="0" fontId="13" fillId="0" borderId="2" xfId="0" applyFont="1" applyBorder="1"/>
    <xf numFmtId="172" fontId="10" fillId="0" borderId="3" xfId="0" applyNumberFormat="1" applyFont="1" applyBorder="1"/>
    <xf numFmtId="173" fontId="9" fillId="0" borderId="2" xfId="1" applyNumberFormat="1" applyFont="1" applyBorder="1"/>
    <xf numFmtId="179" fontId="9" fillId="0" borderId="2" xfId="1" applyNumberFormat="1" applyFont="1" applyBorder="1"/>
    <xf numFmtId="0" fontId="0" fillId="0" borderId="18" xfId="0" applyBorder="1"/>
    <xf numFmtId="0" fontId="10" fillId="0" borderId="0" xfId="0" applyFont="1" applyAlignment="1">
      <alignment horizontal="right"/>
    </xf>
    <xf numFmtId="188" fontId="0" fillId="0" borderId="0" xfId="0" applyNumberFormat="1" applyAlignment="1">
      <alignment horizontal="right"/>
    </xf>
    <xf numFmtId="0" fontId="53" fillId="0" borderId="0" xfId="0" applyFont="1"/>
    <xf numFmtId="170" fontId="30" fillId="0" borderId="2" xfId="0" applyNumberFormat="1" applyFont="1" applyBorder="1"/>
    <xf numFmtId="0" fontId="0" fillId="0" borderId="29" xfId="0" applyBorder="1"/>
    <xf numFmtId="0" fontId="0" fillId="0" borderId="30" xfId="0" applyBorder="1"/>
    <xf numFmtId="0" fontId="6" fillId="0" borderId="30" xfId="0" applyFont="1" applyBorder="1"/>
    <xf numFmtId="0" fontId="6" fillId="0" borderId="0" xfId="0" applyFont="1"/>
    <xf numFmtId="0" fontId="32" fillId="0" borderId="0" xfId="0" applyFont="1"/>
    <xf numFmtId="172" fontId="10" fillId="0" borderId="0" xfId="0" applyNumberFormat="1" applyFont="1"/>
    <xf numFmtId="0" fontId="0" fillId="0" borderId="23" xfId="0" applyBorder="1"/>
    <xf numFmtId="0" fontId="0" fillId="0" borderId="8" xfId="0" applyBorder="1"/>
    <xf numFmtId="0" fontId="30" fillId="0" borderId="0" xfId="0" applyFont="1"/>
    <xf numFmtId="0" fontId="0" fillId="0" borderId="18" xfId="0" quotePrefix="1" applyBorder="1" applyAlignment="1">
      <alignment horizontal="left"/>
    </xf>
    <xf numFmtId="37" fontId="10" fillId="0" borderId="4" xfId="1" applyNumberFormat="1" applyFont="1" applyBorder="1"/>
    <xf numFmtId="0" fontId="0" fillId="0" borderId="20" xfId="0" quotePrefix="1" applyBorder="1" applyAlignment="1">
      <alignment horizontal="left"/>
    </xf>
    <xf numFmtId="37" fontId="10" fillId="0" borderId="0" xfId="1" applyNumberFormat="1" applyFont="1" applyBorder="1"/>
    <xf numFmtId="0" fontId="10" fillId="0" borderId="17" xfId="0" quotePrefix="1" applyFont="1" applyBorder="1" applyAlignment="1">
      <alignment horizontal="left"/>
    </xf>
    <xf numFmtId="37" fontId="10" fillId="0" borderId="2" xfId="1" applyNumberFormat="1" applyFont="1" applyBorder="1"/>
    <xf numFmtId="171" fontId="10" fillId="0" borderId="2" xfId="1" applyNumberFormat="1" applyFont="1" applyBorder="1"/>
    <xf numFmtId="0" fontId="0" fillId="5" borderId="0" xfId="0" applyFill="1"/>
    <xf numFmtId="0" fontId="45" fillId="2" borderId="0" xfId="13" applyFont="1" applyFill="1"/>
    <xf numFmtId="0" fontId="0" fillId="0" borderId="0" xfId="15" applyFont="1"/>
    <xf numFmtId="0" fontId="10" fillId="4" borderId="4" xfId="0" applyFont="1" applyFill="1" applyBorder="1" applyAlignment="1">
      <alignment vertical="center"/>
    </xf>
    <xf numFmtId="0" fontId="1" fillId="4" borderId="31" xfId="15" applyFill="1" applyBorder="1" applyAlignment="1">
      <alignment vertical="center"/>
    </xf>
    <xf numFmtId="0" fontId="1" fillId="4" borderId="32" xfId="15" applyFill="1" applyBorder="1" applyAlignment="1">
      <alignment vertical="center"/>
    </xf>
    <xf numFmtId="0" fontId="16" fillId="4" borderId="32" xfId="15" applyFont="1" applyFill="1" applyBorder="1" applyAlignment="1">
      <alignment horizontal="centerContinuous" vertical="center"/>
    </xf>
    <xf numFmtId="0" fontId="9" fillId="4" borderId="32" xfId="15" applyFont="1" applyFill="1" applyBorder="1" applyAlignment="1">
      <alignment horizontal="centerContinuous" vertical="center"/>
    </xf>
    <xf numFmtId="0" fontId="1" fillId="4" borderId="33" xfId="15" applyFill="1" applyBorder="1" applyAlignment="1">
      <alignment vertical="center"/>
    </xf>
    <xf numFmtId="0" fontId="1" fillId="4" borderId="34" xfId="15" applyFill="1" applyBorder="1" applyAlignment="1">
      <alignment vertical="center"/>
    </xf>
    <xf numFmtId="0" fontId="10" fillId="4" borderId="0" xfId="15" applyFont="1" applyFill="1" applyAlignment="1">
      <alignment vertical="center"/>
    </xf>
    <xf numFmtId="0" fontId="1" fillId="4" borderId="0" xfId="15" applyFill="1" applyAlignment="1">
      <alignment vertical="center"/>
    </xf>
    <xf numFmtId="169" fontId="10" fillId="4" borderId="0" xfId="0" applyNumberFormat="1" applyFont="1" applyFill="1" applyAlignment="1">
      <alignment vertical="center"/>
    </xf>
    <xf numFmtId="0" fontId="1" fillId="4" borderId="35" xfId="15" applyFill="1" applyBorder="1" applyAlignment="1">
      <alignment vertical="center"/>
    </xf>
    <xf numFmtId="0" fontId="1" fillId="5" borderId="34" xfId="15" applyFill="1" applyBorder="1"/>
    <xf numFmtId="0" fontId="1" fillId="5" borderId="0" xfId="15" applyFill="1"/>
    <xf numFmtId="169" fontId="11" fillId="5" borderId="0" xfId="0" applyNumberFormat="1" applyFont="1" applyFill="1"/>
    <xf numFmtId="182" fontId="11" fillId="5" borderId="0" xfId="0" quotePrefix="1" applyNumberFormat="1" applyFont="1" applyFill="1" applyAlignment="1">
      <alignment horizontal="right"/>
    </xf>
    <xf numFmtId="0" fontId="11" fillId="5" borderId="0" xfId="0" applyFont="1" applyFill="1"/>
    <xf numFmtId="0" fontId="11" fillId="5" borderId="35" xfId="0" applyFont="1" applyFill="1" applyBorder="1"/>
    <xf numFmtId="0" fontId="1" fillId="3" borderId="34" xfId="15" applyFill="1" applyBorder="1"/>
    <xf numFmtId="0" fontId="1" fillId="3" borderId="0" xfId="15" applyFill="1"/>
    <xf numFmtId="169" fontId="11" fillId="3" borderId="0" xfId="0" applyNumberFormat="1" applyFont="1" applyFill="1"/>
    <xf numFmtId="182" fontId="11" fillId="3" borderId="0" xfId="0" quotePrefix="1" applyNumberFormat="1" applyFont="1" applyFill="1" applyAlignment="1">
      <alignment horizontal="right"/>
    </xf>
    <xf numFmtId="0" fontId="11" fillId="3" borderId="0" xfId="0" applyFont="1" applyFill="1"/>
    <xf numFmtId="0" fontId="11" fillId="3" borderId="35" xfId="0" applyFont="1" applyFill="1" applyBorder="1"/>
    <xf numFmtId="0" fontId="1" fillId="0" borderId="34" xfId="15" applyBorder="1"/>
    <xf numFmtId="0" fontId="1" fillId="0" borderId="35" xfId="15" applyBorder="1"/>
    <xf numFmtId="0" fontId="31" fillId="0" borderId="0" xfId="15" applyFont="1"/>
    <xf numFmtId="164" fontId="1" fillId="0" borderId="35" xfId="1" applyNumberFormat="1" applyFont="1" applyBorder="1"/>
    <xf numFmtId="170" fontId="9" fillId="0" borderId="35" xfId="0" applyNumberFormat="1" applyFont="1" applyBorder="1"/>
    <xf numFmtId="0" fontId="32" fillId="0" borderId="0" xfId="15" applyFont="1"/>
    <xf numFmtId="0" fontId="1" fillId="0" borderId="36" xfId="15" applyBorder="1"/>
    <xf numFmtId="0" fontId="1" fillId="0" borderId="37" xfId="15" applyBorder="1"/>
    <xf numFmtId="0" fontId="1" fillId="0" borderId="37" xfId="15" applyBorder="1" applyAlignment="1">
      <alignment horizontal="left"/>
    </xf>
    <xf numFmtId="0" fontId="1" fillId="0" borderId="38" xfId="15" applyBorder="1"/>
    <xf numFmtId="0" fontId="10" fillId="4" borderId="31" xfId="0" applyFont="1" applyFill="1" applyBorder="1" applyAlignment="1">
      <alignment vertical="center"/>
    </xf>
    <xf numFmtId="0" fontId="0" fillId="4" borderId="32" xfId="0" applyFill="1" applyBorder="1"/>
    <xf numFmtId="0" fontId="0" fillId="4" borderId="33" xfId="0" applyFill="1" applyBorder="1"/>
    <xf numFmtId="0" fontId="10" fillId="5" borderId="34" xfId="0" applyFont="1" applyFill="1" applyBorder="1" applyAlignment="1">
      <alignment vertical="center"/>
    </xf>
    <xf numFmtId="0" fontId="0" fillId="5" borderId="35" xfId="0" applyFill="1" applyBorder="1"/>
    <xf numFmtId="0" fontId="10" fillId="3" borderId="34" xfId="0" applyFont="1" applyFill="1" applyBorder="1" applyAlignment="1">
      <alignment vertical="center"/>
    </xf>
    <xf numFmtId="0" fontId="0" fillId="3" borderId="35" xfId="0" applyFill="1" applyBorder="1"/>
    <xf numFmtId="0" fontId="0" fillId="0" borderId="35" xfId="0" applyBorder="1"/>
    <xf numFmtId="0" fontId="0" fillId="0" borderId="34" xfId="0" applyBorder="1"/>
    <xf numFmtId="0" fontId="0" fillId="0" borderId="37" xfId="0" applyBorder="1"/>
    <xf numFmtId="0" fontId="0" fillId="0" borderId="34" xfId="0" quotePrefix="1" applyBorder="1" applyAlignment="1">
      <alignment horizontal="left"/>
    </xf>
    <xf numFmtId="0" fontId="0" fillId="0" borderId="36" xfId="0" quotePrefix="1" applyBorder="1" applyAlignment="1">
      <alignment horizontal="left"/>
    </xf>
    <xf numFmtId="172" fontId="14" fillId="0" borderId="38" xfId="0" applyNumberFormat="1" applyFont="1" applyBorder="1" applyAlignment="1">
      <alignment horizontal="right"/>
    </xf>
    <xf numFmtId="177" fontId="14" fillId="0" borderId="0" xfId="1" applyNumberFormat="1" applyFont="1" applyAlignment="1" applyProtection="1">
      <alignment horizontal="right"/>
      <protection locked="0"/>
    </xf>
    <xf numFmtId="0" fontId="0" fillId="0" borderId="15" xfId="0" applyBorder="1"/>
    <xf numFmtId="0" fontId="10" fillId="0" borderId="15" xfId="0" applyFont="1" applyBorder="1" applyAlignment="1">
      <alignment horizontal="left"/>
    </xf>
    <xf numFmtId="0" fontId="2" fillId="0" borderId="15" xfId="0" applyFont="1" applyBorder="1"/>
    <xf numFmtId="0" fontId="22" fillId="0" borderId="15" xfId="0" quotePrefix="1" applyFont="1" applyBorder="1" applyAlignment="1">
      <alignment horizontal="left"/>
    </xf>
    <xf numFmtId="177" fontId="15" fillId="0" borderId="15" xfId="0" applyNumberFormat="1" applyFont="1" applyBorder="1"/>
    <xf numFmtId="177" fontId="0" fillId="0" borderId="15" xfId="0" applyNumberFormat="1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6" fillId="0" borderId="10" xfId="0" applyFont="1" applyBorder="1"/>
    <xf numFmtId="0" fontId="6" fillId="0" borderId="15" xfId="0" applyFont="1" applyBorder="1"/>
    <xf numFmtId="0" fontId="10" fillId="4" borderId="18" xfId="0" applyFont="1" applyFill="1" applyBorder="1" applyAlignment="1">
      <alignment vertical="center"/>
    </xf>
    <xf numFmtId="0" fontId="0" fillId="4" borderId="4" xfId="0" applyFill="1" applyBorder="1"/>
    <xf numFmtId="0" fontId="0" fillId="4" borderId="19" xfId="0" applyFill="1" applyBorder="1"/>
    <xf numFmtId="0" fontId="10" fillId="5" borderId="20" xfId="0" applyFont="1" applyFill="1" applyBorder="1" applyAlignment="1">
      <alignment vertical="center"/>
    </xf>
    <xf numFmtId="0" fontId="0" fillId="5" borderId="21" xfId="0" applyFill="1" applyBorder="1"/>
    <xf numFmtId="0" fontId="10" fillId="3" borderId="20" xfId="0" applyFont="1" applyFill="1" applyBorder="1" applyAlignment="1">
      <alignment vertical="center"/>
    </xf>
    <xf numFmtId="0" fontId="0" fillId="3" borderId="21" xfId="0" applyFill="1" applyBorder="1"/>
    <xf numFmtId="0" fontId="0" fillId="0" borderId="20" xfId="0" applyBorder="1" applyAlignment="1">
      <alignment horizontal="center" vertical="center"/>
    </xf>
    <xf numFmtId="0" fontId="0" fillId="0" borderId="21" xfId="0" applyBorder="1"/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2" xfId="0" applyBorder="1"/>
    <xf numFmtId="0" fontId="10" fillId="0" borderId="20" xfId="0" applyFont="1" applyBorder="1" applyAlignment="1">
      <alignment vertical="center"/>
    </xf>
    <xf numFmtId="37" fontId="14" fillId="0" borderId="2" xfId="0" applyNumberFormat="1" applyFont="1" applyBorder="1" applyAlignment="1">
      <alignment horizontal="right"/>
    </xf>
    <xf numFmtId="177" fontId="14" fillId="0" borderId="22" xfId="0" quotePrefix="1" applyNumberFormat="1" applyFont="1" applyBorder="1" applyAlignment="1">
      <alignment horizontal="right"/>
    </xf>
    <xf numFmtId="0" fontId="11" fillId="0" borderId="20" xfId="0" applyFont="1" applyBorder="1" applyAlignment="1">
      <alignment vertical="center"/>
    </xf>
    <xf numFmtId="0" fontId="0" fillId="0" borderId="20" xfId="0" applyBorder="1" applyAlignment="1">
      <alignment horizontal="left" vertical="center"/>
    </xf>
    <xf numFmtId="183" fontId="14" fillId="0" borderId="0" xfId="0" applyNumberFormat="1" applyFont="1"/>
    <xf numFmtId="0" fontId="0" fillId="0" borderId="17" xfId="0" applyBorder="1" applyAlignment="1">
      <alignment horizontal="left" vertical="center"/>
    </xf>
    <xf numFmtId="177" fontId="14" fillId="0" borderId="21" xfId="0" applyNumberFormat="1" applyFont="1" applyBorder="1" applyAlignment="1">
      <alignment horizontal="right"/>
    </xf>
    <xf numFmtId="0" fontId="42" fillId="0" borderId="0" xfId="0" applyFont="1" applyAlignment="1">
      <alignment vertical="center"/>
    </xf>
    <xf numFmtId="0" fontId="11" fillId="0" borderId="0" xfId="0" applyFont="1" applyAlignment="1">
      <alignment horizontal="centerContinuous" vertical="center"/>
    </xf>
    <xf numFmtId="0" fontId="42" fillId="0" borderId="21" xfId="0" applyFont="1" applyBorder="1" applyAlignment="1">
      <alignment horizontal="left" vertical="center"/>
    </xf>
    <xf numFmtId="0" fontId="14" fillId="0" borderId="20" xfId="0" applyFont="1" applyBorder="1"/>
    <xf numFmtId="0" fontId="14" fillId="0" borderId="17" xfId="0" applyFont="1" applyBorder="1" applyAlignment="1">
      <alignment horizontal="left"/>
    </xf>
    <xf numFmtId="0" fontId="0" fillId="0" borderId="17" xfId="0" quotePrefix="1" applyBorder="1" applyAlignment="1">
      <alignment horizontal="left"/>
    </xf>
    <xf numFmtId="172" fontId="14" fillId="0" borderId="0" xfId="0" applyNumberFormat="1" applyFont="1" applyAlignment="1">
      <alignment horizontal="right"/>
    </xf>
    <xf numFmtId="0" fontId="0" fillId="0" borderId="0" xfId="0" applyAlignment="1">
      <alignment horizontal="left" vertical="center"/>
    </xf>
    <xf numFmtId="0" fontId="10" fillId="4" borderId="19" xfId="0" applyFont="1" applyFill="1" applyBorder="1" applyAlignment="1">
      <alignment vertical="center"/>
    </xf>
    <xf numFmtId="0" fontId="10" fillId="0" borderId="20" xfId="0" applyFont="1" applyBorder="1"/>
    <xf numFmtId="172" fontId="14" fillId="0" borderId="0" xfId="0" applyNumberFormat="1" applyFont="1"/>
    <xf numFmtId="172" fontId="14" fillId="0" borderId="21" xfId="0" applyNumberFormat="1" applyFont="1" applyBorder="1"/>
    <xf numFmtId="0" fontId="11" fillId="0" borderId="20" xfId="0" applyFont="1" applyBorder="1"/>
    <xf numFmtId="0" fontId="10" fillId="0" borderId="20" xfId="0" applyFont="1" applyBorder="1" applyAlignment="1">
      <alignment horizontal="left" vertical="center"/>
    </xf>
    <xf numFmtId="186" fontId="14" fillId="0" borderId="2" xfId="0" applyNumberFormat="1" applyFont="1" applyBorder="1"/>
    <xf numFmtId="186" fontId="14" fillId="0" borderId="22" xfId="0" applyNumberFormat="1" applyFont="1" applyBorder="1"/>
    <xf numFmtId="0" fontId="0" fillId="0" borderId="20" xfId="0" quotePrefix="1" applyBorder="1" applyAlignment="1">
      <alignment horizontal="left" vertical="center"/>
    </xf>
    <xf numFmtId="190" fontId="57" fillId="0" borderId="0" xfId="2" applyNumberFormat="1" applyFont="1"/>
    <xf numFmtId="0" fontId="2" fillId="0" borderId="0" xfId="0" applyFont="1" applyAlignment="1">
      <alignment vertical="center"/>
    </xf>
    <xf numFmtId="171" fontId="0" fillId="0" borderId="0" xfId="0" applyNumberFormat="1" applyAlignment="1">
      <alignment vertical="center"/>
    </xf>
    <xf numFmtId="0" fontId="58" fillId="0" borderId="0" xfId="0" applyFont="1"/>
    <xf numFmtId="0" fontId="12" fillId="0" borderId="15" xfId="0" applyFont="1" applyBorder="1"/>
    <xf numFmtId="0" fontId="58" fillId="0" borderId="0" xfId="0" applyFont="1" applyAlignment="1">
      <alignment vertical="center"/>
    </xf>
    <xf numFmtId="0" fontId="1" fillId="4" borderId="18" xfId="15" applyFill="1" applyBorder="1" applyAlignment="1">
      <alignment vertical="center"/>
    </xf>
    <xf numFmtId="0" fontId="1" fillId="4" borderId="4" xfId="15" applyFill="1" applyBorder="1" applyAlignment="1">
      <alignment vertical="center"/>
    </xf>
    <xf numFmtId="0" fontId="16" fillId="4" borderId="4" xfId="15" applyFont="1" applyFill="1" applyBorder="1" applyAlignment="1">
      <alignment horizontal="centerContinuous" vertical="center"/>
    </xf>
    <xf numFmtId="0" fontId="9" fillId="4" borderId="4" xfId="15" applyFont="1" applyFill="1" applyBorder="1" applyAlignment="1">
      <alignment horizontal="centerContinuous" vertical="center"/>
    </xf>
    <xf numFmtId="0" fontId="1" fillId="4" borderId="19" xfId="15" applyFill="1" applyBorder="1" applyAlignment="1">
      <alignment vertical="center"/>
    </xf>
    <xf numFmtId="0" fontId="1" fillId="4" borderId="20" xfId="15" applyFill="1" applyBorder="1" applyAlignment="1">
      <alignment vertical="center"/>
    </xf>
    <xf numFmtId="0" fontId="1" fillId="4" borderId="21" xfId="15" applyFill="1" applyBorder="1" applyAlignment="1">
      <alignment vertical="center"/>
    </xf>
    <xf numFmtId="0" fontId="1" fillId="5" borderId="20" xfId="15" applyFill="1" applyBorder="1"/>
    <xf numFmtId="0" fontId="11" fillId="5" borderId="21" xfId="0" applyFont="1" applyFill="1" applyBorder="1"/>
    <xf numFmtId="0" fontId="1" fillId="3" borderId="20" xfId="15" applyFill="1" applyBorder="1"/>
    <xf numFmtId="0" fontId="11" fillId="3" borderId="21" xfId="0" applyFont="1" applyFill="1" applyBorder="1"/>
    <xf numFmtId="164" fontId="1" fillId="0" borderId="21" xfId="1" applyNumberFormat="1" applyFont="1" applyBorder="1"/>
    <xf numFmtId="170" fontId="9" fillId="0" borderId="21" xfId="0" applyNumberFormat="1" applyFont="1" applyBorder="1"/>
    <xf numFmtId="171" fontId="59" fillId="0" borderId="0" xfId="0" applyNumberFormat="1" applyFont="1"/>
    <xf numFmtId="0" fontId="59" fillId="0" borderId="0" xfId="0" applyFont="1"/>
    <xf numFmtId="176" fontId="59" fillId="0" borderId="0" xfId="0" applyNumberFormat="1" applyFont="1"/>
    <xf numFmtId="0" fontId="10" fillId="0" borderId="0" xfId="0" quotePrefix="1" applyFont="1" applyAlignment="1">
      <alignment horizontal="left" vertical="center"/>
    </xf>
    <xf numFmtId="37" fontId="10" fillId="0" borderId="0" xfId="1" applyNumberFormat="1" applyFont="1" applyAlignment="1">
      <alignment vertical="center"/>
    </xf>
    <xf numFmtId="178" fontId="10" fillId="0" borderId="0" xfId="0" applyNumberFormat="1" applyFont="1" applyAlignment="1">
      <alignment horizontal="left" vertical="center"/>
    </xf>
    <xf numFmtId="0" fontId="0" fillId="0" borderId="20" xfId="0" applyBorder="1" applyAlignment="1">
      <alignment vertical="center"/>
    </xf>
    <xf numFmtId="0" fontId="61" fillId="2" borderId="25" xfId="13" applyFont="1" applyFill="1" applyBorder="1"/>
    <xf numFmtId="177" fontId="0" fillId="0" borderId="2" xfId="1" applyNumberFormat="1" applyFont="1" applyBorder="1"/>
    <xf numFmtId="0" fontId="14" fillId="0" borderId="0" xfId="0" applyFont="1"/>
    <xf numFmtId="0" fontId="10" fillId="0" borderId="18" xfId="0" applyFont="1" applyBorder="1" applyAlignment="1">
      <alignment vertical="center"/>
    </xf>
    <xf numFmtId="0" fontId="0" fillId="0" borderId="19" xfId="0" applyBorder="1"/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horizontal="centerContinuous"/>
    </xf>
    <xf numFmtId="0" fontId="0" fillId="0" borderId="22" xfId="0" applyBorder="1" applyAlignment="1">
      <alignment horizontal="centerContinuous"/>
    </xf>
    <xf numFmtId="0" fontId="11" fillId="0" borderId="0" xfId="0" applyFont="1" applyAlignment="1">
      <alignment horizontal="centerContinuous"/>
    </xf>
    <xf numFmtId="171" fontId="19" fillId="0" borderId="27" xfId="0" applyNumberFormat="1" applyFont="1" applyBorder="1"/>
    <xf numFmtId="0" fontId="0" fillId="0" borderId="27" xfId="0" applyBorder="1"/>
    <xf numFmtId="9" fontId="19" fillId="0" borderId="27" xfId="0" applyNumberFormat="1" applyFont="1" applyBorder="1"/>
    <xf numFmtId="0" fontId="0" fillId="0" borderId="28" xfId="0" applyBorder="1"/>
    <xf numFmtId="172" fontId="10" fillId="6" borderId="0" xfId="0" applyNumberFormat="1" applyFont="1" applyFill="1"/>
    <xf numFmtId="171" fontId="0" fillId="6" borderId="0" xfId="0" applyNumberFormat="1" applyFill="1"/>
    <xf numFmtId="171" fontId="0" fillId="6" borderId="2" xfId="0" applyNumberFormat="1" applyFill="1" applyBorder="1"/>
    <xf numFmtId="172" fontId="10" fillId="6" borderId="8" xfId="0" applyNumberFormat="1" applyFont="1" applyFill="1" applyBorder="1"/>
    <xf numFmtId="177" fontId="19" fillId="6" borderId="0" xfId="0" applyNumberFormat="1" applyFont="1" applyFill="1"/>
    <xf numFmtId="171" fontId="19" fillId="6" borderId="2" xfId="0" applyNumberFormat="1" applyFont="1" applyFill="1" applyBorder="1"/>
    <xf numFmtId="172" fontId="0" fillId="6" borderId="0" xfId="0" applyNumberFormat="1" applyFill="1"/>
    <xf numFmtId="172" fontId="10" fillId="6" borderId="3" xfId="0" applyNumberFormat="1" applyFont="1" applyFill="1" applyBorder="1"/>
    <xf numFmtId="177" fontId="19" fillId="6" borderId="2" xfId="0" applyNumberFormat="1" applyFont="1" applyFill="1" applyBorder="1"/>
    <xf numFmtId="177" fontId="0" fillId="6" borderId="2" xfId="0" applyNumberFormat="1" applyFill="1" applyBorder="1"/>
    <xf numFmtId="172" fontId="10" fillId="6" borderId="3" xfId="1" applyNumberFormat="1" applyFont="1" applyFill="1" applyBorder="1" applyProtection="1"/>
    <xf numFmtId="171" fontId="0" fillId="6" borderId="18" xfId="0" applyNumberFormat="1" applyFill="1" applyBorder="1"/>
    <xf numFmtId="171" fontId="0" fillId="6" borderId="19" xfId="0" applyNumberFormat="1" applyFill="1" applyBorder="1"/>
    <xf numFmtId="171" fontId="0" fillId="6" borderId="20" xfId="0" applyNumberFormat="1" applyFill="1" applyBorder="1"/>
    <xf numFmtId="171" fontId="0" fillId="6" borderId="21" xfId="0" applyNumberFormat="1" applyFill="1" applyBorder="1"/>
    <xf numFmtId="171" fontId="0" fillId="6" borderId="17" xfId="0" applyNumberFormat="1" applyFill="1" applyBorder="1"/>
    <xf numFmtId="171" fontId="0" fillId="6" borderId="22" xfId="0" applyNumberFormat="1" applyFill="1" applyBorder="1"/>
    <xf numFmtId="171" fontId="10" fillId="6" borderId="17" xfId="0" applyNumberFormat="1" applyFont="1" applyFill="1" applyBorder="1"/>
    <xf numFmtId="171" fontId="10" fillId="6" borderId="22" xfId="0" applyNumberFormat="1" applyFont="1" applyFill="1" applyBorder="1"/>
    <xf numFmtId="171" fontId="10" fillId="6" borderId="0" xfId="0" applyNumberFormat="1" applyFont="1" applyFill="1"/>
    <xf numFmtId="171" fontId="19" fillId="6" borderId="0" xfId="0" applyNumberFormat="1" applyFont="1" applyFill="1"/>
    <xf numFmtId="37" fontId="0" fillId="6" borderId="30" xfId="0" applyNumberFormat="1" applyFill="1" applyBorder="1"/>
    <xf numFmtId="172" fontId="10" fillId="6" borderId="2" xfId="0" applyNumberFormat="1" applyFont="1" applyFill="1" applyBorder="1"/>
    <xf numFmtId="172" fontId="10" fillId="6" borderId="22" xfId="0" applyNumberFormat="1" applyFont="1" applyFill="1" applyBorder="1"/>
    <xf numFmtId="177" fontId="19" fillId="6" borderId="24" xfId="0" applyNumberFormat="1" applyFont="1" applyFill="1" applyBorder="1"/>
    <xf numFmtId="172" fontId="0" fillId="6" borderId="26" xfId="0" applyNumberFormat="1" applyFill="1" applyBorder="1"/>
    <xf numFmtId="172" fontId="0" fillId="6" borderId="27" xfId="0" applyNumberFormat="1" applyFill="1" applyBorder="1"/>
    <xf numFmtId="172" fontId="0" fillId="6" borderId="28" xfId="0" applyNumberFormat="1" applyFill="1" applyBorder="1"/>
    <xf numFmtId="172" fontId="10" fillId="6" borderId="3" xfId="0" applyNumberFormat="1" applyFont="1" applyFill="1" applyBorder="1" applyAlignment="1">
      <alignment vertical="center"/>
    </xf>
    <xf numFmtId="37" fontId="19" fillId="6" borderId="19" xfId="0" applyNumberFormat="1" applyFont="1" applyFill="1" applyBorder="1"/>
    <xf numFmtId="37" fontId="19" fillId="6" borderId="22" xfId="0" applyNumberFormat="1" applyFont="1" applyFill="1" applyBorder="1"/>
    <xf numFmtId="171" fontId="0" fillId="6" borderId="2" xfId="1" applyNumberFormat="1" applyFont="1" applyFill="1" applyBorder="1" applyProtection="1">
      <protection locked="0"/>
    </xf>
    <xf numFmtId="171" fontId="0" fillId="6" borderId="0" xfId="1" applyNumberFormat="1" applyFont="1" applyFill="1"/>
    <xf numFmtId="171" fontId="0" fillId="6" borderId="0" xfId="1" applyNumberFormat="1" applyFont="1" applyFill="1" applyProtection="1">
      <protection locked="0"/>
    </xf>
    <xf numFmtId="171" fontId="0" fillId="6" borderId="4" xfId="1" applyNumberFormat="1" applyFont="1" applyFill="1" applyBorder="1"/>
    <xf numFmtId="172" fontId="10" fillId="6" borderId="3" xfId="1" applyNumberFormat="1" applyFont="1" applyFill="1" applyBorder="1" applyAlignment="1" applyProtection="1">
      <alignment vertical="center"/>
    </xf>
    <xf numFmtId="171" fontId="10" fillId="6" borderId="0" xfId="1" applyNumberFormat="1" applyFont="1" applyFill="1"/>
    <xf numFmtId="171" fontId="0" fillId="6" borderId="2" xfId="1" applyNumberFormat="1" applyFont="1" applyFill="1" applyBorder="1"/>
    <xf numFmtId="171" fontId="10" fillId="6" borderId="2" xfId="1" applyNumberFormat="1" applyFont="1" applyFill="1" applyBorder="1"/>
    <xf numFmtId="171" fontId="10" fillId="6" borderId="22" xfId="1" applyNumberFormat="1" applyFont="1" applyFill="1" applyBorder="1"/>
    <xf numFmtId="171" fontId="1" fillId="6" borderId="0" xfId="1" applyNumberFormat="1" applyFont="1" applyFill="1" applyProtection="1">
      <protection locked="0"/>
    </xf>
    <xf numFmtId="171" fontId="10" fillId="6" borderId="0" xfId="1" applyNumberFormat="1" applyFont="1" applyFill="1" applyProtection="1">
      <protection locked="0"/>
    </xf>
    <xf numFmtId="171" fontId="19" fillId="6" borderId="0" xfId="1" applyNumberFormat="1" applyFont="1" applyFill="1" applyProtection="1">
      <protection locked="0"/>
    </xf>
    <xf numFmtId="171" fontId="19" fillId="6" borderId="2" xfId="1" applyNumberFormat="1" applyFont="1" applyFill="1" applyBorder="1" applyProtection="1">
      <protection locked="0"/>
    </xf>
    <xf numFmtId="170" fontId="30" fillId="6" borderId="0" xfId="0" applyNumberFormat="1" applyFont="1" applyFill="1"/>
    <xf numFmtId="170" fontId="30" fillId="6" borderId="21" xfId="0" applyNumberFormat="1" applyFont="1" applyFill="1" applyBorder="1"/>
    <xf numFmtId="170" fontId="30" fillId="6" borderId="2" xfId="0" applyNumberFormat="1" applyFont="1" applyFill="1" applyBorder="1"/>
    <xf numFmtId="170" fontId="30" fillId="6" borderId="22" xfId="0" applyNumberFormat="1" applyFont="1" applyFill="1" applyBorder="1"/>
    <xf numFmtId="171" fontId="10" fillId="6" borderId="0" xfId="1" applyNumberFormat="1" applyFont="1" applyFill="1" applyAlignment="1">
      <alignment horizontal="right"/>
    </xf>
    <xf numFmtId="171" fontId="10" fillId="6" borderId="0" xfId="1" applyNumberFormat="1" applyFont="1" applyFill="1" applyAlignment="1" applyProtection="1">
      <alignment horizontal="right"/>
      <protection locked="0"/>
    </xf>
    <xf numFmtId="171" fontId="0" fillId="6" borderId="10" xfId="0" applyNumberFormat="1" applyFill="1" applyBorder="1"/>
    <xf numFmtId="191" fontId="0" fillId="6" borderId="15" xfId="0" applyNumberFormat="1" applyFill="1" applyBorder="1"/>
    <xf numFmtId="171" fontId="0" fillId="6" borderId="26" xfId="0" applyNumberFormat="1" applyFill="1" applyBorder="1"/>
    <xf numFmtId="171" fontId="0" fillId="6" borderId="28" xfId="0" applyNumberFormat="1" applyFill="1" applyBorder="1"/>
    <xf numFmtId="172" fontId="10" fillId="6" borderId="28" xfId="0" applyNumberFormat="1" applyFont="1" applyFill="1" applyBorder="1"/>
    <xf numFmtId="9" fontId="19" fillId="6" borderId="26" xfId="0" applyNumberFormat="1" applyFont="1" applyFill="1" applyBorder="1"/>
    <xf numFmtId="9" fontId="0" fillId="6" borderId="0" xfId="0" applyNumberFormat="1" applyFill="1"/>
    <xf numFmtId="9" fontId="19" fillId="6" borderId="28" xfId="0" applyNumberFormat="1" applyFont="1" applyFill="1" applyBorder="1"/>
    <xf numFmtId="9" fontId="0" fillId="6" borderId="2" xfId="0" applyNumberFormat="1" applyFill="1" applyBorder="1"/>
    <xf numFmtId="9" fontId="0" fillId="6" borderId="27" xfId="0" applyNumberFormat="1" applyFill="1" applyBorder="1"/>
    <xf numFmtId="171" fontId="0" fillId="6" borderId="27" xfId="0" applyNumberFormat="1" applyFill="1" applyBorder="1"/>
    <xf numFmtId="172" fontId="60" fillId="6" borderId="39" xfId="0" applyNumberFormat="1" applyFont="1" applyFill="1" applyBorder="1" applyAlignment="1">
      <alignment vertical="center"/>
    </xf>
    <xf numFmtId="171" fontId="19" fillId="6" borderId="26" xfId="0" applyNumberFormat="1" applyFont="1" applyFill="1" applyBorder="1"/>
    <xf numFmtId="171" fontId="19" fillId="6" borderId="28" xfId="0" applyNumberFormat="1" applyFont="1" applyFill="1" applyBorder="1"/>
    <xf numFmtId="171" fontId="10" fillId="6" borderId="28" xfId="0" applyNumberFormat="1" applyFont="1" applyFill="1" applyBorder="1"/>
    <xf numFmtId="177" fontId="0" fillId="6" borderId="0" xfId="0" applyNumberFormat="1" applyFill="1"/>
    <xf numFmtId="177" fontId="0" fillId="6" borderId="26" xfId="0" applyNumberFormat="1" applyFill="1" applyBorder="1"/>
    <xf numFmtId="172" fontId="10" fillId="6" borderId="39" xfId="0" applyNumberFormat="1" applyFont="1" applyFill="1" applyBorder="1" applyAlignment="1">
      <alignment vertical="center"/>
    </xf>
    <xf numFmtId="0" fontId="32" fillId="6" borderId="0" xfId="0" applyFont="1" applyFill="1" applyAlignment="1">
      <alignment horizontal="right" vertical="center"/>
    </xf>
    <xf numFmtId="177" fontId="50" fillId="6" borderId="9" xfId="0" applyNumberFormat="1" applyFont="1" applyFill="1" applyBorder="1"/>
    <xf numFmtId="177" fontId="50" fillId="6" borderId="10" xfId="0" applyNumberFormat="1" applyFont="1" applyFill="1" applyBorder="1"/>
    <xf numFmtId="177" fontId="50" fillId="6" borderId="11" xfId="0" applyNumberFormat="1" applyFont="1" applyFill="1" applyBorder="1"/>
    <xf numFmtId="177" fontId="50" fillId="6" borderId="12" xfId="0" applyNumberFormat="1" applyFont="1" applyFill="1" applyBorder="1"/>
    <xf numFmtId="177" fontId="50" fillId="6" borderId="0" xfId="0" applyNumberFormat="1" applyFont="1" applyFill="1"/>
    <xf numFmtId="177" fontId="50" fillId="6" borderId="13" xfId="0" applyNumberFormat="1" applyFont="1" applyFill="1" applyBorder="1"/>
    <xf numFmtId="177" fontId="50" fillId="6" borderId="14" xfId="0" applyNumberFormat="1" applyFont="1" applyFill="1" applyBorder="1"/>
    <xf numFmtId="177" fontId="50" fillId="6" borderId="15" xfId="0" applyNumberFormat="1" applyFont="1" applyFill="1" applyBorder="1"/>
    <xf numFmtId="177" fontId="50" fillId="6" borderId="16" xfId="0" applyNumberFormat="1" applyFont="1" applyFill="1" applyBorder="1"/>
    <xf numFmtId="0" fontId="47" fillId="6" borderId="0" xfId="2" applyFont="1" applyFill="1" applyAlignment="1">
      <alignment horizontal="center" vertical="center"/>
    </xf>
    <xf numFmtId="177" fontId="10" fillId="6" borderId="23" xfId="0" applyNumberFormat="1" applyFont="1" applyFill="1" applyBorder="1" applyAlignment="1">
      <alignment vertical="center"/>
    </xf>
    <xf numFmtId="177" fontId="10" fillId="6" borderId="8" xfId="0" applyNumberFormat="1" applyFont="1" applyFill="1" applyBorder="1" applyAlignment="1">
      <alignment vertical="center"/>
    </xf>
    <xf numFmtId="177" fontId="10" fillId="6" borderId="24" xfId="0" applyNumberFormat="1" applyFont="1" applyFill="1" applyBorder="1" applyAlignment="1">
      <alignment vertical="center"/>
    </xf>
    <xf numFmtId="171" fontId="52" fillId="6" borderId="23" xfId="0" applyNumberFormat="1" applyFont="1" applyFill="1" applyBorder="1" applyAlignment="1">
      <alignment vertical="center"/>
    </xf>
    <xf numFmtId="171" fontId="52" fillId="6" borderId="8" xfId="0" applyNumberFormat="1" applyFont="1" applyFill="1" applyBorder="1" applyAlignment="1">
      <alignment vertical="center"/>
    </xf>
    <xf numFmtId="171" fontId="52" fillId="6" borderId="24" xfId="0" applyNumberFormat="1" applyFont="1" applyFill="1" applyBorder="1" applyAlignment="1">
      <alignment vertical="center"/>
    </xf>
    <xf numFmtId="171" fontId="50" fillId="6" borderId="9" xfId="1" applyNumberFormat="1" applyFont="1" applyFill="1" applyBorder="1" applyProtection="1"/>
    <xf numFmtId="171" fontId="50" fillId="6" borderId="10" xfId="1" applyNumberFormat="1" applyFont="1" applyFill="1" applyBorder="1" applyProtection="1"/>
    <xf numFmtId="171" fontId="50" fillId="6" borderId="11" xfId="0" applyNumberFormat="1" applyFont="1" applyFill="1" applyBorder="1"/>
    <xf numFmtId="171" fontId="12" fillId="6" borderId="12" xfId="1" applyNumberFormat="1" applyFont="1" applyFill="1" applyBorder="1" applyProtection="1"/>
    <xf numFmtId="171" fontId="12" fillId="6" borderId="0" xfId="1" applyNumberFormat="1" applyFont="1" applyFill="1" applyBorder="1" applyProtection="1"/>
    <xf numFmtId="171" fontId="12" fillId="6" borderId="13" xfId="1" applyNumberFormat="1" applyFont="1" applyFill="1" applyBorder="1" applyProtection="1"/>
    <xf numFmtId="171" fontId="12" fillId="6" borderId="14" xfId="1" applyNumberFormat="1" applyFont="1" applyFill="1" applyBorder="1" applyProtection="1"/>
    <xf numFmtId="171" fontId="12" fillId="6" borderId="15" xfId="1" applyNumberFormat="1" applyFont="1" applyFill="1" applyBorder="1" applyProtection="1"/>
    <xf numFmtId="171" fontId="12" fillId="6" borderId="16" xfId="1" applyNumberFormat="1" applyFont="1" applyFill="1" applyBorder="1" applyProtection="1"/>
    <xf numFmtId="177" fontId="50" fillId="0" borderId="9" xfId="0" applyNumberFormat="1" applyFont="1" applyBorder="1"/>
    <xf numFmtId="177" fontId="50" fillId="0" borderId="10" xfId="0" applyNumberFormat="1" applyFont="1" applyBorder="1"/>
    <xf numFmtId="177" fontId="50" fillId="0" borderId="11" xfId="0" applyNumberFormat="1" applyFont="1" applyBorder="1"/>
    <xf numFmtId="177" fontId="50" fillId="0" borderId="12" xfId="0" applyNumberFormat="1" applyFont="1" applyBorder="1"/>
    <xf numFmtId="177" fontId="50" fillId="0" borderId="0" xfId="0" applyNumberFormat="1" applyFont="1"/>
    <xf numFmtId="177" fontId="50" fillId="0" borderId="13" xfId="0" applyNumberFormat="1" applyFont="1" applyBorder="1"/>
    <xf numFmtId="177" fontId="50" fillId="0" borderId="14" xfId="0" applyNumberFormat="1" applyFont="1" applyBorder="1"/>
    <xf numFmtId="177" fontId="50" fillId="0" borderId="15" xfId="0" applyNumberFormat="1" applyFont="1" applyBorder="1"/>
    <xf numFmtId="177" fontId="50" fillId="0" borderId="16" xfId="0" applyNumberFormat="1" applyFont="1" applyBorder="1"/>
    <xf numFmtId="0" fontId="7" fillId="6" borderId="0" xfId="0" applyFont="1" applyFill="1" applyAlignment="1">
      <alignment horizontal="left"/>
    </xf>
    <xf numFmtId="0" fontId="14" fillId="6" borderId="0" xfId="0" applyFont="1" applyFill="1" applyAlignment="1">
      <alignment horizontal="left"/>
    </xf>
    <xf numFmtId="171" fontId="14" fillId="6" borderId="21" xfId="0" applyNumberFormat="1" applyFont="1" applyFill="1" applyBorder="1" applyAlignment="1">
      <alignment horizontal="right" vertical="center"/>
    </xf>
    <xf numFmtId="9" fontId="0" fillId="6" borderId="21" xfId="0" applyNumberFormat="1" applyFill="1" applyBorder="1" applyAlignment="1">
      <alignment vertical="center"/>
    </xf>
    <xf numFmtId="171" fontId="15" fillId="6" borderId="0" xfId="0" applyNumberFormat="1" applyFont="1" applyFill="1"/>
    <xf numFmtId="177" fontId="14" fillId="6" borderId="22" xfId="0" quotePrefix="1" applyNumberFormat="1" applyFont="1" applyFill="1" applyBorder="1" applyAlignment="1">
      <alignment horizontal="right"/>
    </xf>
    <xf numFmtId="177" fontId="14" fillId="6" borderId="21" xfId="0" applyNumberFormat="1" applyFont="1" applyFill="1" applyBorder="1" applyAlignment="1">
      <alignment horizontal="right"/>
    </xf>
    <xf numFmtId="9" fontId="14" fillId="6" borderId="0" xfId="0" applyNumberFormat="1" applyFont="1" applyFill="1"/>
    <xf numFmtId="183" fontId="0" fillId="6" borderId="2" xfId="0" applyNumberFormat="1" applyFill="1" applyBorder="1"/>
    <xf numFmtId="177" fontId="14" fillId="6" borderId="35" xfId="0" quotePrefix="1" applyNumberFormat="1" applyFont="1" applyFill="1" applyBorder="1" applyAlignment="1">
      <alignment horizontal="right"/>
    </xf>
    <xf numFmtId="0" fontId="14" fillId="6" borderId="21" xfId="0" applyFont="1" applyFill="1" applyBorder="1" applyAlignment="1">
      <alignment horizontal="right"/>
    </xf>
    <xf numFmtId="177" fontId="15" fillId="6" borderId="0" xfId="0" applyNumberFormat="1" applyFont="1" applyFill="1" applyAlignment="1">
      <alignment horizontal="right"/>
    </xf>
    <xf numFmtId="177" fontId="15" fillId="6" borderId="21" xfId="0" applyNumberFormat="1" applyFont="1" applyFill="1" applyBorder="1" applyAlignment="1">
      <alignment horizontal="right"/>
    </xf>
    <xf numFmtId="172" fontId="14" fillId="6" borderId="0" xfId="0" applyNumberFormat="1" applyFont="1" applyFill="1"/>
    <xf numFmtId="172" fontId="14" fillId="6" borderId="21" xfId="0" applyNumberFormat="1" applyFont="1" applyFill="1" applyBorder="1"/>
    <xf numFmtId="186" fontId="14" fillId="6" borderId="0" xfId="0" applyNumberFormat="1" applyFont="1" applyFill="1"/>
    <xf numFmtId="186" fontId="14" fillId="6" borderId="21" xfId="0" applyNumberFormat="1" applyFont="1" applyFill="1" applyBorder="1"/>
    <xf numFmtId="164" fontId="1" fillId="6" borderId="0" xfId="1" applyNumberFormat="1" applyFont="1" applyFill="1" applyBorder="1"/>
    <xf numFmtId="170" fontId="30" fillId="6" borderId="0" xfId="0" applyNumberFormat="1" applyFont="1" applyFill="1" applyAlignment="1">
      <alignment horizontal="right"/>
    </xf>
    <xf numFmtId="0" fontId="1" fillId="6" borderId="0" xfId="2" applyFont="1" applyFill="1" applyAlignment="1">
      <alignment horizontal="left"/>
    </xf>
    <xf numFmtId="0" fontId="56" fillId="6" borderId="0" xfId="13" applyFont="1" applyFill="1" applyProtection="1">
      <protection locked="0"/>
    </xf>
    <xf numFmtId="181" fontId="37" fillId="6" borderId="0" xfId="14" applyNumberFormat="1" applyFont="1" applyFill="1" applyAlignment="1" applyProtection="1">
      <alignment horizontal="left" wrapText="1"/>
      <protection locked="0"/>
    </xf>
    <xf numFmtId="190" fontId="14" fillId="6" borderId="0" xfId="0" quotePrefix="1" applyNumberFormat="1" applyFont="1" applyFill="1" applyAlignment="1">
      <alignment horizontal="center"/>
    </xf>
    <xf numFmtId="190" fontId="14" fillId="6" borderId="2" xfId="0" quotePrefix="1" applyNumberFormat="1" applyFont="1" applyFill="1" applyBorder="1" applyAlignment="1">
      <alignment horizontal="center"/>
    </xf>
    <xf numFmtId="184" fontId="14" fillId="6" borderId="21" xfId="0" applyNumberFormat="1" applyFont="1" applyFill="1" applyBorder="1" applyAlignment="1">
      <alignment horizontal="right"/>
    </xf>
    <xf numFmtId="171" fontId="0" fillId="6" borderId="0" xfId="0" applyNumberFormat="1" applyFont="1" applyFill="1"/>
    <xf numFmtId="171" fontId="1" fillId="6" borderId="0" xfId="1" applyNumberFormat="1" applyFont="1" applyFill="1"/>
    <xf numFmtId="0" fontId="1" fillId="0" borderId="0" xfId="0" applyFont="1"/>
    <xf numFmtId="171" fontId="1" fillId="6" borderId="0" xfId="0" applyNumberFormat="1" applyFont="1" applyFill="1"/>
    <xf numFmtId="171" fontId="1" fillId="6" borderId="2" xfId="1" applyNumberFormat="1" applyFont="1" applyFill="1" applyBorder="1" applyProtection="1">
      <protection locked="0"/>
    </xf>
    <xf numFmtId="37" fontId="1" fillId="0" borderId="0" xfId="1" applyNumberFormat="1" applyFont="1"/>
    <xf numFmtId="171" fontId="1" fillId="0" borderId="0" xfId="0" applyNumberFormat="1" applyFont="1"/>
    <xf numFmtId="171" fontId="1" fillId="6" borderId="2" xfId="0" applyNumberFormat="1" applyFont="1" applyFill="1" applyBorder="1"/>
    <xf numFmtId="171" fontId="1" fillId="0" borderId="0" xfId="1" applyNumberFormat="1" applyFont="1"/>
    <xf numFmtId="171" fontId="1" fillId="6" borderId="4" xfId="1" applyNumberFormat="1" applyFont="1" applyFill="1" applyBorder="1"/>
    <xf numFmtId="171" fontId="1" fillId="6" borderId="19" xfId="1" applyNumberFormat="1" applyFont="1" applyFill="1" applyBorder="1"/>
    <xf numFmtId="171" fontId="1" fillId="6" borderId="2" xfId="1" applyNumberFormat="1" applyFont="1" applyFill="1" applyBorder="1"/>
    <xf numFmtId="171" fontId="1" fillId="6" borderId="22" xfId="1" applyNumberFormat="1" applyFont="1" applyFill="1" applyBorder="1"/>
  </cellXfs>
  <cellStyles count="16">
    <cellStyle name="Across" xfId="3" xr:uid="{00000000-0005-0000-0000-000000000000}"/>
    <cellStyle name="Bottom" xfId="4" xr:uid="{00000000-0005-0000-0000-000001000000}"/>
    <cellStyle name="Center" xfId="5" xr:uid="{00000000-0005-0000-0000-000002000000}"/>
    <cellStyle name="Comma" xfId="1" builtinId="3"/>
    <cellStyle name="Currency [2]" xfId="6" xr:uid="{00000000-0005-0000-0000-000004000000}"/>
    <cellStyle name="Double" xfId="7" xr:uid="{00000000-0005-0000-0000-000005000000}"/>
    <cellStyle name="Normal" xfId="0" builtinId="0"/>
    <cellStyle name="Normal 2" xfId="13" xr:uid="{74F8E564-F51D-48A2-BFF2-B46E4A105ED9}"/>
    <cellStyle name="Normal_DrydenNewDCF3" xfId="15" xr:uid="{4173AE58-1743-418C-8586-1CA270BECDE7}"/>
    <cellStyle name="Normal_Inverness Drive Model 4-26-02" xfId="14" xr:uid="{908DF311-5276-49FA-A95A-27A0CE3B11FF}"/>
    <cellStyle name="Normal_TrainingDCF1" xfId="2" xr:uid="{00000000-0005-0000-0000-000008000000}"/>
    <cellStyle name="Numbers" xfId="8" xr:uid="{00000000-0005-0000-0000-000009000000}"/>
    <cellStyle name="Numbers - Bold - Italic" xfId="9" xr:uid="{00000000-0005-0000-0000-00000A000000}"/>
    <cellStyle name="Outline" xfId="10" xr:uid="{00000000-0005-0000-0000-00000B000000}"/>
    <cellStyle name="Percent" xfId="12" builtinId="5"/>
    <cellStyle name="Percent 2" xfId="11" xr:uid="{00000000-0005-0000-0000-00000D000000}"/>
  </cellStyles>
  <dxfs count="2"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</dxfs>
  <tableStyles count="0" defaultTableStyle="TableStyleMedium2" defaultPivotStyle="PivotStyleLight16"/>
  <colors>
    <mruColors>
      <color rgb="FFFFFF99"/>
      <color rgb="FF993366"/>
      <color rgb="FFFFA500"/>
      <color rgb="FFEBD181"/>
      <color rgb="FF222B39"/>
      <color rgb="FFE0A94A"/>
      <color rgb="FF52908B"/>
      <color rgb="FF5F779F"/>
      <color rgb="FF495C7B"/>
      <color rgb="FF3B4A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Style="combo" dx="31" fmlaLink="$D$6" fmlaRange="$C$14:$C$16" noThreeD="1" sel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365117</xdr:colOff>
      <xdr:row>2</xdr:row>
      <xdr:rowOff>111120</xdr:rowOff>
    </xdr:from>
    <xdr:to>
      <xdr:col>2</xdr:col>
      <xdr:colOff>271849</xdr:colOff>
      <xdr:row>7</xdr:row>
      <xdr:rowOff>166013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A7EDA4-4798-40BD-B3B1-B39911F0C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117" y="507995"/>
          <a:ext cx="1914920" cy="12852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1216601</xdr:colOff>
          <xdr:row>4</xdr:row>
          <xdr:rowOff>56285</xdr:rowOff>
        </xdr:from>
        <xdr:to>
          <xdr:col>4</xdr:col>
          <xdr:colOff>70137</xdr:colOff>
          <xdr:row>6</xdr:row>
          <xdr:rowOff>16453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FC6FA805-0685-E9FB-F9EB-470574FAFE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F4CF5-EE5E-422E-9A42-FC20D042E525}">
  <sheetPr>
    <pageSetUpPr autoPageBreaks="0"/>
  </sheetPr>
  <dimension ref="A1:P28"/>
  <sheetViews>
    <sheetView topLeftCell="A12" zoomScale="80" zoomScaleNormal="80" workbookViewId="0">
      <selection activeCell="B14" sqref="B14"/>
    </sheetView>
  </sheetViews>
  <sheetFormatPr defaultColWidth="12.42578125" defaultRowHeight="15"/>
  <cols>
    <col min="1" max="1" width="5.140625" style="108" customWidth="1"/>
    <col min="2" max="2" width="23.5703125" style="108" customWidth="1"/>
    <col min="3" max="11" width="12.42578125" style="108"/>
    <col min="12" max="12" width="2.85546875" style="108" customWidth="1"/>
    <col min="13" max="16384" width="12.42578125" style="108"/>
  </cols>
  <sheetData>
    <row r="1" spans="1:16" ht="15.75">
      <c r="A1" s="107"/>
      <c r="B1" s="107"/>
      <c r="C1" s="107"/>
      <c r="D1" s="107"/>
      <c r="E1" s="107"/>
      <c r="F1" s="107"/>
      <c r="G1" s="107"/>
      <c r="H1" s="107"/>
      <c r="I1" s="356"/>
      <c r="J1" s="107"/>
    </row>
    <row r="4" spans="1:16" ht="30">
      <c r="D4" s="109" t="s">
        <v>108</v>
      </c>
      <c r="K4" s="109"/>
    </row>
    <row r="6" spans="1:16" ht="20.25">
      <c r="D6" s="233" t="s">
        <v>110</v>
      </c>
      <c r="M6" s="108" t="s">
        <v>109</v>
      </c>
    </row>
    <row r="10" spans="1:16" ht="30">
      <c r="B10" s="110"/>
    </row>
    <row r="11" spans="1:16" ht="18">
      <c r="B11" s="111"/>
      <c r="C11" s="111"/>
      <c r="D11" s="111"/>
    </row>
    <row r="12" spans="1:16" ht="33.75">
      <c r="B12" s="494" t="s">
        <v>206</v>
      </c>
    </row>
    <row r="13" spans="1:16" ht="20.25" customHeight="1">
      <c r="B13" s="495">
        <f ca="1">TODAY()</f>
        <v>45934</v>
      </c>
      <c r="C13" s="111"/>
      <c r="D13" s="111"/>
    </row>
    <row r="15" spans="1:16" ht="15.95" customHeight="1">
      <c r="P15" s="112"/>
    </row>
    <row r="16" spans="1:16">
      <c r="P16" s="112"/>
    </row>
    <row r="17" spans="1:10" ht="20.25">
      <c r="B17" s="113" t="s">
        <v>175</v>
      </c>
    </row>
    <row r="18" spans="1:10" ht="20.25">
      <c r="B18" s="114" t="s">
        <v>119</v>
      </c>
    </row>
    <row r="23" spans="1:10" ht="18" customHeight="1">
      <c r="B23" s="116" t="s">
        <v>111</v>
      </c>
    </row>
    <row r="24" spans="1:10" ht="18" customHeight="1">
      <c r="B24" s="116" t="s">
        <v>112</v>
      </c>
    </row>
    <row r="25" spans="1:10" ht="18.95" customHeight="1">
      <c r="D25" s="114"/>
    </row>
    <row r="28" spans="1:10" ht="15.75" thickBot="1">
      <c r="A28" s="115"/>
      <c r="B28" s="115"/>
      <c r="C28" s="115"/>
      <c r="D28" s="115"/>
      <c r="E28" s="115"/>
      <c r="F28" s="115"/>
      <c r="G28" s="115"/>
      <c r="H28" s="115"/>
      <c r="I28" s="115"/>
      <c r="J28" s="115"/>
    </row>
  </sheetData>
  <sheetProtection algorithmName="SHA-512" hashValue="XSbxQUFec4Ark3QGIZy043/gSkpyi2V5XzXWEDnvoUgMhO5QW1vubJR2Wb9kwjtQXnrz8S3bS0PK21vO6GdMHg==" saltValue="v+IPXc5sMZ6sse3Q012iKg==" spinCount="100000" sheet="1" objects="1" scenarios="1"/>
  <printOptions horizontalCentered="1" verticalCentered="1"/>
  <pageMargins left="0.25" right="0.25" top="0.35" bottom="0.3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5F758-EE45-4311-9C06-9C3930CE4D88}">
  <dimension ref="B1:AF66"/>
  <sheetViews>
    <sheetView showGridLines="0" zoomScaleNormal="100" workbookViewId="0">
      <selection activeCell="V49" sqref="V49"/>
    </sheetView>
  </sheetViews>
  <sheetFormatPr defaultColWidth="10.7109375" defaultRowHeight="12.75"/>
  <cols>
    <col min="1" max="1" width="2.5703125" style="74" customWidth="1"/>
    <col min="2" max="2" width="4.7109375" style="74" customWidth="1"/>
    <col min="3" max="4" width="1.7109375" style="74" customWidth="1"/>
    <col min="5" max="5" width="20.7109375" style="74" customWidth="1"/>
    <col min="6" max="6" width="9.28515625" style="74" customWidth="1"/>
    <col min="7" max="7" width="1.85546875" style="74" customWidth="1"/>
    <col min="8" max="15" width="9.28515625" style="74" customWidth="1"/>
    <col min="16" max="16" width="1.7109375" style="74" customWidth="1"/>
    <col min="17" max="17" width="4.7109375" style="74" customWidth="1"/>
    <col min="18" max="19" width="2.7109375" style="74" customWidth="1"/>
    <col min="20" max="21" width="1.7109375" style="74" customWidth="1"/>
    <col min="22" max="22" width="20.7109375" style="74" customWidth="1"/>
    <col min="23" max="31" width="9.28515625" style="74" customWidth="1"/>
    <col min="32" max="32" width="1.7109375" style="74" customWidth="1"/>
    <col min="33" max="16384" width="10.7109375" style="74"/>
  </cols>
  <sheetData>
    <row r="1" spans="2:32" ht="22.7" customHeight="1">
      <c r="B1" s="71" t="str">
        <f>Cover!B12</f>
        <v>Grand Crew Cycling Company</v>
      </c>
      <c r="C1" s="72"/>
      <c r="D1" s="72"/>
      <c r="E1" s="72"/>
      <c r="F1" s="72"/>
      <c r="G1" s="72"/>
      <c r="H1" s="73"/>
      <c r="I1" s="73"/>
      <c r="J1" s="73"/>
      <c r="K1" s="73"/>
      <c r="L1" s="73"/>
      <c r="M1" s="73"/>
      <c r="N1" s="73"/>
      <c r="O1" s="73"/>
      <c r="P1" s="73"/>
      <c r="Q1" s="73"/>
      <c r="T1" s="72"/>
      <c r="U1" s="72"/>
      <c r="V1" s="72"/>
      <c r="W1" s="72"/>
      <c r="X1" s="73"/>
      <c r="Y1" s="73"/>
      <c r="Z1" s="73"/>
      <c r="AA1" s="73"/>
      <c r="AB1" s="73"/>
      <c r="AC1" s="73"/>
      <c r="AD1" s="73"/>
      <c r="AE1" s="73"/>
    </row>
    <row r="2" spans="2:32" ht="18">
      <c r="B2" s="75" t="s">
        <v>113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</row>
    <row r="3" spans="2:32" ht="3" customHeight="1" thickBot="1"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</row>
    <row r="4" spans="2:32" ht="9.9499999999999993" customHeight="1"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 spans="2:32" ht="15" customHeight="1">
      <c r="C5" s="78" t="s">
        <v>92</v>
      </c>
      <c r="D5" s="79"/>
      <c r="E5" s="79"/>
      <c r="F5" s="79"/>
      <c r="G5" s="79"/>
      <c r="H5" s="77"/>
      <c r="I5" s="77"/>
      <c r="J5" s="77"/>
      <c r="K5" s="77"/>
      <c r="L5" s="77"/>
      <c r="M5" s="77"/>
      <c r="N5" s="77"/>
      <c r="O5" s="77"/>
      <c r="P5" s="77"/>
      <c r="T5" s="78" t="str">
        <f>"SUMMMARY VALUES - "&amp;UPPER(CHOOSE(Scenarios!$D$6,Scenarios!C14,Scenarios!C15,Scenarios!C16))</f>
        <v>SUMMMARY VALUES - BASE CASE</v>
      </c>
      <c r="U5" s="79"/>
      <c r="V5" s="79"/>
      <c r="W5" s="79"/>
      <c r="X5" s="77"/>
      <c r="Y5" s="77"/>
      <c r="Z5" s="77"/>
      <c r="AA5" s="77"/>
      <c r="AB5" s="77"/>
      <c r="AC5" s="77"/>
      <c r="AD5" s="77"/>
      <c r="AE5" s="77"/>
    </row>
    <row r="6" spans="2:32" s="80" customFormat="1" ht="15" customHeight="1">
      <c r="C6" s="236"/>
      <c r="D6" s="237"/>
      <c r="E6" s="237"/>
      <c r="F6" s="237"/>
      <c r="G6" s="237"/>
      <c r="H6" s="237"/>
      <c r="I6" s="237"/>
      <c r="J6" s="237"/>
      <c r="K6" s="238" t="s">
        <v>114</v>
      </c>
      <c r="L6" s="239"/>
      <c r="M6" s="239"/>
      <c r="N6" s="239"/>
      <c r="O6" s="239"/>
      <c r="P6" s="240"/>
      <c r="T6" s="81"/>
      <c r="U6" s="82"/>
      <c r="V6" s="82"/>
      <c r="W6" s="82"/>
      <c r="X6" s="82"/>
      <c r="Y6" s="82"/>
      <c r="Z6" s="82"/>
      <c r="AA6" s="83" t="s">
        <v>114</v>
      </c>
      <c r="AB6" s="84"/>
      <c r="AC6" s="84"/>
      <c r="AD6" s="84"/>
      <c r="AE6" s="84"/>
      <c r="AF6" s="85"/>
    </row>
    <row r="7" spans="2:32" s="80" customFormat="1" ht="15" customHeight="1">
      <c r="C7" s="241"/>
      <c r="D7" s="242" t="s">
        <v>115</v>
      </c>
      <c r="E7" s="243"/>
      <c r="F7" s="242" t="s">
        <v>116</v>
      </c>
      <c r="G7" s="243"/>
      <c r="H7" s="244">
        <f>X7</f>
        <v>2023</v>
      </c>
      <c r="I7" s="244">
        <f t="shared" ref="I7:O7" si="0">Y7</f>
        <v>2024</v>
      </c>
      <c r="J7" s="244">
        <f t="shared" si="0"/>
        <v>2025</v>
      </c>
      <c r="K7" s="235">
        <f t="shared" si="0"/>
        <v>2026</v>
      </c>
      <c r="L7" s="235">
        <f t="shared" si="0"/>
        <v>2027</v>
      </c>
      <c r="M7" s="235">
        <f t="shared" si="0"/>
        <v>2028</v>
      </c>
      <c r="N7" s="235">
        <f t="shared" si="0"/>
        <v>2029</v>
      </c>
      <c r="O7" s="235">
        <f t="shared" si="0"/>
        <v>2030</v>
      </c>
      <c r="P7" s="245"/>
      <c r="T7" s="86"/>
      <c r="U7" s="87"/>
      <c r="V7" s="87"/>
      <c r="W7" s="87"/>
      <c r="X7" s="88">
        <f>Model!H7</f>
        <v>2023</v>
      </c>
      <c r="Y7" s="88">
        <f>Model!I7</f>
        <v>2024</v>
      </c>
      <c r="Z7" s="88">
        <f>Model!J7</f>
        <v>2025</v>
      </c>
      <c r="AA7" s="89">
        <f>Model!K7</f>
        <v>2026</v>
      </c>
      <c r="AB7" s="89">
        <f>Model!L7</f>
        <v>2027</v>
      </c>
      <c r="AC7" s="89">
        <f>Model!M7</f>
        <v>2028</v>
      </c>
      <c r="AD7" s="89">
        <f>Model!N7</f>
        <v>2029</v>
      </c>
      <c r="AE7" s="89">
        <f>Model!O7</f>
        <v>2030</v>
      </c>
      <c r="AF7" s="90"/>
    </row>
    <row r="8" spans="2:32" ht="3" customHeight="1">
      <c r="C8" s="246"/>
      <c r="D8" s="247"/>
      <c r="E8" s="247"/>
      <c r="F8" s="247"/>
      <c r="G8" s="247"/>
      <c r="H8" s="248"/>
      <c r="I8" s="248"/>
      <c r="J8" s="249"/>
      <c r="K8" s="250"/>
      <c r="L8" s="250"/>
      <c r="M8" s="250"/>
      <c r="N8" s="250"/>
      <c r="O8" s="250"/>
      <c r="P8" s="251"/>
      <c r="T8" s="91"/>
      <c r="X8" s="92"/>
      <c r="Y8" s="92"/>
      <c r="Z8" s="93"/>
      <c r="AA8" s="6"/>
      <c r="AB8" s="6"/>
      <c r="AC8" s="6"/>
      <c r="AD8" s="6"/>
      <c r="AE8" s="6"/>
      <c r="AF8" s="94"/>
    </row>
    <row r="9" spans="2:32" ht="3" customHeight="1">
      <c r="C9" s="252"/>
      <c r="D9" s="253"/>
      <c r="E9" s="253"/>
      <c r="F9" s="253"/>
      <c r="G9" s="253"/>
      <c r="H9" s="254"/>
      <c r="I9" s="254"/>
      <c r="J9" s="255"/>
      <c r="K9" s="256"/>
      <c r="L9" s="256"/>
      <c r="M9" s="256"/>
      <c r="N9" s="256"/>
      <c r="O9" s="256"/>
      <c r="P9" s="257"/>
      <c r="T9" s="91"/>
      <c r="X9" s="92"/>
      <c r="Y9" s="92"/>
      <c r="Z9" s="93"/>
      <c r="AA9" s="6"/>
      <c r="AB9" s="6"/>
      <c r="AC9" s="6"/>
      <c r="AD9" s="6"/>
      <c r="AE9" s="6"/>
      <c r="AF9" s="94"/>
    </row>
    <row r="10" spans="2:32" ht="12.95" customHeight="1">
      <c r="C10" s="258"/>
      <c r="D10" s="95" t="s">
        <v>88</v>
      </c>
      <c r="P10" s="259"/>
      <c r="T10" s="91"/>
      <c r="U10" s="95" t="s">
        <v>88</v>
      </c>
      <c r="AF10" s="94"/>
    </row>
    <row r="11" spans="2:32" ht="3" customHeight="1">
      <c r="C11" s="258"/>
      <c r="D11" s="95"/>
      <c r="P11" s="259"/>
      <c r="T11" s="91"/>
      <c r="U11" s="95"/>
      <c r="AF11" s="94"/>
    </row>
    <row r="12" spans="2:32">
      <c r="C12" s="258"/>
      <c r="E12" s="74" t="s">
        <v>176</v>
      </c>
      <c r="F12" s="96"/>
      <c r="H12" s="491">
        <v>41.5</v>
      </c>
      <c r="I12" s="491">
        <v>45.2</v>
      </c>
      <c r="J12" s="491">
        <v>49.4</v>
      </c>
      <c r="K12" s="491">
        <v>55.819091250000014</v>
      </c>
      <c r="L12" s="491">
        <v>59.688514989562513</v>
      </c>
      <c r="M12" s="491">
        <v>71.818941582539381</v>
      </c>
      <c r="N12" s="491">
        <v>81.732451134324108</v>
      </c>
      <c r="O12" s="491">
        <v>68.77780848883242</v>
      </c>
      <c r="P12" s="259"/>
      <c r="T12" s="91"/>
      <c r="V12" s="234" t="s">
        <v>176</v>
      </c>
      <c r="W12" s="97" t="s">
        <v>117</v>
      </c>
      <c r="X12" s="491">
        <f>Model!H77</f>
        <v>41.5</v>
      </c>
      <c r="Y12" s="491">
        <f>Model!I77</f>
        <v>45.2</v>
      </c>
      <c r="Z12" s="491">
        <f>Model!J77</f>
        <v>49.4</v>
      </c>
      <c r="AA12" s="491">
        <f>Model!K77</f>
        <v>55.819091250000014</v>
      </c>
      <c r="AB12" s="491">
        <f>Model!L77</f>
        <v>59.688514989562513</v>
      </c>
      <c r="AC12" s="491">
        <f>Model!M77</f>
        <v>71.818941582539381</v>
      </c>
      <c r="AD12" s="491">
        <f>Model!N77</f>
        <v>81.732451134324108</v>
      </c>
      <c r="AE12" s="491">
        <f>Model!O77</f>
        <v>68.77780848883242</v>
      </c>
      <c r="AF12" s="94"/>
    </row>
    <row r="13" spans="2:32">
      <c r="C13" s="258"/>
      <c r="E13" s="99" t="s">
        <v>90</v>
      </c>
      <c r="F13" s="100"/>
      <c r="G13" s="99"/>
      <c r="I13" s="415">
        <v>8.9156626506024184E-2</v>
      </c>
      <c r="J13" s="415">
        <v>9.2920353982300696E-2</v>
      </c>
      <c r="K13" s="415">
        <v>0.12994111842105305</v>
      </c>
      <c r="L13" s="415">
        <v>6.9320794246404027E-2</v>
      </c>
      <c r="M13" s="415">
        <v>0.2032288220790559</v>
      </c>
      <c r="N13" s="415">
        <v>0.13803474867965604</v>
      </c>
      <c r="O13" s="415">
        <v>-0.15850060123856113</v>
      </c>
      <c r="P13" s="259"/>
      <c r="T13" s="91"/>
      <c r="V13" s="99" t="s">
        <v>90</v>
      </c>
      <c r="W13" s="100" t="s">
        <v>118</v>
      </c>
      <c r="Y13" s="415">
        <f>Y12/X12-1</f>
        <v>8.9156626506024184E-2</v>
      </c>
      <c r="Z13" s="415">
        <f t="shared" ref="Z13:AE13" si="1">Z12/Y12-1</f>
        <v>9.2920353982300696E-2</v>
      </c>
      <c r="AA13" s="415">
        <f t="shared" si="1"/>
        <v>0.12994111842105305</v>
      </c>
      <c r="AB13" s="415">
        <f t="shared" si="1"/>
        <v>6.9320794246404027E-2</v>
      </c>
      <c r="AC13" s="415">
        <f t="shared" si="1"/>
        <v>0.2032288220790559</v>
      </c>
      <c r="AD13" s="415">
        <f t="shared" si="1"/>
        <v>0.13803474867965604</v>
      </c>
      <c r="AE13" s="415">
        <f t="shared" si="1"/>
        <v>-0.15850060123856113</v>
      </c>
      <c r="AF13" s="94"/>
    </row>
    <row r="14" spans="2:32" ht="3" customHeight="1">
      <c r="C14" s="258"/>
      <c r="E14" s="260"/>
      <c r="F14" s="260"/>
      <c r="G14" s="260"/>
      <c r="P14" s="259"/>
      <c r="T14" s="91"/>
      <c r="AF14" s="94"/>
    </row>
    <row r="15" spans="2:32" ht="3" customHeight="1">
      <c r="C15" s="258"/>
      <c r="P15" s="259"/>
      <c r="T15" s="91"/>
      <c r="AF15" s="94"/>
    </row>
    <row r="16" spans="2:32">
      <c r="C16" s="258"/>
      <c r="E16" s="74" t="s">
        <v>7</v>
      </c>
      <c r="F16" s="96"/>
      <c r="H16" s="491">
        <v>7</v>
      </c>
      <c r="I16" s="491">
        <v>7.2000000000000046</v>
      </c>
      <c r="J16" s="491">
        <v>8.7999999999999954</v>
      </c>
      <c r="K16" s="491">
        <v>12.082741250000012</v>
      </c>
      <c r="L16" s="491">
        <v>13.212695722062513</v>
      </c>
      <c r="M16" s="491">
        <v>22.383282371821011</v>
      </c>
      <c r="N16" s="491">
        <v>29.44890713464472</v>
      </c>
      <c r="O16" s="491">
        <v>15.032481012283704</v>
      </c>
      <c r="P16" s="261"/>
      <c r="T16" s="91"/>
      <c r="V16" s="74" t="s">
        <v>7</v>
      </c>
      <c r="W16" s="97" t="s">
        <v>117</v>
      </c>
      <c r="X16" s="491">
        <f>Model!H84</f>
        <v>7</v>
      </c>
      <c r="Y16" s="491">
        <f>Model!I84</f>
        <v>7.2000000000000046</v>
      </c>
      <c r="Z16" s="491">
        <f>Model!J84</f>
        <v>8.7999999999999954</v>
      </c>
      <c r="AA16" s="491">
        <f>Model!K84</f>
        <v>12.082741250000012</v>
      </c>
      <c r="AB16" s="491">
        <f>Model!L84</f>
        <v>13.212695722062513</v>
      </c>
      <c r="AC16" s="491">
        <f>Model!M84</f>
        <v>22.383282371821011</v>
      </c>
      <c r="AD16" s="491">
        <f>Model!N84</f>
        <v>29.44890713464472</v>
      </c>
      <c r="AE16" s="491">
        <f>Model!O84</f>
        <v>15.032481012283704</v>
      </c>
      <c r="AF16" s="94"/>
    </row>
    <row r="17" spans="3:32">
      <c r="C17" s="258"/>
      <c r="E17" s="99" t="s">
        <v>91</v>
      </c>
      <c r="F17" s="100"/>
      <c r="G17" s="99"/>
      <c r="H17" s="415">
        <v>0.16867469879518071</v>
      </c>
      <c r="I17" s="415">
        <v>0.15929203539823017</v>
      </c>
      <c r="J17" s="415">
        <v>0.17813765182186225</v>
      </c>
      <c r="K17" s="415">
        <v>0.21646252168248994</v>
      </c>
      <c r="L17" s="415">
        <v>0.22136077140423016</v>
      </c>
      <c r="M17" s="415">
        <v>0.31166265999752402</v>
      </c>
      <c r="N17" s="415">
        <v>0.36030862559409343</v>
      </c>
      <c r="O17" s="415">
        <v>0.21856586219557367</v>
      </c>
      <c r="P17" s="262"/>
      <c r="T17" s="91"/>
      <c r="V17" s="99" t="s">
        <v>91</v>
      </c>
      <c r="W17" s="100" t="s">
        <v>118</v>
      </c>
      <c r="X17" s="415">
        <f>X16/X12</f>
        <v>0.16867469879518071</v>
      </c>
      <c r="Y17" s="415">
        <f t="shared" ref="Y17:AE17" si="2">Y16/Y12</f>
        <v>0.15929203539823017</v>
      </c>
      <c r="Z17" s="415">
        <f t="shared" si="2"/>
        <v>0.17813765182186225</v>
      </c>
      <c r="AA17" s="415">
        <f t="shared" si="2"/>
        <v>0.21646252168248994</v>
      </c>
      <c r="AB17" s="415">
        <f t="shared" si="2"/>
        <v>0.22136077140423016</v>
      </c>
      <c r="AC17" s="415">
        <f t="shared" si="2"/>
        <v>0.31166265999752402</v>
      </c>
      <c r="AD17" s="415">
        <f t="shared" si="2"/>
        <v>0.36030862559409343</v>
      </c>
      <c r="AE17" s="415">
        <f t="shared" si="2"/>
        <v>0.21856586219557367</v>
      </c>
      <c r="AF17" s="94"/>
    </row>
    <row r="18" spans="3:32">
      <c r="C18" s="258"/>
      <c r="E18" s="99" t="s">
        <v>90</v>
      </c>
      <c r="F18" s="100"/>
      <c r="G18" s="99"/>
      <c r="H18" s="100"/>
      <c r="I18" s="415">
        <v>2.8571428571429136E-2</v>
      </c>
      <c r="J18" s="415">
        <v>0.22222222222222077</v>
      </c>
      <c r="K18" s="415">
        <v>0.37303877840909294</v>
      </c>
      <c r="L18" s="415">
        <v>9.3518055934740829E-2</v>
      </c>
      <c r="M18" s="415">
        <v>0.69407385462192117</v>
      </c>
      <c r="N18" s="415">
        <v>0.31566526506044701</v>
      </c>
      <c r="O18" s="415">
        <v>-0.48954027585631632</v>
      </c>
      <c r="P18" s="262"/>
      <c r="T18" s="91"/>
      <c r="V18" s="99" t="s">
        <v>90</v>
      </c>
      <c r="W18" s="100" t="s">
        <v>118</v>
      </c>
      <c r="X18" s="100"/>
      <c r="Y18" s="415">
        <f>Y16/X16-1</f>
        <v>2.8571428571429136E-2</v>
      </c>
      <c r="Z18" s="415">
        <f t="shared" ref="Z18:AE18" si="3">Z16/Y16-1</f>
        <v>0.22222222222222077</v>
      </c>
      <c r="AA18" s="415">
        <f t="shared" si="3"/>
        <v>0.37303877840909294</v>
      </c>
      <c r="AB18" s="415">
        <f t="shared" si="3"/>
        <v>9.3518055934740829E-2</v>
      </c>
      <c r="AC18" s="415">
        <f t="shared" si="3"/>
        <v>0.69407385462192117</v>
      </c>
      <c r="AD18" s="415">
        <f t="shared" si="3"/>
        <v>0.31566526506044701</v>
      </c>
      <c r="AE18" s="415">
        <f t="shared" si="3"/>
        <v>-0.48954027585631632</v>
      </c>
      <c r="AF18" s="94"/>
    </row>
    <row r="19" spans="3:32" ht="3" customHeight="1">
      <c r="C19" s="258"/>
      <c r="E19" s="260"/>
      <c r="F19" s="260"/>
      <c r="G19" s="260"/>
      <c r="P19" s="259"/>
      <c r="T19" s="91"/>
      <c r="AF19" s="94"/>
    </row>
    <row r="20" spans="3:32" ht="3" customHeight="1">
      <c r="C20" s="258"/>
      <c r="P20" s="259"/>
      <c r="T20" s="91"/>
      <c r="AF20" s="94"/>
    </row>
    <row r="21" spans="3:32">
      <c r="C21" s="258"/>
      <c r="E21" s="74" t="s">
        <v>14</v>
      </c>
      <c r="F21" s="96"/>
      <c r="H21" s="491">
        <v>2.4</v>
      </c>
      <c r="I21" s="491">
        <v>2.3000000000000043</v>
      </c>
      <c r="J21" s="491">
        <v>3.3999999999999955</v>
      </c>
      <c r="K21" s="491">
        <v>5.125918875000008</v>
      </c>
      <c r="L21" s="491">
        <v>5.4879133705023886</v>
      </c>
      <c r="M21" s="491">
        <v>11.63590607536824</v>
      </c>
      <c r="N21" s="491">
        <v>16.341903187682409</v>
      </c>
      <c r="O21" s="491">
        <v>5.8635563600227192</v>
      </c>
      <c r="P21" s="261"/>
      <c r="T21" s="91"/>
      <c r="V21" s="74" t="s">
        <v>14</v>
      </c>
      <c r="W21" s="97" t="s">
        <v>117</v>
      </c>
      <c r="X21" s="491">
        <f>Model!H96</f>
        <v>2.4</v>
      </c>
      <c r="Y21" s="491">
        <f>Model!I96</f>
        <v>2.3000000000000043</v>
      </c>
      <c r="Z21" s="491">
        <f>Model!J96</f>
        <v>3.3999999999999955</v>
      </c>
      <c r="AA21" s="491">
        <f>Model!K96</f>
        <v>5.125918875000008</v>
      </c>
      <c r="AB21" s="491">
        <f>Model!L96</f>
        <v>5.4879133705023886</v>
      </c>
      <c r="AC21" s="491">
        <f>Model!M96</f>
        <v>11.63590607536824</v>
      </c>
      <c r="AD21" s="491">
        <f>Model!N96</f>
        <v>16.341903187682409</v>
      </c>
      <c r="AE21" s="491">
        <f>Model!O96</f>
        <v>5.8635563600227192</v>
      </c>
      <c r="AF21" s="94"/>
    </row>
    <row r="22" spans="3:32">
      <c r="C22" s="258"/>
      <c r="E22" s="99" t="s">
        <v>91</v>
      </c>
      <c r="F22" s="263"/>
      <c r="G22" s="99"/>
      <c r="H22" s="415">
        <v>5.7831325301204814E-2</v>
      </c>
      <c r="I22" s="415">
        <v>5.0884955752212482E-2</v>
      </c>
      <c r="J22" s="415">
        <v>6.8825910931174003E-2</v>
      </c>
      <c r="K22" s="415">
        <v>9.1830926663464929E-2</v>
      </c>
      <c r="L22" s="415">
        <v>9.1942534865577366E-2</v>
      </c>
      <c r="M22" s="415">
        <v>0.16201723137336183</v>
      </c>
      <c r="N22" s="415">
        <v>0.19994387738139807</v>
      </c>
      <c r="O22" s="415">
        <v>8.5253608523667854E-2</v>
      </c>
      <c r="P22" s="261"/>
      <c r="T22" s="91"/>
      <c r="V22" s="99" t="s">
        <v>91</v>
      </c>
      <c r="W22" s="100" t="s">
        <v>118</v>
      </c>
      <c r="X22" s="415">
        <f>X21/X12</f>
        <v>5.7831325301204814E-2</v>
      </c>
      <c r="Y22" s="415">
        <f t="shared" ref="Y22:AE22" si="4">Y21/Y12</f>
        <v>5.0884955752212482E-2</v>
      </c>
      <c r="Z22" s="415">
        <f t="shared" si="4"/>
        <v>6.8825910931174003E-2</v>
      </c>
      <c r="AA22" s="415">
        <f t="shared" si="4"/>
        <v>9.1830926663464929E-2</v>
      </c>
      <c r="AB22" s="415">
        <f t="shared" si="4"/>
        <v>9.1942534865577366E-2</v>
      </c>
      <c r="AC22" s="415">
        <f t="shared" si="4"/>
        <v>0.16201723137336183</v>
      </c>
      <c r="AD22" s="415">
        <f t="shared" si="4"/>
        <v>0.19994387738139807</v>
      </c>
      <c r="AE22" s="415">
        <f t="shared" si="4"/>
        <v>8.5253608523667854E-2</v>
      </c>
      <c r="AF22" s="94"/>
    </row>
    <row r="23" spans="3:32">
      <c r="C23" s="258"/>
      <c r="E23" s="99" t="s">
        <v>90</v>
      </c>
      <c r="F23" s="263"/>
      <c r="G23" s="99"/>
      <c r="H23" s="100"/>
      <c r="I23" s="492">
        <v>-4.1666666666664853E-2</v>
      </c>
      <c r="J23" s="492">
        <v>0.47826086956521263</v>
      </c>
      <c r="K23" s="492">
        <v>0.50762319852941618</v>
      </c>
      <c r="L23" s="492">
        <v>7.0620410570266801E-2</v>
      </c>
      <c r="M23" s="492">
        <v>1.1202787452716363</v>
      </c>
      <c r="N23" s="492">
        <v>0.40443752998970806</v>
      </c>
      <c r="O23" s="492">
        <v>-0.6411950130482762</v>
      </c>
      <c r="P23" s="261"/>
      <c r="T23" s="91"/>
      <c r="V23" s="99" t="s">
        <v>90</v>
      </c>
      <c r="W23" s="100" t="s">
        <v>118</v>
      </c>
      <c r="X23" s="100"/>
      <c r="Y23" s="492">
        <f>IF(Y21/X21-1&lt;=-1,"NM ",Y21/X21-1)</f>
        <v>-4.1666666666664853E-2</v>
      </c>
      <c r="Z23" s="492">
        <f t="shared" ref="Z23:AE23" si="5">IF(Z21/Y21-1&lt;=-1,"NM ",Z21/Y21-1)</f>
        <v>0.47826086956521263</v>
      </c>
      <c r="AA23" s="492">
        <f t="shared" si="5"/>
        <v>0.50762319852941618</v>
      </c>
      <c r="AB23" s="492">
        <f t="shared" si="5"/>
        <v>7.0620410570266801E-2</v>
      </c>
      <c r="AC23" s="492">
        <f t="shared" si="5"/>
        <v>1.1202787452716363</v>
      </c>
      <c r="AD23" s="492">
        <f t="shared" si="5"/>
        <v>0.40443752998970806</v>
      </c>
      <c r="AE23" s="492">
        <f t="shared" si="5"/>
        <v>-0.6411950130482762</v>
      </c>
      <c r="AF23" s="94"/>
    </row>
    <row r="24" spans="3:32" ht="3.95" customHeight="1">
      <c r="C24" s="264"/>
      <c r="D24" s="265"/>
      <c r="E24" s="266"/>
      <c r="F24" s="265"/>
      <c r="G24" s="265"/>
      <c r="H24" s="265"/>
      <c r="I24" s="265"/>
      <c r="J24" s="265"/>
      <c r="K24" s="265"/>
      <c r="L24" s="265"/>
      <c r="M24" s="265"/>
      <c r="N24" s="265"/>
      <c r="O24" s="265"/>
      <c r="P24" s="267"/>
      <c r="T24" s="101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3"/>
    </row>
    <row r="25" spans="3:32" ht="9.9499999999999993" customHeight="1"/>
    <row r="26" spans="3:32" ht="15" customHeight="1">
      <c r="C26" s="78" t="s">
        <v>99</v>
      </c>
      <c r="D26" s="79"/>
      <c r="E26" s="79"/>
      <c r="F26" s="79"/>
      <c r="G26" s="79"/>
      <c r="H26" s="77"/>
      <c r="I26" s="77"/>
      <c r="J26" s="77"/>
      <c r="K26" s="77"/>
      <c r="L26" s="77"/>
      <c r="M26" s="77"/>
      <c r="N26" s="77"/>
      <c r="O26" s="77"/>
      <c r="P26" s="77"/>
    </row>
    <row r="27" spans="3:32" s="80" customFormat="1" ht="15" customHeight="1">
      <c r="C27" s="336"/>
      <c r="D27" s="337"/>
      <c r="E27" s="337"/>
      <c r="F27" s="337"/>
      <c r="G27" s="337"/>
      <c r="H27" s="337"/>
      <c r="I27" s="337"/>
      <c r="J27" s="337"/>
      <c r="K27" s="338" t="s">
        <v>114</v>
      </c>
      <c r="L27" s="339"/>
      <c r="M27" s="339"/>
      <c r="N27" s="339"/>
      <c r="O27" s="339"/>
      <c r="P27" s="340"/>
    </row>
    <row r="28" spans="3:32" s="80" customFormat="1" ht="15" customHeight="1">
      <c r="C28" s="341"/>
      <c r="D28" s="242" t="s">
        <v>115</v>
      </c>
      <c r="E28" s="243"/>
      <c r="F28" s="242" t="s">
        <v>116</v>
      </c>
      <c r="G28" s="243"/>
      <c r="H28" s="244">
        <f t="shared" ref="H28:O28" si="6">H7</f>
        <v>2023</v>
      </c>
      <c r="I28" s="244">
        <f t="shared" si="6"/>
        <v>2024</v>
      </c>
      <c r="J28" s="244">
        <f t="shared" si="6"/>
        <v>2025</v>
      </c>
      <c r="K28" s="235">
        <f t="shared" si="6"/>
        <v>2026</v>
      </c>
      <c r="L28" s="235">
        <f t="shared" si="6"/>
        <v>2027</v>
      </c>
      <c r="M28" s="235">
        <f t="shared" si="6"/>
        <v>2028</v>
      </c>
      <c r="N28" s="235">
        <f t="shared" si="6"/>
        <v>2029</v>
      </c>
      <c r="O28" s="235">
        <f t="shared" si="6"/>
        <v>2030</v>
      </c>
      <c r="P28" s="342"/>
    </row>
    <row r="29" spans="3:32" ht="3" customHeight="1">
      <c r="C29" s="343"/>
      <c r="D29" s="247"/>
      <c r="E29" s="247"/>
      <c r="F29" s="247"/>
      <c r="G29" s="247"/>
      <c r="H29" s="248"/>
      <c r="I29" s="248"/>
      <c r="J29" s="249"/>
      <c r="K29" s="250"/>
      <c r="L29" s="250"/>
      <c r="M29" s="250"/>
      <c r="N29" s="250"/>
      <c r="O29" s="250"/>
      <c r="P29" s="344"/>
      <c r="W29" s="80"/>
      <c r="X29" s="80"/>
      <c r="Y29" s="80"/>
    </row>
    <row r="30" spans="3:32" ht="3" customHeight="1">
      <c r="C30" s="345"/>
      <c r="D30" s="253"/>
      <c r="E30" s="253"/>
      <c r="F30" s="253"/>
      <c r="G30" s="253"/>
      <c r="H30" s="254"/>
      <c r="I30" s="254"/>
      <c r="J30" s="255"/>
      <c r="K30" s="256"/>
      <c r="L30" s="256"/>
      <c r="M30" s="256"/>
      <c r="N30" s="256"/>
      <c r="O30" s="256"/>
      <c r="P30" s="346"/>
      <c r="W30" s="80"/>
      <c r="X30" s="80"/>
      <c r="Y30" s="80"/>
    </row>
    <row r="31" spans="3:32" ht="12.95" customHeight="1">
      <c r="C31" s="91"/>
      <c r="D31" s="95" t="s">
        <v>88</v>
      </c>
      <c r="P31" s="94"/>
      <c r="W31" s="80"/>
      <c r="X31" s="80"/>
      <c r="Y31" s="80"/>
    </row>
    <row r="32" spans="3:32" ht="3" customHeight="1">
      <c r="C32" s="91"/>
      <c r="D32" s="95"/>
      <c r="P32" s="94"/>
      <c r="W32" s="80"/>
      <c r="X32" s="80"/>
      <c r="Y32" s="80"/>
    </row>
    <row r="33" spans="3:31">
      <c r="C33" s="91"/>
      <c r="E33" s="74" t="s">
        <v>89</v>
      </c>
      <c r="F33" s="96"/>
      <c r="H33" s="491">
        <v>41.5</v>
      </c>
      <c r="I33" s="491">
        <v>45.2</v>
      </c>
      <c r="J33" s="491">
        <v>49.4</v>
      </c>
      <c r="K33" s="491">
        <v>63.358185000000013</v>
      </c>
      <c r="L33" s="491">
        <v>69.64577931300002</v>
      </c>
      <c r="M33" s="491">
        <v>85.516938733000003</v>
      </c>
      <c r="N33" s="491">
        <v>91.781277507660008</v>
      </c>
      <c r="O33" s="491">
        <v>75.906903057813182</v>
      </c>
      <c r="P33" s="94"/>
      <c r="W33" s="80"/>
      <c r="X33" s="80"/>
      <c r="Y33" s="80"/>
      <c r="Z33" s="98"/>
      <c r="AA33" s="98"/>
      <c r="AB33" s="98"/>
      <c r="AC33" s="98"/>
      <c r="AD33" s="98"/>
      <c r="AE33" s="98"/>
    </row>
    <row r="34" spans="3:31">
      <c r="C34" s="91"/>
      <c r="E34" s="99" t="s">
        <v>90</v>
      </c>
      <c r="F34" s="100"/>
      <c r="G34" s="99"/>
      <c r="I34" s="415">
        <v>8.9156626506024184E-2</v>
      </c>
      <c r="J34" s="415">
        <v>9.2920353982300696E-2</v>
      </c>
      <c r="K34" s="415">
        <v>0.28255435222672087</v>
      </c>
      <c r="L34" s="415">
        <v>9.9238864134128857E-2</v>
      </c>
      <c r="M34" s="415">
        <v>0.22788400929038755</v>
      </c>
      <c r="N34" s="415">
        <v>7.3252607816311599E-2</v>
      </c>
      <c r="O34" s="415">
        <v>-0.17295874366666952</v>
      </c>
      <c r="P34" s="94"/>
      <c r="V34" s="104"/>
      <c r="W34" s="97"/>
      <c r="Y34" s="105"/>
      <c r="Z34" s="105"/>
      <c r="AA34" s="105"/>
      <c r="AB34" s="105"/>
      <c r="AC34" s="105"/>
      <c r="AD34" s="105"/>
      <c r="AE34" s="105"/>
    </row>
    <row r="35" spans="3:31" ht="3" customHeight="1">
      <c r="C35" s="91"/>
      <c r="P35" s="94"/>
    </row>
    <row r="36" spans="3:31" ht="3" customHeight="1">
      <c r="C36" s="91"/>
      <c r="P36" s="94"/>
    </row>
    <row r="37" spans="3:31">
      <c r="C37" s="91"/>
      <c r="E37" s="74" t="s">
        <v>7</v>
      </c>
      <c r="F37" s="96"/>
      <c r="H37" s="491">
        <v>7</v>
      </c>
      <c r="I37" s="491">
        <v>7.2000000000000046</v>
      </c>
      <c r="J37" s="491">
        <v>8.7999999999999954</v>
      </c>
      <c r="K37" s="491">
        <v>18.667985000000009</v>
      </c>
      <c r="L37" s="491">
        <v>21.073273433000011</v>
      </c>
      <c r="M37" s="491">
        <v>32.884458479979315</v>
      </c>
      <c r="N37" s="491">
        <v>38.096147649578903</v>
      </c>
      <c r="O37" s="491">
        <v>21.148070602570449</v>
      </c>
      <c r="P37" s="347"/>
      <c r="W37" s="97"/>
      <c r="X37" s="98"/>
      <c r="Y37" s="98"/>
      <c r="Z37" s="98"/>
      <c r="AA37" s="98"/>
      <c r="AB37" s="98"/>
      <c r="AC37" s="98"/>
      <c r="AD37" s="98"/>
      <c r="AE37" s="98"/>
    </row>
    <row r="38" spans="3:31">
      <c r="C38" s="91"/>
      <c r="E38" s="99" t="s">
        <v>91</v>
      </c>
      <c r="F38" s="100"/>
      <c r="G38" s="99"/>
      <c r="H38" s="415">
        <v>0.16867469879518071</v>
      </c>
      <c r="I38" s="415">
        <v>0.15929203539823017</v>
      </c>
      <c r="J38" s="415">
        <v>0.17813765182186225</v>
      </c>
      <c r="K38" s="415">
        <v>0.29464204190823973</v>
      </c>
      <c r="L38" s="415">
        <v>0.30257789690733622</v>
      </c>
      <c r="M38" s="415">
        <v>0.38453736730042209</v>
      </c>
      <c r="N38" s="415">
        <v>0.41507536922657701</v>
      </c>
      <c r="O38" s="415">
        <v>0.27860536724128221</v>
      </c>
      <c r="P38" s="348"/>
      <c r="V38" s="104"/>
      <c r="W38" s="97"/>
      <c r="X38" s="105"/>
      <c r="Y38" s="105"/>
      <c r="Z38" s="105"/>
      <c r="AA38" s="105"/>
      <c r="AB38" s="105"/>
      <c r="AC38" s="105"/>
      <c r="AD38" s="105"/>
      <c r="AE38" s="105"/>
    </row>
    <row r="39" spans="3:31">
      <c r="C39" s="91"/>
      <c r="E39" s="99" t="s">
        <v>90</v>
      </c>
      <c r="F39" s="100"/>
      <c r="G39" s="99"/>
      <c r="H39" s="100"/>
      <c r="I39" s="415">
        <v>2.8571428571429136E-2</v>
      </c>
      <c r="J39" s="415">
        <v>0.22222222222222077</v>
      </c>
      <c r="K39" s="415">
        <v>1.1213619318181838</v>
      </c>
      <c r="L39" s="415">
        <v>0.12884563775897617</v>
      </c>
      <c r="M39" s="415">
        <v>0.56048174406940499</v>
      </c>
      <c r="N39" s="415">
        <v>0.15848487128874456</v>
      </c>
      <c r="O39" s="415">
        <v>-0.44487640070336065</v>
      </c>
      <c r="P39" s="348"/>
      <c r="V39" s="104"/>
      <c r="W39" s="97"/>
      <c r="Y39" s="105"/>
      <c r="Z39" s="105"/>
      <c r="AA39" s="105"/>
      <c r="AB39" s="105"/>
      <c r="AC39" s="105"/>
      <c r="AD39" s="105"/>
      <c r="AE39" s="105"/>
    </row>
    <row r="40" spans="3:31" ht="3" customHeight="1">
      <c r="C40" s="91"/>
      <c r="P40" s="94"/>
    </row>
    <row r="41" spans="3:31" ht="3" customHeight="1">
      <c r="C41" s="91"/>
      <c r="P41" s="94"/>
    </row>
    <row r="42" spans="3:31">
      <c r="C42" s="91"/>
      <c r="E42" s="74" t="s">
        <v>14</v>
      </c>
      <c r="F42" s="96"/>
      <c r="H42" s="491">
        <v>2.4</v>
      </c>
      <c r="I42" s="491">
        <v>2.3000000000000043</v>
      </c>
      <c r="J42" s="491">
        <v>3.3999999999999955</v>
      </c>
      <c r="K42" s="491">
        <v>9.735589500000005</v>
      </c>
      <c r="L42" s="491">
        <v>11.017613039764118</v>
      </c>
      <c r="M42" s="491">
        <v>19.131582636072267</v>
      </c>
      <c r="N42" s="491">
        <v>22.620990273734598</v>
      </c>
      <c r="O42" s="491">
        <v>10.254726413014964</v>
      </c>
      <c r="P42" s="347"/>
      <c r="W42" s="97"/>
      <c r="X42" s="106"/>
      <c r="Y42" s="106"/>
      <c r="Z42" s="106"/>
      <c r="AA42" s="98"/>
      <c r="AB42" s="98"/>
      <c r="AC42" s="98"/>
      <c r="AD42" s="98"/>
      <c r="AE42" s="98"/>
    </row>
    <row r="43" spans="3:31">
      <c r="C43" s="91"/>
      <c r="E43" s="99" t="s">
        <v>91</v>
      </c>
      <c r="F43" s="100"/>
      <c r="G43" s="99"/>
      <c r="H43" s="415">
        <v>5.7831325301204814E-2</v>
      </c>
      <c r="I43" s="415">
        <v>5.0884955752212482E-2</v>
      </c>
      <c r="J43" s="415">
        <v>6.8825910931174003E-2</v>
      </c>
      <c r="K43" s="415">
        <v>0.15365953901615084</v>
      </c>
      <c r="L43" s="415">
        <v>0.15819498537375948</v>
      </c>
      <c r="M43" s="415">
        <v>0.22371687901276111</v>
      </c>
      <c r="N43" s="415">
        <v>0.24646628253618136</v>
      </c>
      <c r="O43" s="415">
        <v>0.13509609798208511</v>
      </c>
      <c r="P43" s="347"/>
      <c r="W43" s="97"/>
      <c r="X43" s="106"/>
      <c r="Y43" s="106"/>
      <c r="Z43" s="106"/>
      <c r="AA43" s="98"/>
      <c r="AB43" s="98"/>
      <c r="AC43" s="98"/>
      <c r="AD43" s="98"/>
      <c r="AE43" s="98"/>
    </row>
    <row r="44" spans="3:31">
      <c r="C44" s="91"/>
      <c r="E44" s="99" t="s">
        <v>90</v>
      </c>
      <c r="F44" s="100"/>
      <c r="G44" s="99"/>
      <c r="H44" s="100"/>
      <c r="I44" s="492">
        <v>-4.1666666666664853E-2</v>
      </c>
      <c r="J44" s="492">
        <v>0.47826086956521263</v>
      </c>
      <c r="K44" s="492">
        <v>1.8634086764705935</v>
      </c>
      <c r="L44" s="492">
        <v>0.13168422310370742</v>
      </c>
      <c r="M44" s="492">
        <v>0.73645439960758186</v>
      </c>
      <c r="N44" s="492">
        <v>0.18238991013127759</v>
      </c>
      <c r="O44" s="492">
        <v>-0.54667208248076549</v>
      </c>
      <c r="P44" s="347"/>
      <c r="W44" s="97"/>
      <c r="X44" s="106"/>
      <c r="Y44" s="106"/>
      <c r="Z44" s="106"/>
      <c r="AA44" s="98"/>
      <c r="AB44" s="98"/>
      <c r="AC44" s="98"/>
      <c r="AD44" s="98"/>
      <c r="AE44" s="98"/>
    </row>
    <row r="45" spans="3:31" ht="3.95" customHeight="1">
      <c r="C45" s="101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3"/>
    </row>
    <row r="46" spans="3:31" ht="9.9499999999999993" customHeight="1"/>
    <row r="47" spans="3:31" ht="15" customHeight="1">
      <c r="C47" s="78" t="s">
        <v>97</v>
      </c>
      <c r="D47" s="79"/>
      <c r="E47" s="79"/>
      <c r="F47" s="79"/>
      <c r="G47" s="79"/>
      <c r="H47" s="77"/>
      <c r="I47" s="77"/>
      <c r="J47" s="77"/>
      <c r="K47" s="77"/>
      <c r="L47" s="77"/>
      <c r="M47" s="77"/>
      <c r="N47" s="77"/>
      <c r="O47" s="77"/>
      <c r="P47" s="77"/>
    </row>
    <row r="48" spans="3:31" s="80" customFormat="1" ht="15" customHeight="1">
      <c r="C48" s="336"/>
      <c r="D48" s="337"/>
      <c r="E48" s="337"/>
      <c r="F48" s="337"/>
      <c r="G48" s="337"/>
      <c r="H48" s="337"/>
      <c r="I48" s="337"/>
      <c r="J48" s="337"/>
      <c r="K48" s="338" t="s">
        <v>114</v>
      </c>
      <c r="L48" s="339"/>
      <c r="M48" s="339"/>
      <c r="N48" s="339"/>
      <c r="O48" s="339"/>
      <c r="P48" s="340"/>
    </row>
    <row r="49" spans="3:31" s="80" customFormat="1" ht="15" customHeight="1">
      <c r="C49" s="341"/>
      <c r="D49" s="242" t="s">
        <v>115</v>
      </c>
      <c r="E49" s="243"/>
      <c r="F49" s="242" t="s">
        <v>116</v>
      </c>
      <c r="G49" s="243"/>
      <c r="H49" s="244">
        <f>H28</f>
        <v>2023</v>
      </c>
      <c r="I49" s="244">
        <f t="shared" ref="I49:O49" si="7">I28</f>
        <v>2024</v>
      </c>
      <c r="J49" s="244">
        <f t="shared" si="7"/>
        <v>2025</v>
      </c>
      <c r="K49" s="235">
        <f t="shared" si="7"/>
        <v>2026</v>
      </c>
      <c r="L49" s="235">
        <f t="shared" si="7"/>
        <v>2027</v>
      </c>
      <c r="M49" s="235">
        <f t="shared" si="7"/>
        <v>2028</v>
      </c>
      <c r="N49" s="235">
        <f t="shared" si="7"/>
        <v>2029</v>
      </c>
      <c r="O49" s="235">
        <f t="shared" si="7"/>
        <v>2030</v>
      </c>
      <c r="P49" s="342"/>
    </row>
    <row r="50" spans="3:31" ht="3" customHeight="1">
      <c r="C50" s="343"/>
      <c r="D50" s="247"/>
      <c r="E50" s="247"/>
      <c r="F50" s="247"/>
      <c r="G50" s="247"/>
      <c r="H50" s="248"/>
      <c r="I50" s="248"/>
      <c r="J50" s="249"/>
      <c r="K50" s="250"/>
      <c r="L50" s="250"/>
      <c r="M50" s="250"/>
      <c r="N50" s="250"/>
      <c r="O50" s="250"/>
      <c r="P50" s="344"/>
      <c r="X50" s="80"/>
      <c r="Y50" s="80"/>
      <c r="Z50" s="80"/>
      <c r="AA50" s="80"/>
      <c r="AB50" s="80"/>
      <c r="AC50" s="80"/>
      <c r="AD50" s="80"/>
      <c r="AE50" s="80"/>
    </row>
    <row r="51" spans="3:31" ht="3" customHeight="1">
      <c r="C51" s="345"/>
      <c r="D51" s="253"/>
      <c r="E51" s="253"/>
      <c r="F51" s="253"/>
      <c r="G51" s="253"/>
      <c r="H51" s="254"/>
      <c r="I51" s="254"/>
      <c r="J51" s="255"/>
      <c r="K51" s="256"/>
      <c r="L51" s="256"/>
      <c r="M51" s="256"/>
      <c r="N51" s="256"/>
      <c r="O51" s="256"/>
      <c r="P51" s="346"/>
      <c r="X51" s="80"/>
      <c r="Y51" s="80"/>
      <c r="Z51" s="80"/>
      <c r="AA51" s="80"/>
      <c r="AB51" s="80"/>
      <c r="AC51" s="80"/>
      <c r="AD51" s="80"/>
      <c r="AE51" s="80"/>
    </row>
    <row r="52" spans="3:31" ht="12.95" customHeight="1">
      <c r="C52" s="91"/>
      <c r="D52" s="95" t="s">
        <v>88</v>
      </c>
      <c r="P52" s="94"/>
      <c r="X52" s="80"/>
      <c r="Y52" s="80"/>
      <c r="Z52" s="80"/>
      <c r="AA52" s="80"/>
      <c r="AB52" s="80"/>
      <c r="AC52" s="80"/>
      <c r="AD52" s="80"/>
      <c r="AE52" s="80"/>
    </row>
    <row r="53" spans="3:31">
      <c r="C53" s="91"/>
      <c r="E53" s="74" t="s">
        <v>89</v>
      </c>
      <c r="F53" s="96"/>
      <c r="H53" s="491">
        <v>41.5</v>
      </c>
      <c r="I53" s="491">
        <v>45.2</v>
      </c>
      <c r="J53" s="491">
        <v>49.4</v>
      </c>
      <c r="K53" s="491">
        <v>49.043531250000001</v>
      </c>
      <c r="L53" s="491">
        <v>51.434260664062506</v>
      </c>
      <c r="M53" s="491">
        <v>60.737994016259762</v>
      </c>
      <c r="N53" s="491">
        <v>68.462425589687072</v>
      </c>
      <c r="O53" s="491">
        <v>59.317338878986661</v>
      </c>
      <c r="P53" s="94"/>
      <c r="W53" s="97"/>
      <c r="X53" s="80"/>
      <c r="Y53" s="80"/>
      <c r="Z53" s="80"/>
      <c r="AA53" s="80"/>
      <c r="AB53" s="80"/>
      <c r="AC53" s="80"/>
      <c r="AD53" s="80"/>
      <c r="AE53" s="80"/>
    </row>
    <row r="54" spans="3:31">
      <c r="C54" s="91"/>
      <c r="E54" s="99" t="s">
        <v>90</v>
      </c>
      <c r="F54" s="100"/>
      <c r="G54" s="99"/>
      <c r="I54" s="415">
        <v>8.9156626506024184E-2</v>
      </c>
      <c r="J54" s="415">
        <v>9.2920353982300696E-2</v>
      </c>
      <c r="K54" s="415">
        <v>-7.2159665991902155E-3</v>
      </c>
      <c r="L54" s="415">
        <v>4.8747089639115337E-2</v>
      </c>
      <c r="M54" s="415">
        <v>0.18088591596491721</v>
      </c>
      <c r="N54" s="415">
        <v>0.12717627077640148</v>
      </c>
      <c r="O54" s="415">
        <v>-0.13357818733314053</v>
      </c>
      <c r="P54" s="94"/>
      <c r="V54" s="104"/>
      <c r="W54" s="97"/>
      <c r="X54" s="80"/>
      <c r="Y54" s="80"/>
      <c r="Z54" s="80"/>
      <c r="AA54" s="80"/>
      <c r="AB54" s="80"/>
      <c r="AC54" s="80"/>
      <c r="AD54" s="80"/>
      <c r="AE54" s="80"/>
    </row>
    <row r="55" spans="3:31" ht="3" customHeight="1">
      <c r="C55" s="91"/>
      <c r="P55" s="94"/>
      <c r="X55" s="80"/>
      <c r="Y55" s="80"/>
      <c r="Z55" s="80"/>
      <c r="AA55" s="80"/>
      <c r="AB55" s="80"/>
      <c r="AC55" s="80"/>
      <c r="AD55" s="80"/>
      <c r="AE55" s="80"/>
    </row>
    <row r="56" spans="3:31" ht="3" customHeight="1">
      <c r="C56" s="91"/>
      <c r="P56" s="94"/>
      <c r="X56" s="80"/>
      <c r="Y56" s="80"/>
      <c r="Z56" s="80"/>
      <c r="AA56" s="80"/>
      <c r="AB56" s="80"/>
      <c r="AC56" s="80"/>
      <c r="AD56" s="80"/>
      <c r="AE56" s="80"/>
    </row>
    <row r="57" spans="3:31">
      <c r="C57" s="91"/>
      <c r="E57" s="74" t="s">
        <v>7</v>
      </c>
      <c r="F57" s="96"/>
      <c r="H57" s="491">
        <v>7</v>
      </c>
      <c r="I57" s="491">
        <v>7.2000000000000046</v>
      </c>
      <c r="J57" s="491">
        <v>8.7999999999999954</v>
      </c>
      <c r="K57" s="491">
        <v>5.4297812500000049</v>
      </c>
      <c r="L57" s="491">
        <v>5.2409059765625088</v>
      </c>
      <c r="M57" s="491">
        <v>11.786988377587896</v>
      </c>
      <c r="N57" s="491">
        <v>16.562612923410228</v>
      </c>
      <c r="O57" s="491">
        <v>4.2634653280585582</v>
      </c>
      <c r="P57" s="347"/>
      <c r="W57" s="97"/>
      <c r="X57" s="80"/>
      <c r="Y57" s="80"/>
      <c r="Z57" s="80"/>
      <c r="AA57" s="80"/>
      <c r="AB57" s="80"/>
      <c r="AC57" s="80"/>
      <c r="AD57" s="80"/>
      <c r="AE57" s="80"/>
    </row>
    <row r="58" spans="3:31">
      <c r="C58" s="91"/>
      <c r="E58" s="99" t="s">
        <v>91</v>
      </c>
      <c r="F58" s="100"/>
      <c r="G58" s="99"/>
      <c r="H58" s="415">
        <v>0.16867469879518071</v>
      </c>
      <c r="I58" s="415">
        <v>0.15929203539823017</v>
      </c>
      <c r="J58" s="415">
        <v>0.17813765182186225</v>
      </c>
      <c r="K58" s="415">
        <v>0.11071350515772668</v>
      </c>
      <c r="L58" s="415">
        <v>0.10189523303917865</v>
      </c>
      <c r="M58" s="415">
        <v>0.19406285256033448</v>
      </c>
      <c r="N58" s="415">
        <v>0.24192267189997368</v>
      </c>
      <c r="O58" s="415">
        <v>7.187553266265799E-2</v>
      </c>
      <c r="P58" s="348"/>
      <c r="V58" s="104"/>
      <c r="W58" s="97"/>
      <c r="X58" s="80"/>
      <c r="Y58" s="80"/>
      <c r="Z58" s="80"/>
      <c r="AA58" s="80"/>
      <c r="AB58" s="80"/>
      <c r="AC58" s="80"/>
      <c r="AD58" s="80"/>
      <c r="AE58" s="80"/>
    </row>
    <row r="59" spans="3:31">
      <c r="C59" s="91"/>
      <c r="E59" s="99" t="s">
        <v>90</v>
      </c>
      <c r="F59" s="100"/>
      <c r="G59" s="99"/>
      <c r="H59" s="100"/>
      <c r="I59" s="415">
        <v>2.8571428571429136E-2</v>
      </c>
      <c r="J59" s="415">
        <v>0.22222222222222077</v>
      </c>
      <c r="K59" s="415">
        <v>-0.38297940340908998</v>
      </c>
      <c r="L59" s="415">
        <v>-3.4785061265128481E-2</v>
      </c>
      <c r="M59" s="415">
        <v>1.2490364128453493</v>
      </c>
      <c r="N59" s="415">
        <v>0.40516070711521501</v>
      </c>
      <c r="O59" s="415">
        <v>-0.7425849805357454</v>
      </c>
      <c r="P59" s="348"/>
      <c r="V59" s="104"/>
      <c r="W59" s="97"/>
      <c r="X59" s="80"/>
      <c r="Y59" s="80"/>
      <c r="Z59" s="80"/>
      <c r="AA59" s="80"/>
      <c r="AB59" s="80"/>
      <c r="AC59" s="80"/>
      <c r="AD59" s="80"/>
      <c r="AE59" s="80"/>
    </row>
    <row r="60" spans="3:31" ht="3" customHeight="1">
      <c r="C60" s="91"/>
      <c r="P60" s="94"/>
      <c r="X60" s="80"/>
      <c r="Y60" s="80"/>
      <c r="Z60" s="80"/>
      <c r="AA60" s="80"/>
      <c r="AB60" s="80"/>
      <c r="AC60" s="80"/>
      <c r="AD60" s="80"/>
      <c r="AE60" s="80"/>
    </row>
    <row r="61" spans="3:31" ht="3" customHeight="1">
      <c r="C61" s="91"/>
      <c r="P61" s="94"/>
      <c r="X61" s="80"/>
      <c r="Y61" s="80"/>
      <c r="Z61" s="80"/>
      <c r="AA61" s="80"/>
      <c r="AB61" s="80"/>
      <c r="AC61" s="80"/>
      <c r="AD61" s="80"/>
      <c r="AE61" s="80"/>
    </row>
    <row r="62" spans="3:31">
      <c r="C62" s="91"/>
      <c r="E62" s="74" t="s">
        <v>14</v>
      </c>
      <c r="F62" s="96"/>
      <c r="H62" s="491">
        <v>2.4</v>
      </c>
      <c r="I62" s="491">
        <v>2.3000000000000043</v>
      </c>
      <c r="J62" s="491">
        <v>3.3999999999999955</v>
      </c>
      <c r="K62" s="491">
        <v>0.46884687500000344</v>
      </c>
      <c r="L62" s="491">
        <v>-0.13524820007747679</v>
      </c>
      <c r="M62" s="491">
        <v>4.0387071438668354</v>
      </c>
      <c r="N62" s="491">
        <v>6.9659162034847046</v>
      </c>
      <c r="O62" s="491">
        <v>-2.2537572316785783</v>
      </c>
      <c r="P62" s="347"/>
      <c r="W62" s="97"/>
      <c r="X62" s="80"/>
      <c r="Y62" s="80"/>
      <c r="Z62" s="80"/>
      <c r="AA62" s="80"/>
      <c r="AB62" s="80"/>
      <c r="AC62" s="80"/>
      <c r="AD62" s="80"/>
      <c r="AE62" s="80"/>
    </row>
    <row r="63" spans="3:31">
      <c r="C63" s="91"/>
      <c r="E63" s="99" t="s">
        <v>91</v>
      </c>
      <c r="F63" s="100"/>
      <c r="G63" s="99"/>
      <c r="H63" s="415">
        <v>5.7831325301204814E-2</v>
      </c>
      <c r="I63" s="415">
        <v>5.0884955752212482E-2</v>
      </c>
      <c r="J63" s="415">
        <v>6.8825910931174003E-2</v>
      </c>
      <c r="K63" s="415">
        <v>9.5598107038836738E-3</v>
      </c>
      <c r="L63" s="415">
        <v>-2.6295352228514813E-3</v>
      </c>
      <c r="M63" s="415">
        <v>6.6493917181157811E-2</v>
      </c>
      <c r="N63" s="415">
        <v>0.10174801934762336</v>
      </c>
      <c r="O63" s="415">
        <v>-3.7994914712483473E-2</v>
      </c>
      <c r="P63" s="347"/>
      <c r="W63" s="97"/>
      <c r="X63" s="80"/>
      <c r="Y63" s="80"/>
      <c r="Z63" s="80"/>
      <c r="AA63" s="80"/>
      <c r="AB63" s="80"/>
      <c r="AC63" s="80"/>
      <c r="AD63" s="80"/>
      <c r="AE63" s="80"/>
    </row>
    <row r="64" spans="3:31">
      <c r="C64" s="91"/>
      <c r="E64" s="99" t="s">
        <v>90</v>
      </c>
      <c r="F64" s="100"/>
      <c r="G64" s="99"/>
      <c r="H64" s="100"/>
      <c r="I64" s="492">
        <v>-4.1666666666664853E-2</v>
      </c>
      <c r="J64" s="492">
        <v>0.47826086956521263</v>
      </c>
      <c r="K64" s="492">
        <v>-0.86210386029411645</v>
      </c>
      <c r="L64" s="492" t="s">
        <v>208</v>
      </c>
      <c r="M64" s="492" t="s">
        <v>208</v>
      </c>
      <c r="N64" s="492">
        <v>0.72478864036059587</v>
      </c>
      <c r="O64" s="492" t="s">
        <v>208</v>
      </c>
      <c r="P64" s="347"/>
      <c r="W64" s="97"/>
      <c r="X64" s="80"/>
      <c r="Y64" s="80"/>
      <c r="Z64" s="80"/>
      <c r="AA64" s="80"/>
      <c r="AB64" s="80"/>
      <c r="AC64" s="80"/>
      <c r="AD64" s="80"/>
      <c r="AE64" s="80"/>
    </row>
    <row r="65" spans="2:31" ht="3.95" customHeight="1">
      <c r="C65" s="101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3"/>
      <c r="X65" s="80"/>
      <c r="Y65" s="80"/>
      <c r="Z65" s="80"/>
      <c r="AA65" s="80"/>
      <c r="AB65" s="80"/>
      <c r="AC65" s="80"/>
      <c r="AD65" s="80"/>
      <c r="AE65" s="80"/>
    </row>
    <row r="66" spans="2:31" ht="12" customHeight="1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X66" s="80"/>
      <c r="Y66" s="80"/>
      <c r="Z66" s="80"/>
      <c r="AA66" s="80"/>
      <c r="AB66" s="80"/>
      <c r="AC66" s="80"/>
      <c r="AD66" s="80"/>
      <c r="AE66" s="80"/>
    </row>
  </sheetData>
  <printOptions horizontalCentered="1"/>
  <pageMargins left="0.23622047244094499" right="0.23622047244094499" top="0.35433070866141703" bottom="0.511811023622047" header="0.23622047244094499" footer="0.23622047244094499"/>
  <pageSetup scale="85" orientation="landscape" r:id="rId1"/>
  <headerFooter alignWithMargins="0">
    <oddFooter>&amp;L&amp;9C:\Documents\Grand Crew Model.xls&amp;C&amp;9Page &amp;P of &amp;N&amp;R&amp;9&amp;D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39F33-462E-42BD-9534-E6F0323D8C04}">
  <dimension ref="C1:U79"/>
  <sheetViews>
    <sheetView showGridLines="0" zoomScale="70" zoomScaleNormal="70" zoomScaleSheetLayoutView="100" workbookViewId="0">
      <selection activeCell="K74" sqref="K74"/>
    </sheetView>
  </sheetViews>
  <sheetFormatPr defaultColWidth="8.85546875" defaultRowHeight="12.75"/>
  <cols>
    <col min="1" max="1" width="1.5703125" customWidth="1"/>
    <col min="2" max="2" width="2.5703125" customWidth="1"/>
    <col min="3" max="3" width="5.5703125" customWidth="1"/>
    <col min="4" max="4" width="2.140625" customWidth="1"/>
    <col min="5" max="5" width="17.5703125" customWidth="1"/>
    <col min="6" max="15" width="10.42578125" customWidth="1"/>
    <col min="16" max="16" width="5.5703125" customWidth="1"/>
  </cols>
  <sheetData>
    <row r="1" spans="3:18" ht="22.5" customHeight="1">
      <c r="C1" s="474" t="str">
        <f>Summary!B1</f>
        <v>Grand Crew Cycling Company</v>
      </c>
      <c r="D1" s="117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3:18" ht="18.75" customHeight="1">
      <c r="C2" s="118" t="s">
        <v>87</v>
      </c>
      <c r="D2" s="118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3:18" ht="3" customHeight="1" thickBot="1">
      <c r="C3" s="119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</row>
    <row r="4" spans="3:18" ht="15.6" customHeight="1"/>
    <row r="5" spans="3:18" ht="15.95" customHeight="1">
      <c r="D5" s="293" t="s">
        <v>120</v>
      </c>
      <c r="E5" s="294"/>
      <c r="F5" s="294"/>
      <c r="G5" s="294"/>
      <c r="H5" s="294"/>
      <c r="I5" s="295"/>
      <c r="K5" s="268" t="s">
        <v>125</v>
      </c>
      <c r="L5" s="294"/>
      <c r="M5" s="294"/>
      <c r="N5" s="294"/>
      <c r="O5" s="295"/>
    </row>
    <row r="6" spans="3:18" ht="3" customHeight="1">
      <c r="D6" s="296"/>
      <c r="E6" s="232"/>
      <c r="F6" s="232"/>
      <c r="G6" s="232"/>
      <c r="H6" s="232"/>
      <c r="I6" s="297"/>
      <c r="K6" s="296"/>
      <c r="L6" s="232"/>
      <c r="M6" s="232"/>
      <c r="N6" s="232"/>
      <c r="O6" s="297"/>
    </row>
    <row r="7" spans="3:18" ht="3" customHeight="1">
      <c r="D7" s="298"/>
      <c r="E7" s="188"/>
      <c r="F7" s="188"/>
      <c r="G7" s="188"/>
      <c r="H7" s="188"/>
      <c r="I7" s="299"/>
      <c r="K7" s="298"/>
      <c r="L7" s="188"/>
      <c r="M7" s="188"/>
      <c r="N7" s="188"/>
      <c r="O7" s="299"/>
    </row>
    <row r="8" spans="3:18" ht="3" customHeight="1">
      <c r="D8" s="305"/>
      <c r="I8" s="301"/>
      <c r="K8" s="305"/>
      <c r="O8" s="301"/>
    </row>
    <row r="9" spans="3:18" ht="14.25" customHeight="1">
      <c r="D9" s="300" t="s">
        <v>121</v>
      </c>
      <c r="E9" s="22" t="s">
        <v>122</v>
      </c>
      <c r="H9" s="475">
        <v>2026</v>
      </c>
      <c r="I9" s="301"/>
      <c r="K9" s="329" t="s">
        <v>126</v>
      </c>
      <c r="L9" s="123"/>
      <c r="M9" s="123"/>
      <c r="N9" s="123"/>
      <c r="O9" s="476">
        <v>50</v>
      </c>
      <c r="R9" s="57"/>
    </row>
    <row r="10" spans="3:18" ht="14.25" customHeight="1">
      <c r="D10" s="300" t="s">
        <v>121</v>
      </c>
      <c r="E10" s="13" t="s">
        <v>188</v>
      </c>
      <c r="I10" s="301"/>
      <c r="K10" s="355" t="s">
        <v>193</v>
      </c>
      <c r="L10" s="123"/>
      <c r="M10" s="123"/>
      <c r="N10" s="123"/>
      <c r="O10" s="477">
        <f>MAX(Model!K23:O23)</f>
        <v>1</v>
      </c>
    </row>
    <row r="11" spans="3:18" ht="14.25" customHeight="1">
      <c r="D11" s="302"/>
      <c r="E11" s="303" t="s">
        <v>189</v>
      </c>
      <c r="F11" s="25"/>
      <c r="G11" s="25"/>
      <c r="H11" s="25"/>
      <c r="I11" s="304"/>
      <c r="K11" s="59"/>
      <c r="L11" s="25"/>
      <c r="M11" s="25"/>
      <c r="N11" s="306"/>
      <c r="O11" s="307"/>
    </row>
    <row r="12" spans="3:18" ht="14.25" customHeight="1">
      <c r="N12" s="121"/>
      <c r="O12" s="122"/>
    </row>
    <row r="13" spans="3:18" ht="6" customHeight="1">
      <c r="N13" s="121"/>
      <c r="O13" s="122"/>
    </row>
    <row r="14" spans="3:18" s="123" customFormat="1" ht="15.95" customHeight="1">
      <c r="D14" s="293" t="s">
        <v>124</v>
      </c>
      <c r="E14" s="294"/>
      <c r="F14" s="294"/>
      <c r="G14" s="294"/>
      <c r="H14" s="294"/>
      <c r="I14" s="295"/>
      <c r="K14" s="293" t="s">
        <v>147</v>
      </c>
      <c r="L14" s="294"/>
      <c r="M14" s="294"/>
      <c r="N14" s="294"/>
      <c r="O14" s="295"/>
    </row>
    <row r="15" spans="3:18" s="123" customFormat="1" ht="3" customHeight="1">
      <c r="D15" s="296"/>
      <c r="E15" s="232"/>
      <c r="F15" s="232"/>
      <c r="G15" s="232"/>
      <c r="H15" s="232"/>
      <c r="I15" s="297"/>
      <c r="K15" s="296"/>
      <c r="L15" s="232"/>
      <c r="M15" s="232"/>
      <c r="N15" s="232"/>
      <c r="O15" s="297"/>
    </row>
    <row r="16" spans="3:18" s="123" customFormat="1" ht="3" customHeight="1">
      <c r="D16" s="298"/>
      <c r="E16" s="188"/>
      <c r="F16" s="188"/>
      <c r="G16" s="188"/>
      <c r="H16" s="188"/>
      <c r="I16" s="299"/>
      <c r="K16" s="298"/>
      <c r="L16" s="188"/>
      <c r="M16" s="188"/>
      <c r="N16" s="188"/>
      <c r="O16" s="299"/>
    </row>
    <row r="17" spans="4:21" s="123" customFormat="1" ht="3" customHeight="1">
      <c r="D17" s="305"/>
      <c r="E17"/>
      <c r="F17"/>
      <c r="G17"/>
      <c r="H17"/>
      <c r="I17" s="301"/>
      <c r="K17" s="359"/>
      <c r="L17" s="52"/>
      <c r="M17" s="52"/>
      <c r="N17" s="52"/>
      <c r="O17" s="360"/>
    </row>
    <row r="18" spans="4:21" ht="14.25" customHeight="1">
      <c r="D18" s="329"/>
      <c r="E18" s="13"/>
      <c r="F18" s="92">
        <f>H9-1</f>
        <v>2025</v>
      </c>
      <c r="G18" s="314" t="str">
        <f>K50&amp;" - "&amp;O50</f>
        <v>2026 - 2030</v>
      </c>
      <c r="H18" s="314"/>
      <c r="I18" s="301"/>
      <c r="K18" s="325" t="s">
        <v>200</v>
      </c>
      <c r="O18" s="301"/>
    </row>
    <row r="19" spans="4:21" ht="14.25" customHeight="1">
      <c r="D19" s="227" t="s">
        <v>182</v>
      </c>
      <c r="E19" s="13"/>
      <c r="F19" s="478">
        <v>1200</v>
      </c>
      <c r="G19" s="2" t="s">
        <v>202</v>
      </c>
      <c r="H19" s="2"/>
      <c r="I19" s="301"/>
      <c r="K19" s="361" t="s">
        <v>129</v>
      </c>
      <c r="N19" s="358"/>
      <c r="O19" s="480">
        <v>0.01</v>
      </c>
    </row>
    <row r="20" spans="4:21" ht="14.25" customHeight="1">
      <c r="D20" s="361" t="s">
        <v>100</v>
      </c>
      <c r="E20" s="13"/>
      <c r="F20" s="478">
        <v>50</v>
      </c>
      <c r="G20" s="2" t="s">
        <v>203</v>
      </c>
      <c r="H20" s="2"/>
      <c r="I20" s="301"/>
      <c r="K20" s="361" t="s">
        <v>177</v>
      </c>
      <c r="O20" s="480">
        <v>4.8000000000000001E-2</v>
      </c>
    </row>
    <row r="21" spans="4:21" ht="14.25" customHeight="1">
      <c r="D21" s="329"/>
      <c r="E21" s="13"/>
      <c r="I21" s="301"/>
      <c r="K21" s="361" t="s">
        <v>197</v>
      </c>
      <c r="O21" s="480">
        <v>0.05</v>
      </c>
    </row>
    <row r="22" spans="4:21" ht="14.25" customHeight="1">
      <c r="D22" s="308" t="s">
        <v>199</v>
      </c>
      <c r="E22" s="313"/>
      <c r="G22" s="366" t="s">
        <v>204</v>
      </c>
      <c r="H22" s="2"/>
      <c r="I22" s="315"/>
      <c r="K22" s="361"/>
      <c r="N22" s="358"/>
      <c r="O22" s="312"/>
      <c r="U22" s="123"/>
    </row>
    <row r="23" spans="4:21" s="125" customFormat="1" ht="14.25" customHeight="1">
      <c r="D23" s="316" t="s">
        <v>94</v>
      </c>
      <c r="E23"/>
      <c r="F23" s="123"/>
      <c r="G23" s="2" t="s">
        <v>178</v>
      </c>
      <c r="H23" s="2"/>
      <c r="I23" s="362"/>
      <c r="J23" s="124"/>
      <c r="K23" s="308" t="s">
        <v>75</v>
      </c>
      <c r="L23" s="123"/>
      <c r="M23" s="123"/>
      <c r="N23" s="123"/>
      <c r="O23" s="363"/>
    </row>
    <row r="24" spans="4:21" ht="14.25" customHeight="1">
      <c r="D24" s="316" t="s">
        <v>95</v>
      </c>
      <c r="G24" s="496">
        <v>0.1</v>
      </c>
      <c r="H24" s="2"/>
      <c r="I24" s="364" t="s">
        <v>109</v>
      </c>
      <c r="J24" s="22"/>
      <c r="K24" s="55" t="s">
        <v>201</v>
      </c>
      <c r="O24" s="301"/>
      <c r="P24" s="125"/>
    </row>
    <row r="25" spans="4:21" ht="15.75" customHeight="1">
      <c r="D25" s="317" t="s">
        <v>96</v>
      </c>
      <c r="E25" s="25"/>
      <c r="F25" s="25"/>
      <c r="G25" s="497">
        <v>-0.1</v>
      </c>
      <c r="H25" s="128"/>
      <c r="I25" s="365" t="s">
        <v>109</v>
      </c>
      <c r="J25" s="22"/>
      <c r="K25" s="59" t="s">
        <v>123</v>
      </c>
      <c r="L25" s="25"/>
      <c r="M25" s="25"/>
      <c r="N25" s="25"/>
      <c r="O25" s="479">
        <v>0.2</v>
      </c>
    </row>
    <row r="26" spans="4:21" ht="14.25" customHeight="1">
      <c r="J26" s="22"/>
    </row>
    <row r="27" spans="4:21" ht="6" customHeight="1">
      <c r="J27" s="22"/>
    </row>
    <row r="28" spans="4:21" s="123" customFormat="1" ht="15.95" customHeight="1">
      <c r="D28" s="293" t="s">
        <v>190</v>
      </c>
      <c r="E28" s="294"/>
      <c r="F28" s="294"/>
      <c r="G28" s="294"/>
      <c r="H28" s="294"/>
      <c r="I28" s="295"/>
      <c r="K28" s="293" t="s">
        <v>132</v>
      </c>
      <c r="L28" s="294"/>
      <c r="M28" s="294"/>
      <c r="N28" s="294"/>
      <c r="O28" s="295"/>
    </row>
    <row r="29" spans="4:21" ht="3" customHeight="1">
      <c r="D29" s="296"/>
      <c r="E29" s="232"/>
      <c r="F29" s="232"/>
      <c r="G29" s="232"/>
      <c r="H29" s="232"/>
      <c r="I29" s="297"/>
      <c r="K29" s="296"/>
      <c r="L29" s="232"/>
      <c r="M29" s="232"/>
      <c r="N29" s="232"/>
      <c r="O29" s="297"/>
    </row>
    <row r="30" spans="4:21" ht="3" customHeight="1">
      <c r="D30" s="298"/>
      <c r="E30" s="188"/>
      <c r="F30" s="188"/>
      <c r="G30" s="188"/>
      <c r="H30" s="188"/>
      <c r="I30" s="299"/>
      <c r="K30" s="298"/>
      <c r="L30" s="188"/>
      <c r="M30" s="188"/>
      <c r="N30" s="188"/>
      <c r="O30" s="299"/>
    </row>
    <row r="31" spans="4:21" ht="3" customHeight="1">
      <c r="D31" s="305"/>
      <c r="I31" s="301"/>
      <c r="K31" s="55"/>
      <c r="O31" s="301"/>
    </row>
    <row r="32" spans="4:21" ht="14.25" customHeight="1">
      <c r="D32" s="55"/>
      <c r="I32" s="301"/>
      <c r="K32" s="227" t="s">
        <v>134</v>
      </c>
      <c r="O32" s="484" t="s">
        <v>207</v>
      </c>
    </row>
    <row r="33" spans="3:16" ht="14.25" customHeight="1">
      <c r="D33" s="308" t="s">
        <v>205</v>
      </c>
      <c r="E33" s="13"/>
      <c r="F33" s="92">
        <f>H9-1</f>
        <v>2025</v>
      </c>
      <c r="H33" s="6" t="s">
        <v>127</v>
      </c>
      <c r="I33" s="301"/>
      <c r="K33" s="227" t="s">
        <v>191</v>
      </c>
      <c r="O33" s="498">
        <v>5</v>
      </c>
    </row>
    <row r="34" spans="3:16" ht="14.25" customHeight="1">
      <c r="D34" s="309" t="s">
        <v>51</v>
      </c>
      <c r="E34" s="13"/>
      <c r="F34" s="481">
        <v>0.75</v>
      </c>
      <c r="H34" t="s">
        <v>128</v>
      </c>
      <c r="I34" s="301"/>
      <c r="K34" s="318" t="s">
        <v>192</v>
      </c>
      <c r="L34" s="25"/>
      <c r="M34" s="25"/>
      <c r="N34" s="25"/>
      <c r="O34" s="498">
        <v>10</v>
      </c>
    </row>
    <row r="35" spans="3:16" ht="14.25" customHeight="1">
      <c r="D35" s="309" t="s">
        <v>49</v>
      </c>
      <c r="E35" s="13"/>
      <c r="F35" s="429">
        <f>1-F34</f>
        <v>0.25</v>
      </c>
      <c r="H35" t="s">
        <v>131</v>
      </c>
      <c r="I35" s="301"/>
    </row>
    <row r="36" spans="3:16" ht="15.95" customHeight="1">
      <c r="D36" s="309" t="s">
        <v>187</v>
      </c>
      <c r="E36" s="22"/>
      <c r="F36" s="427">
        <f>SUM(F34+F35)</f>
        <v>1</v>
      </c>
      <c r="I36" s="301"/>
      <c r="K36" s="268" t="s">
        <v>133</v>
      </c>
      <c r="L36" s="269"/>
      <c r="M36" s="269"/>
      <c r="N36" s="269"/>
      <c r="O36" s="270"/>
    </row>
    <row r="37" spans="3:16" ht="3" customHeight="1">
      <c r="D37" s="309"/>
      <c r="E37" s="22"/>
      <c r="F37" s="310"/>
      <c r="I37" s="301"/>
      <c r="K37" s="271"/>
      <c r="L37" s="232"/>
      <c r="M37" s="232"/>
      <c r="N37" s="232"/>
      <c r="O37" s="272"/>
    </row>
    <row r="38" spans="3:16" ht="3" customHeight="1">
      <c r="D38" s="55"/>
      <c r="I38" s="301"/>
      <c r="K38" s="273"/>
      <c r="L38" s="188"/>
      <c r="M38" s="188"/>
      <c r="N38" s="188"/>
      <c r="O38" s="274"/>
    </row>
    <row r="39" spans="3:16" ht="6" customHeight="1">
      <c r="D39" s="55"/>
      <c r="I39" s="301"/>
      <c r="K39" s="276"/>
      <c r="O39" s="275"/>
    </row>
    <row r="40" spans="3:16" ht="14.25" customHeight="1">
      <c r="D40" s="309"/>
      <c r="E40" s="22"/>
      <c r="F40" s="92">
        <f>F33</f>
        <v>2025</v>
      </c>
      <c r="G40" s="6"/>
      <c r="I40" s="301"/>
      <c r="K40" s="278" t="s">
        <v>135</v>
      </c>
      <c r="O40" s="483">
        <v>0.3</v>
      </c>
    </row>
    <row r="41" spans="3:16" s="123" customFormat="1" ht="15.95" customHeight="1">
      <c r="D41" s="311" t="s">
        <v>4</v>
      </c>
      <c r="E41" s="303"/>
      <c r="F41" s="482">
        <f>Model!J80</f>
        <v>5.2</v>
      </c>
      <c r="G41" s="25" t="s">
        <v>130</v>
      </c>
      <c r="H41" s="25" t="s">
        <v>131</v>
      </c>
      <c r="I41" s="304"/>
      <c r="K41" s="279" t="s">
        <v>143</v>
      </c>
      <c r="L41" s="277"/>
      <c r="M41" s="277"/>
      <c r="N41" s="277"/>
      <c r="O41" s="280"/>
    </row>
    <row r="42" spans="3:16" s="123" customFormat="1" ht="14.25" customHeight="1">
      <c r="D42" s="320"/>
      <c r="E42" s="22"/>
      <c r="F42" s="310"/>
      <c r="G42"/>
      <c r="H42"/>
      <c r="I42"/>
      <c r="K42" s="13"/>
      <c r="L42"/>
      <c r="M42"/>
      <c r="N42"/>
      <c r="O42" s="319"/>
    </row>
    <row r="43" spans="3:16" ht="6" customHeight="1">
      <c r="C43" s="25"/>
      <c r="D43" s="25"/>
      <c r="E43" s="127"/>
      <c r="F43" s="128"/>
      <c r="G43" s="128"/>
      <c r="H43" s="128"/>
      <c r="I43" s="128"/>
      <c r="J43" s="25"/>
      <c r="K43" s="25"/>
      <c r="L43" s="25"/>
      <c r="M43" s="25"/>
      <c r="N43" s="25"/>
      <c r="O43" s="25"/>
      <c r="P43" s="25"/>
    </row>
    <row r="44" spans="3:16" ht="14.25" customHeight="1">
      <c r="D44" s="129"/>
      <c r="E44" s="13"/>
      <c r="I44" s="130"/>
    </row>
    <row r="45" spans="3:16" ht="14.25" customHeight="1">
      <c r="D45" s="129"/>
      <c r="K45" s="58"/>
    </row>
    <row r="46" spans="3:16" ht="22.5" customHeight="1">
      <c r="C46" s="1" t="str">
        <f>C1</f>
        <v>Grand Crew Cycling Company</v>
      </c>
      <c r="D46" s="117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3:16" ht="18.75" customHeight="1">
      <c r="C47" s="118" t="s">
        <v>87</v>
      </c>
      <c r="D47" s="118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3:16" ht="3" customHeight="1" thickBot="1">
      <c r="C48" s="119"/>
      <c r="D48" s="119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</row>
    <row r="49" spans="4:18" ht="15.6" customHeight="1">
      <c r="D49" s="129"/>
      <c r="K49" s="58"/>
    </row>
    <row r="50" spans="4:18" s="123" customFormat="1" ht="15.95" customHeight="1">
      <c r="D50" s="293" t="s">
        <v>136</v>
      </c>
      <c r="E50" s="294"/>
      <c r="F50" s="294"/>
      <c r="G50" s="294"/>
      <c r="H50" s="294"/>
      <c r="I50" s="294"/>
      <c r="J50" s="235">
        <f>K50-1</f>
        <v>2025</v>
      </c>
      <c r="K50" s="235">
        <f>H9</f>
        <v>2026</v>
      </c>
      <c r="L50" s="235">
        <f>K50+1</f>
        <v>2027</v>
      </c>
      <c r="M50" s="235">
        <f>L50+1</f>
        <v>2028</v>
      </c>
      <c r="N50" s="235">
        <f>M50+1</f>
        <v>2029</v>
      </c>
      <c r="O50" s="321">
        <f>N50+1</f>
        <v>2030</v>
      </c>
      <c r="P50"/>
      <c r="R50" s="131"/>
    </row>
    <row r="51" spans="4:18" s="123" customFormat="1" ht="3" customHeight="1">
      <c r="D51" s="296"/>
      <c r="E51" s="232"/>
      <c r="F51" s="232"/>
      <c r="G51" s="232"/>
      <c r="H51" s="232"/>
      <c r="I51" s="232"/>
      <c r="J51" s="232"/>
      <c r="K51" s="232"/>
      <c r="L51" s="232"/>
      <c r="M51" s="232"/>
      <c r="N51" s="232"/>
      <c r="O51" s="297"/>
      <c r="R51" s="131"/>
    </row>
    <row r="52" spans="4:18" s="123" customFormat="1" ht="3" customHeight="1">
      <c r="D52" s="298"/>
      <c r="E52" s="188"/>
      <c r="F52" s="188"/>
      <c r="G52" s="188"/>
      <c r="H52" s="188"/>
      <c r="I52" s="188"/>
      <c r="J52" s="188"/>
      <c r="K52" s="188"/>
      <c r="L52" s="188"/>
      <c r="M52" s="188"/>
      <c r="N52" s="188"/>
      <c r="O52" s="299"/>
      <c r="R52" s="131"/>
    </row>
    <row r="53" spans="4:18" ht="8.1" customHeight="1">
      <c r="D53" s="55"/>
      <c r="M53" s="58"/>
      <c r="O53" s="301"/>
    </row>
    <row r="54" spans="4:18" ht="14.25" customHeight="1">
      <c r="D54" s="322" t="s">
        <v>180</v>
      </c>
      <c r="K54" s="323"/>
      <c r="L54" s="323"/>
      <c r="M54" s="323"/>
      <c r="N54" s="323"/>
      <c r="O54" s="324"/>
      <c r="R54" s="126"/>
    </row>
    <row r="55" spans="4:18" ht="14.25" customHeight="1">
      <c r="D55" s="322"/>
      <c r="E55" t="s">
        <v>181</v>
      </c>
      <c r="H55" t="s">
        <v>194</v>
      </c>
      <c r="K55" s="485">
        <v>0.15</v>
      </c>
      <c r="L55" s="485">
        <v>0.15</v>
      </c>
      <c r="M55" s="485">
        <v>0.15</v>
      </c>
      <c r="N55" s="485">
        <v>0.15</v>
      </c>
      <c r="O55" s="486">
        <v>0.15</v>
      </c>
      <c r="R55" s="126"/>
    </row>
    <row r="56" spans="4:18" ht="14.25" customHeight="1">
      <c r="D56" s="322"/>
      <c r="K56" s="323"/>
      <c r="L56" s="323"/>
      <c r="M56" s="323"/>
      <c r="N56" s="323"/>
      <c r="O56" s="324"/>
      <c r="R56" s="126"/>
    </row>
    <row r="57" spans="4:18" ht="14.25" customHeight="1">
      <c r="D57" s="322" t="s">
        <v>0</v>
      </c>
      <c r="K57" s="323"/>
      <c r="L57" s="323"/>
      <c r="M57" s="323"/>
      <c r="N57" s="323"/>
      <c r="O57" s="324"/>
      <c r="R57" s="126"/>
    </row>
    <row r="58" spans="4:18" ht="14.25" customHeight="1">
      <c r="D58" s="322"/>
      <c r="E58" t="s">
        <v>137</v>
      </c>
      <c r="H58" t="s">
        <v>130</v>
      </c>
      <c r="K58" s="487">
        <v>0</v>
      </c>
      <c r="L58" s="487">
        <v>0</v>
      </c>
      <c r="M58" s="487">
        <v>0</v>
      </c>
      <c r="N58" s="487">
        <v>0</v>
      </c>
      <c r="O58" s="488">
        <v>0</v>
      </c>
    </row>
    <row r="59" spans="4:18" ht="12.95" customHeight="1">
      <c r="D59" s="55"/>
      <c r="M59" s="58"/>
      <c r="O59" s="301"/>
    </row>
    <row r="60" spans="4:18" ht="14.25" customHeight="1">
      <c r="D60" s="322" t="s">
        <v>15</v>
      </c>
      <c r="K60" s="323"/>
      <c r="L60" s="323"/>
      <c r="M60" s="323"/>
      <c r="N60" s="323"/>
      <c r="O60" s="324"/>
      <c r="R60" s="126"/>
    </row>
    <row r="61" spans="4:18" ht="14.25" customHeight="1">
      <c r="D61" s="322"/>
      <c r="E61" t="s">
        <v>159</v>
      </c>
      <c r="H61" t="s">
        <v>130</v>
      </c>
      <c r="K61" s="487">
        <v>5</v>
      </c>
      <c r="L61" s="487">
        <v>5</v>
      </c>
      <c r="M61" s="487">
        <v>6</v>
      </c>
      <c r="N61" s="487">
        <v>6</v>
      </c>
      <c r="O61" s="488">
        <v>15</v>
      </c>
      <c r="R61" s="126"/>
    </row>
    <row r="62" spans="4:18" ht="14.25" customHeight="1">
      <c r="D62" s="322"/>
      <c r="E62" t="s">
        <v>144</v>
      </c>
      <c r="H62" t="s">
        <v>130</v>
      </c>
      <c r="K62" s="487">
        <v>0</v>
      </c>
      <c r="L62" s="487">
        <v>0</v>
      </c>
      <c r="M62" s="487">
        <v>0</v>
      </c>
      <c r="N62" s="487">
        <v>0</v>
      </c>
      <c r="O62" s="488">
        <v>0</v>
      </c>
    </row>
    <row r="63" spans="4:18" ht="12.95" customHeight="1">
      <c r="D63" s="55"/>
      <c r="M63" s="58"/>
      <c r="O63" s="301"/>
    </row>
    <row r="64" spans="4:18" ht="14.25" customHeight="1">
      <c r="D64" s="322" t="s">
        <v>138</v>
      </c>
      <c r="M64" s="58"/>
      <c r="O64" s="301"/>
    </row>
    <row r="65" spans="3:16" ht="14.25" customHeight="1">
      <c r="D65" s="55"/>
      <c r="E65" t="s">
        <v>139</v>
      </c>
      <c r="H65" t="s">
        <v>130</v>
      </c>
      <c r="K65" s="487">
        <v>1.5</v>
      </c>
      <c r="L65" s="487">
        <v>1.5</v>
      </c>
      <c r="M65" s="487">
        <v>1.5</v>
      </c>
      <c r="N65" s="487">
        <v>1.5</v>
      </c>
      <c r="O65" s="488">
        <v>1.5</v>
      </c>
    </row>
    <row r="66" spans="3:16" ht="12.95" customHeight="1">
      <c r="D66" s="55"/>
      <c r="M66" s="58"/>
      <c r="O66" s="301"/>
    </row>
    <row r="67" spans="3:16" ht="14.25" customHeight="1">
      <c r="D67" s="322" t="s">
        <v>98</v>
      </c>
      <c r="M67" s="58"/>
      <c r="O67" s="301"/>
    </row>
    <row r="68" spans="3:16" ht="14.25" customHeight="1">
      <c r="D68" s="55"/>
      <c r="E68" t="s">
        <v>25</v>
      </c>
      <c r="H68" t="s">
        <v>140</v>
      </c>
      <c r="J68" s="372">
        <f>Model!J249</f>
        <v>129.3016194331984</v>
      </c>
      <c r="K68" s="489">
        <v>130</v>
      </c>
      <c r="L68" s="489">
        <v>125</v>
      </c>
      <c r="M68" s="489">
        <v>120</v>
      </c>
      <c r="N68" s="489">
        <v>115</v>
      </c>
      <c r="O68" s="490">
        <v>110</v>
      </c>
    </row>
    <row r="69" spans="3:16" ht="14.25" customHeight="1">
      <c r="D69" s="325"/>
      <c r="E69" t="s">
        <v>84</v>
      </c>
      <c r="H69" t="s">
        <v>140</v>
      </c>
      <c r="J69" s="372">
        <f>Model!J250</f>
        <v>111.52777777777779</v>
      </c>
      <c r="K69" s="489">
        <v>110</v>
      </c>
      <c r="L69" s="489">
        <v>105</v>
      </c>
      <c r="M69" s="489">
        <v>100</v>
      </c>
      <c r="N69" s="489">
        <v>95</v>
      </c>
      <c r="O69" s="490">
        <v>90</v>
      </c>
    </row>
    <row r="70" spans="3:16" ht="14.25" customHeight="1">
      <c r="D70" s="300"/>
      <c r="E70" t="s">
        <v>34</v>
      </c>
      <c r="H70" t="s">
        <v>140</v>
      </c>
      <c r="J70" s="372">
        <f>Model!J251</f>
        <v>36.5</v>
      </c>
      <c r="K70" s="489">
        <v>36</v>
      </c>
      <c r="L70" s="489">
        <v>36</v>
      </c>
      <c r="M70" s="489">
        <v>36</v>
      </c>
      <c r="N70" s="489">
        <v>36</v>
      </c>
      <c r="O70" s="490">
        <v>36</v>
      </c>
    </row>
    <row r="71" spans="3:16" ht="12.95" customHeight="1">
      <c r="D71" s="300"/>
      <c r="O71" s="301"/>
    </row>
    <row r="72" spans="3:16" ht="14.25" customHeight="1">
      <c r="D72" s="326" t="s">
        <v>141</v>
      </c>
      <c r="O72" s="301"/>
    </row>
    <row r="73" spans="3:16" ht="14.25" customHeight="1">
      <c r="D73" s="309"/>
      <c r="E73" t="s">
        <v>145</v>
      </c>
      <c r="H73" t="s">
        <v>130</v>
      </c>
      <c r="K73" s="487">
        <v>-4</v>
      </c>
      <c r="L73" s="487">
        <v>-4</v>
      </c>
      <c r="M73" s="487">
        <v>-4</v>
      </c>
      <c r="N73" s="487">
        <v>-4</v>
      </c>
      <c r="O73" s="488">
        <v>-4</v>
      </c>
    </row>
    <row r="74" spans="3:16" ht="14.25" customHeight="1">
      <c r="D74" s="300"/>
      <c r="E74" t="s">
        <v>142</v>
      </c>
      <c r="H74" t="s">
        <v>130</v>
      </c>
      <c r="K74" s="487">
        <v>-3</v>
      </c>
      <c r="L74" s="487">
        <v>-0.3</v>
      </c>
      <c r="M74" s="487">
        <v>-0.3</v>
      </c>
      <c r="N74" s="487">
        <v>-0.3</v>
      </c>
      <c r="O74" s="488">
        <v>-0.3</v>
      </c>
    </row>
    <row r="75" spans="3:16" ht="12.95" customHeight="1">
      <c r="D75" s="302"/>
      <c r="E75" s="25"/>
      <c r="F75" s="25"/>
      <c r="G75" s="25"/>
      <c r="H75" s="25"/>
      <c r="I75" s="25"/>
      <c r="J75" s="25"/>
      <c r="K75" s="327"/>
      <c r="L75" s="327"/>
      <c r="M75" s="327"/>
      <c r="N75" s="327"/>
      <c r="O75" s="328"/>
    </row>
    <row r="76" spans="3:16" ht="15.6" customHeight="1">
      <c r="C76" s="25"/>
      <c r="D76" s="25"/>
      <c r="E76" s="127"/>
      <c r="F76" s="128"/>
      <c r="G76" s="128"/>
      <c r="H76" s="128"/>
      <c r="I76" s="128"/>
      <c r="J76" s="25"/>
      <c r="K76" s="25"/>
      <c r="L76" s="25"/>
      <c r="M76" s="25"/>
      <c r="N76" s="25"/>
      <c r="O76" s="25"/>
      <c r="P76" s="25"/>
    </row>
    <row r="77" spans="3:16" ht="12.75" customHeight="1">
      <c r="E77" s="132"/>
      <c r="F77" s="2"/>
      <c r="G77" s="2"/>
      <c r="H77" s="2"/>
      <c r="I77" s="2"/>
    </row>
    <row r="78" spans="3:16">
      <c r="E78" s="58"/>
    </row>
    <row r="79" spans="3:16">
      <c r="E79" s="58"/>
    </row>
  </sheetData>
  <sheetProtection formatCells="0" formatColumns="0" formatRows="0" insertColumns="0" insertRows="0"/>
  <conditionalFormatting sqref="K350:O354">
    <cfRule type="cellIs" dxfId="1" priority="3" stopIfTrue="1" operator="greaterThan">
      <formula>330</formula>
    </cfRule>
  </conditionalFormatting>
  <printOptions horizontalCentered="1"/>
  <pageMargins left="0.23622047244094499" right="0.23622047244094499" top="0.35433070866141703" bottom="0.511811023622047" header="0.23622047244094499" footer="0.23622047244094499"/>
  <pageSetup scale="95" orientation="landscape" r:id="rId1"/>
  <headerFooter alignWithMargins="0">
    <oddFooter>&amp;L&amp;9C:\Documents\Grand Crew Model.xls&amp;C&amp;9Page &amp;P of &amp;N&amp;R&amp;9&amp;D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505B9-B554-4240-8622-F284F3E906EA}">
  <dimension ref="A1:Q42"/>
  <sheetViews>
    <sheetView showGridLines="0" zoomScale="110" zoomScaleNormal="110" zoomScaleSheetLayoutView="100" workbookViewId="0">
      <selection activeCell="C27" sqref="C27"/>
    </sheetView>
  </sheetViews>
  <sheetFormatPr defaultColWidth="10.5703125" defaultRowHeight="12.75"/>
  <cols>
    <col min="1" max="1" width="5.140625" style="139" bestFit="1" customWidth="1"/>
    <col min="2" max="2" width="1.5703125" style="139" customWidth="1"/>
    <col min="3" max="3" width="18.5703125" style="139" customWidth="1"/>
    <col min="4" max="4" width="12.5703125" style="165" customWidth="1"/>
    <col min="5" max="9" width="1.5703125" style="165" customWidth="1"/>
    <col min="10" max="10" width="1.5703125" style="139" customWidth="1"/>
    <col min="11" max="15" width="13.140625" style="139" customWidth="1"/>
    <col min="16" max="16" width="13.5703125" style="139" customWidth="1"/>
    <col min="17" max="17" width="10.42578125" style="139" customWidth="1"/>
    <col min="18" max="21" width="13.5703125" style="139" customWidth="1"/>
    <col min="22" max="16384" width="10.5703125" style="139"/>
  </cols>
  <sheetData>
    <row r="1" spans="1:15" s="136" customFormat="1" ht="22.7" customHeight="1">
      <c r="B1" s="137" t="str">
        <f>Assumptions!C1</f>
        <v>Grand Crew Cycling Company</v>
      </c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</row>
    <row r="2" spans="1:15" ht="18">
      <c r="B2" s="140" t="s">
        <v>150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</row>
    <row r="3" spans="1:15" ht="3" customHeight="1" thickBot="1">
      <c r="B3" s="141"/>
      <c r="C3" s="141"/>
      <c r="D3" s="142"/>
      <c r="E3" s="142"/>
      <c r="F3" s="142"/>
      <c r="G3" s="142"/>
      <c r="H3" s="142"/>
      <c r="I3" s="142"/>
      <c r="J3" s="141"/>
      <c r="K3" s="141"/>
      <c r="L3" s="141"/>
      <c r="M3" s="141"/>
      <c r="N3" s="141"/>
      <c r="O3" s="141"/>
    </row>
    <row r="4" spans="1:15" ht="12.75" customHeight="1">
      <c r="C4" s="143"/>
      <c r="D4" s="144"/>
      <c r="E4" s="144"/>
      <c r="F4" s="144"/>
      <c r="G4" s="144"/>
      <c r="H4" s="144"/>
      <c r="I4" s="144"/>
      <c r="J4" s="143"/>
    </row>
    <row r="5" spans="1:15" ht="6" customHeight="1">
      <c r="B5" s="145"/>
      <c r="C5" s="146"/>
      <c r="D5" s="147"/>
      <c r="E5" s="148"/>
      <c r="K5" s="149"/>
      <c r="L5" s="149"/>
      <c r="M5" s="149"/>
      <c r="N5" s="149"/>
      <c r="O5" s="149"/>
    </row>
    <row r="6" spans="1:15" ht="16.149999999999999" customHeight="1">
      <c r="B6" s="150" t="s">
        <v>93</v>
      </c>
      <c r="C6" s="151"/>
      <c r="D6" s="449">
        <v>1</v>
      </c>
      <c r="E6" s="153"/>
      <c r="F6" s="152"/>
      <c r="G6" s="152"/>
      <c r="H6" s="152"/>
      <c r="I6" s="152"/>
      <c r="J6" s="151"/>
      <c r="K6" s="154">
        <f>Assumptions!H9</f>
        <v>2026</v>
      </c>
      <c r="L6" s="154">
        <f>K6+1</f>
        <v>2027</v>
      </c>
      <c r="M6" s="154">
        <f>L6+1</f>
        <v>2028</v>
      </c>
      <c r="N6" s="154">
        <f>M6+1</f>
        <v>2029</v>
      </c>
      <c r="O6" s="154">
        <f>N6+1</f>
        <v>2030</v>
      </c>
    </row>
    <row r="7" spans="1:15" ht="6" customHeight="1">
      <c r="B7" s="155"/>
      <c r="C7" s="156"/>
      <c r="D7" s="157"/>
      <c r="E7" s="158"/>
      <c r="F7" s="161"/>
      <c r="G7" s="161"/>
      <c r="H7" s="161"/>
      <c r="I7" s="161"/>
      <c r="J7" s="151"/>
      <c r="K7" s="159"/>
      <c r="L7" s="159"/>
      <c r="M7" s="160"/>
      <c r="N7" s="160"/>
      <c r="O7" s="159"/>
    </row>
    <row r="8" spans="1:15">
      <c r="B8" s="151"/>
      <c r="C8" s="151"/>
      <c r="D8" s="161"/>
      <c r="E8" s="161"/>
      <c r="F8" s="161"/>
      <c r="G8" s="161"/>
      <c r="H8" s="161"/>
      <c r="I8" s="161"/>
      <c r="J8" s="151"/>
      <c r="K8" s="159"/>
      <c r="L8" s="159"/>
      <c r="M8" s="160"/>
      <c r="N8" s="160"/>
      <c r="O8" s="159"/>
    </row>
    <row r="9" spans="1:15">
      <c r="B9" s="151"/>
      <c r="C9" s="161"/>
      <c r="D9" s="161"/>
      <c r="E9" s="161"/>
      <c r="F9" s="161"/>
      <c r="G9" s="161"/>
      <c r="H9" s="161"/>
      <c r="I9" s="161"/>
      <c r="J9" s="151"/>
      <c r="K9" s="162"/>
      <c r="L9" s="159"/>
      <c r="M9" s="160"/>
      <c r="N9" s="160"/>
      <c r="O9" s="159"/>
    </row>
    <row r="10" spans="1:15" ht="15.75">
      <c r="A10" s="163"/>
      <c r="B10" s="164" t="s">
        <v>151</v>
      </c>
      <c r="K10" s="151"/>
    </row>
    <row r="11" spans="1:15" ht="12.75" customHeight="1"/>
    <row r="12" spans="1:15" ht="16.149999999999999" customHeight="1">
      <c r="A12" s="166" t="s">
        <v>109</v>
      </c>
      <c r="B12" s="167" t="s">
        <v>86</v>
      </c>
      <c r="E12" s="168"/>
      <c r="F12" s="168"/>
      <c r="G12" s="168"/>
      <c r="H12" s="168"/>
      <c r="I12" s="168"/>
      <c r="K12" s="450">
        <f>CHOOSE($D$6,K14,K15,K16)</f>
        <v>1.4999999999999999E-2</v>
      </c>
      <c r="L12" s="451">
        <f>CHOOSE($D$6,L14,L15,L16)</f>
        <v>1.4999999999999999E-2</v>
      </c>
      <c r="M12" s="451">
        <f>CHOOSE($D$6,M14,M15,M16)</f>
        <v>1.4999999999999999E-2</v>
      </c>
      <c r="N12" s="451">
        <f>CHOOSE($D$6,N14,N15,N16)</f>
        <v>1.4999999999999999E-2</v>
      </c>
      <c r="O12" s="452">
        <f>CHOOSE($D$6,O14,O15,O16)</f>
        <v>1.4999999999999999E-2</v>
      </c>
    </row>
    <row r="13" spans="1:15" ht="4.5" customHeight="1">
      <c r="B13" s="162"/>
      <c r="E13" s="168"/>
      <c r="F13" s="168"/>
      <c r="G13" s="168"/>
      <c r="H13" s="168"/>
      <c r="I13" s="168"/>
      <c r="K13" s="169"/>
      <c r="L13" s="170"/>
      <c r="M13" s="170"/>
      <c r="N13" s="170"/>
      <c r="O13" s="170"/>
    </row>
    <row r="14" spans="1:15">
      <c r="B14" s="162"/>
      <c r="C14" s="139" t="str">
        <f>Assumptions!D23</f>
        <v>Base Case</v>
      </c>
      <c r="E14" s="168"/>
      <c r="F14" s="168"/>
      <c r="G14" s="168"/>
      <c r="H14" s="168"/>
      <c r="I14" s="168"/>
      <c r="K14" s="440">
        <v>1.4999999999999999E-2</v>
      </c>
      <c r="L14" s="441">
        <v>1.4999999999999999E-2</v>
      </c>
      <c r="M14" s="441">
        <v>1.4999999999999999E-2</v>
      </c>
      <c r="N14" s="441">
        <v>1.4999999999999999E-2</v>
      </c>
      <c r="O14" s="442">
        <v>1.4999999999999999E-2</v>
      </c>
    </row>
    <row r="15" spans="1:15">
      <c r="B15" s="162"/>
      <c r="C15" s="139" t="str">
        <f>Assumptions!D24</f>
        <v>Best Case</v>
      </c>
      <c r="E15" s="168"/>
      <c r="F15" s="168"/>
      <c r="G15" s="168"/>
      <c r="H15" s="168"/>
      <c r="I15" s="168"/>
      <c r="K15" s="443">
        <v>1.7999999999999999E-2</v>
      </c>
      <c r="L15" s="444">
        <v>1.7999999999999999E-2</v>
      </c>
      <c r="M15" s="444">
        <v>1.7999999999999999E-2</v>
      </c>
      <c r="N15" s="444">
        <v>0.02</v>
      </c>
      <c r="O15" s="445">
        <v>0.02</v>
      </c>
    </row>
    <row r="16" spans="1:15">
      <c r="B16" s="162"/>
      <c r="C16" s="139" t="str">
        <f>Assumptions!D25</f>
        <v>Worst Case</v>
      </c>
      <c r="E16" s="168"/>
      <c r="F16" s="168"/>
      <c r="G16" s="168"/>
      <c r="H16" s="168"/>
      <c r="I16" s="168"/>
      <c r="K16" s="446">
        <v>2.5000000000000001E-2</v>
      </c>
      <c r="L16" s="447">
        <v>2.5000000000000001E-2</v>
      </c>
      <c r="M16" s="447">
        <v>2.5000000000000001E-2</v>
      </c>
      <c r="N16" s="447">
        <v>2.5000000000000001E-2</v>
      </c>
      <c r="O16" s="448">
        <v>2.5000000000000001E-2</v>
      </c>
    </row>
    <row r="17" spans="1:17">
      <c r="C17" s="171"/>
      <c r="D17" s="172"/>
      <c r="E17" s="172"/>
      <c r="F17" s="172"/>
      <c r="G17" s="172"/>
      <c r="H17" s="172"/>
      <c r="I17" s="172"/>
      <c r="K17" s="173"/>
      <c r="L17" s="173"/>
      <c r="M17" s="173"/>
      <c r="N17" s="173"/>
      <c r="O17" s="174"/>
    </row>
    <row r="18" spans="1:17">
      <c r="B18" s="175"/>
      <c r="C18" s="175"/>
      <c r="D18" s="176"/>
      <c r="E18" s="176"/>
      <c r="F18" s="176"/>
      <c r="G18" s="176"/>
      <c r="H18" s="176"/>
      <c r="I18" s="176"/>
      <c r="J18" s="175"/>
      <c r="K18" s="175"/>
      <c r="L18" s="175"/>
      <c r="M18" s="175"/>
      <c r="N18" s="175"/>
      <c r="O18" s="175"/>
    </row>
    <row r="20" spans="1:17" ht="12.75" customHeight="1"/>
    <row r="21" spans="1:17" ht="12.75" customHeight="1">
      <c r="B21" s="164" t="s">
        <v>152</v>
      </c>
    </row>
    <row r="22" spans="1:17" ht="12.75" customHeight="1"/>
    <row r="23" spans="1:17" s="177" customFormat="1" ht="16.149999999999999" customHeight="1">
      <c r="B23" s="167" t="s">
        <v>153</v>
      </c>
      <c r="D23" s="152"/>
      <c r="E23" s="152"/>
      <c r="F23" s="152"/>
      <c r="G23" s="152"/>
      <c r="H23" s="152"/>
      <c r="I23" s="152"/>
      <c r="K23" s="453">
        <f>CHOOSE($D$6,K25,K26,K27)</f>
        <v>1250</v>
      </c>
      <c r="L23" s="454">
        <f>CHOOSE($D$6,L25,L26,L27)</f>
        <v>1250</v>
      </c>
      <c r="M23" s="454">
        <f>CHOOSE($D$6,M25,M26,M27)</f>
        <v>1400</v>
      </c>
      <c r="N23" s="454">
        <f>CHOOSE($D$6,N25,N26,N27)</f>
        <v>1500</v>
      </c>
      <c r="O23" s="455">
        <f>CHOOSE($D$6,O25,O26,O27)</f>
        <v>1250</v>
      </c>
    </row>
    <row r="24" spans="1:17" ht="4.5" customHeight="1">
      <c r="B24" s="178"/>
      <c r="D24" s="168"/>
      <c r="E24" s="168"/>
      <c r="F24" s="168"/>
      <c r="G24" s="168"/>
      <c r="H24" s="168"/>
      <c r="I24" s="168"/>
      <c r="K24" s="179"/>
      <c r="L24" s="179"/>
      <c r="M24" s="179"/>
      <c r="N24" s="179"/>
      <c r="O24" s="179"/>
    </row>
    <row r="25" spans="1:17">
      <c r="C25" s="171" t="str">
        <f>C14</f>
        <v>Base Case</v>
      </c>
      <c r="D25" s="172"/>
      <c r="E25" s="172"/>
      <c r="F25" s="172"/>
      <c r="G25" s="172"/>
      <c r="H25" s="172"/>
      <c r="I25" s="172"/>
      <c r="K25" s="456">
        <v>1250</v>
      </c>
      <c r="L25" s="457">
        <v>1250</v>
      </c>
      <c r="M25" s="457">
        <v>1400</v>
      </c>
      <c r="N25" s="457">
        <v>1500</v>
      </c>
      <c r="O25" s="458">
        <v>1250</v>
      </c>
      <c r="P25" s="180"/>
      <c r="Q25" s="181"/>
    </row>
    <row r="26" spans="1:17">
      <c r="A26" s="330">
        <f>Assumptions!G24</f>
        <v>0.1</v>
      </c>
      <c r="C26" s="493" t="str">
        <f>CONCATENATE(C15,": ",TEXT(A26,"+0.0%;-0.0%"))</f>
        <v>Best Case: +10.0%</v>
      </c>
      <c r="D26" s="172"/>
      <c r="E26" s="172"/>
      <c r="F26" s="172"/>
      <c r="G26" s="172"/>
      <c r="H26" s="172"/>
      <c r="I26" s="172"/>
      <c r="K26" s="459">
        <v>1375</v>
      </c>
      <c r="L26" s="460">
        <v>1375</v>
      </c>
      <c r="M26" s="460">
        <v>1540</v>
      </c>
      <c r="N26" s="460">
        <v>1650</v>
      </c>
      <c r="O26" s="461">
        <v>1375</v>
      </c>
      <c r="P26" s="180"/>
      <c r="Q26" s="181"/>
    </row>
    <row r="27" spans="1:17">
      <c r="A27" s="330">
        <f>Assumptions!G25</f>
        <v>-0.1</v>
      </c>
      <c r="C27" s="493" t="str">
        <f>CONCATENATE(C16,": ",TEXT(A27,"+0.0%;-0.0%"))</f>
        <v>Worst Case: -10.0%</v>
      </c>
      <c r="D27" s="172"/>
      <c r="E27" s="172"/>
      <c r="F27" s="172"/>
      <c r="G27" s="172"/>
      <c r="H27" s="172"/>
      <c r="I27" s="172"/>
      <c r="K27" s="462">
        <v>1125</v>
      </c>
      <c r="L27" s="463">
        <v>1125</v>
      </c>
      <c r="M27" s="463">
        <v>1260</v>
      </c>
      <c r="N27" s="463">
        <v>1350</v>
      </c>
      <c r="O27" s="464">
        <v>1125</v>
      </c>
      <c r="P27" s="180"/>
      <c r="Q27" s="181"/>
    </row>
    <row r="28" spans="1:17">
      <c r="C28" s="182"/>
      <c r="D28" s="172"/>
      <c r="E28" s="172"/>
      <c r="F28" s="172"/>
      <c r="G28" s="172"/>
      <c r="H28" s="172"/>
      <c r="I28" s="172"/>
      <c r="K28" s="183"/>
      <c r="L28" s="183"/>
      <c r="M28" s="183"/>
      <c r="N28" s="183"/>
      <c r="O28" s="184"/>
      <c r="P28" s="180"/>
    </row>
    <row r="29" spans="1:17">
      <c r="C29" s="182"/>
      <c r="D29" s="172"/>
      <c r="E29" s="172"/>
      <c r="F29" s="172"/>
      <c r="G29" s="172"/>
      <c r="H29" s="172"/>
      <c r="I29" s="172"/>
      <c r="K29" s="183"/>
      <c r="L29" s="183"/>
      <c r="M29" s="183"/>
      <c r="N29" s="183"/>
      <c r="O29" s="184"/>
      <c r="P29" s="180"/>
    </row>
    <row r="30" spans="1:17" ht="16.149999999999999" customHeight="1">
      <c r="B30" s="167" t="s">
        <v>105</v>
      </c>
      <c r="D30" s="168"/>
      <c r="E30" s="168"/>
      <c r="F30" s="168"/>
      <c r="G30" s="168"/>
      <c r="H30" s="168"/>
      <c r="I30" s="168"/>
      <c r="K30" s="450">
        <f>CHOOSE($D$6,K32,K33,K34)</f>
        <v>7.0000000000000007E-2</v>
      </c>
      <c r="L30" s="451">
        <f>CHOOSE($D$6,L32,L33,L34)</f>
        <v>7.0000000000000007E-2</v>
      </c>
      <c r="M30" s="451">
        <f>CHOOSE($D$6,M32,M33,M34)</f>
        <v>7.0000000000000007E-2</v>
      </c>
      <c r="N30" s="451">
        <f>CHOOSE($D$6,N32,N33,N34)</f>
        <v>0.06</v>
      </c>
      <c r="O30" s="452">
        <f>CHOOSE($D$6,O32,O33,O34)</f>
        <v>0.06</v>
      </c>
    </row>
    <row r="31" spans="1:17" ht="4.5" customHeight="1">
      <c r="B31" s="162"/>
      <c r="D31" s="168"/>
      <c r="E31" s="168"/>
      <c r="F31" s="168"/>
      <c r="G31" s="168"/>
      <c r="H31" s="168"/>
      <c r="I31" s="168"/>
      <c r="K31" s="169"/>
      <c r="L31" s="170"/>
      <c r="M31" s="170"/>
      <c r="N31" s="170"/>
      <c r="O31" s="170"/>
    </row>
    <row r="32" spans="1:17">
      <c r="B32" s="162"/>
      <c r="C32" s="139" t="str">
        <f>C14</f>
        <v>Base Case</v>
      </c>
      <c r="D32" s="168"/>
      <c r="E32" s="168"/>
      <c r="F32" s="168"/>
      <c r="G32" s="168"/>
      <c r="H32" s="168"/>
      <c r="I32" s="168"/>
      <c r="K32" s="465">
        <v>7.0000000000000007E-2</v>
      </c>
      <c r="L32" s="466">
        <v>7.0000000000000007E-2</v>
      </c>
      <c r="M32" s="466">
        <v>7.0000000000000007E-2</v>
      </c>
      <c r="N32" s="466">
        <v>0.06</v>
      </c>
      <c r="O32" s="467">
        <v>0.06</v>
      </c>
    </row>
    <row r="33" spans="2:16">
      <c r="B33" s="162"/>
      <c r="C33" s="139" t="str">
        <f>C15</f>
        <v>Best Case</v>
      </c>
      <c r="D33" s="168"/>
      <c r="E33" s="168"/>
      <c r="F33" s="168"/>
      <c r="G33" s="168"/>
      <c r="H33" s="168"/>
      <c r="I33" s="168"/>
      <c r="K33" s="468">
        <v>0.1</v>
      </c>
      <c r="L33" s="469">
        <v>0.1</v>
      </c>
      <c r="M33" s="469">
        <v>0.1</v>
      </c>
      <c r="N33" s="469">
        <v>0.1</v>
      </c>
      <c r="O33" s="470">
        <v>0.1</v>
      </c>
    </row>
    <row r="34" spans="2:16">
      <c r="B34" s="162"/>
      <c r="C34" s="139" t="str">
        <f>C16</f>
        <v>Worst Case</v>
      </c>
      <c r="D34" s="168"/>
      <c r="E34" s="168"/>
      <c r="F34" s="168"/>
      <c r="G34" s="168"/>
      <c r="H34" s="168"/>
      <c r="I34" s="168"/>
      <c r="K34" s="471">
        <v>0.05</v>
      </c>
      <c r="L34" s="472">
        <v>0.05</v>
      </c>
      <c r="M34" s="472">
        <v>0.05</v>
      </c>
      <c r="N34" s="472">
        <v>0.05</v>
      </c>
      <c r="O34" s="473">
        <v>0.05</v>
      </c>
    </row>
    <row r="35" spans="2:16">
      <c r="C35" s="182"/>
      <c r="D35" s="172"/>
      <c r="E35" s="172"/>
      <c r="F35" s="172"/>
      <c r="G35" s="172"/>
      <c r="H35" s="172"/>
      <c r="I35" s="172"/>
      <c r="K35" s="183"/>
      <c r="L35" s="183"/>
      <c r="M35" s="183"/>
      <c r="N35" s="183"/>
      <c r="O35" s="184"/>
      <c r="P35" s="180"/>
    </row>
    <row r="36" spans="2:16">
      <c r="B36" s="185"/>
      <c r="C36" s="185"/>
      <c r="D36" s="186"/>
      <c r="E36" s="186"/>
      <c r="F36" s="186"/>
      <c r="G36" s="186"/>
      <c r="H36" s="186"/>
      <c r="I36" s="186"/>
      <c r="J36" s="185"/>
      <c r="K36" s="185"/>
      <c r="L36" s="185"/>
      <c r="M36" s="185"/>
      <c r="N36" s="185"/>
      <c r="O36" s="185"/>
    </row>
    <row r="39" spans="2:16">
      <c r="C39" s="151"/>
      <c r="D39" s="168"/>
      <c r="E39" s="168"/>
      <c r="F39" s="168"/>
      <c r="G39" s="168"/>
      <c r="H39" s="168"/>
      <c r="I39" s="168"/>
      <c r="K39" s="187"/>
    </row>
    <row r="40" spans="2:16">
      <c r="D40" s="172"/>
      <c r="E40" s="172"/>
      <c r="F40" s="172"/>
      <c r="G40" s="172"/>
      <c r="H40" s="172"/>
      <c r="I40" s="172"/>
      <c r="L40" s="181"/>
    </row>
    <row r="41" spans="2:16">
      <c r="D41" s="172"/>
      <c r="E41" s="172"/>
      <c r="F41" s="172"/>
      <c r="G41" s="172"/>
      <c r="H41" s="172"/>
      <c r="I41" s="172"/>
    </row>
    <row r="42" spans="2:16">
      <c r="K42" s="187"/>
    </row>
  </sheetData>
  <sheetProtection formatCells="0" formatColumns="0" formatRows="0" insertColumns="0" insertRows="0"/>
  <conditionalFormatting sqref="N348:Q352">
    <cfRule type="cellIs" dxfId="0" priority="1" stopIfTrue="1" operator="greaterThan">
      <formula>330</formula>
    </cfRule>
  </conditionalFormatting>
  <printOptions horizontalCentered="1"/>
  <pageMargins left="0.23622047244094499" right="0.23622047244094499" top="0.35433070866141703" bottom="0.511811023622047" header="0.23622047244094499" footer="0.23622047244094499"/>
  <pageSetup scale="95" orientation="landscape" r:id="rId1"/>
  <headerFooter alignWithMargins="0">
    <oddFooter>&amp;L&amp;9C:\Documents\Grand Crew Model.xls&amp;C&amp;9Page &amp;P of &amp;N&amp;R&amp;9&amp;D 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Drop Down 1">
              <controlPr defaultSize="0" autoLine="0" autoPict="0">
                <anchor moveWithCells="1">
                  <from>
                    <xdr:col>2</xdr:col>
                    <xdr:colOff>1219200</xdr:colOff>
                    <xdr:row>4</xdr:row>
                    <xdr:rowOff>57150</xdr:rowOff>
                  </from>
                  <to>
                    <xdr:col>4</xdr:col>
                    <xdr:colOff>66675</xdr:colOff>
                    <xdr:row>6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T329"/>
  <sheetViews>
    <sheetView showGridLines="0" tabSelected="1" topLeftCell="D1" zoomScaleNormal="100" zoomScaleSheetLayoutView="90" workbookViewId="0">
      <selection activeCell="M92" sqref="M92"/>
    </sheetView>
  </sheetViews>
  <sheetFormatPr defaultColWidth="9.28515625" defaultRowHeight="12.75"/>
  <cols>
    <col min="1" max="1" width="4.5703125" customWidth="1"/>
    <col min="2" max="2" width="1.85546875" customWidth="1"/>
    <col min="3" max="3" width="2.42578125" customWidth="1"/>
    <col min="4" max="4" width="11.5703125" customWidth="1"/>
    <col min="5" max="5" width="12.5703125" customWidth="1"/>
    <col min="6" max="6" width="10.5703125" customWidth="1"/>
    <col min="7" max="7" width="1.85546875" customWidth="1"/>
    <col min="8" max="15" width="10.85546875" customWidth="1"/>
    <col min="17" max="17" width="15" bestFit="1" customWidth="1"/>
  </cols>
  <sheetData>
    <row r="1" spans="2:17" ht="14.25" customHeight="1"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439" t="str">
        <f>UPPER("Currently Running: "&amp;CHOOSE(Scenarios!D6,Scenarios!C14,Scenarios!C15,Scenarios!C16)&amp;" Scenario")</f>
        <v>CURRENTLY RUNNING: BASE CASE SCENARIO</v>
      </c>
    </row>
    <row r="2" spans="2:17" ht="23.25">
      <c r="B2" s="1" t="str">
        <f>Scenarios!B1</f>
        <v>Grand Crew Cycling Company</v>
      </c>
      <c r="C2" s="1"/>
      <c r="D2" s="1"/>
      <c r="E2" s="1"/>
      <c r="F2" s="1"/>
      <c r="G2" s="1"/>
      <c r="H2" s="1"/>
      <c r="I2" s="1"/>
      <c r="J2" s="1"/>
      <c r="K2" s="2"/>
      <c r="L2" s="2"/>
      <c r="M2" s="2"/>
      <c r="N2" s="2"/>
      <c r="O2" s="2"/>
    </row>
    <row r="3" spans="2:17" ht="18">
      <c r="B3" s="3" t="s">
        <v>46</v>
      </c>
      <c r="C3" s="3"/>
      <c r="D3" s="3"/>
      <c r="E3" s="3"/>
      <c r="F3" s="3"/>
      <c r="G3" s="3"/>
      <c r="H3" s="3"/>
      <c r="I3" s="3"/>
      <c r="J3" s="3"/>
      <c r="K3" s="2"/>
      <c r="L3" s="2"/>
      <c r="M3" s="2"/>
      <c r="N3" s="2"/>
      <c r="O3" s="2"/>
    </row>
    <row r="4" spans="2:17" ht="3" customHeight="1" thickBot="1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2:17" ht="12.95" customHeight="1">
      <c r="B5" s="5"/>
    </row>
    <row r="6" spans="2:17">
      <c r="B6" s="5"/>
      <c r="K6" s="195" t="s">
        <v>114</v>
      </c>
      <c r="L6" s="128"/>
      <c r="M6" s="128"/>
      <c r="N6" s="128"/>
      <c r="O6" s="128"/>
    </row>
    <row r="7" spans="2:17">
      <c r="H7" s="189">
        <f t="shared" ref="H7:I7" si="0">I7-1</f>
        <v>2023</v>
      </c>
      <c r="I7" s="189">
        <f t="shared" si="0"/>
        <v>2024</v>
      </c>
      <c r="J7" s="189">
        <f>K7-1</f>
        <v>2025</v>
      </c>
      <c r="K7" s="196">
        <f>Scenarios!K6</f>
        <v>2026</v>
      </c>
      <c r="L7" s="196">
        <f>Scenarios!L6</f>
        <v>2027</v>
      </c>
      <c r="M7" s="196">
        <f>Scenarios!M6</f>
        <v>2028</v>
      </c>
      <c r="N7" s="196">
        <f>Scenarios!N6</f>
        <v>2029</v>
      </c>
      <c r="O7" s="196">
        <f>Scenarios!O6</f>
        <v>2030</v>
      </c>
    </row>
    <row r="8" spans="2:17" ht="12.95" customHeight="1"/>
    <row r="9" spans="2:17" ht="12.95" customHeight="1">
      <c r="C9" s="17" t="s">
        <v>101</v>
      </c>
      <c r="E9" s="65"/>
      <c r="G9" s="65"/>
      <c r="H9" s="66"/>
      <c r="K9" s="12"/>
      <c r="L9" s="12"/>
      <c r="M9" s="12"/>
      <c r="N9" s="12"/>
      <c r="O9" s="12"/>
    </row>
    <row r="10" spans="2:17" ht="12.95" customHeight="1">
      <c r="D10" s="13" t="s">
        <v>182</v>
      </c>
      <c r="E10" s="65"/>
      <c r="F10" s="7" t="s">
        <v>184</v>
      </c>
      <c r="G10" s="65"/>
      <c r="H10" s="67"/>
      <c r="J10" s="433">
        <f>Assumptions!F19</f>
        <v>1200</v>
      </c>
      <c r="K10" s="391">
        <f>Scenarios!K23</f>
        <v>1250</v>
      </c>
      <c r="L10" s="391">
        <f>Scenarios!L23</f>
        <v>1250</v>
      </c>
      <c r="M10" s="391">
        <f>Scenarios!M23</f>
        <v>1400</v>
      </c>
      <c r="N10" s="391">
        <f>Scenarios!N23</f>
        <v>1500</v>
      </c>
      <c r="O10" s="391">
        <f>Scenarios!O23</f>
        <v>1250</v>
      </c>
    </row>
    <row r="11" spans="2:17" ht="3" customHeight="1">
      <c r="D11" s="13"/>
      <c r="E11" s="65"/>
      <c r="F11" s="7"/>
      <c r="G11" s="65"/>
      <c r="H11" s="67"/>
      <c r="J11" s="367"/>
      <c r="K11" s="61"/>
      <c r="L11" s="61"/>
      <c r="M11" s="61"/>
      <c r="N11" s="61"/>
      <c r="O11" s="61"/>
      <c r="Q11" s="70"/>
    </row>
    <row r="12" spans="2:17" ht="12.95" customHeight="1">
      <c r="D12" t="s">
        <v>86</v>
      </c>
      <c r="E12" s="65"/>
      <c r="F12" s="7" t="s">
        <v>118</v>
      </c>
      <c r="G12" s="65"/>
      <c r="H12" s="66"/>
      <c r="J12" s="368"/>
      <c r="K12" s="375">
        <f>Scenarios!K12</f>
        <v>1.4999999999999999E-2</v>
      </c>
      <c r="L12" s="375">
        <f>Scenarios!L12</f>
        <v>1.4999999999999999E-2</v>
      </c>
      <c r="M12" s="375">
        <f>Scenarios!M12</f>
        <v>1.4999999999999999E-2</v>
      </c>
      <c r="N12" s="375">
        <f>Scenarios!N12</f>
        <v>1.4999999999999999E-2</v>
      </c>
      <c r="O12" s="375">
        <f>Scenarios!O12</f>
        <v>1.4999999999999999E-2</v>
      </c>
    </row>
    <row r="13" spans="2:17" ht="12.95" customHeight="1">
      <c r="D13" s="22" t="s">
        <v>100</v>
      </c>
      <c r="E13" s="65"/>
      <c r="F13" s="7" t="s">
        <v>184</v>
      </c>
      <c r="G13" s="65"/>
      <c r="H13" s="67"/>
      <c r="J13" s="434">
        <f>Assumptions!F20</f>
        <v>50</v>
      </c>
      <c r="K13" s="373">
        <f>J13*(1+K12)</f>
        <v>50.749999999999993</v>
      </c>
      <c r="L13" s="373">
        <f t="shared" ref="L13:O13" si="1">K13*(1+L12)</f>
        <v>51.51124999999999</v>
      </c>
      <c r="M13" s="373">
        <f t="shared" si="1"/>
        <v>52.283918749999984</v>
      </c>
      <c r="N13" s="373">
        <f t="shared" si="1"/>
        <v>53.068177531249979</v>
      </c>
      <c r="O13" s="373">
        <f t="shared" si="1"/>
        <v>53.864200194218725</v>
      </c>
    </row>
    <row r="14" spans="2:17" ht="12.95" customHeight="1">
      <c r="D14" s="23" t="s">
        <v>102</v>
      </c>
      <c r="E14" s="65"/>
      <c r="F14" s="333" t="s">
        <v>184</v>
      </c>
      <c r="G14" s="65"/>
      <c r="H14" s="68"/>
      <c r="J14" s="435">
        <f>J10-J13</f>
        <v>1150</v>
      </c>
      <c r="K14" s="390">
        <f>K10-K13</f>
        <v>1199.25</v>
      </c>
      <c r="L14" s="390">
        <f t="shared" ref="L14:O14" si="2">L10-L13</f>
        <v>1198.48875</v>
      </c>
      <c r="M14" s="390">
        <f t="shared" si="2"/>
        <v>1347.7160812500001</v>
      </c>
      <c r="N14" s="390">
        <f t="shared" si="2"/>
        <v>1446.9318224687499</v>
      </c>
      <c r="O14" s="390">
        <f t="shared" si="2"/>
        <v>1196.1357998057813</v>
      </c>
    </row>
    <row r="15" spans="2:17" ht="12.95" customHeight="1">
      <c r="C15" s="282"/>
      <c r="D15" s="283"/>
      <c r="E15" s="284"/>
      <c r="F15" s="334"/>
      <c r="G15" s="284"/>
      <c r="H15" s="285"/>
      <c r="I15" s="282"/>
      <c r="J15" s="282"/>
      <c r="K15" s="286"/>
      <c r="L15" s="287"/>
      <c r="M15" s="287"/>
      <c r="N15" s="287"/>
      <c r="O15" s="287"/>
    </row>
    <row r="16" spans="2:17" ht="12.95" customHeight="1">
      <c r="D16" s="23"/>
      <c r="E16" s="65"/>
      <c r="F16" s="7"/>
      <c r="G16" s="65"/>
      <c r="H16" s="68"/>
      <c r="K16" s="44"/>
      <c r="L16" s="45"/>
      <c r="M16" s="45"/>
      <c r="N16" s="45"/>
      <c r="O16" s="45"/>
    </row>
    <row r="17" spans="3:16" ht="12.95" customHeight="1">
      <c r="C17" s="23" t="s">
        <v>103</v>
      </c>
      <c r="E17" s="65"/>
      <c r="F17" s="7"/>
      <c r="G17" s="65"/>
      <c r="H17" s="68"/>
      <c r="K17" s="44"/>
      <c r="L17" s="45"/>
      <c r="M17" s="45"/>
      <c r="N17" s="45"/>
      <c r="O17" s="45"/>
    </row>
    <row r="18" spans="3:16" ht="12.95" customHeight="1">
      <c r="C18" s="23"/>
      <c r="D18" t="s">
        <v>104</v>
      </c>
      <c r="E18" s="65"/>
      <c r="F18" s="7" t="s">
        <v>183</v>
      </c>
      <c r="G18" s="65"/>
      <c r="H18" s="68"/>
      <c r="J18" s="433">
        <f>Assumptions!O9</f>
        <v>50</v>
      </c>
      <c r="K18" s="372">
        <f>J18</f>
        <v>50</v>
      </c>
      <c r="L18" s="372">
        <f t="shared" ref="L18:O18" si="3">K18</f>
        <v>50</v>
      </c>
      <c r="M18" s="372">
        <f t="shared" si="3"/>
        <v>50</v>
      </c>
      <c r="N18" s="372">
        <f t="shared" si="3"/>
        <v>50</v>
      </c>
      <c r="O18" s="372">
        <f t="shared" si="3"/>
        <v>50</v>
      </c>
      <c r="P18" s="12"/>
    </row>
    <row r="19" spans="3:16" ht="9" customHeight="1">
      <c r="C19" s="23"/>
      <c r="E19" s="65"/>
      <c r="F19" s="7"/>
      <c r="G19" s="65"/>
      <c r="H19" s="68"/>
      <c r="J19" s="368"/>
      <c r="K19" s="61"/>
      <c r="L19" s="12"/>
      <c r="M19" s="12"/>
      <c r="N19" s="12"/>
      <c r="O19" s="12"/>
      <c r="P19" s="12"/>
    </row>
    <row r="20" spans="3:16" ht="12.95" customHeight="1">
      <c r="D20" t="s">
        <v>105</v>
      </c>
      <c r="E20" s="65"/>
      <c r="F20" s="7" t="s">
        <v>118</v>
      </c>
      <c r="G20" s="65"/>
      <c r="H20" s="68"/>
      <c r="J20" s="370"/>
      <c r="K20" s="379">
        <f>Scenarios!K30</f>
        <v>7.0000000000000007E-2</v>
      </c>
      <c r="L20" s="379">
        <f>Scenarios!L30</f>
        <v>7.0000000000000007E-2</v>
      </c>
      <c r="M20" s="379">
        <f>Scenarios!M30</f>
        <v>7.0000000000000007E-2</v>
      </c>
      <c r="N20" s="379">
        <f>Scenarios!N30</f>
        <v>0.06</v>
      </c>
      <c r="O20" s="379">
        <f>Scenarios!O30</f>
        <v>0.06</v>
      </c>
      <c r="P20" s="60"/>
    </row>
    <row r="21" spans="3:16" ht="12.95" customHeight="1">
      <c r="D21" s="10" t="s">
        <v>106</v>
      </c>
      <c r="E21" s="65"/>
      <c r="F21" s="333" t="s">
        <v>183</v>
      </c>
      <c r="G21" s="65"/>
      <c r="H21" s="68"/>
      <c r="J21" s="435">
        <f>J30*1000/J14</f>
        <v>37.826086956521742</v>
      </c>
      <c r="K21" s="390">
        <f>MIN(K18,J21*(1+K20))</f>
        <v>40.473913043478269</v>
      </c>
      <c r="L21" s="390">
        <f>MIN(L18,K21*(1+L20))</f>
        <v>43.307086956521751</v>
      </c>
      <c r="M21" s="390">
        <f>MIN(M18,L21*(1+M20))</f>
        <v>46.338583043478273</v>
      </c>
      <c r="N21" s="390">
        <f>MIN(N18,M21*(1+N20))</f>
        <v>49.118898026086974</v>
      </c>
      <c r="O21" s="390">
        <f>MIN(O18,N21*(1+O20))</f>
        <v>50</v>
      </c>
      <c r="P21" s="50"/>
    </row>
    <row r="22" spans="3:16" ht="6" customHeight="1">
      <c r="D22" s="10"/>
      <c r="E22" s="65"/>
      <c r="F22" s="7"/>
      <c r="G22" s="65"/>
      <c r="H22" s="68"/>
      <c r="J22" s="12"/>
      <c r="K22" s="12"/>
      <c r="L22" s="12"/>
      <c r="M22" s="12"/>
      <c r="N22" s="12"/>
      <c r="O22" s="12"/>
    </row>
    <row r="23" spans="3:16" ht="12.95" customHeight="1">
      <c r="D23" t="s">
        <v>107</v>
      </c>
      <c r="E23" s="65"/>
      <c r="F23" s="7"/>
      <c r="G23" s="65"/>
      <c r="H23" s="68"/>
      <c r="K23" s="436">
        <f>K21/J18</f>
        <v>0.80947826086956542</v>
      </c>
      <c r="L23" s="436">
        <f>L21/L18</f>
        <v>0.86614173913043502</v>
      </c>
      <c r="M23" s="436">
        <f t="shared" ref="M23:O23" si="4">M21/M18</f>
        <v>0.92677166086956542</v>
      </c>
      <c r="N23" s="436">
        <f t="shared" si="4"/>
        <v>0.98237796052173953</v>
      </c>
      <c r="O23" s="436">
        <f t="shared" si="4"/>
        <v>1</v>
      </c>
    </row>
    <row r="24" spans="3:16">
      <c r="C24" s="282"/>
      <c r="D24" s="282"/>
      <c r="E24" s="284"/>
      <c r="F24" s="334"/>
      <c r="G24" s="284"/>
      <c r="H24" s="285"/>
      <c r="I24" s="282"/>
      <c r="J24" s="282"/>
      <c r="K24" s="287"/>
      <c r="L24" s="287"/>
      <c r="M24" s="287"/>
      <c r="N24" s="287"/>
      <c r="O24" s="287"/>
    </row>
    <row r="25" spans="3:16">
      <c r="E25" s="65"/>
      <c r="F25" s="7"/>
      <c r="G25" s="65"/>
      <c r="H25" s="68"/>
      <c r="K25" s="45"/>
      <c r="L25" s="45"/>
      <c r="M25" s="45"/>
      <c r="N25" s="45"/>
      <c r="O25" s="45"/>
    </row>
    <row r="26" spans="3:16">
      <c r="C26" s="10" t="s">
        <v>180</v>
      </c>
      <c r="E26" s="65"/>
      <c r="F26" s="7"/>
      <c r="G26" s="65"/>
      <c r="H26" s="68"/>
      <c r="K26" s="45"/>
      <c r="L26" s="45"/>
      <c r="M26" s="45"/>
      <c r="N26" s="45"/>
      <c r="O26" s="45"/>
    </row>
    <row r="27" spans="3:16" ht="12.95" customHeight="1">
      <c r="D27" t="s">
        <v>181</v>
      </c>
      <c r="E27" s="65"/>
      <c r="F27" s="7" t="s">
        <v>118</v>
      </c>
      <c r="G27" s="65"/>
      <c r="H27" s="68"/>
      <c r="J27" s="437">
        <f>J31/J30</f>
        <v>0.13563218390804599</v>
      </c>
      <c r="K27" s="375">
        <f>Assumptions!K55</f>
        <v>0.15</v>
      </c>
      <c r="L27" s="375">
        <f>Assumptions!L55</f>
        <v>0.15</v>
      </c>
      <c r="M27" s="375">
        <f>Assumptions!M55</f>
        <v>0.15</v>
      </c>
      <c r="N27" s="375">
        <f>Assumptions!N55</f>
        <v>0.15</v>
      </c>
      <c r="O27" s="375">
        <f>Assumptions!O55</f>
        <v>0.15</v>
      </c>
    </row>
    <row r="28" spans="3:16" ht="8.25" customHeight="1">
      <c r="D28" s="23"/>
      <c r="E28" s="65"/>
      <c r="F28" s="7"/>
      <c r="G28" s="65"/>
      <c r="H28" s="68"/>
      <c r="J28" s="368"/>
      <c r="K28" s="44"/>
      <c r="L28" s="45"/>
      <c r="M28" s="45"/>
      <c r="N28" s="45"/>
      <c r="O28" s="45"/>
    </row>
    <row r="29" spans="3:16">
      <c r="C29" s="10" t="s">
        <v>176</v>
      </c>
      <c r="E29" s="65"/>
      <c r="F29" s="7"/>
      <c r="G29" s="65"/>
      <c r="H29" s="68"/>
      <c r="J29" s="368"/>
      <c r="K29" s="44"/>
      <c r="L29" s="45"/>
      <c r="M29" s="45"/>
      <c r="N29" s="45"/>
      <c r="O29" s="45"/>
    </row>
    <row r="30" spans="3:16" ht="12.95" customHeight="1">
      <c r="D30" s="13" t="s">
        <v>185</v>
      </c>
      <c r="E30" s="65"/>
      <c r="F30" s="7" t="s">
        <v>165</v>
      </c>
      <c r="G30" s="65"/>
      <c r="H30" s="68"/>
      <c r="J30" s="431">
        <f>J75</f>
        <v>43.5</v>
      </c>
      <c r="K30" s="372">
        <f>K14*K21/1000</f>
        <v>48.538340217391315</v>
      </c>
      <c r="L30" s="372">
        <f t="shared" ref="L30:O30" si="5">L14*L21/1000</f>
        <v>51.903056512663056</v>
      </c>
      <c r="M30" s="372">
        <f t="shared" si="5"/>
        <v>62.451253550034245</v>
      </c>
      <c r="N30" s="372">
        <f t="shared" si="5"/>
        <v>71.071696638542704</v>
      </c>
      <c r="O30" s="372">
        <f t="shared" si="5"/>
        <v>59.806789990289062</v>
      </c>
    </row>
    <row r="31" spans="3:16" ht="12.95" customHeight="1">
      <c r="D31" s="22" t="s">
        <v>180</v>
      </c>
      <c r="E31" s="65"/>
      <c r="F31" s="7" t="s">
        <v>165</v>
      </c>
      <c r="G31" s="65"/>
      <c r="H31" s="68"/>
      <c r="J31" s="431">
        <f>J76</f>
        <v>5.9</v>
      </c>
      <c r="K31" s="372">
        <f>K27*K30</f>
        <v>7.2807510326086966</v>
      </c>
      <c r="L31" s="372">
        <f t="shared" ref="L31:O31" si="6">L27*L30</f>
        <v>7.7854584768994579</v>
      </c>
      <c r="M31" s="372">
        <f t="shared" si="6"/>
        <v>9.3676880325051357</v>
      </c>
      <c r="N31" s="372">
        <f t="shared" si="6"/>
        <v>10.660754495781406</v>
      </c>
      <c r="O31" s="372">
        <f t="shared" si="6"/>
        <v>8.9710184985433585</v>
      </c>
    </row>
    <row r="32" spans="3:16" s="123" customFormat="1" ht="13.5" customHeight="1" thickBot="1">
      <c r="D32" s="193" t="s">
        <v>176</v>
      </c>
      <c r="E32" s="331"/>
      <c r="F32" s="335" t="s">
        <v>165</v>
      </c>
      <c r="G32" s="331"/>
      <c r="H32" s="332"/>
      <c r="I32" s="332"/>
      <c r="J32" s="438">
        <f>SUM(J30:J31)</f>
        <v>49.4</v>
      </c>
      <c r="K32" s="399">
        <f>SUM(K30:K31)</f>
        <v>55.819091250000014</v>
      </c>
      <c r="L32" s="399">
        <f t="shared" ref="L32:O32" si="7">SUM(L30:L31)</f>
        <v>59.688514989562513</v>
      </c>
      <c r="M32" s="399">
        <f t="shared" si="7"/>
        <v>71.818941582539381</v>
      </c>
      <c r="N32" s="399">
        <f t="shared" si="7"/>
        <v>81.732451134324108</v>
      </c>
      <c r="O32" s="399">
        <f t="shared" si="7"/>
        <v>68.77780848883242</v>
      </c>
    </row>
    <row r="33" spans="2:15" ht="13.5" thickTop="1">
      <c r="B33" s="25"/>
      <c r="C33" s="197"/>
      <c r="D33" s="198"/>
      <c r="E33" s="197"/>
      <c r="F33" s="25"/>
      <c r="G33" s="197"/>
      <c r="H33" s="199"/>
      <c r="I33" s="25"/>
      <c r="J33" s="25"/>
      <c r="K33" s="200"/>
      <c r="L33" s="134"/>
      <c r="M33" s="134"/>
      <c r="N33" s="134"/>
      <c r="O33" s="134"/>
    </row>
    <row r="35" spans="2:15" ht="14.25" customHeight="1">
      <c r="B35" s="1"/>
      <c r="C35" s="1"/>
      <c r="D35" s="1"/>
      <c r="E35" s="1"/>
      <c r="F35" s="1"/>
      <c r="G35" s="1"/>
      <c r="H35" s="1"/>
      <c r="I35" s="1"/>
      <c r="J35" s="1"/>
      <c r="K35" s="2"/>
      <c r="L35" s="2"/>
      <c r="M35" s="2"/>
      <c r="N35" s="2"/>
      <c r="O35" s="190" t="str">
        <f>$O$1</f>
        <v>CURRENTLY RUNNING: BASE CASE SCENARIO</v>
      </c>
    </row>
    <row r="36" spans="2:15" ht="23.25">
      <c r="B36" s="1" t="str">
        <f>$B$2</f>
        <v>Grand Crew Cycling Company</v>
      </c>
      <c r="C36" s="1"/>
      <c r="D36" s="1"/>
      <c r="E36" s="1"/>
      <c r="F36" s="1"/>
      <c r="G36" s="1"/>
      <c r="H36" s="1"/>
      <c r="I36" s="1"/>
      <c r="J36" s="1"/>
      <c r="K36" s="2"/>
      <c r="L36" s="2"/>
      <c r="M36" s="2"/>
      <c r="N36" s="2"/>
      <c r="O36" s="2"/>
    </row>
    <row r="37" spans="2:15" ht="18">
      <c r="B37" s="3" t="s">
        <v>47</v>
      </c>
      <c r="C37" s="3"/>
      <c r="D37" s="3"/>
      <c r="E37" s="3"/>
      <c r="F37" s="3"/>
      <c r="G37" s="3"/>
      <c r="H37" s="3"/>
      <c r="I37" s="3"/>
      <c r="J37" s="3"/>
      <c r="K37" s="2"/>
      <c r="L37" s="2"/>
      <c r="M37" s="2"/>
      <c r="N37" s="2"/>
      <c r="O37" s="2"/>
    </row>
    <row r="38" spans="2:15" ht="3" customHeight="1" thickBot="1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2:15" ht="12.95" customHeight="1">
      <c r="B39" s="5"/>
    </row>
    <row r="40" spans="2:15">
      <c r="B40" s="5"/>
      <c r="K40" s="195" t="s">
        <v>114</v>
      </c>
      <c r="L40" s="128"/>
      <c r="M40" s="128"/>
      <c r="N40" s="128"/>
      <c r="O40" s="128"/>
    </row>
    <row r="41" spans="2:15">
      <c r="H41" s="189">
        <f>H$7</f>
        <v>2023</v>
      </c>
      <c r="I41" s="189">
        <f t="shared" ref="I41:O41" si="8">I$7</f>
        <v>2024</v>
      </c>
      <c r="J41" s="189">
        <f t="shared" si="8"/>
        <v>2025</v>
      </c>
      <c r="K41" s="196">
        <f t="shared" si="8"/>
        <v>2026</v>
      </c>
      <c r="L41" s="196">
        <f t="shared" si="8"/>
        <v>2027</v>
      </c>
      <c r="M41" s="196">
        <f t="shared" si="8"/>
        <v>2028</v>
      </c>
      <c r="N41" s="196">
        <f t="shared" si="8"/>
        <v>2029</v>
      </c>
      <c r="O41" s="196">
        <f t="shared" si="8"/>
        <v>2030</v>
      </c>
    </row>
    <row r="42" spans="2:15" ht="12.95" customHeight="1"/>
    <row r="43" spans="2:15" ht="12.95" customHeight="1">
      <c r="B43" s="288" t="s">
        <v>186</v>
      </c>
      <c r="C43" s="289"/>
      <c r="D43" s="289"/>
      <c r="E43" s="289"/>
      <c r="F43" s="291" t="s">
        <v>183</v>
      </c>
      <c r="G43" s="289"/>
      <c r="H43" s="289"/>
      <c r="I43" s="289"/>
      <c r="J43" s="421">
        <f>J21</f>
        <v>37.826086956521742</v>
      </c>
      <c r="K43" s="421">
        <f t="shared" ref="K43:O43" si="9">K21</f>
        <v>40.473913043478269</v>
      </c>
      <c r="L43" s="421">
        <f t="shared" si="9"/>
        <v>43.307086956521751</v>
      </c>
      <c r="M43" s="421">
        <f t="shared" si="9"/>
        <v>46.338583043478273</v>
      </c>
      <c r="N43" s="421">
        <f t="shared" si="9"/>
        <v>49.118898026086974</v>
      </c>
      <c r="O43" s="421">
        <f t="shared" si="9"/>
        <v>50</v>
      </c>
    </row>
    <row r="44" spans="2:15" ht="12.95" customHeight="1">
      <c r="B44" s="290" t="s">
        <v>86</v>
      </c>
      <c r="C44" s="282"/>
      <c r="D44" s="282"/>
      <c r="E44" s="282"/>
      <c r="F44" s="292" t="s">
        <v>118</v>
      </c>
      <c r="G44" s="282"/>
      <c r="H44" s="282"/>
      <c r="I44" s="282"/>
      <c r="J44" s="282"/>
      <c r="K44" s="422">
        <f>K12</f>
        <v>1.4999999999999999E-2</v>
      </c>
      <c r="L44" s="422">
        <f t="shared" ref="L44:O44" si="10">L12</f>
        <v>1.4999999999999999E-2</v>
      </c>
      <c r="M44" s="422">
        <f t="shared" si="10"/>
        <v>1.4999999999999999E-2</v>
      </c>
      <c r="N44" s="422">
        <f t="shared" si="10"/>
        <v>1.4999999999999999E-2</v>
      </c>
      <c r="O44" s="422">
        <f t="shared" si="10"/>
        <v>1.4999999999999999E-2</v>
      </c>
    </row>
    <row r="45" spans="2:15" ht="12.95" customHeight="1"/>
    <row r="46" spans="2:15" ht="12.95" customHeight="1"/>
    <row r="47" spans="2:15" ht="12.95" customHeight="1">
      <c r="C47" s="10" t="s">
        <v>52</v>
      </c>
    </row>
    <row r="48" spans="2:15" ht="12.95" customHeight="1">
      <c r="D48" t="s">
        <v>51</v>
      </c>
      <c r="F48" s="7" t="s">
        <v>184</v>
      </c>
      <c r="J48" s="423">
        <f>J58/J$43*1000</f>
        <v>713.79310344827582</v>
      </c>
      <c r="K48" s="372">
        <f>J48*(1+K44)</f>
        <v>724.49999999999989</v>
      </c>
      <c r="L48" s="372">
        <f t="shared" ref="L48:O48" si="11">K48*(1+L44)</f>
        <v>735.36749999999984</v>
      </c>
      <c r="M48" s="372">
        <f t="shared" si="11"/>
        <v>746.39801249999971</v>
      </c>
      <c r="N48" s="372">
        <f t="shared" si="11"/>
        <v>757.59398268749965</v>
      </c>
      <c r="O48" s="372">
        <f t="shared" si="11"/>
        <v>768.95789242781211</v>
      </c>
    </row>
    <row r="49" spans="2:15" ht="12.95" customHeight="1">
      <c r="D49" t="s">
        <v>49</v>
      </c>
      <c r="F49" s="7" t="s">
        <v>184</v>
      </c>
      <c r="J49" s="424">
        <f>J59/J$43*1000</f>
        <v>237.93103448275861</v>
      </c>
      <c r="K49" s="373">
        <f>K59/K$43*1000</f>
        <v>225.70093457943921</v>
      </c>
      <c r="L49" s="373">
        <f t="shared" ref="L49:O49" si="12">L59/L$43*1000</f>
        <v>214.09948467115026</v>
      </c>
      <c r="M49" s="373">
        <f t="shared" si="12"/>
        <v>203.09437097310044</v>
      </c>
      <c r="N49" s="373">
        <f t="shared" si="12"/>
        <v>194.47244012990276</v>
      </c>
      <c r="O49" s="373">
        <f t="shared" si="12"/>
        <v>193.91112069918739</v>
      </c>
    </row>
    <row r="50" spans="2:15" ht="12.95" customHeight="1">
      <c r="D50" s="10" t="s">
        <v>196</v>
      </c>
      <c r="F50" s="333" t="s">
        <v>184</v>
      </c>
      <c r="J50" s="425">
        <f>SUM(J48:J49)</f>
        <v>951.72413793103442</v>
      </c>
      <c r="K50" s="371">
        <f>SUM(K48:K49)</f>
        <v>950.20093457943904</v>
      </c>
      <c r="L50" s="371">
        <f t="shared" ref="L50:O50" si="13">SUM(L48:L49)</f>
        <v>949.46698467115016</v>
      </c>
      <c r="M50" s="371">
        <f t="shared" si="13"/>
        <v>949.49238347310018</v>
      </c>
      <c r="N50" s="371">
        <f t="shared" si="13"/>
        <v>952.06642281740244</v>
      </c>
      <c r="O50" s="371">
        <f t="shared" si="13"/>
        <v>962.86901312699956</v>
      </c>
    </row>
    <row r="51" spans="2:15" ht="12.95" customHeight="1">
      <c r="J51" s="47"/>
    </row>
    <row r="52" spans="2:15" ht="12.95" customHeight="1">
      <c r="J52" s="47"/>
    </row>
    <row r="53" spans="2:15" ht="12.95" customHeight="1">
      <c r="C53" s="10" t="s">
        <v>195</v>
      </c>
    </row>
    <row r="54" spans="2:15" ht="12.95" customHeight="1">
      <c r="D54" t="s">
        <v>50</v>
      </c>
      <c r="F54" s="7" t="s">
        <v>118</v>
      </c>
      <c r="J54" s="426">
        <f>Assumptions!F34</f>
        <v>0.75</v>
      </c>
      <c r="K54" s="427">
        <f>K58/K60</f>
        <v>0.76247030878859856</v>
      </c>
      <c r="L54" s="427">
        <f t="shared" ref="L54:O54" si="14">L58/L60</f>
        <v>0.77450560353575215</v>
      </c>
      <c r="M54" s="427">
        <f t="shared" si="14"/>
        <v>0.78610215889230006</v>
      </c>
      <c r="N54" s="427">
        <f t="shared" si="14"/>
        <v>0.79573647860155583</v>
      </c>
      <c r="O54" s="427">
        <f t="shared" si="14"/>
        <v>0.79861111111111116</v>
      </c>
    </row>
    <row r="55" spans="2:15" ht="12.95" customHeight="1">
      <c r="D55" t="s">
        <v>48</v>
      </c>
      <c r="F55" s="7" t="s">
        <v>118</v>
      </c>
      <c r="J55" s="428">
        <f>Assumptions!F35</f>
        <v>0.25</v>
      </c>
      <c r="K55" s="429">
        <f>K59/K60</f>
        <v>0.23752969121140141</v>
      </c>
      <c r="L55" s="429">
        <f t="shared" ref="L55:O55" si="15">L59/L60</f>
        <v>0.22549439646424782</v>
      </c>
      <c r="M55" s="429">
        <f t="shared" si="15"/>
        <v>0.21389784110769988</v>
      </c>
      <c r="N55" s="429">
        <f t="shared" si="15"/>
        <v>0.20426352139844425</v>
      </c>
      <c r="O55" s="429">
        <f t="shared" si="15"/>
        <v>0.20138888888888892</v>
      </c>
    </row>
    <row r="56" spans="2:15" ht="12.95" customHeight="1">
      <c r="D56" t="s">
        <v>5</v>
      </c>
      <c r="F56" s="7" t="s">
        <v>118</v>
      </c>
      <c r="J56" s="430">
        <f>SUM(J54:J55)</f>
        <v>1</v>
      </c>
      <c r="K56" s="427">
        <f>SUM(K54:K55)</f>
        <v>1</v>
      </c>
      <c r="L56" s="427">
        <f t="shared" ref="L56:O56" si="16">SUM(L54:L55)</f>
        <v>1</v>
      </c>
      <c r="M56" s="427">
        <f t="shared" si="16"/>
        <v>1</v>
      </c>
      <c r="N56" s="427">
        <f t="shared" si="16"/>
        <v>1</v>
      </c>
      <c r="O56" s="427">
        <f t="shared" si="16"/>
        <v>1</v>
      </c>
    </row>
    <row r="57" spans="2:15" ht="12.95" customHeight="1">
      <c r="J57" s="369"/>
      <c r="K57" s="48"/>
      <c r="L57" s="48"/>
      <c r="M57" s="48"/>
      <c r="N57" s="48"/>
      <c r="O57" s="48"/>
    </row>
    <row r="58" spans="2:15" ht="12.95" customHeight="1">
      <c r="D58" t="s">
        <v>51</v>
      </c>
      <c r="F58" s="7" t="s">
        <v>165</v>
      </c>
      <c r="J58" s="431">
        <f>J54*J60</f>
        <v>27</v>
      </c>
      <c r="K58" s="372">
        <f>K48*K43/1000</f>
        <v>29.323350000000001</v>
      </c>
      <c r="L58" s="372">
        <f>L48*L43/1000</f>
        <v>31.846624267500005</v>
      </c>
      <c r="M58" s="372">
        <f t="shared" ref="M58:O58" si="17">M48*M43/1000</f>
        <v>34.587026285718373</v>
      </c>
      <c r="N58" s="372">
        <f t="shared" si="17"/>
        <v>37.212181580804398</v>
      </c>
      <c r="O58" s="372">
        <f t="shared" si="17"/>
        <v>38.447894621390603</v>
      </c>
    </row>
    <row r="59" spans="2:15" ht="12.95" customHeight="1">
      <c r="D59" t="s">
        <v>49</v>
      </c>
      <c r="F59" s="7" t="s">
        <v>165</v>
      </c>
      <c r="J59" s="431">
        <f>J55*J60</f>
        <v>9</v>
      </c>
      <c r="K59" s="372">
        <f>J59*(1+K44)</f>
        <v>9.1349999999999998</v>
      </c>
      <c r="L59" s="372">
        <f>K59*(1+L44)</f>
        <v>9.2720249999999993</v>
      </c>
      <c r="M59" s="372">
        <f t="shared" ref="M59:O59" si="18">L59*(1+M44)</f>
        <v>9.4111053749999982</v>
      </c>
      <c r="N59" s="372">
        <f t="shared" si="18"/>
        <v>9.5522719556249971</v>
      </c>
      <c r="O59" s="372">
        <f t="shared" si="18"/>
        <v>9.6955560349593704</v>
      </c>
    </row>
    <row r="60" spans="2:15" ht="13.5" customHeight="1" thickBot="1">
      <c r="D60" s="193" t="s">
        <v>3</v>
      </c>
      <c r="F60" s="333" t="s">
        <v>165</v>
      </c>
      <c r="J60" s="432">
        <f>J79</f>
        <v>36</v>
      </c>
      <c r="K60" s="399">
        <f>SUM(K58:K59)</f>
        <v>38.458350000000003</v>
      </c>
      <c r="L60" s="399">
        <f t="shared" ref="L60:O60" si="19">SUM(L58:L59)</f>
        <v>41.118649267500004</v>
      </c>
      <c r="M60" s="399">
        <f t="shared" si="19"/>
        <v>43.998131660718371</v>
      </c>
      <c r="N60" s="399">
        <f t="shared" si="19"/>
        <v>46.764453536429393</v>
      </c>
      <c r="O60" s="399">
        <f t="shared" si="19"/>
        <v>48.14345065634997</v>
      </c>
    </row>
    <row r="61" spans="2:15" ht="13.5" thickTop="1">
      <c r="H61" s="12"/>
      <c r="I61" s="12"/>
      <c r="J61" s="12"/>
      <c r="K61" s="12"/>
      <c r="L61" s="12"/>
      <c r="M61" s="12"/>
      <c r="N61" s="12"/>
      <c r="O61" s="12"/>
    </row>
    <row r="63" spans="2:15" ht="13.5" customHeight="1" thickBot="1">
      <c r="C63" s="193" t="s">
        <v>4</v>
      </c>
      <c r="F63" s="333" t="s">
        <v>165</v>
      </c>
      <c r="J63" s="432">
        <f>J80</f>
        <v>5.2</v>
      </c>
      <c r="K63" s="399">
        <f>J63*(1+K44)</f>
        <v>5.2779999999999996</v>
      </c>
      <c r="L63" s="399">
        <f t="shared" ref="L63:O63" si="20">K63*(1+L44)</f>
        <v>5.3571699999999991</v>
      </c>
      <c r="M63" s="399">
        <f t="shared" si="20"/>
        <v>5.4375275499999987</v>
      </c>
      <c r="N63" s="399">
        <f t="shared" si="20"/>
        <v>5.5190904632499977</v>
      </c>
      <c r="O63" s="399">
        <f t="shared" si="20"/>
        <v>5.601876820198747</v>
      </c>
    </row>
    <row r="64" spans="2:15" ht="13.5" thickTop="1"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6" spans="2:15" ht="14.25" customHeight="1">
      <c r="B66" s="1"/>
      <c r="C66" s="1"/>
      <c r="D66" s="1"/>
      <c r="E66" s="1"/>
      <c r="F66" s="1"/>
      <c r="G66" s="1"/>
      <c r="H66" s="1"/>
      <c r="I66" s="1"/>
      <c r="J66" s="1"/>
      <c r="K66" s="2"/>
      <c r="L66" s="2"/>
      <c r="M66" s="2"/>
      <c r="N66" s="2"/>
      <c r="O66" s="190" t="str">
        <f>$O$1</f>
        <v>CURRENTLY RUNNING: BASE CASE SCENARIO</v>
      </c>
    </row>
    <row r="67" spans="2:15" ht="23.25">
      <c r="B67" s="1" t="str">
        <f>$B$2</f>
        <v>Grand Crew Cycling Company</v>
      </c>
      <c r="C67" s="1"/>
      <c r="D67" s="1"/>
      <c r="E67" s="1"/>
      <c r="F67" s="1"/>
      <c r="G67" s="1"/>
      <c r="H67" s="1"/>
      <c r="I67" s="1"/>
      <c r="J67" s="1"/>
      <c r="K67" s="2"/>
      <c r="L67" s="2"/>
      <c r="M67" s="2"/>
      <c r="N67" s="2"/>
      <c r="O67" s="2"/>
    </row>
    <row r="68" spans="2:15" ht="18">
      <c r="B68" s="3" t="s">
        <v>0</v>
      </c>
      <c r="C68" s="3"/>
      <c r="D68" s="3"/>
      <c r="E68" s="3"/>
      <c r="F68" s="3"/>
      <c r="G68" s="3"/>
      <c r="H68" s="3"/>
      <c r="I68" s="3"/>
      <c r="J68" s="3"/>
      <c r="K68" s="2"/>
      <c r="L68" s="2"/>
      <c r="M68" s="2"/>
      <c r="N68" s="2"/>
      <c r="O68" s="2"/>
    </row>
    <row r="69" spans="2:15" ht="3" customHeight="1" thickBot="1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2:15" ht="12.95" customHeight="1">
      <c r="B70" s="5" t="s">
        <v>115</v>
      </c>
    </row>
    <row r="71" spans="2:15">
      <c r="B71" s="5"/>
      <c r="K71" s="195" t="s">
        <v>114</v>
      </c>
      <c r="L71" s="128"/>
      <c r="M71" s="128"/>
      <c r="N71" s="128"/>
      <c r="O71" s="128"/>
    </row>
    <row r="72" spans="2:15">
      <c r="H72" s="189">
        <f>H$7</f>
        <v>2023</v>
      </c>
      <c r="I72" s="189">
        <f t="shared" ref="I72:O72" si="21">I$7</f>
        <v>2024</v>
      </c>
      <c r="J72" s="189">
        <f t="shared" si="21"/>
        <v>2025</v>
      </c>
      <c r="K72" s="196">
        <f t="shared" si="21"/>
        <v>2026</v>
      </c>
      <c r="L72" s="196">
        <f t="shared" si="21"/>
        <v>2027</v>
      </c>
      <c r="M72" s="196">
        <f t="shared" si="21"/>
        <v>2028</v>
      </c>
      <c r="N72" s="196">
        <f t="shared" si="21"/>
        <v>2029</v>
      </c>
      <c r="O72" s="196">
        <f t="shared" si="21"/>
        <v>2030</v>
      </c>
    </row>
    <row r="74" spans="2:15">
      <c r="B74" s="63"/>
      <c r="C74" s="10" t="s">
        <v>2</v>
      </c>
      <c r="D74" s="7"/>
      <c r="E74" s="7"/>
      <c r="F74" s="7"/>
      <c r="G74" s="8"/>
      <c r="H74" s="9"/>
      <c r="I74" s="9"/>
      <c r="J74" s="9"/>
      <c r="K74" s="9"/>
      <c r="L74" s="9"/>
      <c r="M74" s="9"/>
      <c r="N74" s="9"/>
      <c r="O74" s="9"/>
    </row>
    <row r="75" spans="2:15" ht="12.95" customHeight="1">
      <c r="B75" s="63"/>
      <c r="C75" t="s">
        <v>179</v>
      </c>
      <c r="D75" s="7"/>
      <c r="E75" s="7"/>
      <c r="F75" s="7"/>
      <c r="G75" s="8"/>
      <c r="H75" s="11">
        <v>36.700000000000003</v>
      </c>
      <c r="I75" s="11">
        <v>40.200000000000003</v>
      </c>
      <c r="J75" s="11">
        <v>43.5</v>
      </c>
      <c r="K75" s="372">
        <f>K30</f>
        <v>48.538340217391315</v>
      </c>
      <c r="L75" s="372">
        <f t="shared" ref="L75:O75" si="22">L30</f>
        <v>51.903056512663056</v>
      </c>
      <c r="M75" s="372">
        <f t="shared" si="22"/>
        <v>62.451253550034245</v>
      </c>
      <c r="N75" s="372">
        <f t="shared" si="22"/>
        <v>71.071696638542704</v>
      </c>
      <c r="O75" s="372">
        <f t="shared" si="22"/>
        <v>59.806789990289062</v>
      </c>
    </row>
    <row r="76" spans="2:15" ht="12.95" customHeight="1">
      <c r="B76" s="10"/>
      <c r="C76" s="22" t="s">
        <v>180</v>
      </c>
      <c r="G76" s="6"/>
      <c r="H76" s="15">
        <v>4.8</v>
      </c>
      <c r="I76" s="15">
        <v>5</v>
      </c>
      <c r="J76" s="15">
        <v>5.9</v>
      </c>
      <c r="K76" s="373">
        <f>K31</f>
        <v>7.2807510326086966</v>
      </c>
      <c r="L76" s="373">
        <f t="shared" ref="L76:O76" si="23">L31</f>
        <v>7.7854584768994579</v>
      </c>
      <c r="M76" s="373">
        <f t="shared" si="23"/>
        <v>9.3676880325051357</v>
      </c>
      <c r="N76" s="373">
        <f t="shared" si="23"/>
        <v>10.660754495781406</v>
      </c>
      <c r="O76" s="373">
        <f t="shared" si="23"/>
        <v>8.9710184985433585</v>
      </c>
    </row>
    <row r="77" spans="2:15" ht="12.95" customHeight="1">
      <c r="C77" s="10" t="s">
        <v>176</v>
      </c>
      <c r="D77" s="10"/>
      <c r="E77" s="10"/>
      <c r="F77" s="10"/>
      <c r="G77" s="6"/>
      <c r="H77" s="69">
        <f>H75+H76</f>
        <v>41.5</v>
      </c>
      <c r="I77" s="69">
        <f t="shared" ref="I77:J77" si="24">I75+I76</f>
        <v>45.2</v>
      </c>
      <c r="J77" s="69">
        <f t="shared" si="24"/>
        <v>49.4</v>
      </c>
      <c r="K77" s="420">
        <f>K75+K76</f>
        <v>55.819091250000014</v>
      </c>
      <c r="L77" s="420">
        <f t="shared" ref="L77:O77" si="25">L75+L76</f>
        <v>59.688514989562513</v>
      </c>
      <c r="M77" s="420">
        <f t="shared" si="25"/>
        <v>71.818941582539381</v>
      </c>
      <c r="N77" s="420">
        <f t="shared" si="25"/>
        <v>81.732451134324108</v>
      </c>
      <c r="O77" s="420">
        <f t="shared" si="25"/>
        <v>68.77780848883242</v>
      </c>
    </row>
    <row r="78" spans="2:15" ht="13.15" customHeight="1">
      <c r="G78" s="6"/>
      <c r="H78" s="11"/>
      <c r="I78" s="11"/>
      <c r="J78" s="281"/>
    </row>
    <row r="79" spans="2:15" ht="12.95" customHeight="1">
      <c r="C79" t="s">
        <v>3</v>
      </c>
      <c r="G79" s="6"/>
      <c r="H79" s="11">
        <v>30.1</v>
      </c>
      <c r="I79" s="11">
        <v>33.4</v>
      </c>
      <c r="J79" s="11">
        <v>36</v>
      </c>
      <c r="K79" s="372">
        <f>K60</f>
        <v>38.458350000000003</v>
      </c>
      <c r="L79" s="372">
        <f t="shared" ref="L79:O79" si="26">L60</f>
        <v>41.118649267500004</v>
      </c>
      <c r="M79" s="372">
        <f t="shared" si="26"/>
        <v>43.998131660718371</v>
      </c>
      <c r="N79" s="372">
        <f t="shared" si="26"/>
        <v>46.764453536429393</v>
      </c>
      <c r="O79" s="372">
        <f t="shared" si="26"/>
        <v>48.14345065634997</v>
      </c>
    </row>
    <row r="80" spans="2:15" ht="12.95" customHeight="1">
      <c r="C80" s="13" t="s">
        <v>4</v>
      </c>
      <c r="E80" s="14"/>
      <c r="F80" s="14"/>
      <c r="G80" s="6"/>
      <c r="H80" s="15">
        <v>4.4000000000000004</v>
      </c>
      <c r="I80" s="15">
        <v>5</v>
      </c>
      <c r="J80" s="15">
        <v>5.2</v>
      </c>
      <c r="K80" s="373">
        <f>K63</f>
        <v>5.2779999999999996</v>
      </c>
      <c r="L80" s="373">
        <f t="shared" ref="L80:O80" si="27">L63</f>
        <v>5.3571699999999991</v>
      </c>
      <c r="M80" s="373">
        <f t="shared" si="27"/>
        <v>5.4375275499999987</v>
      </c>
      <c r="N80" s="373">
        <f t="shared" si="27"/>
        <v>5.5190904632499977</v>
      </c>
      <c r="O80" s="373">
        <f t="shared" si="27"/>
        <v>5.601876820198747</v>
      </c>
    </row>
    <row r="81" spans="2:15" ht="12.95" customHeight="1">
      <c r="C81" s="17" t="s">
        <v>5</v>
      </c>
      <c r="G81" s="6"/>
      <c r="H81" s="18">
        <f t="shared" ref="H81:J81" si="28">SUM(H79:H80)</f>
        <v>34.5</v>
      </c>
      <c r="I81" s="18">
        <f t="shared" si="28"/>
        <v>38.4</v>
      </c>
      <c r="J81" s="18">
        <f t="shared" si="28"/>
        <v>41.2</v>
      </c>
      <c r="K81" s="419">
        <f>K79+K80</f>
        <v>43.736350000000002</v>
      </c>
      <c r="L81" s="419">
        <f t="shared" ref="L81:O81" si="29">L79+L80</f>
        <v>46.4758192675</v>
      </c>
      <c r="M81" s="419">
        <f t="shared" si="29"/>
        <v>49.43565921071837</v>
      </c>
      <c r="N81" s="419">
        <f t="shared" si="29"/>
        <v>52.283543999679388</v>
      </c>
      <c r="O81" s="419">
        <f t="shared" si="29"/>
        <v>53.745327476548717</v>
      </c>
    </row>
    <row r="82" spans="2:15">
      <c r="C82" s="17"/>
      <c r="G82" s="6"/>
      <c r="H82" s="6"/>
      <c r="I82" s="6"/>
      <c r="J82" s="6"/>
    </row>
    <row r="83" spans="2:15" ht="12.95" customHeight="1">
      <c r="C83" t="s">
        <v>6</v>
      </c>
      <c r="G83" s="6"/>
      <c r="H83" s="15">
        <v>0</v>
      </c>
      <c r="I83" s="15">
        <v>0.4</v>
      </c>
      <c r="J83" s="15">
        <v>0.6</v>
      </c>
      <c r="K83" s="376">
        <f>Assumptions!K58</f>
        <v>0</v>
      </c>
      <c r="L83" s="376">
        <f>Assumptions!L58</f>
        <v>0</v>
      </c>
      <c r="M83" s="376">
        <f>Assumptions!M58</f>
        <v>0</v>
      </c>
      <c r="N83" s="376">
        <f>Assumptions!N58</f>
        <v>0</v>
      </c>
      <c r="O83" s="376">
        <f>Assumptions!O58</f>
        <v>0</v>
      </c>
    </row>
    <row r="84" spans="2:15" ht="12.95" customHeight="1">
      <c r="B84" s="10"/>
      <c r="C84" s="10" t="s">
        <v>7</v>
      </c>
      <c r="H84" s="19">
        <f t="shared" ref="H84:J84" si="30">H77-H81+H83</f>
        <v>7</v>
      </c>
      <c r="I84" s="19">
        <f t="shared" si="30"/>
        <v>7.2000000000000046</v>
      </c>
      <c r="J84" s="19">
        <f t="shared" si="30"/>
        <v>8.7999999999999954</v>
      </c>
      <c r="K84" s="407">
        <f>K77-K81+K83</f>
        <v>12.082741250000012</v>
      </c>
      <c r="L84" s="407">
        <f>L77-L81+L83</f>
        <v>13.212695722062513</v>
      </c>
      <c r="M84" s="407">
        <f t="shared" ref="M84:O84" si="31">M77-M81+M83</f>
        <v>22.383282371821011</v>
      </c>
      <c r="N84" s="407">
        <f t="shared" si="31"/>
        <v>29.44890713464472</v>
      </c>
      <c r="O84" s="407">
        <f t="shared" si="31"/>
        <v>15.032481012283704</v>
      </c>
    </row>
    <row r="86" spans="2:15" ht="12.95" customHeight="1">
      <c r="C86" t="s">
        <v>8</v>
      </c>
      <c r="H86" s="20">
        <v>2.8</v>
      </c>
      <c r="I86" s="20">
        <v>2.9</v>
      </c>
      <c r="J86" s="20">
        <v>3</v>
      </c>
      <c r="K86" s="402">
        <f>K206</f>
        <v>3.71</v>
      </c>
      <c r="L86" s="503">
        <f t="shared" ref="L86:O86" si="32">L206</f>
        <v>4.21</v>
      </c>
      <c r="M86" s="503">
        <f t="shared" si="32"/>
        <v>4.76</v>
      </c>
      <c r="N86" s="503">
        <f t="shared" si="32"/>
        <v>5.3599999999999994</v>
      </c>
      <c r="O86" s="402">
        <f t="shared" si="32"/>
        <v>6.4099999999999993</v>
      </c>
    </row>
    <row r="87" spans="2:15" ht="12.95" customHeight="1">
      <c r="C87" s="17" t="s">
        <v>9</v>
      </c>
      <c r="H87" s="19">
        <f t="shared" ref="H87:J87" si="33">H84-H86</f>
        <v>4.2</v>
      </c>
      <c r="I87" s="19">
        <f t="shared" si="33"/>
        <v>4.3000000000000043</v>
      </c>
      <c r="J87" s="19">
        <f t="shared" si="33"/>
        <v>5.7999999999999954</v>
      </c>
      <c r="K87" s="407">
        <f>K84-K86</f>
        <v>8.3727412500000113</v>
      </c>
      <c r="L87" s="407">
        <f t="shared" ref="L87:O87" si="34">L84-L86</f>
        <v>9.0026957220625121</v>
      </c>
      <c r="M87" s="407">
        <f t="shared" si="34"/>
        <v>17.623282371821013</v>
      </c>
      <c r="N87" s="407">
        <f t="shared" si="34"/>
        <v>24.088907134644721</v>
      </c>
      <c r="O87" s="407">
        <f t="shared" si="34"/>
        <v>8.6224810122837034</v>
      </c>
    </row>
    <row r="88" spans="2:15" ht="6" customHeight="1">
      <c r="C88" s="17"/>
      <c r="L88" s="501"/>
      <c r="M88" s="501"/>
      <c r="N88" s="501"/>
    </row>
    <row r="89" spans="2:15" ht="12.95" customHeight="1">
      <c r="C89" s="22" t="s">
        <v>155</v>
      </c>
      <c r="H89" s="20">
        <v>0.6</v>
      </c>
      <c r="I89" s="20">
        <v>0.6</v>
      </c>
      <c r="J89" s="20">
        <v>0.8</v>
      </c>
      <c r="K89" s="402">
        <f>K303</f>
        <v>1.05</v>
      </c>
      <c r="L89" s="503">
        <f t="shared" ref="L89:O89" si="35">L303</f>
        <v>1.1628194784876713</v>
      </c>
      <c r="M89" s="503">
        <f t="shared" si="35"/>
        <v>1.0005594070092427</v>
      </c>
      <c r="N89" s="503">
        <f t="shared" si="35"/>
        <v>0.74333115224128288</v>
      </c>
      <c r="O89" s="402">
        <f t="shared" si="35"/>
        <v>0.24597192653696218</v>
      </c>
    </row>
    <row r="90" spans="2:15" ht="12.95" customHeight="1">
      <c r="C90" s="23" t="s">
        <v>10</v>
      </c>
      <c r="H90" s="19">
        <f t="shared" ref="H90:J90" si="36">H87-H89</f>
        <v>3.6</v>
      </c>
      <c r="I90" s="19">
        <f t="shared" si="36"/>
        <v>3.7000000000000042</v>
      </c>
      <c r="J90" s="19">
        <f t="shared" si="36"/>
        <v>4.9999999999999956</v>
      </c>
      <c r="K90" s="407">
        <f>K87-K89</f>
        <v>7.3227412500000115</v>
      </c>
      <c r="L90" s="407">
        <f t="shared" ref="L90:O90" si="37">L87-L89</f>
        <v>7.8398762435748406</v>
      </c>
      <c r="M90" s="407">
        <f t="shared" si="37"/>
        <v>16.622722964811771</v>
      </c>
      <c r="N90" s="407">
        <f t="shared" si="37"/>
        <v>23.345575982403439</v>
      </c>
      <c r="O90" s="407">
        <f t="shared" si="37"/>
        <v>8.3765090857467417</v>
      </c>
    </row>
    <row r="91" spans="2:15" ht="6" customHeight="1">
      <c r="C91" s="17"/>
    </row>
    <row r="92" spans="2:15" ht="12.95" customHeight="1">
      <c r="C92" t="s">
        <v>11</v>
      </c>
      <c r="H92" s="21">
        <v>0.8</v>
      </c>
      <c r="I92" s="21">
        <v>0.9</v>
      </c>
      <c r="J92" s="21">
        <v>1.1000000000000001</v>
      </c>
      <c r="K92" s="404">
        <f>K227</f>
        <v>1.7468223750000034</v>
      </c>
      <c r="L92" s="404">
        <f t="shared" ref="L92:O92" si="38">L227</f>
        <v>1.901962873072452</v>
      </c>
      <c r="M92" s="404">
        <f t="shared" si="38"/>
        <v>4.5368168894435312</v>
      </c>
      <c r="N92" s="404">
        <f t="shared" si="38"/>
        <v>6.5536727947210318</v>
      </c>
      <c r="O92" s="404">
        <f t="shared" si="38"/>
        <v>2.0629527257240223</v>
      </c>
    </row>
    <row r="93" spans="2:15" ht="12.95" customHeight="1">
      <c r="C93" t="s">
        <v>12</v>
      </c>
      <c r="H93" s="20">
        <v>0.4</v>
      </c>
      <c r="I93" s="20">
        <v>0.5</v>
      </c>
      <c r="J93" s="20">
        <v>0.5</v>
      </c>
      <c r="K93" s="402">
        <f>K228</f>
        <v>0.45000000000000018</v>
      </c>
      <c r="L93" s="402">
        <f t="shared" ref="L93:O93" si="39">L228</f>
        <v>0.44999999999999996</v>
      </c>
      <c r="M93" s="402">
        <f t="shared" si="39"/>
        <v>0.45000000000000018</v>
      </c>
      <c r="N93" s="402">
        <f t="shared" si="39"/>
        <v>0.44999999999999929</v>
      </c>
      <c r="O93" s="402">
        <f t="shared" si="39"/>
        <v>0.45000000000000018</v>
      </c>
    </row>
    <row r="94" spans="2:15" ht="12.95" customHeight="1">
      <c r="C94" s="10" t="s">
        <v>13</v>
      </c>
      <c r="H94" s="19">
        <f t="shared" ref="H94:J94" si="40">SUM(H92:H93)</f>
        <v>1.2000000000000002</v>
      </c>
      <c r="I94" s="19">
        <f t="shared" si="40"/>
        <v>1.4</v>
      </c>
      <c r="J94" s="19">
        <f t="shared" si="40"/>
        <v>1.6</v>
      </c>
      <c r="K94" s="407">
        <f>SUM(K92:K93)</f>
        <v>2.1968223750000035</v>
      </c>
      <c r="L94" s="407">
        <f t="shared" ref="L94:O94" si="41">SUM(L92:L93)</f>
        <v>2.351962873072452</v>
      </c>
      <c r="M94" s="407">
        <f t="shared" si="41"/>
        <v>4.9868168894435314</v>
      </c>
      <c r="N94" s="407">
        <f t="shared" si="41"/>
        <v>7.0036727947210311</v>
      </c>
      <c r="O94" s="407">
        <f t="shared" si="41"/>
        <v>2.5129527257240225</v>
      </c>
    </row>
    <row r="95" spans="2:15" ht="9" customHeight="1">
      <c r="H95" s="12"/>
      <c r="I95" s="12"/>
      <c r="J95" s="12"/>
    </row>
    <row r="96" spans="2:15" ht="13.5" customHeight="1" thickBot="1">
      <c r="C96" s="24" t="s">
        <v>14</v>
      </c>
      <c r="D96" s="10"/>
      <c r="E96" s="10"/>
      <c r="F96" s="10"/>
      <c r="H96" s="208">
        <f t="shared" ref="H96:J96" si="42">H90-H94</f>
        <v>2.4</v>
      </c>
      <c r="I96" s="208">
        <f t="shared" si="42"/>
        <v>2.3000000000000043</v>
      </c>
      <c r="J96" s="208">
        <f t="shared" si="42"/>
        <v>3.3999999999999955</v>
      </c>
      <c r="K96" s="378">
        <f>K90-K94</f>
        <v>5.125918875000008</v>
      </c>
      <c r="L96" s="378">
        <f t="shared" ref="L96:O96" si="43">L90-L94</f>
        <v>5.4879133705023886</v>
      </c>
      <c r="M96" s="378">
        <f t="shared" si="43"/>
        <v>11.63590607536824</v>
      </c>
      <c r="N96" s="378">
        <f t="shared" si="43"/>
        <v>16.341903187682409</v>
      </c>
      <c r="O96" s="378">
        <f t="shared" si="43"/>
        <v>5.8635563600227192</v>
      </c>
    </row>
    <row r="97" spans="2:18" ht="13.5" customHeight="1" thickTop="1">
      <c r="C97" s="24"/>
      <c r="D97" s="10"/>
      <c r="E97" s="10"/>
      <c r="F97" s="10"/>
      <c r="H97" s="201"/>
      <c r="I97" s="201"/>
      <c r="J97" s="201"/>
      <c r="K97" s="201"/>
      <c r="L97" s="201"/>
      <c r="M97" s="201"/>
      <c r="N97" s="201"/>
      <c r="O97" s="201"/>
      <c r="R97" s="70"/>
    </row>
    <row r="98" spans="2:18" ht="13.5" customHeight="1">
      <c r="C98" s="24"/>
      <c r="D98" s="10"/>
      <c r="E98" s="10"/>
      <c r="F98" s="10"/>
      <c r="H98" s="201"/>
      <c r="I98" s="201"/>
      <c r="J98" s="201"/>
      <c r="K98" s="201"/>
      <c r="L98" s="201"/>
      <c r="M98" s="201"/>
      <c r="N98" s="201"/>
      <c r="O98" s="201"/>
      <c r="R98" s="70"/>
    </row>
    <row r="99" spans="2:18" ht="12.95" customHeight="1">
      <c r="B99" s="51" t="s">
        <v>154</v>
      </c>
      <c r="C99" s="202"/>
      <c r="D99" s="203"/>
      <c r="E99" s="203"/>
      <c r="F99" s="203"/>
      <c r="G99" s="52"/>
      <c r="H99" s="64"/>
      <c r="I99" s="64"/>
      <c r="J99" s="64"/>
      <c r="K99" s="64"/>
      <c r="L99" s="64"/>
      <c r="M99" s="64"/>
      <c r="N99" s="64"/>
      <c r="O99" s="204"/>
      <c r="R99" s="70"/>
    </row>
    <row r="100" spans="2:18" ht="12.95" customHeight="1">
      <c r="B100" s="55"/>
      <c r="C100" s="63" t="s">
        <v>1</v>
      </c>
      <c r="D100" s="7"/>
      <c r="E100" s="7"/>
      <c r="F100" s="7"/>
      <c r="G100" s="8"/>
      <c r="H100" s="214"/>
      <c r="I100" s="415">
        <f>I77/H77-1</f>
        <v>8.9156626506024184E-2</v>
      </c>
      <c r="J100" s="415">
        <f t="shared" ref="J100:N100" si="44">J77/I77-1</f>
        <v>9.2920353982300696E-2</v>
      </c>
      <c r="K100" s="415">
        <f t="shared" si="44"/>
        <v>0.12994111842105305</v>
      </c>
      <c r="L100" s="415">
        <f t="shared" si="44"/>
        <v>6.9320794246404027E-2</v>
      </c>
      <c r="M100" s="415">
        <f t="shared" si="44"/>
        <v>0.2032288220790559</v>
      </c>
      <c r="N100" s="415">
        <f t="shared" si="44"/>
        <v>0.13803474867965604</v>
      </c>
      <c r="O100" s="416">
        <f>O77/N77-1</f>
        <v>-0.15850060123856113</v>
      </c>
    </row>
    <row r="101" spans="2:18" ht="12.95" customHeight="1">
      <c r="B101" s="55"/>
      <c r="C101" s="63" t="s">
        <v>160</v>
      </c>
      <c r="D101" s="7"/>
      <c r="E101" s="7"/>
      <c r="F101" s="7"/>
      <c r="G101" s="8"/>
      <c r="H101" s="415">
        <f>H84/H77</f>
        <v>0.16867469879518071</v>
      </c>
      <c r="I101" s="415">
        <f>I84/I77</f>
        <v>0.15929203539823017</v>
      </c>
      <c r="J101" s="415">
        <f t="shared" ref="J101:N101" si="45">J84/J77</f>
        <v>0.17813765182186225</v>
      </c>
      <c r="K101" s="415">
        <f t="shared" si="45"/>
        <v>0.21646252168248994</v>
      </c>
      <c r="L101" s="415">
        <f t="shared" si="45"/>
        <v>0.22136077140423016</v>
      </c>
      <c r="M101" s="415">
        <f t="shared" si="45"/>
        <v>0.31166265999752402</v>
      </c>
      <c r="N101" s="415">
        <f t="shared" si="45"/>
        <v>0.36030862559409343</v>
      </c>
      <c r="O101" s="416">
        <f>O84/O77</f>
        <v>0.21856586219557367</v>
      </c>
    </row>
    <row r="102" spans="2:18" ht="12.95" customHeight="1">
      <c r="B102" s="59"/>
      <c r="C102" s="205" t="s">
        <v>161</v>
      </c>
      <c r="D102" s="206"/>
      <c r="E102" s="206"/>
      <c r="F102" s="206"/>
      <c r="G102" s="207"/>
      <c r="H102" s="215"/>
      <c r="I102" s="417">
        <f>I96/AVERAGE(I179,H179)</f>
        <v>0.10874704491725787</v>
      </c>
      <c r="J102" s="417">
        <f t="shared" ref="J102:N102" si="46">J96/AVERAGE(J179,I179)</f>
        <v>0.16464891041162205</v>
      </c>
      <c r="K102" s="417">
        <f t="shared" si="46"/>
        <v>0.2543833933689218</v>
      </c>
      <c r="L102" s="417">
        <f t="shared" si="46"/>
        <v>0.24127043829282405</v>
      </c>
      <c r="M102" s="417">
        <f t="shared" si="46"/>
        <v>0.39719187531189964</v>
      </c>
      <c r="N102" s="417">
        <f t="shared" si="46"/>
        <v>0.40665104125948459</v>
      </c>
      <c r="O102" s="418">
        <f>O96/AVERAGE(O179,N179)</f>
        <v>0.12023187129513273</v>
      </c>
    </row>
    <row r="103" spans="2:18" ht="13.5" customHeight="1">
      <c r="B103" s="25"/>
      <c r="C103" s="25"/>
      <c r="D103" s="25"/>
      <c r="E103" s="25"/>
      <c r="F103" s="25"/>
      <c r="G103" s="25"/>
      <c r="H103" s="26"/>
      <c r="I103" s="357"/>
      <c r="J103" s="357"/>
      <c r="K103" s="357"/>
      <c r="L103" s="357"/>
      <c r="M103" s="357"/>
      <c r="N103" s="357"/>
      <c r="O103" s="357"/>
    </row>
    <row r="104" spans="2:18">
      <c r="B104" s="10"/>
      <c r="H104" s="27"/>
      <c r="I104" s="27"/>
      <c r="J104" s="27"/>
    </row>
    <row r="105" spans="2:18" ht="14.25" customHeight="1">
      <c r="B105" s="1"/>
      <c r="C105" s="1"/>
      <c r="D105" s="1"/>
      <c r="E105" s="1"/>
      <c r="F105" s="1"/>
      <c r="G105" s="1"/>
      <c r="H105" s="1"/>
      <c r="I105" s="1"/>
      <c r="J105" s="1"/>
      <c r="K105" s="2"/>
      <c r="L105" s="2"/>
      <c r="M105" s="2"/>
      <c r="N105" s="2"/>
      <c r="O105" s="190" t="str">
        <f>$O$1</f>
        <v>CURRENTLY RUNNING: BASE CASE SCENARIO</v>
      </c>
    </row>
    <row r="106" spans="2:18" ht="23.25">
      <c r="B106" s="1" t="str">
        <f>$B$2</f>
        <v>Grand Crew Cycling Company</v>
      </c>
      <c r="C106" s="1"/>
      <c r="D106" s="1"/>
      <c r="E106" s="1"/>
      <c r="F106" s="1"/>
      <c r="G106" s="1"/>
      <c r="H106" s="1"/>
      <c r="I106" s="1"/>
      <c r="J106" s="1"/>
      <c r="K106" s="2"/>
      <c r="L106" s="2"/>
      <c r="M106" s="2"/>
      <c r="N106" s="2"/>
      <c r="O106" s="2"/>
    </row>
    <row r="107" spans="2:18" ht="18">
      <c r="B107" s="3" t="s">
        <v>15</v>
      </c>
      <c r="C107" s="3"/>
      <c r="D107" s="3"/>
      <c r="E107" s="3"/>
      <c r="F107" s="3"/>
      <c r="G107" s="3"/>
      <c r="H107" s="3"/>
      <c r="I107" s="3"/>
      <c r="J107" s="3"/>
      <c r="K107" s="2"/>
      <c r="L107" s="2"/>
      <c r="M107" s="2"/>
      <c r="N107" s="2"/>
      <c r="O107" s="2"/>
    </row>
    <row r="108" spans="2:18" ht="3" customHeight="1" thickBot="1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2:18" ht="12.95" customHeight="1">
      <c r="B109" s="5" t="s">
        <v>115</v>
      </c>
    </row>
    <row r="110" spans="2:18">
      <c r="B110" s="5"/>
      <c r="K110" s="195" t="s">
        <v>114</v>
      </c>
      <c r="L110" s="128"/>
      <c r="M110" s="128"/>
      <c r="N110" s="128"/>
      <c r="O110" s="128"/>
    </row>
    <row r="111" spans="2:18">
      <c r="H111" s="189">
        <f>H$7</f>
        <v>2023</v>
      </c>
      <c r="I111" s="189">
        <f t="shared" ref="I111:O111" si="47">I$7</f>
        <v>2024</v>
      </c>
      <c r="J111" s="189">
        <f t="shared" si="47"/>
        <v>2025</v>
      </c>
      <c r="K111" s="196">
        <f t="shared" si="47"/>
        <v>2026</v>
      </c>
      <c r="L111" s="196">
        <f t="shared" si="47"/>
        <v>2027</v>
      </c>
      <c r="M111" s="196">
        <f t="shared" si="47"/>
        <v>2028</v>
      </c>
      <c r="N111" s="196">
        <f t="shared" si="47"/>
        <v>2029</v>
      </c>
      <c r="O111" s="196">
        <f t="shared" si="47"/>
        <v>2030</v>
      </c>
    </row>
    <row r="112" spans="2:18">
      <c r="B112" s="28"/>
      <c r="G112" s="29"/>
      <c r="H112" s="29"/>
      <c r="I112" s="29"/>
      <c r="J112" s="29"/>
    </row>
    <row r="113" spans="2:15" ht="12.95" customHeight="1">
      <c r="B113" s="10" t="s">
        <v>16</v>
      </c>
    </row>
    <row r="114" spans="2:15" ht="12.95" customHeight="1">
      <c r="C114" t="s">
        <v>14</v>
      </c>
      <c r="G114" s="30"/>
      <c r="H114" s="31">
        <v>2.4</v>
      </c>
      <c r="I114" s="31">
        <v>2.3000000000000043</v>
      </c>
      <c r="J114" s="31">
        <v>3.3999999999999955</v>
      </c>
      <c r="K114" s="404">
        <f>K96</f>
        <v>5.125918875000008</v>
      </c>
      <c r="L114" s="404">
        <f t="shared" ref="L114:O114" si="48">L96</f>
        <v>5.4879133705023886</v>
      </c>
      <c r="M114" s="404">
        <f t="shared" si="48"/>
        <v>11.63590607536824</v>
      </c>
      <c r="N114" s="404">
        <f t="shared" si="48"/>
        <v>16.341903187682409</v>
      </c>
      <c r="O114" s="404">
        <f t="shared" si="48"/>
        <v>5.8635563600227192</v>
      </c>
    </row>
    <row r="115" spans="2:15" ht="12.95" customHeight="1">
      <c r="C115" t="s">
        <v>8</v>
      </c>
      <c r="G115" s="30"/>
      <c r="H115" s="31">
        <v>2.8</v>
      </c>
      <c r="I115" s="31">
        <v>2.9</v>
      </c>
      <c r="J115" s="31">
        <v>3</v>
      </c>
      <c r="K115" s="404">
        <f>K86</f>
        <v>3.71</v>
      </c>
      <c r="L115" s="404">
        <f t="shared" ref="L115:O115" si="49">L86</f>
        <v>4.21</v>
      </c>
      <c r="M115" s="404">
        <f t="shared" si="49"/>
        <v>4.76</v>
      </c>
      <c r="N115" s="404">
        <f t="shared" si="49"/>
        <v>5.3599999999999994</v>
      </c>
      <c r="O115" s="404">
        <f t="shared" si="49"/>
        <v>6.4099999999999993</v>
      </c>
    </row>
    <row r="116" spans="2:15" ht="12.95" customHeight="1">
      <c r="C116" t="s">
        <v>12</v>
      </c>
      <c r="G116" s="30"/>
      <c r="H116" s="31">
        <v>0.4</v>
      </c>
      <c r="I116" s="31">
        <v>0.5</v>
      </c>
      <c r="J116" s="31">
        <v>0.5</v>
      </c>
      <c r="K116" s="404">
        <f>K93</f>
        <v>0.45000000000000018</v>
      </c>
      <c r="L116" s="404">
        <f t="shared" ref="L116:O116" si="50">L93</f>
        <v>0.44999999999999996</v>
      </c>
      <c r="M116" s="404">
        <f t="shared" si="50"/>
        <v>0.45000000000000018</v>
      </c>
      <c r="N116" s="404">
        <f t="shared" si="50"/>
        <v>0.44999999999999929</v>
      </c>
      <c r="O116" s="404">
        <f t="shared" si="50"/>
        <v>0.45000000000000018</v>
      </c>
    </row>
    <row r="117" spans="2:15" ht="12.95" customHeight="1">
      <c r="C117" t="s">
        <v>17</v>
      </c>
      <c r="G117" s="32"/>
      <c r="H117" s="194">
        <v>-1</v>
      </c>
      <c r="I117" s="194">
        <v>-3.4</v>
      </c>
      <c r="J117" s="194">
        <v>-2.9</v>
      </c>
      <c r="K117" s="402">
        <f>K259</f>
        <v>-2.7778075684931558</v>
      </c>
      <c r="L117" s="402">
        <f t="shared" ref="L117:O117" si="51">L259</f>
        <v>-0.5365792072679838</v>
      </c>
      <c r="M117" s="402">
        <f t="shared" si="51"/>
        <v>-3.0264695526287575</v>
      </c>
      <c r="N117" s="402">
        <f t="shared" si="51"/>
        <v>-2.0696495321487518</v>
      </c>
      <c r="O117" s="402">
        <f t="shared" si="51"/>
        <v>5.4603544380332636</v>
      </c>
    </row>
    <row r="118" spans="2:15" ht="12.95" customHeight="1">
      <c r="C118" s="17" t="s">
        <v>18</v>
      </c>
      <c r="G118" s="33"/>
      <c r="H118" s="34">
        <f t="shared" ref="H118:J118" si="52">SUM(H114:H117)</f>
        <v>4.5999999999999996</v>
      </c>
      <c r="I118" s="34">
        <f t="shared" si="52"/>
        <v>2.3000000000000047</v>
      </c>
      <c r="J118" s="34">
        <f t="shared" si="52"/>
        <v>3.9999999999999951</v>
      </c>
      <c r="K118" s="412">
        <f>SUM(K114:K117)</f>
        <v>6.5081113065068514</v>
      </c>
      <c r="L118" s="412">
        <f t="shared" ref="L118:O118" si="53">SUM(L114:L117)</f>
        <v>9.6113341632344031</v>
      </c>
      <c r="M118" s="412">
        <f t="shared" si="53"/>
        <v>13.81943652273948</v>
      </c>
      <c r="N118" s="412">
        <f t="shared" si="53"/>
        <v>20.082253655533655</v>
      </c>
      <c r="O118" s="412">
        <f t="shared" si="53"/>
        <v>18.183910798055983</v>
      </c>
    </row>
    <row r="119" spans="2:15">
      <c r="B119" s="13"/>
    </row>
    <row r="120" spans="2:15">
      <c r="B120" s="13"/>
    </row>
    <row r="121" spans="2:15" ht="12.95" customHeight="1">
      <c r="B121" s="10" t="s">
        <v>19</v>
      </c>
    </row>
    <row r="122" spans="2:15" ht="12.95" customHeight="1">
      <c r="C122" t="s">
        <v>159</v>
      </c>
      <c r="H122" s="21">
        <v>-3.4</v>
      </c>
      <c r="I122" s="21">
        <v>-4</v>
      </c>
      <c r="J122" s="21">
        <v>-3.9</v>
      </c>
      <c r="K122" s="413">
        <f>-Assumptions!K61</f>
        <v>-5</v>
      </c>
      <c r="L122" s="413">
        <f>-Assumptions!L61</f>
        <v>-5</v>
      </c>
      <c r="M122" s="413">
        <f>-Assumptions!M61</f>
        <v>-6</v>
      </c>
      <c r="N122" s="413">
        <f>-Assumptions!N61</f>
        <v>-6</v>
      </c>
      <c r="O122" s="413">
        <f>-Assumptions!O61</f>
        <v>-15</v>
      </c>
    </row>
    <row r="123" spans="2:15" ht="12.95" customHeight="1">
      <c r="C123" t="s">
        <v>144</v>
      </c>
      <c r="H123" s="20">
        <v>0.9</v>
      </c>
      <c r="I123" s="20">
        <v>0.5</v>
      </c>
      <c r="J123" s="20">
        <v>0</v>
      </c>
      <c r="K123" s="414">
        <f>Assumptions!K62</f>
        <v>0</v>
      </c>
      <c r="L123" s="414">
        <f>Assumptions!L62</f>
        <v>0</v>
      </c>
      <c r="M123" s="414">
        <f>Assumptions!M62</f>
        <v>0</v>
      </c>
      <c r="N123" s="414">
        <f>Assumptions!N62</f>
        <v>0</v>
      </c>
      <c r="O123" s="414">
        <f>Assumptions!O62</f>
        <v>0</v>
      </c>
    </row>
    <row r="124" spans="2:15" ht="12.95" customHeight="1">
      <c r="C124" s="10" t="s">
        <v>21</v>
      </c>
      <c r="G124" s="33"/>
      <c r="H124" s="34">
        <f t="shared" ref="H124:J124" si="54">SUM(H122:H123)</f>
        <v>-2.5</v>
      </c>
      <c r="I124" s="34">
        <f t="shared" si="54"/>
        <v>-3.5</v>
      </c>
      <c r="J124" s="34">
        <f t="shared" si="54"/>
        <v>-3.9</v>
      </c>
      <c r="K124" s="412">
        <f>SUM(K122:K123)</f>
        <v>-5</v>
      </c>
      <c r="L124" s="412">
        <f t="shared" ref="L124:O124" si="55">SUM(L122:L123)</f>
        <v>-5</v>
      </c>
      <c r="M124" s="412">
        <f t="shared" si="55"/>
        <v>-6</v>
      </c>
      <c r="N124" s="412">
        <f t="shared" si="55"/>
        <v>-6</v>
      </c>
      <c r="O124" s="412">
        <f t="shared" si="55"/>
        <v>-15</v>
      </c>
    </row>
    <row r="125" spans="2:15">
      <c r="B125" s="23"/>
      <c r="G125" s="30"/>
      <c r="H125" s="30"/>
      <c r="I125" s="30"/>
      <c r="J125" s="30"/>
    </row>
    <row r="126" spans="2:15">
      <c r="B126" s="23"/>
      <c r="G126" s="30"/>
      <c r="H126" s="35"/>
      <c r="I126" s="35"/>
      <c r="J126" s="35"/>
    </row>
    <row r="127" spans="2:15" ht="12.95" customHeight="1">
      <c r="B127" s="23" t="s">
        <v>22</v>
      </c>
      <c r="G127" s="30"/>
      <c r="H127" s="30"/>
      <c r="I127" s="30"/>
      <c r="J127" s="36"/>
    </row>
    <row r="128" spans="2:15" ht="12.95" customHeight="1">
      <c r="B128" s="23"/>
      <c r="C128" t="s">
        <v>162</v>
      </c>
      <c r="G128" s="33"/>
      <c r="H128" s="21">
        <v>0</v>
      </c>
      <c r="I128" s="21">
        <v>0</v>
      </c>
      <c r="J128" s="21">
        <v>0</v>
      </c>
      <c r="K128" s="404">
        <f>K288</f>
        <v>6.5170724684931507</v>
      </c>
      <c r="L128" s="404">
        <f t="shared" ref="L128:O128" si="56">L288</f>
        <v>0.78624851086607461</v>
      </c>
      <c r="M128" s="404">
        <f t="shared" si="56"/>
        <v>-1.1922553076658318</v>
      </c>
      <c r="N128" s="404">
        <f t="shared" si="56"/>
        <v>-6.1110656716933933</v>
      </c>
      <c r="O128" s="404">
        <f t="shared" si="56"/>
        <v>1.8859931276447792</v>
      </c>
    </row>
    <row r="129" spans="2:15" ht="12.95" customHeight="1">
      <c r="B129" s="23"/>
      <c r="C129" s="22" t="s">
        <v>145</v>
      </c>
      <c r="G129" s="33"/>
      <c r="H129" s="21">
        <v>-0.9</v>
      </c>
      <c r="I129" s="21">
        <v>0.7</v>
      </c>
      <c r="J129" s="21">
        <v>1.5</v>
      </c>
      <c r="K129" s="411">
        <f>K296</f>
        <v>-4</v>
      </c>
      <c r="L129" s="411">
        <f t="shared" ref="L129:O129" si="57">L296</f>
        <v>-4</v>
      </c>
      <c r="M129" s="411">
        <f t="shared" si="57"/>
        <v>-4</v>
      </c>
      <c r="N129" s="411">
        <f t="shared" si="57"/>
        <v>-4</v>
      </c>
      <c r="O129" s="411">
        <f t="shared" si="57"/>
        <v>-4</v>
      </c>
    </row>
    <row r="130" spans="2:15" ht="12.95" customHeight="1">
      <c r="C130" t="s">
        <v>85</v>
      </c>
      <c r="H130" s="21">
        <v>-0.2</v>
      </c>
      <c r="I130" s="21">
        <v>0.6</v>
      </c>
      <c r="J130" s="21">
        <v>-3.5</v>
      </c>
      <c r="K130" s="411">
        <f>K317</f>
        <v>-3</v>
      </c>
      <c r="L130" s="411">
        <f t="shared" ref="L130:O130" si="58">L317</f>
        <v>-0.3</v>
      </c>
      <c r="M130" s="411">
        <f t="shared" si="58"/>
        <v>-0.3</v>
      </c>
      <c r="N130" s="411">
        <f t="shared" si="58"/>
        <v>-0.3</v>
      </c>
      <c r="O130" s="411">
        <f t="shared" si="58"/>
        <v>-0.3</v>
      </c>
    </row>
    <row r="131" spans="2:15" ht="12.95" customHeight="1">
      <c r="B131" s="23"/>
      <c r="C131" t="s">
        <v>83</v>
      </c>
      <c r="G131" s="33"/>
      <c r="H131" s="20">
        <v>-1.8</v>
      </c>
      <c r="I131" s="20">
        <v>-1.8</v>
      </c>
      <c r="J131" s="20">
        <v>-2</v>
      </c>
      <c r="K131" s="402">
        <f>-K322</f>
        <v>-1.0251837750000017</v>
      </c>
      <c r="L131" s="402">
        <f t="shared" ref="L131:O131" si="59">-L322</f>
        <v>-1.0975826741004777</v>
      </c>
      <c r="M131" s="402">
        <f t="shared" si="59"/>
        <v>-2.3271812150736482</v>
      </c>
      <c r="N131" s="402">
        <f t="shared" si="59"/>
        <v>-3.2683806375364819</v>
      </c>
      <c r="O131" s="402">
        <f t="shared" si="59"/>
        <v>-1.1727112720045438</v>
      </c>
    </row>
    <row r="132" spans="2:15" ht="12.95" customHeight="1">
      <c r="B132" s="23"/>
      <c r="C132" s="10" t="s">
        <v>23</v>
      </c>
      <c r="G132" s="33"/>
      <c r="H132" s="34">
        <f t="shared" ref="H132:J132" si="60">SUM(H128:H131)</f>
        <v>-2.9000000000000004</v>
      </c>
      <c r="I132" s="34">
        <f t="shared" si="60"/>
        <v>-0.50000000000000022</v>
      </c>
      <c r="J132" s="34">
        <f t="shared" si="60"/>
        <v>-4</v>
      </c>
      <c r="K132" s="412">
        <f>SUM(K128:K131)</f>
        <v>-1.508111306506851</v>
      </c>
      <c r="L132" s="412">
        <f t="shared" ref="L132:O132" si="61">SUM(L128:L131)</f>
        <v>-4.6113341632344031</v>
      </c>
      <c r="M132" s="412">
        <f t="shared" si="61"/>
        <v>-7.8194365227394798</v>
      </c>
      <c r="N132" s="412">
        <f t="shared" si="61"/>
        <v>-13.679446309229874</v>
      </c>
      <c r="O132" s="412">
        <f t="shared" si="61"/>
        <v>-3.5867181443597644</v>
      </c>
    </row>
    <row r="133" spans="2:15">
      <c r="B133" s="23"/>
      <c r="C133" s="10"/>
      <c r="G133" s="33"/>
    </row>
    <row r="134" spans="2:15">
      <c r="B134" s="23"/>
      <c r="C134" s="10"/>
      <c r="G134" s="33"/>
    </row>
    <row r="135" spans="2:15" ht="12.95" customHeight="1">
      <c r="B135" s="225" t="s">
        <v>41</v>
      </c>
      <c r="C135" s="52"/>
      <c r="D135" s="52"/>
      <c r="E135" s="52"/>
      <c r="F135" s="52"/>
      <c r="G135" s="226"/>
      <c r="H135" s="41">
        <f t="shared" ref="H135:J135" si="62">H132+H124+H118</f>
        <v>-0.80000000000000071</v>
      </c>
      <c r="I135" s="41">
        <f t="shared" si="62"/>
        <v>-1.6999999999999953</v>
      </c>
      <c r="J135" s="41">
        <f t="shared" si="62"/>
        <v>-3.9000000000000052</v>
      </c>
      <c r="K135" s="405">
        <f>K132+K124+K118</f>
        <v>0</v>
      </c>
      <c r="L135" s="405">
        <f t="shared" ref="L135:N135" si="63">L132+L124+L118</f>
        <v>0</v>
      </c>
      <c r="M135" s="405">
        <f t="shared" si="63"/>
        <v>0</v>
      </c>
      <c r="N135" s="508">
        <f t="shared" si="63"/>
        <v>0.40280734630378134</v>
      </c>
      <c r="O135" s="509">
        <f>O132+O124+O118</f>
        <v>-0.40280734630378134</v>
      </c>
    </row>
    <row r="136" spans="2:15" ht="12.95" customHeight="1">
      <c r="B136" s="227" t="s">
        <v>42</v>
      </c>
      <c r="G136" s="228"/>
      <c r="H136" s="20">
        <v>6.4</v>
      </c>
      <c r="I136" s="38">
        <f t="shared" ref="I136:J136" si="64">H137</f>
        <v>5.6</v>
      </c>
      <c r="J136" s="38">
        <f t="shared" si="64"/>
        <v>3.9000000000000044</v>
      </c>
      <c r="K136" s="408">
        <f>J137</f>
        <v>0</v>
      </c>
      <c r="L136" s="408">
        <f t="shared" ref="L136:N136" si="65">K137</f>
        <v>0</v>
      </c>
      <c r="M136" s="408">
        <f t="shared" si="65"/>
        <v>0</v>
      </c>
      <c r="N136" s="510">
        <f t="shared" si="65"/>
        <v>0</v>
      </c>
      <c r="O136" s="511">
        <f>N137</f>
        <v>0.40280734630378134</v>
      </c>
    </row>
    <row r="137" spans="2:15" ht="12.95" customHeight="1">
      <c r="B137" s="229" t="s">
        <v>43</v>
      </c>
      <c r="C137" s="25"/>
      <c r="D137" s="25"/>
      <c r="E137" s="25"/>
      <c r="F137" s="25"/>
      <c r="G137" s="230"/>
      <c r="H137" s="231">
        <f t="shared" ref="H137:J137" si="66">H136+H135</f>
        <v>5.6</v>
      </c>
      <c r="I137" s="231">
        <f t="shared" si="66"/>
        <v>3.9000000000000044</v>
      </c>
      <c r="J137" s="231">
        <f t="shared" si="66"/>
        <v>0</v>
      </c>
      <c r="K137" s="409">
        <f>K136+K135</f>
        <v>0</v>
      </c>
      <c r="L137" s="409">
        <f t="shared" ref="L137:N137" si="67">L136+L135</f>
        <v>0</v>
      </c>
      <c r="M137" s="409">
        <f t="shared" si="67"/>
        <v>0</v>
      </c>
      <c r="N137" s="409">
        <f t="shared" si="67"/>
        <v>0.40280734630378134</v>
      </c>
      <c r="O137" s="410">
        <f>O136+O135</f>
        <v>0</v>
      </c>
    </row>
    <row r="138" spans="2:15"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</row>
    <row r="139" spans="2:15">
      <c r="H139" s="39"/>
      <c r="I139" s="39"/>
      <c r="J139" s="39"/>
    </row>
    <row r="140" spans="2:15" ht="14.25" customHeight="1">
      <c r="B140" s="1"/>
      <c r="C140" s="1"/>
      <c r="D140" s="1"/>
      <c r="E140" s="1"/>
      <c r="F140" s="1"/>
      <c r="G140" s="1"/>
      <c r="H140" s="1"/>
      <c r="I140" s="1"/>
      <c r="J140" s="1"/>
      <c r="K140" s="2"/>
      <c r="L140" s="2"/>
      <c r="M140" s="2"/>
      <c r="N140" s="2"/>
      <c r="O140" s="190" t="str">
        <f>$O$1</f>
        <v>CURRENTLY RUNNING: BASE CASE SCENARIO</v>
      </c>
    </row>
    <row r="141" spans="2:15" ht="23.25">
      <c r="B141" s="1" t="str">
        <f>$B$2</f>
        <v>Grand Crew Cycling Company</v>
      </c>
      <c r="C141" s="1"/>
      <c r="D141" s="1"/>
      <c r="E141" s="1"/>
      <c r="F141" s="1"/>
      <c r="G141" s="1"/>
      <c r="H141" s="1"/>
      <c r="I141" s="1"/>
      <c r="J141" s="1"/>
      <c r="K141" s="2"/>
      <c r="L141" s="2"/>
      <c r="M141" s="2"/>
      <c r="N141" s="2"/>
      <c r="O141" s="2"/>
    </row>
    <row r="142" spans="2:15" ht="18">
      <c r="B142" s="3" t="s">
        <v>156</v>
      </c>
      <c r="C142" s="3"/>
      <c r="D142" s="3"/>
      <c r="E142" s="3"/>
      <c r="F142" s="3"/>
      <c r="G142" s="3"/>
      <c r="H142" s="3"/>
      <c r="I142" s="3"/>
      <c r="J142" s="3"/>
      <c r="K142" s="2"/>
      <c r="L142" s="2"/>
      <c r="M142" s="2"/>
      <c r="N142" s="2"/>
      <c r="O142" s="2"/>
    </row>
    <row r="143" spans="2:15" ht="3" customHeight="1" thickBot="1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2:15">
      <c r="B144" s="5" t="s">
        <v>115</v>
      </c>
    </row>
    <row r="145" spans="2:20">
      <c r="B145" s="5"/>
      <c r="K145" s="195" t="s">
        <v>114</v>
      </c>
      <c r="L145" s="128"/>
      <c r="M145" s="128"/>
      <c r="N145" s="128"/>
      <c r="O145" s="128"/>
    </row>
    <row r="146" spans="2:20">
      <c r="H146" s="189">
        <f>H$7</f>
        <v>2023</v>
      </c>
      <c r="I146" s="189">
        <f t="shared" ref="I146:O146" si="68">I$7</f>
        <v>2024</v>
      </c>
      <c r="J146" s="189">
        <f t="shared" si="68"/>
        <v>2025</v>
      </c>
      <c r="K146" s="196">
        <f t="shared" si="68"/>
        <v>2026</v>
      </c>
      <c r="L146" s="196">
        <f t="shared" si="68"/>
        <v>2027</v>
      </c>
      <c r="M146" s="196">
        <f t="shared" si="68"/>
        <v>2028</v>
      </c>
      <c r="N146" s="196">
        <f t="shared" si="68"/>
        <v>2029</v>
      </c>
      <c r="O146" s="196">
        <f t="shared" si="68"/>
        <v>2030</v>
      </c>
    </row>
    <row r="147" spans="2:20">
      <c r="H147" s="189"/>
      <c r="I147" s="189"/>
      <c r="J147" s="189"/>
      <c r="K147" s="196"/>
      <c r="L147" s="196"/>
      <c r="M147" s="196"/>
      <c r="N147" s="196"/>
      <c r="O147" s="196"/>
      <c r="Q147" s="349"/>
      <c r="R147" s="349"/>
      <c r="S147" s="350"/>
    </row>
    <row r="148" spans="2:20">
      <c r="B148" s="10" t="s">
        <v>24</v>
      </c>
      <c r="J148" s="39"/>
      <c r="Q148" s="349"/>
      <c r="R148" s="349"/>
    </row>
    <row r="149" spans="2:20" ht="12.95" customHeight="1">
      <c r="C149" t="s">
        <v>44</v>
      </c>
      <c r="G149" s="191"/>
      <c r="H149" s="40">
        <v>5.6</v>
      </c>
      <c r="I149" s="40">
        <v>3.9000000000000044</v>
      </c>
      <c r="J149" s="40">
        <v>0</v>
      </c>
      <c r="K149" s="372">
        <f>K137</f>
        <v>0</v>
      </c>
      <c r="L149" s="372">
        <f t="shared" ref="L149:O149" si="69">L137</f>
        <v>0</v>
      </c>
      <c r="M149" s="372">
        <f t="shared" si="69"/>
        <v>0</v>
      </c>
      <c r="N149" s="499">
        <f t="shared" si="69"/>
        <v>0.40280734630378134</v>
      </c>
      <c r="O149" s="499">
        <f t="shared" si="69"/>
        <v>0</v>
      </c>
    </row>
    <row r="150" spans="2:20" ht="12.95" customHeight="1">
      <c r="C150" t="s">
        <v>25</v>
      </c>
      <c r="G150" s="32"/>
      <c r="H150" s="21">
        <v>14.5</v>
      </c>
      <c r="I150" s="21">
        <v>16.2</v>
      </c>
      <c r="J150" s="21">
        <v>17.5</v>
      </c>
      <c r="K150" s="372">
        <f>K254</f>
        <v>19.880772226027403</v>
      </c>
      <c r="L150" s="372">
        <f t="shared" ref="L150:O150" si="70">L254</f>
        <v>20.441272256699492</v>
      </c>
      <c r="M150" s="372">
        <f t="shared" si="70"/>
        <v>23.547193961488322</v>
      </c>
      <c r="N150" s="372">
        <f t="shared" si="70"/>
        <v>25.751320220403485</v>
      </c>
      <c r="O150" s="372">
        <f t="shared" si="70"/>
        <v>20.727558722661826</v>
      </c>
      <c r="Q150" s="349"/>
      <c r="R150" s="349"/>
    </row>
    <row r="151" spans="2:20" ht="12.95" customHeight="1">
      <c r="C151" t="s">
        <v>84</v>
      </c>
      <c r="G151" s="32"/>
      <c r="H151" s="21">
        <v>8.6</v>
      </c>
      <c r="I151" s="21">
        <v>9</v>
      </c>
      <c r="J151" s="21">
        <v>11</v>
      </c>
      <c r="K151" s="372">
        <f>K255</f>
        <v>11.590187671232878</v>
      </c>
      <c r="L151" s="372">
        <f t="shared" ref="L151:O151" si="71">L255</f>
        <v>11.828652529006851</v>
      </c>
      <c r="M151" s="372">
        <f t="shared" si="71"/>
        <v>12.021347448283707</v>
      </c>
      <c r="N151" s="372">
        <f t="shared" si="71"/>
        <v>12.17157009852272</v>
      </c>
      <c r="O151" s="372">
        <f t="shared" si="71"/>
        <v>11.870987833072595</v>
      </c>
      <c r="Q151" s="349"/>
      <c r="R151" s="349"/>
    </row>
    <row r="152" spans="2:20" ht="12.95" customHeight="1">
      <c r="C152" s="22" t="s">
        <v>26</v>
      </c>
      <c r="G152" s="32"/>
      <c r="H152" s="20">
        <v>0.4</v>
      </c>
      <c r="I152" s="20">
        <v>0.4</v>
      </c>
      <c r="J152" s="20">
        <v>0.4</v>
      </c>
      <c r="K152" s="402">
        <f>J152</f>
        <v>0.4</v>
      </c>
      <c r="L152" s="402">
        <f t="shared" ref="L152:O152" si="72">K152</f>
        <v>0.4</v>
      </c>
      <c r="M152" s="402">
        <f t="shared" si="72"/>
        <v>0.4</v>
      </c>
      <c r="N152" s="402">
        <f t="shared" si="72"/>
        <v>0.4</v>
      </c>
      <c r="O152" s="402">
        <f t="shared" si="72"/>
        <v>0.4</v>
      </c>
      <c r="Q152" s="12"/>
      <c r="R152" s="12"/>
    </row>
    <row r="153" spans="2:20" ht="12.95" customHeight="1">
      <c r="C153" s="17" t="s">
        <v>27</v>
      </c>
      <c r="G153" s="30"/>
      <c r="H153" s="37">
        <f t="shared" ref="H153:J153" si="73">SUM(H149:H152)</f>
        <v>29.1</v>
      </c>
      <c r="I153" s="37">
        <f t="shared" si="73"/>
        <v>29.500000000000004</v>
      </c>
      <c r="J153" s="37">
        <f t="shared" si="73"/>
        <v>28.9</v>
      </c>
      <c r="K153" s="403">
        <f>SUM(K149:K152)</f>
        <v>31.870959897260278</v>
      </c>
      <c r="L153" s="403">
        <f t="shared" ref="L153:O153" si="74">SUM(L149:L152)</f>
        <v>32.669924785706343</v>
      </c>
      <c r="M153" s="403">
        <f t="shared" si="74"/>
        <v>35.96854140977203</v>
      </c>
      <c r="N153" s="500">
        <f t="shared" si="74"/>
        <v>38.725697665229987</v>
      </c>
      <c r="O153" s="500">
        <f t="shared" si="74"/>
        <v>32.998546555734421</v>
      </c>
    </row>
    <row r="154" spans="2:20" ht="10.9" customHeight="1">
      <c r="G154" s="30"/>
      <c r="H154" s="21"/>
      <c r="I154" s="21"/>
      <c r="J154" s="21"/>
    </row>
    <row r="155" spans="2:20" ht="12.95" customHeight="1">
      <c r="C155" t="s">
        <v>28</v>
      </c>
      <c r="G155" s="32"/>
      <c r="H155" s="21">
        <v>15.3</v>
      </c>
      <c r="I155" s="21">
        <v>16.399999999999999</v>
      </c>
      <c r="J155" s="21">
        <v>17.3</v>
      </c>
      <c r="K155" s="372">
        <f>J155-K122-K86</f>
        <v>18.59</v>
      </c>
      <c r="L155" s="372">
        <f t="shared" ref="L155:O155" si="75">K155-L122-L86</f>
        <v>19.38</v>
      </c>
      <c r="M155" s="372">
        <f t="shared" si="75"/>
        <v>20.619999999999997</v>
      </c>
      <c r="N155" s="372">
        <f t="shared" si="75"/>
        <v>21.259999999999998</v>
      </c>
      <c r="O155" s="372">
        <f t="shared" si="75"/>
        <v>29.849999999999998</v>
      </c>
      <c r="Q155" s="349"/>
      <c r="R155" s="349"/>
      <c r="S155" s="349"/>
      <c r="T155" s="349"/>
    </row>
    <row r="156" spans="2:20" ht="12.95" customHeight="1">
      <c r="C156" t="s">
        <v>29</v>
      </c>
      <c r="G156" s="32"/>
      <c r="H156" s="21">
        <v>6.5</v>
      </c>
      <c r="I156" s="21">
        <v>6.5</v>
      </c>
      <c r="J156" s="21">
        <v>6.5</v>
      </c>
      <c r="K156" s="372">
        <f>J156</f>
        <v>6.5</v>
      </c>
      <c r="L156" s="372">
        <f t="shared" ref="L156:O156" si="76">K156</f>
        <v>6.5</v>
      </c>
      <c r="M156" s="372">
        <f t="shared" si="76"/>
        <v>6.5</v>
      </c>
      <c r="N156" s="372">
        <f t="shared" si="76"/>
        <v>6.5</v>
      </c>
      <c r="O156" s="372">
        <f t="shared" si="76"/>
        <v>6.5</v>
      </c>
      <c r="Q156" s="349"/>
      <c r="R156" s="349"/>
    </row>
    <row r="157" spans="2:20" ht="12.95" customHeight="1">
      <c r="C157" s="22" t="s">
        <v>26</v>
      </c>
      <c r="G157" s="32"/>
      <c r="H157" s="21">
        <v>0.4</v>
      </c>
      <c r="I157" s="21">
        <v>0.2</v>
      </c>
      <c r="J157" s="21">
        <v>0.2</v>
      </c>
      <c r="K157" s="404">
        <f>J157</f>
        <v>0.2</v>
      </c>
      <c r="L157" s="404">
        <f t="shared" ref="L157:O157" si="77">K157</f>
        <v>0.2</v>
      </c>
      <c r="M157" s="404">
        <f t="shared" si="77"/>
        <v>0.2</v>
      </c>
      <c r="N157" s="404">
        <f t="shared" si="77"/>
        <v>0.2</v>
      </c>
      <c r="O157" s="404">
        <f t="shared" si="77"/>
        <v>0.2</v>
      </c>
      <c r="Q157" s="12"/>
      <c r="R157" s="12"/>
    </row>
    <row r="158" spans="2:20" ht="12.95" customHeight="1">
      <c r="C158" s="23" t="s">
        <v>30</v>
      </c>
      <c r="G158" s="32"/>
      <c r="H158" s="41">
        <f t="shared" ref="H158:J158" si="78">SUM(H155:H157)</f>
        <v>22.2</v>
      </c>
      <c r="I158" s="41">
        <f t="shared" si="78"/>
        <v>23.099999999999998</v>
      </c>
      <c r="J158" s="41">
        <f t="shared" si="78"/>
        <v>24</v>
      </c>
      <c r="K158" s="405">
        <f>SUM(K155:K157)</f>
        <v>25.29</v>
      </c>
      <c r="L158" s="405">
        <f t="shared" ref="L158:O158" si="79">SUM(L155:L157)</f>
        <v>26.08</v>
      </c>
      <c r="M158" s="405">
        <f t="shared" si="79"/>
        <v>27.319999999999997</v>
      </c>
      <c r="N158" s="405">
        <f t="shared" si="79"/>
        <v>27.959999999999997</v>
      </c>
      <c r="O158" s="405">
        <f t="shared" si="79"/>
        <v>36.549999999999997</v>
      </c>
    </row>
    <row r="159" spans="2:20" ht="10.9" customHeight="1">
      <c r="C159" s="22"/>
      <c r="G159" s="30"/>
      <c r="H159" s="36"/>
      <c r="I159" s="36"/>
      <c r="J159" s="36"/>
      <c r="K159" s="30"/>
      <c r="L159" s="30"/>
      <c r="M159" s="30"/>
      <c r="N159" s="30"/>
      <c r="O159" s="30"/>
    </row>
    <row r="160" spans="2:20" ht="13.5" customHeight="1" thickBot="1">
      <c r="C160" s="193" t="s">
        <v>31</v>
      </c>
      <c r="G160" s="33"/>
      <c r="H160" s="192">
        <f t="shared" ref="H160:J160" si="80">H153+H158</f>
        <v>51.3</v>
      </c>
      <c r="I160" s="192">
        <f t="shared" si="80"/>
        <v>52.6</v>
      </c>
      <c r="J160" s="192">
        <f t="shared" si="80"/>
        <v>52.9</v>
      </c>
      <c r="K160" s="406">
        <f>K153+K158</f>
        <v>57.160959897260277</v>
      </c>
      <c r="L160" s="406">
        <f t="shared" ref="L160:O160" si="81">L153+L158</f>
        <v>58.749924785706341</v>
      </c>
      <c r="M160" s="406">
        <f t="shared" si="81"/>
        <v>63.288541409772023</v>
      </c>
      <c r="N160" s="406">
        <f t="shared" si="81"/>
        <v>66.685697665229981</v>
      </c>
      <c r="O160" s="406">
        <f t="shared" si="81"/>
        <v>69.548546555734418</v>
      </c>
    </row>
    <row r="161" spans="2:18" ht="13.5" thickTop="1">
      <c r="G161" s="30"/>
      <c r="H161" s="30"/>
      <c r="I161" s="30"/>
      <c r="J161" s="30"/>
    </row>
    <row r="162" spans="2:18">
      <c r="G162" s="30"/>
      <c r="H162" s="30"/>
      <c r="I162" s="30"/>
      <c r="J162" s="30"/>
    </row>
    <row r="163" spans="2:18">
      <c r="B163" s="17" t="s">
        <v>32</v>
      </c>
      <c r="G163" s="30"/>
      <c r="H163" s="30"/>
      <c r="I163" s="30"/>
      <c r="J163" s="30"/>
      <c r="Q163" s="12"/>
    </row>
    <row r="164" spans="2:18" ht="12.95" customHeight="1">
      <c r="C164" s="22" t="s">
        <v>33</v>
      </c>
      <c r="G164" s="32"/>
      <c r="H164" s="21">
        <v>0</v>
      </c>
      <c r="I164" s="21">
        <v>0</v>
      </c>
      <c r="J164" s="21">
        <v>0</v>
      </c>
      <c r="K164" s="499">
        <f>K289</f>
        <v>6.5170724684931507</v>
      </c>
      <c r="L164" s="499">
        <f t="shared" ref="L164:O164" si="82">L289</f>
        <v>7.3033209793592251</v>
      </c>
      <c r="M164" s="499">
        <f t="shared" si="82"/>
        <v>6.1110656716933933</v>
      </c>
      <c r="N164" s="499">
        <f t="shared" si="82"/>
        <v>0</v>
      </c>
      <c r="O164" s="499">
        <f t="shared" si="82"/>
        <v>1.8859931276447792</v>
      </c>
      <c r="Q164" s="349"/>
      <c r="R164" s="349"/>
    </row>
    <row r="165" spans="2:18" ht="12.95" customHeight="1">
      <c r="C165" s="22" t="s">
        <v>34</v>
      </c>
      <c r="G165" s="32"/>
      <c r="H165" s="31">
        <v>4.5</v>
      </c>
      <c r="I165" s="31">
        <v>3.2</v>
      </c>
      <c r="J165" s="31">
        <v>3.6</v>
      </c>
      <c r="K165" s="372">
        <f>K256</f>
        <v>3.7931523287671238</v>
      </c>
      <c r="L165" s="372">
        <f t="shared" ref="L165:O165" si="83">L256</f>
        <v>4.0555380099452059</v>
      </c>
      <c r="M165" s="372">
        <f t="shared" si="83"/>
        <v>4.3276850813821346</v>
      </c>
      <c r="N165" s="372">
        <f t="shared" si="83"/>
        <v>4.6123844583875568</v>
      </c>
      <c r="O165" s="372">
        <f t="shared" si="83"/>
        <v>4.7483951332290388</v>
      </c>
      <c r="Q165" s="349"/>
      <c r="R165" s="349"/>
    </row>
    <row r="166" spans="2:18" ht="12.95" customHeight="1">
      <c r="C166" s="22" t="s">
        <v>26</v>
      </c>
      <c r="G166" s="32"/>
      <c r="H166" s="20">
        <v>1</v>
      </c>
      <c r="I166" s="20">
        <v>1.2</v>
      </c>
      <c r="J166" s="20">
        <v>1.2</v>
      </c>
      <c r="K166" s="402">
        <f>J166</f>
        <v>1.2</v>
      </c>
      <c r="L166" s="402">
        <f t="shared" ref="L166:O166" si="84">K166</f>
        <v>1.2</v>
      </c>
      <c r="M166" s="402">
        <f t="shared" si="84"/>
        <v>1.2</v>
      </c>
      <c r="N166" s="402">
        <f t="shared" si="84"/>
        <v>1.2</v>
      </c>
      <c r="O166" s="402">
        <f t="shared" si="84"/>
        <v>1.2</v>
      </c>
      <c r="Q166" s="12"/>
      <c r="R166" s="12"/>
    </row>
    <row r="167" spans="2:18" ht="12.95" customHeight="1">
      <c r="C167" s="17" t="s">
        <v>35</v>
      </c>
      <c r="G167" s="30"/>
      <c r="H167" s="37">
        <f t="shared" ref="H167:J167" si="85">SUM(H164:H166)</f>
        <v>5.5</v>
      </c>
      <c r="I167" s="37">
        <f t="shared" si="85"/>
        <v>4.4000000000000004</v>
      </c>
      <c r="J167" s="37">
        <f t="shared" si="85"/>
        <v>4.8</v>
      </c>
      <c r="K167" s="500">
        <f>SUM(K164:K166)</f>
        <v>11.510224797260275</v>
      </c>
      <c r="L167" s="500">
        <f t="shared" ref="L167:O167" si="86">SUM(L164:L166)</f>
        <v>12.558858989304429</v>
      </c>
      <c r="M167" s="500">
        <f t="shared" si="86"/>
        <v>11.638750753075527</v>
      </c>
      <c r="N167" s="500">
        <f t="shared" si="86"/>
        <v>5.812384458387557</v>
      </c>
      <c r="O167" s="500">
        <f t="shared" si="86"/>
        <v>7.8343882608738182</v>
      </c>
    </row>
    <row r="168" spans="2:18" ht="10.9" customHeight="1">
      <c r="G168" s="30"/>
      <c r="H168" s="30"/>
      <c r="I168" s="30"/>
      <c r="J168" s="30"/>
      <c r="K168" s="501"/>
      <c r="L168" s="501"/>
      <c r="M168" s="501"/>
      <c r="N168" s="501"/>
      <c r="O168" s="501"/>
    </row>
    <row r="169" spans="2:18" ht="12.95" customHeight="1">
      <c r="C169" s="22" t="s">
        <v>146</v>
      </c>
      <c r="G169" s="42"/>
      <c r="H169" s="21">
        <v>18.8</v>
      </c>
      <c r="I169" s="21">
        <v>19.5</v>
      </c>
      <c r="J169" s="21">
        <v>21</v>
      </c>
      <c r="K169" s="502">
        <f>K297</f>
        <v>17</v>
      </c>
      <c r="L169" s="502">
        <f t="shared" ref="L169:O169" si="87">L297</f>
        <v>13</v>
      </c>
      <c r="M169" s="502">
        <f t="shared" si="87"/>
        <v>9</v>
      </c>
      <c r="N169" s="502">
        <f t="shared" si="87"/>
        <v>5</v>
      </c>
      <c r="O169" s="502">
        <f t="shared" si="87"/>
        <v>1</v>
      </c>
      <c r="Q169" s="349"/>
      <c r="R169" s="349"/>
    </row>
    <row r="170" spans="2:18" ht="12.95" customHeight="1">
      <c r="C170" t="s">
        <v>12</v>
      </c>
      <c r="G170" s="42"/>
      <c r="H170" s="21">
        <v>5.4</v>
      </c>
      <c r="I170" s="21">
        <v>5.9</v>
      </c>
      <c r="J170" s="21">
        <v>6.4</v>
      </c>
      <c r="K170" s="411">
        <f>J170+K93</f>
        <v>6.8500000000000005</v>
      </c>
      <c r="L170" s="411">
        <f t="shared" ref="L170:O170" si="88">K170+L93</f>
        <v>7.3000000000000007</v>
      </c>
      <c r="M170" s="411">
        <f t="shared" si="88"/>
        <v>7.7500000000000009</v>
      </c>
      <c r="N170" s="411">
        <f t="shared" si="88"/>
        <v>8.1999999999999993</v>
      </c>
      <c r="O170" s="411">
        <f t="shared" si="88"/>
        <v>8.6499999999999986</v>
      </c>
      <c r="Q170" s="349"/>
      <c r="R170" s="349"/>
    </row>
    <row r="171" spans="2:18" ht="12.95" customHeight="1">
      <c r="C171" s="22" t="s">
        <v>26</v>
      </c>
      <c r="G171" s="42"/>
      <c r="H171" s="20">
        <v>1</v>
      </c>
      <c r="I171" s="20">
        <v>1.1000000000000001</v>
      </c>
      <c r="J171" s="20">
        <v>1.1000000000000001</v>
      </c>
      <c r="K171" s="503">
        <f>J171</f>
        <v>1.1000000000000001</v>
      </c>
      <c r="L171" s="503">
        <f t="shared" ref="L171:O171" si="89">K171</f>
        <v>1.1000000000000001</v>
      </c>
      <c r="M171" s="503">
        <f t="shared" si="89"/>
        <v>1.1000000000000001</v>
      </c>
      <c r="N171" s="503">
        <f t="shared" si="89"/>
        <v>1.1000000000000001</v>
      </c>
      <c r="O171" s="503">
        <f t="shared" si="89"/>
        <v>1.1000000000000001</v>
      </c>
      <c r="Q171" s="12"/>
      <c r="R171" s="12"/>
    </row>
    <row r="172" spans="2:18" ht="12.95" customHeight="1">
      <c r="C172" s="23" t="s">
        <v>36</v>
      </c>
      <c r="G172" s="32"/>
      <c r="H172" s="37">
        <f>SUM(H169:H171)</f>
        <v>25.200000000000003</v>
      </c>
      <c r="I172" s="37">
        <f t="shared" ref="I172:J172" si="90">SUM(I169:I171)</f>
        <v>26.5</v>
      </c>
      <c r="J172" s="37">
        <f t="shared" si="90"/>
        <v>28.5</v>
      </c>
      <c r="K172" s="500">
        <f>SUM(K169:K171)</f>
        <v>24.950000000000003</v>
      </c>
      <c r="L172" s="500">
        <f t="shared" ref="L172:O172" si="91">SUM(L169:L171)</f>
        <v>21.400000000000002</v>
      </c>
      <c r="M172" s="500">
        <f t="shared" si="91"/>
        <v>17.850000000000001</v>
      </c>
      <c r="N172" s="500">
        <f t="shared" si="91"/>
        <v>14.299999999999999</v>
      </c>
      <c r="O172" s="500">
        <f t="shared" si="91"/>
        <v>10.749999999999998</v>
      </c>
    </row>
    <row r="173" spans="2:18" ht="10.9" customHeight="1">
      <c r="C173" s="17"/>
      <c r="G173" s="30"/>
      <c r="H173" s="36"/>
      <c r="I173" s="36"/>
      <c r="J173" s="36"/>
      <c r="K173" s="504"/>
      <c r="L173" s="504"/>
      <c r="M173" s="504"/>
      <c r="N173" s="504"/>
      <c r="O173" s="504"/>
    </row>
    <row r="174" spans="2:18" ht="12.95" customHeight="1">
      <c r="C174" s="23" t="s">
        <v>37</v>
      </c>
      <c r="G174" s="33"/>
      <c r="H174" s="19">
        <f t="shared" ref="H174:J174" si="92">H172+H167</f>
        <v>30.700000000000003</v>
      </c>
      <c r="I174" s="19">
        <f t="shared" si="92"/>
        <v>30.9</v>
      </c>
      <c r="J174" s="19">
        <f t="shared" si="92"/>
        <v>33.299999999999997</v>
      </c>
      <c r="K174" s="407">
        <f>K172+K167</f>
        <v>36.460224797260281</v>
      </c>
      <c r="L174" s="407">
        <f t="shared" ref="L174:O174" si="93">L172+L167</f>
        <v>33.958858989304431</v>
      </c>
      <c r="M174" s="407">
        <f t="shared" si="93"/>
        <v>29.488750753075529</v>
      </c>
      <c r="N174" s="407">
        <f t="shared" si="93"/>
        <v>20.112384458387556</v>
      </c>
      <c r="O174" s="407">
        <f t="shared" si="93"/>
        <v>18.584388260873816</v>
      </c>
    </row>
    <row r="175" spans="2:18" ht="10.9" customHeight="1">
      <c r="G175" s="30"/>
      <c r="H175" s="30"/>
      <c r="I175" s="30"/>
      <c r="J175" s="30"/>
      <c r="K175" s="501"/>
      <c r="L175" s="501"/>
      <c r="M175" s="501"/>
      <c r="N175" s="501"/>
      <c r="O175" s="501"/>
    </row>
    <row r="176" spans="2:18">
      <c r="G176" s="30"/>
      <c r="H176" s="21"/>
      <c r="I176" s="21"/>
      <c r="J176" s="21"/>
      <c r="K176" s="505"/>
      <c r="L176" s="505"/>
      <c r="M176" s="505"/>
      <c r="N176" s="505"/>
      <c r="O176" s="505"/>
      <c r="Q176" s="135"/>
      <c r="R176" s="135"/>
    </row>
    <row r="177" spans="2:20" ht="12.95" customHeight="1">
      <c r="C177" t="s">
        <v>76</v>
      </c>
      <c r="G177" s="30"/>
      <c r="H177" s="21">
        <v>8.3000000000000007</v>
      </c>
      <c r="I177" s="21">
        <v>8.9</v>
      </c>
      <c r="J177" s="21">
        <v>5.4</v>
      </c>
      <c r="K177" s="502">
        <f>K318</f>
        <v>2.4000000000000004</v>
      </c>
      <c r="L177" s="502">
        <f t="shared" ref="L177:O177" si="94">L318</f>
        <v>2.1000000000000005</v>
      </c>
      <c r="M177" s="502">
        <f t="shared" si="94"/>
        <v>1.8000000000000005</v>
      </c>
      <c r="N177" s="502">
        <f t="shared" si="94"/>
        <v>1.5000000000000004</v>
      </c>
      <c r="O177" s="502">
        <f t="shared" si="94"/>
        <v>1.2000000000000004</v>
      </c>
      <c r="Q177" s="349"/>
      <c r="R177" s="349"/>
      <c r="S177" s="39"/>
    </row>
    <row r="178" spans="2:20" ht="12.95" customHeight="1">
      <c r="C178" t="s">
        <v>38</v>
      </c>
      <c r="G178" s="30"/>
      <c r="H178" s="20">
        <v>12.3</v>
      </c>
      <c r="I178" s="20">
        <v>12.8</v>
      </c>
      <c r="J178" s="20">
        <v>14.2</v>
      </c>
      <c r="K178" s="506">
        <f>K328</f>
        <v>18.300735100000004</v>
      </c>
      <c r="L178" s="506">
        <f>L328</f>
        <v>22.691065796401915</v>
      </c>
      <c r="M178" s="506">
        <f>M328</f>
        <v>31.999790656696508</v>
      </c>
      <c r="N178" s="506">
        <f>N328</f>
        <v>45.073313206842435</v>
      </c>
      <c r="O178" s="506">
        <f>O328</f>
        <v>49.764158294860614</v>
      </c>
      <c r="Q178" s="349"/>
      <c r="R178" s="349"/>
      <c r="S178" s="39"/>
      <c r="T178" s="351"/>
    </row>
    <row r="179" spans="2:20" ht="12.95" customHeight="1">
      <c r="C179" s="17" t="s">
        <v>39</v>
      </c>
      <c r="G179" s="32"/>
      <c r="H179" s="19">
        <f>SUM(H177:H178)</f>
        <v>20.6</v>
      </c>
      <c r="I179" s="19">
        <f t="shared" ref="I179:J179" si="95">SUM(I177:I178)</f>
        <v>21.700000000000003</v>
      </c>
      <c r="J179" s="19">
        <f t="shared" si="95"/>
        <v>19.600000000000001</v>
      </c>
      <c r="K179" s="407">
        <f>K177+K178</f>
        <v>20.700735100000003</v>
      </c>
      <c r="L179" s="407">
        <f t="shared" ref="L179:O179" si="96">L177+L178</f>
        <v>24.791065796401917</v>
      </c>
      <c r="M179" s="407">
        <f t="shared" si="96"/>
        <v>33.799790656696509</v>
      </c>
      <c r="N179" s="407">
        <f t="shared" si="96"/>
        <v>46.573313206842435</v>
      </c>
      <c r="O179" s="407">
        <f t="shared" si="96"/>
        <v>50.964158294860617</v>
      </c>
    </row>
    <row r="180" spans="2:20">
      <c r="G180" s="30"/>
      <c r="H180" s="37"/>
      <c r="I180" s="37"/>
      <c r="J180" s="37"/>
      <c r="K180" s="507"/>
      <c r="L180" s="507"/>
      <c r="M180" s="507"/>
      <c r="N180" s="507"/>
      <c r="O180" s="507"/>
    </row>
    <row r="181" spans="2:20" s="123" customFormat="1" ht="13.5" customHeight="1" thickBot="1">
      <c r="B181" s="352" t="s">
        <v>40</v>
      </c>
      <c r="G181" s="353"/>
      <c r="H181" s="192">
        <f t="shared" ref="H181:J181" si="97">H179+H174</f>
        <v>51.300000000000004</v>
      </c>
      <c r="I181" s="192">
        <f t="shared" si="97"/>
        <v>52.6</v>
      </c>
      <c r="J181" s="192">
        <f t="shared" si="97"/>
        <v>52.9</v>
      </c>
      <c r="K181" s="406">
        <f>K174+K179</f>
        <v>57.160959897260284</v>
      </c>
      <c r="L181" s="406">
        <f t="shared" ref="L181:O181" si="98">L174+L179</f>
        <v>58.749924785706348</v>
      </c>
      <c r="M181" s="406">
        <f t="shared" si="98"/>
        <v>63.288541409772037</v>
      </c>
      <c r="N181" s="406">
        <f t="shared" si="98"/>
        <v>66.685697665229995</v>
      </c>
      <c r="O181" s="406">
        <f t="shared" si="98"/>
        <v>69.548546555734433</v>
      </c>
    </row>
    <row r="182" spans="2:20" ht="13.5" thickTop="1">
      <c r="B182" s="28"/>
    </row>
    <row r="183" spans="2:20" ht="12.95" customHeight="1">
      <c r="D183" s="43" t="s">
        <v>45</v>
      </c>
      <c r="F183" s="43"/>
      <c r="G183" s="43"/>
      <c r="H183" s="43">
        <f t="shared" ref="H183:O183" si="99">ROUND(H181-H160,3)</f>
        <v>0</v>
      </c>
      <c r="I183" s="43">
        <f t="shared" si="99"/>
        <v>0</v>
      </c>
      <c r="J183" s="43">
        <f t="shared" si="99"/>
        <v>0</v>
      </c>
      <c r="K183" s="43">
        <f t="shared" si="99"/>
        <v>0</v>
      </c>
      <c r="L183" s="43">
        <f t="shared" si="99"/>
        <v>0</v>
      </c>
      <c r="M183" s="43">
        <f t="shared" si="99"/>
        <v>0</v>
      </c>
      <c r="N183" s="43">
        <f t="shared" si="99"/>
        <v>0</v>
      </c>
      <c r="O183" s="43">
        <f t="shared" si="99"/>
        <v>0</v>
      </c>
    </row>
    <row r="184" spans="2:20">
      <c r="B184" s="25"/>
      <c r="C184" s="25"/>
      <c r="D184" s="25"/>
      <c r="E184" s="209"/>
      <c r="F184" s="209"/>
      <c r="G184" s="209"/>
      <c r="H184" s="210"/>
      <c r="I184" s="210"/>
      <c r="J184" s="210"/>
      <c r="K184" s="210"/>
      <c r="L184" s="210"/>
      <c r="M184" s="210"/>
      <c r="N184" s="210"/>
      <c r="O184" s="210"/>
      <c r="Q184" s="133"/>
    </row>
    <row r="186" spans="2:20" ht="14.25" customHeight="1">
      <c r="B186" s="1"/>
      <c r="C186" s="1"/>
      <c r="D186" s="1"/>
      <c r="E186" s="1"/>
      <c r="F186" s="1"/>
      <c r="G186" s="1"/>
      <c r="H186" s="1"/>
      <c r="I186" s="1"/>
      <c r="J186" s="1"/>
      <c r="K186" s="2"/>
      <c r="L186" s="2"/>
      <c r="M186" s="2"/>
      <c r="N186" s="2"/>
      <c r="O186" s="190" t="str">
        <f>$O$1</f>
        <v>CURRENTLY RUNNING: BASE CASE SCENARIO</v>
      </c>
    </row>
    <row r="187" spans="2:20" ht="23.25">
      <c r="B187" s="1" t="str">
        <f>$B$2</f>
        <v>Grand Crew Cycling Company</v>
      </c>
      <c r="C187" s="1"/>
      <c r="D187" s="1"/>
      <c r="E187" s="1"/>
      <c r="F187" s="1"/>
      <c r="G187" s="1"/>
      <c r="H187" s="1"/>
      <c r="I187" s="1"/>
      <c r="J187" s="1"/>
      <c r="K187" s="2"/>
      <c r="L187" s="2"/>
      <c r="M187" s="2"/>
      <c r="N187" s="2"/>
      <c r="O187" s="2"/>
    </row>
    <row r="188" spans="2:20" ht="18">
      <c r="B188" s="3" t="s">
        <v>53</v>
      </c>
      <c r="C188" s="3"/>
      <c r="D188" s="3"/>
      <c r="E188" s="3"/>
      <c r="F188" s="3"/>
      <c r="G188" s="3"/>
      <c r="H188" s="3"/>
      <c r="I188" s="3"/>
      <c r="J188" s="3"/>
      <c r="K188" s="2"/>
      <c r="L188" s="2"/>
      <c r="M188" s="2"/>
      <c r="N188" s="2"/>
      <c r="O188" s="2"/>
    </row>
    <row r="189" spans="2:20" ht="3" customHeight="1" thickBot="1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</row>
    <row r="190" spans="2:20">
      <c r="B190" s="5" t="s">
        <v>115</v>
      </c>
    </row>
    <row r="191" spans="2:20">
      <c r="B191" s="5"/>
      <c r="K191" s="195" t="s">
        <v>114</v>
      </c>
      <c r="L191" s="128"/>
      <c r="M191" s="128"/>
      <c r="N191" s="128"/>
      <c r="O191" s="128"/>
    </row>
    <row r="192" spans="2:20">
      <c r="H192" s="189">
        <f t="shared" ref="H192:O192" si="100">H$7</f>
        <v>2023</v>
      </c>
      <c r="I192" s="189">
        <f t="shared" si="100"/>
        <v>2024</v>
      </c>
      <c r="J192" s="189">
        <f t="shared" si="100"/>
        <v>2025</v>
      </c>
      <c r="K192" s="196">
        <f t="shared" si="100"/>
        <v>2026</v>
      </c>
      <c r="L192" s="196">
        <f t="shared" si="100"/>
        <v>2027</v>
      </c>
      <c r="M192" s="196">
        <f t="shared" si="100"/>
        <v>2028</v>
      </c>
      <c r="N192" s="196">
        <f t="shared" si="100"/>
        <v>2029</v>
      </c>
      <c r="O192" s="196">
        <f t="shared" si="100"/>
        <v>2030</v>
      </c>
    </row>
    <row r="193" spans="2:15">
      <c r="H193" s="189"/>
      <c r="I193" s="189"/>
      <c r="J193" s="189"/>
      <c r="K193" s="196"/>
      <c r="L193" s="196"/>
      <c r="M193" s="196"/>
      <c r="N193" s="196"/>
      <c r="O193" s="196"/>
    </row>
    <row r="194" spans="2:15" ht="12.95" customHeight="1">
      <c r="B194" s="211" t="s">
        <v>157</v>
      </c>
      <c r="C194" s="52"/>
      <c r="D194" s="52"/>
      <c r="E194" s="52"/>
      <c r="F194" s="400">
        <f>Assumptions!O33</f>
        <v>5</v>
      </c>
    </row>
    <row r="195" spans="2:15" ht="12.95" customHeight="1">
      <c r="B195" s="59" t="s">
        <v>158</v>
      </c>
      <c r="C195" s="25"/>
      <c r="D195" s="25"/>
      <c r="E195" s="25"/>
      <c r="F195" s="401">
        <f>Assumptions!O34</f>
        <v>10</v>
      </c>
    </row>
    <row r="197" spans="2:15">
      <c r="D197" t="s">
        <v>54</v>
      </c>
      <c r="H197" s="12"/>
      <c r="I197" s="12"/>
      <c r="J197" s="12"/>
      <c r="K197" s="372">
        <f>J155/F194</f>
        <v>3.46</v>
      </c>
      <c r="L197" s="372">
        <f>K197</f>
        <v>3.46</v>
      </c>
      <c r="M197" s="372">
        <f t="shared" ref="M197:O197" si="101">L197</f>
        <v>3.46</v>
      </c>
      <c r="N197" s="372">
        <f t="shared" si="101"/>
        <v>3.46</v>
      </c>
      <c r="O197" s="372">
        <f t="shared" si="101"/>
        <v>3.46</v>
      </c>
    </row>
    <row r="199" spans="2:15">
      <c r="B199" s="22"/>
      <c r="D199" s="212" t="s">
        <v>20</v>
      </c>
    </row>
    <row r="200" spans="2:15" ht="12.95" customHeight="1">
      <c r="D200" s="213">
        <f>K192</f>
        <v>2026</v>
      </c>
      <c r="E200" s="396">
        <f>-HLOOKUP(D200,$K$111:$O$122,ROWS($K$111:$O$122),FALSE)</f>
        <v>5</v>
      </c>
      <c r="F200" s="12"/>
      <c r="K200" s="372">
        <f>IF($D200=K$192,$E200/$F$195/2,$E200/$F$195)</f>
        <v>0.25</v>
      </c>
      <c r="L200" s="372">
        <f t="shared" ref="L200:O204" si="102">IF($D200=L$192,$E200/$F$195/2,$E200/$F$195)</f>
        <v>0.5</v>
      </c>
      <c r="M200" s="372">
        <f t="shared" si="102"/>
        <v>0.5</v>
      </c>
      <c r="N200" s="372">
        <f t="shared" si="102"/>
        <v>0.5</v>
      </c>
      <c r="O200" s="372">
        <f t="shared" si="102"/>
        <v>0.5</v>
      </c>
    </row>
    <row r="201" spans="2:15" ht="12.95" customHeight="1">
      <c r="D201" s="213">
        <f>D200+1</f>
        <v>2027</v>
      </c>
      <c r="E201" s="397">
        <f>-HLOOKUP(D201,$K$111:$O$122,ROWS($K$111:$O$122),FALSE)</f>
        <v>5</v>
      </c>
      <c r="F201" s="12"/>
      <c r="L201" s="372">
        <f t="shared" si="102"/>
        <v>0.25</v>
      </c>
      <c r="M201" s="372">
        <f t="shared" si="102"/>
        <v>0.5</v>
      </c>
      <c r="N201" s="372">
        <f t="shared" si="102"/>
        <v>0.5</v>
      </c>
      <c r="O201" s="372">
        <f t="shared" si="102"/>
        <v>0.5</v>
      </c>
    </row>
    <row r="202" spans="2:15" ht="12.95" customHeight="1">
      <c r="D202" s="213">
        <f>D201+1</f>
        <v>2028</v>
      </c>
      <c r="E202" s="397">
        <f>-HLOOKUP(D202,$K$111:$O$122,ROWS($K$111:$O$122),FALSE)</f>
        <v>6</v>
      </c>
      <c r="F202" s="12"/>
      <c r="M202" s="372">
        <f t="shared" si="102"/>
        <v>0.3</v>
      </c>
      <c r="N202" s="372">
        <f t="shared" si="102"/>
        <v>0.6</v>
      </c>
      <c r="O202" s="372">
        <f t="shared" si="102"/>
        <v>0.6</v>
      </c>
    </row>
    <row r="203" spans="2:15" ht="12.95" customHeight="1">
      <c r="D203" s="213">
        <f>D202+1</f>
        <v>2029</v>
      </c>
      <c r="E203" s="397">
        <f>-HLOOKUP(D203,$K$111:$O$122,ROWS($K$111:$O$122),FALSE)</f>
        <v>6</v>
      </c>
      <c r="F203" s="12"/>
      <c r="N203" s="372">
        <f t="shared" si="102"/>
        <v>0.3</v>
      </c>
      <c r="O203" s="372">
        <f t="shared" si="102"/>
        <v>0.6</v>
      </c>
    </row>
    <row r="204" spans="2:15" ht="12.95" customHeight="1">
      <c r="D204" s="213">
        <f>D203+1</f>
        <v>2030</v>
      </c>
      <c r="E204" s="398">
        <f>-HLOOKUP(D204,$K$111:$O$122,ROWS($K$111:$O$122),FALSE)</f>
        <v>15</v>
      </c>
      <c r="F204" s="12"/>
      <c r="O204" s="372">
        <f t="shared" si="102"/>
        <v>0.75</v>
      </c>
    </row>
    <row r="205" spans="2:15">
      <c r="C205" s="49"/>
    </row>
    <row r="206" spans="2:15" s="123" customFormat="1" ht="13.5" customHeight="1" thickBot="1">
      <c r="B206" s="354" t="s">
        <v>55</v>
      </c>
      <c r="C206" s="193"/>
      <c r="H206" s="399">
        <f>H86</f>
        <v>2.8</v>
      </c>
      <c r="I206" s="399">
        <f t="shared" ref="I206:J206" si="103">I86</f>
        <v>2.9</v>
      </c>
      <c r="J206" s="399">
        <f t="shared" si="103"/>
        <v>3</v>
      </c>
      <c r="K206" s="399">
        <f>SUM(K197:K204)</f>
        <v>3.71</v>
      </c>
      <c r="L206" s="399">
        <f t="shared" ref="L206:O206" si="104">SUM(L197:L204)</f>
        <v>4.21</v>
      </c>
      <c r="M206" s="399">
        <f t="shared" si="104"/>
        <v>4.76</v>
      </c>
      <c r="N206" s="399">
        <f t="shared" si="104"/>
        <v>5.3599999999999994</v>
      </c>
      <c r="O206" s="399">
        <f t="shared" si="104"/>
        <v>6.4099999999999993</v>
      </c>
    </row>
    <row r="207" spans="2:15" ht="13.5" thickTop="1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</row>
    <row r="209" spans="2:15" ht="14.25" customHeight="1">
      <c r="B209" s="1"/>
      <c r="C209" s="1"/>
      <c r="D209" s="1"/>
      <c r="E209" s="1"/>
      <c r="F209" s="1"/>
      <c r="G209" s="1"/>
      <c r="H209" s="1"/>
      <c r="I209" s="1"/>
      <c r="J209" s="1"/>
      <c r="K209" s="2"/>
      <c r="L209" s="2"/>
      <c r="M209" s="2"/>
      <c r="N209" s="2"/>
      <c r="O209" s="190" t="str">
        <f>$O$1</f>
        <v>CURRENTLY RUNNING: BASE CASE SCENARIO</v>
      </c>
    </row>
    <row r="210" spans="2:15" ht="23.25">
      <c r="B210" s="1" t="str">
        <f>$B$2</f>
        <v>Grand Crew Cycling Company</v>
      </c>
      <c r="C210" s="1"/>
      <c r="D210" s="1"/>
      <c r="E210" s="1"/>
      <c r="F210" s="1"/>
      <c r="G210" s="1"/>
      <c r="H210" s="1"/>
      <c r="I210" s="1"/>
      <c r="J210" s="1"/>
      <c r="K210" s="2"/>
      <c r="L210" s="2"/>
      <c r="M210" s="2"/>
      <c r="N210" s="2"/>
      <c r="O210" s="2"/>
    </row>
    <row r="211" spans="2:15" ht="18">
      <c r="B211" s="3" t="s">
        <v>171</v>
      </c>
      <c r="C211" s="3"/>
      <c r="D211" s="3"/>
      <c r="E211" s="3"/>
      <c r="F211" s="3"/>
      <c r="G211" s="3"/>
      <c r="H211" s="3"/>
      <c r="I211" s="3"/>
      <c r="J211" s="3"/>
      <c r="K211" s="2"/>
      <c r="L211" s="2"/>
      <c r="M211" s="2"/>
      <c r="N211" s="2"/>
      <c r="O211" s="2"/>
    </row>
    <row r="212" spans="2:15" ht="3" customHeight="1" thickBot="1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 spans="2:15">
      <c r="B213" s="5" t="s">
        <v>115</v>
      </c>
    </row>
    <row r="214" spans="2:15">
      <c r="B214" s="5"/>
      <c r="K214" s="195" t="s">
        <v>114</v>
      </c>
      <c r="L214" s="128"/>
      <c r="M214" s="128"/>
      <c r="N214" s="128"/>
      <c r="O214" s="128"/>
    </row>
    <row r="215" spans="2:15">
      <c r="H215" s="189"/>
      <c r="I215" s="189"/>
      <c r="J215" s="189"/>
      <c r="K215" s="196">
        <f t="shared" ref="K215:O215" si="105">K$7</f>
        <v>2026</v>
      </c>
      <c r="L215" s="196">
        <f t="shared" si="105"/>
        <v>2027</v>
      </c>
      <c r="M215" s="196">
        <f t="shared" si="105"/>
        <v>2028</v>
      </c>
      <c r="N215" s="196">
        <f t="shared" si="105"/>
        <v>2029</v>
      </c>
      <c r="O215" s="196">
        <f t="shared" si="105"/>
        <v>2030</v>
      </c>
    </row>
    <row r="216" spans="2:15" ht="12.95" customHeight="1">
      <c r="B216" s="222" t="s">
        <v>56</v>
      </c>
      <c r="C216" s="223"/>
      <c r="D216" s="223"/>
      <c r="E216" s="395">
        <f>Assumptions!O40</f>
        <v>0.3</v>
      </c>
      <c r="F216" s="62"/>
    </row>
    <row r="219" spans="2:15" ht="12.95" customHeight="1">
      <c r="C219" s="10" t="s">
        <v>82</v>
      </c>
      <c r="H219" s="10" t="s">
        <v>77</v>
      </c>
      <c r="K219" s="371">
        <f>K90</f>
        <v>7.3227412500000115</v>
      </c>
      <c r="L219" s="371">
        <f t="shared" ref="L219:O219" si="106">L90</f>
        <v>7.8398762435748406</v>
      </c>
      <c r="M219" s="371">
        <f t="shared" si="106"/>
        <v>16.622722964811771</v>
      </c>
      <c r="N219" s="371">
        <f t="shared" si="106"/>
        <v>23.345575982403439</v>
      </c>
      <c r="O219" s="371">
        <f t="shared" si="106"/>
        <v>8.3765090857467417</v>
      </c>
    </row>
    <row r="220" spans="2:15" ht="6" customHeight="1">
      <c r="C220" s="10"/>
      <c r="H220" s="10"/>
      <c r="K220" s="50"/>
      <c r="L220" s="50"/>
      <c r="M220" s="50"/>
      <c r="N220" s="50"/>
      <c r="O220" s="50"/>
    </row>
    <row r="221" spans="2:15" ht="14.25">
      <c r="C221" t="s">
        <v>172</v>
      </c>
      <c r="K221" s="376">
        <f>Assumptions!K65</f>
        <v>1.5</v>
      </c>
      <c r="L221" s="376">
        <f>Assumptions!L65</f>
        <v>1.5</v>
      </c>
      <c r="M221" s="376">
        <f>Assumptions!M65</f>
        <v>1.5</v>
      </c>
      <c r="N221" s="376">
        <f>Assumptions!N65</f>
        <v>1.5</v>
      </c>
      <c r="O221" s="376">
        <f>Assumptions!O65</f>
        <v>1.5</v>
      </c>
    </row>
    <row r="222" spans="2:15" ht="12.95" customHeight="1">
      <c r="C222" s="10" t="s">
        <v>173</v>
      </c>
      <c r="H222" s="10" t="s">
        <v>78</v>
      </c>
      <c r="K222" s="390">
        <f>K219-K221</f>
        <v>5.8227412500000115</v>
      </c>
      <c r="L222" s="390">
        <f t="shared" ref="L222:O222" si="107">L219-L221</f>
        <v>6.3398762435748406</v>
      </c>
      <c r="M222" s="390">
        <f t="shared" si="107"/>
        <v>15.122722964811771</v>
      </c>
      <c r="N222" s="390">
        <f t="shared" si="107"/>
        <v>21.845575982403439</v>
      </c>
      <c r="O222" s="390">
        <f t="shared" si="107"/>
        <v>6.8765090857467417</v>
      </c>
    </row>
    <row r="223" spans="2:15">
      <c r="K223" s="12"/>
      <c r="L223" s="12"/>
      <c r="M223" s="12"/>
      <c r="N223" s="12"/>
      <c r="O223" s="12"/>
    </row>
    <row r="224" spans="2:15" ht="12.95" customHeight="1">
      <c r="C224" t="str">
        <f>CONCATENATE("Accounting Taxes (",E216*100,"% of A)")</f>
        <v>Accounting Taxes (30% of A)</v>
      </c>
      <c r="K224" s="372">
        <f>K219*$E$216</f>
        <v>2.1968223750000035</v>
      </c>
      <c r="L224" s="372">
        <f t="shared" ref="L224:O224" si="108">L219*$E$216</f>
        <v>2.351962873072452</v>
      </c>
      <c r="M224" s="372">
        <f t="shared" si="108"/>
        <v>4.9868168894435314</v>
      </c>
      <c r="N224" s="372">
        <f t="shared" si="108"/>
        <v>7.0036727947210311</v>
      </c>
      <c r="O224" s="372">
        <f t="shared" si="108"/>
        <v>2.5129527257240225</v>
      </c>
    </row>
    <row r="225" spans="2:15">
      <c r="K225" s="12"/>
      <c r="L225" s="12"/>
      <c r="M225" s="12"/>
      <c r="N225" s="12"/>
      <c r="O225" s="12"/>
    </row>
    <row r="226" spans="2:15" ht="12.95" customHeight="1">
      <c r="C226" s="51" t="s">
        <v>79</v>
      </c>
      <c r="D226" s="52"/>
      <c r="E226" s="52"/>
      <c r="F226" s="52"/>
      <c r="G226" s="52"/>
      <c r="H226" s="52"/>
      <c r="I226" s="52"/>
      <c r="J226" s="52"/>
      <c r="K226" s="53"/>
      <c r="L226" s="53"/>
      <c r="M226" s="53"/>
      <c r="N226" s="53"/>
      <c r="O226" s="54"/>
    </row>
    <row r="227" spans="2:15" ht="12.95" customHeight="1">
      <c r="C227" s="55" t="str">
        <f>CONCATENATE("Current Taxes (",E216*100,"% of B)")</f>
        <v>Current Taxes (30% of B)</v>
      </c>
      <c r="K227" s="372">
        <f>K222*$E$216</f>
        <v>1.7468223750000034</v>
      </c>
      <c r="L227" s="372">
        <f t="shared" ref="L227:N227" si="109">L222*$E$216</f>
        <v>1.901962873072452</v>
      </c>
      <c r="M227" s="372">
        <f t="shared" si="109"/>
        <v>4.5368168894435312</v>
      </c>
      <c r="N227" s="372">
        <f t="shared" si="109"/>
        <v>6.5536727947210318</v>
      </c>
      <c r="O227" s="385">
        <f>O222*$E$216</f>
        <v>2.0629527257240223</v>
      </c>
    </row>
    <row r="228" spans="2:15" ht="12.95" customHeight="1">
      <c r="C228" s="55" t="s">
        <v>80</v>
      </c>
      <c r="K228" s="373">
        <f>K224-K227</f>
        <v>0.45000000000000018</v>
      </c>
      <c r="L228" s="373">
        <f t="shared" ref="L228:N228" si="110">L224-L227</f>
        <v>0.44999999999999996</v>
      </c>
      <c r="M228" s="373">
        <f t="shared" si="110"/>
        <v>0.45000000000000018</v>
      </c>
      <c r="N228" s="373">
        <f t="shared" si="110"/>
        <v>0.44999999999999929</v>
      </c>
      <c r="O228" s="387">
        <f>O224-O227</f>
        <v>0.45000000000000018</v>
      </c>
    </row>
    <row r="229" spans="2:15" ht="12.95" customHeight="1">
      <c r="C229" s="56" t="s">
        <v>81</v>
      </c>
      <c r="D229" s="25"/>
      <c r="E229" s="25"/>
      <c r="F229" s="25"/>
      <c r="G229" s="25"/>
      <c r="H229" s="25"/>
      <c r="I229" s="25"/>
      <c r="J229" s="25"/>
      <c r="K229" s="393">
        <f>K227+K228</f>
        <v>2.1968223750000035</v>
      </c>
      <c r="L229" s="393">
        <f t="shared" ref="L229:N229" si="111">L227+L228</f>
        <v>2.351962873072452</v>
      </c>
      <c r="M229" s="393">
        <f t="shared" si="111"/>
        <v>4.9868168894435314</v>
      </c>
      <c r="N229" s="393">
        <f t="shared" si="111"/>
        <v>7.0036727947210311</v>
      </c>
      <c r="O229" s="394">
        <f>O227+O228</f>
        <v>2.5129527257240225</v>
      </c>
    </row>
    <row r="230" spans="2:15">
      <c r="C230" s="10"/>
      <c r="K230" s="50"/>
      <c r="L230" s="50"/>
      <c r="M230" s="50"/>
      <c r="N230" s="50"/>
      <c r="O230" s="50"/>
    </row>
    <row r="231" spans="2:15" ht="13.5">
      <c r="C231" s="224" t="s">
        <v>174</v>
      </c>
      <c r="K231" s="50"/>
      <c r="L231" s="50"/>
      <c r="M231" s="50"/>
      <c r="N231" s="50"/>
      <c r="O231" s="50"/>
    </row>
    <row r="232" spans="2:15" ht="6" customHeight="1">
      <c r="C232" s="25"/>
      <c r="D232" s="25"/>
      <c r="E232" s="25"/>
      <c r="F232" s="25"/>
      <c r="G232" s="25"/>
      <c r="H232" s="25"/>
      <c r="I232" s="25"/>
      <c r="J232" s="25"/>
      <c r="K232" s="16"/>
      <c r="L232" s="16"/>
      <c r="M232" s="16"/>
      <c r="N232" s="16"/>
      <c r="O232" s="16"/>
    </row>
    <row r="234" spans="2:15" ht="14.25" customHeight="1">
      <c r="B234" s="1"/>
      <c r="C234" s="1"/>
      <c r="D234" s="1"/>
      <c r="E234" s="1"/>
      <c r="F234" s="1"/>
      <c r="G234" s="1"/>
      <c r="H234" s="1"/>
      <c r="I234" s="1"/>
      <c r="J234" s="1"/>
      <c r="K234" s="2"/>
      <c r="L234" s="2"/>
      <c r="M234" s="2"/>
      <c r="N234" s="2"/>
      <c r="O234" s="190" t="str">
        <f>$O$1</f>
        <v>CURRENTLY RUNNING: BASE CASE SCENARIO</v>
      </c>
    </row>
    <row r="235" spans="2:15" ht="23.25">
      <c r="B235" s="1" t="str">
        <f>$B$2</f>
        <v>Grand Crew Cycling Company</v>
      </c>
      <c r="C235" s="1"/>
      <c r="D235" s="1"/>
      <c r="E235" s="1"/>
      <c r="F235" s="1"/>
      <c r="G235" s="1"/>
      <c r="H235" s="1"/>
      <c r="I235" s="1"/>
      <c r="J235" s="1"/>
      <c r="K235" s="2"/>
      <c r="L235" s="2"/>
      <c r="M235" s="2"/>
      <c r="N235" s="2"/>
      <c r="O235" s="2"/>
    </row>
    <row r="236" spans="2:15" ht="18">
      <c r="B236" s="3" t="s">
        <v>57</v>
      </c>
      <c r="C236" s="3"/>
      <c r="D236" s="3"/>
      <c r="E236" s="3"/>
      <c r="F236" s="3"/>
      <c r="G236" s="3"/>
      <c r="H236" s="3"/>
      <c r="I236" s="3"/>
      <c r="J236" s="3"/>
      <c r="K236" s="2"/>
      <c r="L236" s="2"/>
      <c r="M236" s="2"/>
      <c r="N236" s="2"/>
      <c r="O236" s="2"/>
    </row>
    <row r="237" spans="2:15" ht="3" customHeight="1" thickBot="1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2:15">
      <c r="B238" s="5" t="s">
        <v>198</v>
      </c>
    </row>
    <row r="239" spans="2:15">
      <c r="B239" s="5"/>
      <c r="K239" s="195" t="s">
        <v>114</v>
      </c>
      <c r="L239" s="128"/>
      <c r="M239" s="128"/>
      <c r="N239" s="128"/>
      <c r="O239" s="128"/>
    </row>
    <row r="240" spans="2:15">
      <c r="H240" s="189">
        <f>H$7</f>
        <v>2023</v>
      </c>
      <c r="I240" s="189">
        <f t="shared" ref="I240:O240" si="112">I$7</f>
        <v>2024</v>
      </c>
      <c r="J240" s="189">
        <f t="shared" si="112"/>
        <v>2025</v>
      </c>
      <c r="K240" s="196">
        <f t="shared" si="112"/>
        <v>2026</v>
      </c>
      <c r="L240" s="196">
        <f t="shared" si="112"/>
        <v>2027</v>
      </c>
      <c r="M240" s="196">
        <f t="shared" si="112"/>
        <v>2028</v>
      </c>
      <c r="N240" s="196">
        <f t="shared" si="112"/>
        <v>2029</v>
      </c>
      <c r="O240" s="196">
        <f t="shared" si="112"/>
        <v>2030</v>
      </c>
    </row>
    <row r="241" spans="2:15">
      <c r="H241" s="46"/>
      <c r="I241" s="46"/>
      <c r="J241" s="46"/>
      <c r="K241" s="46"/>
      <c r="L241" s="46"/>
      <c r="M241" s="46"/>
      <c r="N241" s="46"/>
      <c r="O241" s="46"/>
    </row>
    <row r="242" spans="2:15" ht="12.95" customHeight="1">
      <c r="B242" s="216" t="s">
        <v>58</v>
      </c>
      <c r="C242" s="217"/>
      <c r="D242" s="217"/>
      <c r="E242" s="217"/>
      <c r="F242" s="218" t="s">
        <v>164</v>
      </c>
      <c r="G242" s="217"/>
      <c r="H242" s="217"/>
      <c r="I242" s="392">
        <f>DATE(I240,12,31)-DATE(H240,12,31)</f>
        <v>366</v>
      </c>
      <c r="J242" s="392">
        <f t="shared" ref="J242:O242" si="113">DATE(J240,12,31)-DATE(I240,12,31)</f>
        <v>365</v>
      </c>
      <c r="K242" s="392">
        <f t="shared" si="113"/>
        <v>365</v>
      </c>
      <c r="L242" s="392">
        <f t="shared" si="113"/>
        <v>365</v>
      </c>
      <c r="M242" s="392">
        <f t="shared" si="113"/>
        <v>366</v>
      </c>
      <c r="N242" s="392">
        <f t="shared" si="113"/>
        <v>365</v>
      </c>
      <c r="O242" s="392">
        <f t="shared" si="113"/>
        <v>365</v>
      </c>
    </row>
    <row r="243" spans="2:15" ht="12.95" customHeight="1">
      <c r="F243" s="219"/>
    </row>
    <row r="244" spans="2:15" ht="12.95" customHeight="1">
      <c r="B244" s="10" t="s">
        <v>88</v>
      </c>
      <c r="F244" s="219"/>
    </row>
    <row r="245" spans="2:15" ht="12.95" customHeight="1">
      <c r="C245" t="s">
        <v>2</v>
      </c>
      <c r="F245" s="219" t="s">
        <v>165</v>
      </c>
      <c r="I245" s="372">
        <f>I77</f>
        <v>45.2</v>
      </c>
      <c r="J245" s="372">
        <f t="shared" ref="J245:O245" si="114">J77</f>
        <v>49.4</v>
      </c>
      <c r="K245" s="372">
        <f t="shared" si="114"/>
        <v>55.819091250000014</v>
      </c>
      <c r="L245" s="372">
        <f t="shared" si="114"/>
        <v>59.688514989562513</v>
      </c>
      <c r="M245" s="372">
        <f t="shared" si="114"/>
        <v>71.818941582539381</v>
      </c>
      <c r="N245" s="372">
        <f t="shared" si="114"/>
        <v>81.732451134324108</v>
      </c>
      <c r="O245" s="372">
        <f t="shared" si="114"/>
        <v>68.77780848883242</v>
      </c>
    </row>
    <row r="246" spans="2:15" ht="12.95" customHeight="1">
      <c r="C246" t="s">
        <v>3</v>
      </c>
      <c r="F246" s="219" t="s">
        <v>165</v>
      </c>
      <c r="I246" s="372">
        <f>I79</f>
        <v>33.4</v>
      </c>
      <c r="J246" s="372">
        <f t="shared" ref="J246:O246" si="115">J79</f>
        <v>36</v>
      </c>
      <c r="K246" s="372">
        <f t="shared" si="115"/>
        <v>38.458350000000003</v>
      </c>
      <c r="L246" s="372">
        <f t="shared" si="115"/>
        <v>41.118649267500004</v>
      </c>
      <c r="M246" s="372">
        <f t="shared" si="115"/>
        <v>43.998131660718371</v>
      </c>
      <c r="N246" s="372">
        <f t="shared" si="115"/>
        <v>46.764453536429393</v>
      </c>
      <c r="O246" s="372">
        <f t="shared" si="115"/>
        <v>48.14345065634997</v>
      </c>
    </row>
    <row r="247" spans="2:15" ht="12.95" customHeight="1">
      <c r="F247" s="219"/>
    </row>
    <row r="248" spans="2:15" ht="12.95" customHeight="1">
      <c r="B248" s="10" t="s">
        <v>163</v>
      </c>
      <c r="F248" s="219"/>
    </row>
    <row r="249" spans="2:15" ht="12.95" customHeight="1">
      <c r="C249" t="str">
        <f>C254</f>
        <v>Accounts Receivable</v>
      </c>
      <c r="F249" s="219" t="s">
        <v>164</v>
      </c>
      <c r="I249" s="382">
        <f>I254/I245*I242</f>
        <v>131.17699115044246</v>
      </c>
      <c r="J249" s="383">
        <f>J254/J245*J242</f>
        <v>129.3016194331984</v>
      </c>
      <c r="K249" s="391">
        <f>Assumptions!K68</f>
        <v>130</v>
      </c>
      <c r="L249" s="391">
        <f>Assumptions!L68</f>
        <v>125</v>
      </c>
      <c r="M249" s="391">
        <f>Assumptions!M68</f>
        <v>120</v>
      </c>
      <c r="N249" s="391">
        <f>Assumptions!N68</f>
        <v>115</v>
      </c>
      <c r="O249" s="391">
        <f>Assumptions!O68</f>
        <v>110</v>
      </c>
    </row>
    <row r="250" spans="2:15" ht="12.95" customHeight="1">
      <c r="C250" t="str">
        <f>C255</f>
        <v>Inventory</v>
      </c>
      <c r="F250" s="219" t="s">
        <v>164</v>
      </c>
      <c r="I250" s="384">
        <f>I255/I246*I242</f>
        <v>98.622754491017972</v>
      </c>
      <c r="J250" s="385">
        <f>J255/J246*J242</f>
        <v>111.52777777777779</v>
      </c>
      <c r="K250" s="391">
        <f>Assumptions!K69</f>
        <v>110</v>
      </c>
      <c r="L250" s="391">
        <f>Assumptions!L69</f>
        <v>105</v>
      </c>
      <c r="M250" s="391">
        <f>Assumptions!M69</f>
        <v>100</v>
      </c>
      <c r="N250" s="391">
        <f>Assumptions!N69</f>
        <v>95</v>
      </c>
      <c r="O250" s="391">
        <f>Assumptions!O69</f>
        <v>90</v>
      </c>
    </row>
    <row r="251" spans="2:15" ht="12.95" customHeight="1">
      <c r="C251" t="str">
        <f>C256</f>
        <v>Accounts Payable</v>
      </c>
      <c r="F251" s="219" t="s">
        <v>164</v>
      </c>
      <c r="I251" s="386">
        <f>I256/I246*I242</f>
        <v>35.065868263473057</v>
      </c>
      <c r="J251" s="387">
        <f>J256/J246*J242</f>
        <v>36.5</v>
      </c>
      <c r="K251" s="391">
        <f>Assumptions!K70</f>
        <v>36</v>
      </c>
      <c r="L251" s="391">
        <f>Assumptions!L70</f>
        <v>36</v>
      </c>
      <c r="M251" s="391">
        <f>Assumptions!M70</f>
        <v>36</v>
      </c>
      <c r="N251" s="391">
        <f>Assumptions!N70</f>
        <v>36</v>
      </c>
      <c r="O251" s="391">
        <f>Assumptions!O70</f>
        <v>36</v>
      </c>
    </row>
    <row r="252" spans="2:15" ht="12.95" customHeight="1">
      <c r="F252" s="219"/>
      <c r="J252" s="12"/>
      <c r="K252" s="12"/>
      <c r="L252" s="12"/>
      <c r="M252" s="12"/>
      <c r="N252" s="12"/>
      <c r="O252" s="12"/>
    </row>
    <row r="253" spans="2:15" ht="12.95" customHeight="1">
      <c r="B253" s="10" t="s">
        <v>166</v>
      </c>
      <c r="F253" s="219"/>
      <c r="J253" s="12"/>
      <c r="K253" s="12"/>
      <c r="L253" s="12"/>
      <c r="M253" s="12"/>
      <c r="N253" s="12"/>
      <c r="O253" s="12"/>
    </row>
    <row r="254" spans="2:15" ht="12.95" customHeight="1">
      <c r="C254" t="str">
        <f>C150</f>
        <v>Accounts Receivable</v>
      </c>
      <c r="F254" s="219" t="s">
        <v>165</v>
      </c>
      <c r="H254" s="12"/>
      <c r="I254" s="382">
        <f>I150</f>
        <v>16.2</v>
      </c>
      <c r="J254" s="383">
        <f>J150</f>
        <v>17.5</v>
      </c>
      <c r="K254" s="372">
        <f>K245/K242*K249</f>
        <v>19.880772226027403</v>
      </c>
      <c r="L254" s="372">
        <f t="shared" ref="L254:O254" si="116">L245/L242*L249</f>
        <v>20.441272256699492</v>
      </c>
      <c r="M254" s="372">
        <f t="shared" si="116"/>
        <v>23.547193961488322</v>
      </c>
      <c r="N254" s="372">
        <f t="shared" si="116"/>
        <v>25.751320220403485</v>
      </c>
      <c r="O254" s="372">
        <f t="shared" si="116"/>
        <v>20.727558722661826</v>
      </c>
    </row>
    <row r="255" spans="2:15" ht="12.95" customHeight="1">
      <c r="C255" t="str">
        <f>C151</f>
        <v>Inventory</v>
      </c>
      <c r="F255" s="219" t="s">
        <v>165</v>
      </c>
      <c r="H255" s="12"/>
      <c r="I255" s="384">
        <f>I151</f>
        <v>9</v>
      </c>
      <c r="J255" s="385">
        <f>J151</f>
        <v>11</v>
      </c>
      <c r="K255" s="372">
        <f>K246/K242*K250</f>
        <v>11.590187671232878</v>
      </c>
      <c r="L255" s="372">
        <f t="shared" ref="L255:O255" si="117">L246/L242*L250</f>
        <v>11.828652529006851</v>
      </c>
      <c r="M255" s="372">
        <f t="shared" si="117"/>
        <v>12.021347448283707</v>
      </c>
      <c r="N255" s="372">
        <f t="shared" si="117"/>
        <v>12.17157009852272</v>
      </c>
      <c r="O255" s="372">
        <f t="shared" si="117"/>
        <v>11.870987833072595</v>
      </c>
    </row>
    <row r="256" spans="2:15" ht="12.95" customHeight="1">
      <c r="C256" t="str">
        <f>C165</f>
        <v>Accounts Payable</v>
      </c>
      <c r="F256" s="219" t="s">
        <v>165</v>
      </c>
      <c r="H256" s="12"/>
      <c r="I256" s="386">
        <f>I165</f>
        <v>3.2</v>
      </c>
      <c r="J256" s="387">
        <f>J165</f>
        <v>3.6</v>
      </c>
      <c r="K256" s="373">
        <f>K246/K242*K251</f>
        <v>3.7931523287671238</v>
      </c>
      <c r="L256" s="373">
        <f t="shared" ref="L256:O256" si="118">L246/L242*L251</f>
        <v>4.0555380099452059</v>
      </c>
      <c r="M256" s="373">
        <f t="shared" si="118"/>
        <v>4.3276850813821346</v>
      </c>
      <c r="N256" s="373">
        <f t="shared" si="118"/>
        <v>4.6123844583875568</v>
      </c>
      <c r="O256" s="373">
        <f t="shared" si="118"/>
        <v>4.7483951332290388</v>
      </c>
    </row>
    <row r="257" spans="2:15" ht="12.95" customHeight="1">
      <c r="C257" s="10" t="s">
        <v>59</v>
      </c>
      <c r="F257" s="220" t="s">
        <v>165</v>
      </c>
      <c r="H257" s="12"/>
      <c r="I257" s="388">
        <f>I254+I255-I256</f>
        <v>22</v>
      </c>
      <c r="J257" s="389">
        <f>J254+J255-J256</f>
        <v>24.9</v>
      </c>
      <c r="K257" s="390">
        <f>K254+K255-K256</f>
        <v>27.677807568493154</v>
      </c>
      <c r="L257" s="390">
        <f t="shared" ref="L257:O257" si="119">L254+L255-L256</f>
        <v>28.214386775761138</v>
      </c>
      <c r="M257" s="390">
        <f t="shared" si="119"/>
        <v>31.240856328389896</v>
      </c>
      <c r="N257" s="390">
        <f t="shared" si="119"/>
        <v>33.310505860538647</v>
      </c>
      <c r="O257" s="390">
        <f t="shared" si="119"/>
        <v>27.850151422505384</v>
      </c>
    </row>
    <row r="258" spans="2:15">
      <c r="F258" s="219"/>
      <c r="J258" s="12"/>
      <c r="K258" s="12"/>
      <c r="L258" s="12"/>
      <c r="M258" s="12"/>
      <c r="N258" s="12"/>
      <c r="O258" s="12"/>
    </row>
    <row r="259" spans="2:15" ht="13.5" customHeight="1" thickBot="1">
      <c r="B259" s="10" t="s">
        <v>167</v>
      </c>
      <c r="F259" s="220" t="s">
        <v>165</v>
      </c>
      <c r="I259" s="12"/>
      <c r="J259" s="381">
        <f>I257-J257</f>
        <v>-2.8999999999999986</v>
      </c>
      <c r="K259" s="381">
        <f t="shared" ref="K259:O259" si="120">J257-K257</f>
        <v>-2.7778075684931558</v>
      </c>
      <c r="L259" s="381">
        <f t="shared" si="120"/>
        <v>-0.5365792072679838</v>
      </c>
      <c r="M259" s="381">
        <f t="shared" si="120"/>
        <v>-3.0264695526287575</v>
      </c>
      <c r="N259" s="381">
        <f t="shared" si="120"/>
        <v>-2.0696495321487518</v>
      </c>
      <c r="O259" s="381">
        <f t="shared" si="120"/>
        <v>5.4603544380332636</v>
      </c>
    </row>
    <row r="260" spans="2:15" ht="13.5" thickTop="1">
      <c r="B260" s="25"/>
      <c r="C260" s="25"/>
      <c r="D260" s="25"/>
      <c r="E260" s="25"/>
      <c r="F260" s="25"/>
      <c r="G260" s="25"/>
      <c r="H260" s="25"/>
      <c r="I260" s="25"/>
      <c r="J260" s="16"/>
      <c r="K260" s="16"/>
      <c r="L260" s="16"/>
      <c r="M260" s="16"/>
      <c r="N260" s="16"/>
      <c r="O260" s="16"/>
    </row>
    <row r="262" spans="2:15" ht="14.25" customHeight="1">
      <c r="B262" s="1"/>
      <c r="C262" s="1"/>
      <c r="D262" s="1"/>
      <c r="E262" s="1"/>
      <c r="F262" s="1"/>
      <c r="G262" s="1"/>
      <c r="H262" s="1"/>
      <c r="I262" s="1"/>
      <c r="J262" s="1"/>
      <c r="K262" s="2"/>
      <c r="L262" s="2"/>
      <c r="M262" s="2"/>
      <c r="N262" s="2"/>
      <c r="O262" s="190" t="str">
        <f>$O$1</f>
        <v>CURRENTLY RUNNING: BASE CASE SCENARIO</v>
      </c>
    </row>
    <row r="263" spans="2:15" ht="23.25">
      <c r="B263" s="1" t="str">
        <f>$B$2</f>
        <v>Grand Crew Cycling Company</v>
      </c>
      <c r="C263" s="1"/>
      <c r="D263" s="1"/>
      <c r="E263" s="1"/>
      <c r="F263" s="1"/>
      <c r="G263" s="1"/>
      <c r="H263" s="1"/>
      <c r="I263" s="1"/>
      <c r="J263" s="1"/>
      <c r="K263" s="2"/>
      <c r="L263" s="2"/>
      <c r="M263" s="2"/>
      <c r="N263" s="2"/>
      <c r="O263" s="2"/>
    </row>
    <row r="264" spans="2:15" ht="18">
      <c r="B264" s="3" t="s">
        <v>168</v>
      </c>
      <c r="C264" s="3"/>
      <c r="D264" s="3"/>
      <c r="E264" s="3"/>
      <c r="F264" s="3"/>
      <c r="G264" s="3"/>
      <c r="H264" s="3"/>
      <c r="I264" s="3"/>
      <c r="J264" s="3"/>
      <c r="K264" s="2"/>
      <c r="L264" s="2"/>
      <c r="M264" s="2"/>
      <c r="N264" s="2"/>
      <c r="O264" s="2"/>
    </row>
    <row r="265" spans="2:15" ht="3" customHeight="1" thickBot="1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spans="2:15">
      <c r="B266" s="5" t="s">
        <v>115</v>
      </c>
    </row>
    <row r="267" spans="2:15">
      <c r="B267" s="5"/>
      <c r="K267" s="195" t="s">
        <v>114</v>
      </c>
      <c r="L267" s="128"/>
      <c r="M267" s="128"/>
      <c r="N267" s="128"/>
      <c r="O267" s="128"/>
    </row>
    <row r="268" spans="2:15">
      <c r="H268" s="189"/>
      <c r="I268" s="189"/>
      <c r="J268" s="189">
        <f t="shared" ref="J268:O268" si="121">J$7</f>
        <v>2025</v>
      </c>
      <c r="K268" s="196">
        <f t="shared" si="121"/>
        <v>2026</v>
      </c>
      <c r="L268" s="196">
        <f t="shared" si="121"/>
        <v>2027</v>
      </c>
      <c r="M268" s="196">
        <f t="shared" si="121"/>
        <v>2028</v>
      </c>
      <c r="N268" s="196">
        <f t="shared" si="121"/>
        <v>2029</v>
      </c>
      <c r="O268" s="196">
        <f t="shared" si="121"/>
        <v>2030</v>
      </c>
    </row>
    <row r="269" spans="2:15">
      <c r="B269" s="10" t="s">
        <v>169</v>
      </c>
    </row>
    <row r="270" spans="2:15" ht="6" customHeight="1"/>
    <row r="271" spans="2:15" ht="12.95" customHeight="1">
      <c r="C271" s="10" t="s">
        <v>60</v>
      </c>
    </row>
    <row r="272" spans="2:15" ht="12.95" customHeight="1">
      <c r="C272" s="10"/>
      <c r="D272" t="s">
        <v>61</v>
      </c>
      <c r="K272" s="372">
        <f>J274</f>
        <v>0</v>
      </c>
      <c r="L272" s="372">
        <f t="shared" ref="L272:O272" si="122">K274</f>
        <v>0</v>
      </c>
      <c r="M272" s="372">
        <f t="shared" si="122"/>
        <v>0</v>
      </c>
      <c r="N272" s="372">
        <f t="shared" si="122"/>
        <v>0</v>
      </c>
      <c r="O272" s="372">
        <f t="shared" si="122"/>
        <v>0.40280734630378134</v>
      </c>
    </row>
    <row r="273" spans="3:15" ht="12.95" customHeight="1">
      <c r="C273" s="10"/>
      <c r="D273" t="s">
        <v>62</v>
      </c>
      <c r="J273" s="25"/>
      <c r="K273" s="373">
        <f>K135</f>
        <v>0</v>
      </c>
      <c r="L273" s="373">
        <f t="shared" ref="L273:O273" si="123">L135</f>
        <v>0</v>
      </c>
      <c r="M273" s="373">
        <f t="shared" si="123"/>
        <v>0</v>
      </c>
      <c r="N273" s="373">
        <f t="shared" si="123"/>
        <v>0.40280734630378134</v>
      </c>
      <c r="O273" s="373">
        <f t="shared" si="123"/>
        <v>-0.40280734630378134</v>
      </c>
    </row>
    <row r="274" spans="3:15" ht="12.95" customHeight="1">
      <c r="C274" s="10"/>
      <c r="D274" t="s">
        <v>63</v>
      </c>
      <c r="J274" s="377">
        <f>J149</f>
        <v>0</v>
      </c>
      <c r="K274" s="377">
        <f>SUM(K272:K273)</f>
        <v>0</v>
      </c>
      <c r="L274" s="377">
        <f t="shared" ref="L274:O274" si="124">SUM(L272:L273)</f>
        <v>0</v>
      </c>
      <c r="M274" s="377">
        <f t="shared" si="124"/>
        <v>0</v>
      </c>
      <c r="N274" s="377">
        <f t="shared" si="124"/>
        <v>0.40280734630378134</v>
      </c>
      <c r="O274" s="377">
        <f t="shared" si="124"/>
        <v>0</v>
      </c>
    </row>
    <row r="275" spans="3:15" ht="6" customHeight="1">
      <c r="C275" s="10"/>
    </row>
    <row r="276" spans="3:15" ht="12.95" customHeight="1">
      <c r="C276" s="10"/>
      <c r="D276" t="s">
        <v>64</v>
      </c>
      <c r="K276" s="379">
        <f>Assumptions!O19</f>
        <v>0.01</v>
      </c>
      <c r="L276" s="380">
        <f>K276</f>
        <v>0.01</v>
      </c>
      <c r="M276" s="380">
        <f t="shared" ref="M276:O276" si="125">L276</f>
        <v>0.01</v>
      </c>
      <c r="N276" s="380">
        <f t="shared" si="125"/>
        <v>0.01</v>
      </c>
      <c r="O276" s="380">
        <f t="shared" si="125"/>
        <v>0.01</v>
      </c>
    </row>
    <row r="277" spans="3:15" ht="13.5" customHeight="1">
      <c r="C277" s="10"/>
      <c r="D277" s="10" t="s">
        <v>65</v>
      </c>
      <c r="K277" s="374">
        <f>K276*K272</f>
        <v>0</v>
      </c>
      <c r="L277" s="374">
        <f t="shared" ref="L277:O277" si="126">L276*L272</f>
        <v>0</v>
      </c>
      <c r="M277" s="374">
        <f t="shared" si="126"/>
        <v>0</v>
      </c>
      <c r="N277" s="374">
        <f t="shared" si="126"/>
        <v>0</v>
      </c>
      <c r="O277" s="374">
        <f t="shared" si="126"/>
        <v>4.0280734630378139E-3</v>
      </c>
    </row>
    <row r="278" spans="3:15">
      <c r="C278" s="10"/>
    </row>
    <row r="279" spans="3:15" ht="12.95" customHeight="1">
      <c r="C279" s="10" t="s">
        <v>33</v>
      </c>
    </row>
    <row r="280" spans="3:15" ht="12.95" customHeight="1">
      <c r="C280" s="10"/>
      <c r="D280" t="s">
        <v>18</v>
      </c>
      <c r="K280" s="372">
        <f>K118</f>
        <v>6.5081113065068514</v>
      </c>
      <c r="L280" s="372">
        <f t="shared" ref="L280:O280" si="127">L118</f>
        <v>9.6113341632344031</v>
      </c>
      <c r="M280" s="372">
        <f t="shared" si="127"/>
        <v>13.81943652273948</v>
      </c>
      <c r="N280" s="372">
        <f t="shared" si="127"/>
        <v>20.082253655533655</v>
      </c>
      <c r="O280" s="372">
        <f t="shared" si="127"/>
        <v>18.183910798055983</v>
      </c>
    </row>
    <row r="281" spans="3:15" ht="12.95" customHeight="1">
      <c r="C281" s="10"/>
      <c r="D281" t="s">
        <v>21</v>
      </c>
      <c r="K281" s="372">
        <f>K124</f>
        <v>-5</v>
      </c>
      <c r="L281" s="372">
        <f t="shared" ref="L281:O281" si="128">L124</f>
        <v>-5</v>
      </c>
      <c r="M281" s="372">
        <f t="shared" si="128"/>
        <v>-6</v>
      </c>
      <c r="N281" s="372">
        <f t="shared" si="128"/>
        <v>-6</v>
      </c>
      <c r="O281" s="372">
        <f t="shared" si="128"/>
        <v>-15</v>
      </c>
    </row>
    <row r="282" spans="3:15" ht="12.95" customHeight="1">
      <c r="C282" s="10"/>
      <c r="D282" t="s">
        <v>66</v>
      </c>
      <c r="K282" s="372">
        <f>K296</f>
        <v>-4</v>
      </c>
      <c r="L282" s="372">
        <f t="shared" ref="L282:O282" si="129">L296</f>
        <v>-4</v>
      </c>
      <c r="M282" s="372">
        <f t="shared" si="129"/>
        <v>-4</v>
      </c>
      <c r="N282" s="372">
        <f t="shared" si="129"/>
        <v>-4</v>
      </c>
      <c r="O282" s="372">
        <f t="shared" si="129"/>
        <v>-4</v>
      </c>
    </row>
    <row r="283" spans="3:15" ht="12.95" customHeight="1">
      <c r="C283" s="10"/>
      <c r="D283" t="s">
        <v>149</v>
      </c>
      <c r="K283" s="372">
        <f>K317</f>
        <v>-3</v>
      </c>
      <c r="L283" s="372">
        <f t="shared" ref="L283:O283" si="130">L317</f>
        <v>-0.3</v>
      </c>
      <c r="M283" s="372">
        <f t="shared" si="130"/>
        <v>-0.3</v>
      </c>
      <c r="N283" s="372">
        <f t="shared" si="130"/>
        <v>-0.3</v>
      </c>
      <c r="O283" s="372">
        <f t="shared" si="130"/>
        <v>-0.3</v>
      </c>
    </row>
    <row r="284" spans="3:15" ht="12.95" customHeight="1">
      <c r="C284" s="10"/>
      <c r="D284" t="s">
        <v>75</v>
      </c>
      <c r="K284" s="373">
        <f>-K322</f>
        <v>-1.0251837750000017</v>
      </c>
      <c r="L284" s="373">
        <f t="shared" ref="L284:O284" si="131">-L322</f>
        <v>-1.0975826741004777</v>
      </c>
      <c r="M284" s="373">
        <f t="shared" si="131"/>
        <v>-2.3271812150736482</v>
      </c>
      <c r="N284" s="373">
        <f t="shared" si="131"/>
        <v>-3.2683806375364819</v>
      </c>
      <c r="O284" s="373">
        <f t="shared" si="131"/>
        <v>-1.1727112720045438</v>
      </c>
    </row>
    <row r="285" spans="3:15" ht="12.95" customHeight="1">
      <c r="C285" s="10"/>
      <c r="D285" s="10" t="s">
        <v>67</v>
      </c>
      <c r="K285" s="371">
        <f>SUM(K280:K284)</f>
        <v>-6.5170724684931507</v>
      </c>
      <c r="L285" s="371">
        <f t="shared" ref="L285:O285" si="132">SUM(L280:L284)</f>
        <v>-0.78624851086607461</v>
      </c>
      <c r="M285" s="371">
        <f t="shared" si="132"/>
        <v>1.1922553076658318</v>
      </c>
      <c r="N285" s="371">
        <f t="shared" si="132"/>
        <v>6.5138730179971729</v>
      </c>
      <c r="O285" s="371">
        <f t="shared" si="132"/>
        <v>-2.2888004739485606</v>
      </c>
    </row>
    <row r="286" spans="3:15">
      <c r="C286" s="10"/>
    </row>
    <row r="287" spans="3:15" ht="12.95" customHeight="1">
      <c r="C287" s="10"/>
      <c r="D287" t="s">
        <v>68</v>
      </c>
      <c r="K287" s="372">
        <f>J289</f>
        <v>0</v>
      </c>
      <c r="L287" s="372">
        <f t="shared" ref="L287:O287" si="133">K289</f>
        <v>6.5170724684931507</v>
      </c>
      <c r="M287" s="372">
        <f t="shared" si="133"/>
        <v>7.3033209793592251</v>
      </c>
      <c r="N287" s="372">
        <f t="shared" si="133"/>
        <v>6.1110656716933933</v>
      </c>
      <c r="O287" s="372">
        <f t="shared" si="133"/>
        <v>0</v>
      </c>
    </row>
    <row r="288" spans="3:15" ht="12.95" customHeight="1">
      <c r="C288" s="10"/>
      <c r="D288" t="s">
        <v>69</v>
      </c>
      <c r="J288" s="25"/>
      <c r="K288" s="373">
        <f>-MIN(K287,K285+K272)</f>
        <v>6.5170724684931507</v>
      </c>
      <c r="L288" s="373">
        <f t="shared" ref="L288:O288" si="134">-MIN(L287,L285+L272)</f>
        <v>0.78624851086607461</v>
      </c>
      <c r="M288" s="373">
        <f t="shared" si="134"/>
        <v>-1.1922553076658318</v>
      </c>
      <c r="N288" s="373">
        <f t="shared" si="134"/>
        <v>-6.1110656716933933</v>
      </c>
      <c r="O288" s="373">
        <f t="shared" si="134"/>
        <v>1.8859931276447792</v>
      </c>
    </row>
    <row r="289" spans="1:15" ht="12.95" customHeight="1">
      <c r="C289" s="10"/>
      <c r="D289" t="s">
        <v>70</v>
      </c>
      <c r="J289" s="377">
        <f>J164</f>
        <v>0</v>
      </c>
      <c r="K289" s="377">
        <f>SUM(K287:K288)</f>
        <v>6.5170724684931507</v>
      </c>
      <c r="L289" s="377">
        <f t="shared" ref="L289:O289" si="135">SUM(L287:L288)</f>
        <v>7.3033209793592251</v>
      </c>
      <c r="M289" s="377">
        <f t="shared" si="135"/>
        <v>6.1110656716933933</v>
      </c>
      <c r="N289" s="377">
        <f t="shared" si="135"/>
        <v>0</v>
      </c>
      <c r="O289" s="377">
        <f t="shared" si="135"/>
        <v>1.8859931276447792</v>
      </c>
    </row>
    <row r="290" spans="1:15" ht="6" customHeight="1">
      <c r="C290" s="10"/>
    </row>
    <row r="291" spans="1:15" ht="12.95" customHeight="1">
      <c r="C291" s="10"/>
      <c r="D291" t="s">
        <v>64</v>
      </c>
      <c r="K291" s="379">
        <f>Assumptions!O20</f>
        <v>4.8000000000000001E-2</v>
      </c>
      <c r="L291" s="380">
        <f>K291</f>
        <v>4.8000000000000001E-2</v>
      </c>
      <c r="M291" s="380">
        <f t="shared" ref="M291:O291" si="136">L291</f>
        <v>4.8000000000000001E-2</v>
      </c>
      <c r="N291" s="380">
        <f t="shared" si="136"/>
        <v>4.8000000000000001E-2</v>
      </c>
      <c r="O291" s="380">
        <f t="shared" si="136"/>
        <v>4.8000000000000001E-2</v>
      </c>
    </row>
    <row r="292" spans="1:15" ht="12.95" customHeight="1">
      <c r="C292" s="10"/>
      <c r="D292" s="10" t="s">
        <v>71</v>
      </c>
      <c r="K292" s="374">
        <f>K291*K287</f>
        <v>0</v>
      </c>
      <c r="L292" s="374">
        <f t="shared" ref="L292:O292" si="137">L291*L287</f>
        <v>0.31281947848767122</v>
      </c>
      <c r="M292" s="374">
        <f t="shared" si="137"/>
        <v>0.35055940700924282</v>
      </c>
      <c r="N292" s="374">
        <f t="shared" si="137"/>
        <v>0.29333115224128287</v>
      </c>
      <c r="O292" s="374">
        <f t="shared" si="137"/>
        <v>0</v>
      </c>
    </row>
    <row r="294" spans="1:15" s="10" customFormat="1" ht="12.95" customHeight="1">
      <c r="A294"/>
      <c r="C294" s="10" t="s">
        <v>146</v>
      </c>
    </row>
    <row r="295" spans="1:15" ht="12.95" customHeight="1">
      <c r="D295" t="s">
        <v>61</v>
      </c>
      <c r="K295" s="372">
        <f>J297</f>
        <v>21</v>
      </c>
      <c r="L295" s="372">
        <f t="shared" ref="L295:O295" si="138">K297</f>
        <v>17</v>
      </c>
      <c r="M295" s="372">
        <f t="shared" si="138"/>
        <v>13</v>
      </c>
      <c r="N295" s="372">
        <f t="shared" si="138"/>
        <v>9</v>
      </c>
      <c r="O295" s="372">
        <f t="shared" si="138"/>
        <v>5</v>
      </c>
    </row>
    <row r="296" spans="1:15" ht="12.95" customHeight="1">
      <c r="D296" t="s">
        <v>69</v>
      </c>
      <c r="J296" s="25"/>
      <c r="K296" s="376">
        <f>Assumptions!K73</f>
        <v>-4</v>
      </c>
      <c r="L296" s="376">
        <f>Assumptions!L73</f>
        <v>-4</v>
      </c>
      <c r="M296" s="376">
        <f>Assumptions!M73</f>
        <v>-4</v>
      </c>
      <c r="N296" s="376">
        <f>Assumptions!N73</f>
        <v>-4</v>
      </c>
      <c r="O296" s="376">
        <f>Assumptions!O73</f>
        <v>-4</v>
      </c>
    </row>
    <row r="297" spans="1:15" ht="12.95" customHeight="1">
      <c r="D297" t="s">
        <v>63</v>
      </c>
      <c r="J297" s="377">
        <f>J169</f>
        <v>21</v>
      </c>
      <c r="K297" s="377">
        <f>K295+K296</f>
        <v>17</v>
      </c>
      <c r="L297" s="377">
        <f t="shared" ref="L297:O297" si="139">L295+L296</f>
        <v>13</v>
      </c>
      <c r="M297" s="377">
        <f t="shared" si="139"/>
        <v>9</v>
      </c>
      <c r="N297" s="377">
        <f t="shared" si="139"/>
        <v>5</v>
      </c>
      <c r="O297" s="377">
        <f t="shared" si="139"/>
        <v>1</v>
      </c>
    </row>
    <row r="298" spans="1:15" ht="6" customHeight="1"/>
    <row r="299" spans="1:15" ht="12.95" customHeight="1">
      <c r="D299" t="s">
        <v>64</v>
      </c>
      <c r="K299" s="379">
        <f>Assumptions!O21</f>
        <v>0.05</v>
      </c>
      <c r="L299" s="380">
        <f>K299</f>
        <v>0.05</v>
      </c>
      <c r="M299" s="380">
        <f t="shared" ref="M299:O299" si="140">L299</f>
        <v>0.05</v>
      </c>
      <c r="N299" s="380">
        <f t="shared" si="140"/>
        <v>0.05</v>
      </c>
      <c r="O299" s="380">
        <f t="shared" si="140"/>
        <v>0.05</v>
      </c>
    </row>
    <row r="300" spans="1:15" ht="12.95" customHeight="1">
      <c r="D300" s="10" t="s">
        <v>71</v>
      </c>
      <c r="K300" s="374">
        <f>K299*K295</f>
        <v>1.05</v>
      </c>
      <c r="L300" s="374">
        <f t="shared" ref="L300:O300" si="141">L299*L295</f>
        <v>0.85000000000000009</v>
      </c>
      <c r="M300" s="374">
        <f t="shared" si="141"/>
        <v>0.65</v>
      </c>
      <c r="N300" s="374">
        <f t="shared" si="141"/>
        <v>0.45</v>
      </c>
      <c r="O300" s="374">
        <f t="shared" si="141"/>
        <v>0.25</v>
      </c>
    </row>
    <row r="301" spans="1:15" ht="6" customHeight="1">
      <c r="D301" s="10"/>
      <c r="K301" s="221"/>
      <c r="L301" s="221"/>
      <c r="M301" s="221"/>
      <c r="N301" s="221"/>
      <c r="O301" s="221"/>
    </row>
    <row r="303" spans="1:15" ht="13.5" customHeight="1" thickBot="1">
      <c r="C303" s="10" t="s">
        <v>72</v>
      </c>
      <c r="K303" s="378">
        <f>K300+K292-K277</f>
        <v>1.05</v>
      </c>
      <c r="L303" s="378">
        <f t="shared" ref="L303:O303" si="142">L300+L292-L277</f>
        <v>1.1628194784876713</v>
      </c>
      <c r="M303" s="378">
        <f t="shared" si="142"/>
        <v>1.0005594070092427</v>
      </c>
      <c r="N303" s="378">
        <f t="shared" si="142"/>
        <v>0.74333115224128288</v>
      </c>
      <c r="O303" s="378">
        <f t="shared" si="142"/>
        <v>0.24597192653696218</v>
      </c>
    </row>
    <row r="304" spans="1:15" ht="13.5" thickTop="1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</row>
    <row r="306" spans="2:17" ht="14.25" customHeight="1">
      <c r="B306" s="1"/>
      <c r="C306" s="1"/>
      <c r="D306" s="1"/>
      <c r="E306" s="1"/>
      <c r="F306" s="1"/>
      <c r="G306" s="1"/>
      <c r="H306" s="1"/>
      <c r="I306" s="1"/>
      <c r="J306" s="1"/>
      <c r="K306" s="2"/>
      <c r="L306" s="2"/>
      <c r="M306" s="2"/>
      <c r="N306" s="2"/>
      <c r="O306" s="190" t="str">
        <f>$O$1</f>
        <v>CURRENTLY RUNNING: BASE CASE SCENARIO</v>
      </c>
    </row>
    <row r="307" spans="2:17" ht="23.25">
      <c r="B307" s="1" t="str">
        <f>$B$2</f>
        <v>Grand Crew Cycling Company</v>
      </c>
      <c r="C307" s="1"/>
      <c r="D307" s="1"/>
      <c r="E307" s="1"/>
      <c r="F307" s="1"/>
      <c r="G307" s="1"/>
      <c r="H307" s="1"/>
      <c r="I307" s="1"/>
      <c r="J307" s="1"/>
      <c r="K307" s="2"/>
      <c r="L307" s="2"/>
      <c r="M307" s="2"/>
      <c r="N307" s="2"/>
      <c r="O307" s="2"/>
    </row>
    <row r="308" spans="2:17" ht="18">
      <c r="B308" s="3" t="s">
        <v>170</v>
      </c>
      <c r="C308" s="3"/>
      <c r="D308" s="3"/>
      <c r="E308" s="3"/>
      <c r="F308" s="3"/>
      <c r="G308" s="3"/>
      <c r="H308" s="3"/>
      <c r="I308" s="3"/>
      <c r="J308" s="3"/>
      <c r="K308" s="2"/>
      <c r="L308" s="2"/>
      <c r="M308" s="2"/>
      <c r="N308" s="2"/>
      <c r="O308" s="2"/>
    </row>
    <row r="309" spans="2:17" ht="3" customHeight="1" thickBot="1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spans="2:17">
      <c r="B310" s="5" t="s">
        <v>115</v>
      </c>
    </row>
    <row r="311" spans="2:17">
      <c r="B311" s="5"/>
      <c r="K311" s="195" t="s">
        <v>114</v>
      </c>
      <c r="L311" s="128"/>
      <c r="M311" s="128"/>
      <c r="N311" s="128"/>
      <c r="O311" s="128"/>
    </row>
    <row r="312" spans="2:17">
      <c r="H312" s="189"/>
      <c r="I312" s="189"/>
      <c r="J312" s="189">
        <f t="shared" ref="J312:O312" si="143">J$7</f>
        <v>2025</v>
      </c>
      <c r="K312" s="196">
        <f t="shared" si="143"/>
        <v>2026</v>
      </c>
      <c r="L312" s="196">
        <f t="shared" si="143"/>
        <v>2027</v>
      </c>
      <c r="M312" s="196">
        <f t="shared" si="143"/>
        <v>2028</v>
      </c>
      <c r="N312" s="196">
        <f t="shared" si="143"/>
        <v>2029</v>
      </c>
      <c r="O312" s="196">
        <f t="shared" si="143"/>
        <v>2030</v>
      </c>
    </row>
    <row r="313" spans="2:17">
      <c r="B313" s="10" t="s">
        <v>148</v>
      </c>
      <c r="Q313" s="133"/>
    </row>
    <row r="314" spans="2:17" ht="12.95" customHeight="1">
      <c r="C314" s="10"/>
    </row>
    <row r="315" spans="2:17" ht="12.95" customHeight="1">
      <c r="C315" s="10" t="str">
        <f>C177</f>
        <v>Common Shares</v>
      </c>
    </row>
    <row r="316" spans="2:17" ht="12.95" customHeight="1">
      <c r="C316" s="10"/>
      <c r="D316" t="s">
        <v>61</v>
      </c>
      <c r="K316" s="372">
        <f>J318</f>
        <v>5.4</v>
      </c>
      <c r="L316" s="372">
        <f t="shared" ref="L316:O316" si="144">K318</f>
        <v>2.4000000000000004</v>
      </c>
      <c r="M316" s="372">
        <f t="shared" si="144"/>
        <v>2.1000000000000005</v>
      </c>
      <c r="N316" s="372">
        <f t="shared" si="144"/>
        <v>1.8000000000000005</v>
      </c>
      <c r="O316" s="372">
        <f t="shared" si="144"/>
        <v>1.5000000000000004</v>
      </c>
    </row>
    <row r="317" spans="2:17" ht="12.95" customHeight="1">
      <c r="C317" s="10"/>
      <c r="D317" t="s">
        <v>73</v>
      </c>
      <c r="J317" s="25"/>
      <c r="K317" s="376">
        <f>Assumptions!K74</f>
        <v>-3</v>
      </c>
      <c r="L317" s="376">
        <f>Assumptions!L74</f>
        <v>-0.3</v>
      </c>
      <c r="M317" s="376">
        <f>Assumptions!M74</f>
        <v>-0.3</v>
      </c>
      <c r="N317" s="376">
        <f>Assumptions!N74</f>
        <v>-0.3</v>
      </c>
      <c r="O317" s="376">
        <f>Assumptions!O74</f>
        <v>-0.3</v>
      </c>
    </row>
    <row r="318" spans="2:17" ht="12.95" customHeight="1">
      <c r="C318" s="10"/>
      <c r="D318" t="s">
        <v>63</v>
      </c>
      <c r="J318" s="377">
        <f>J177</f>
        <v>5.4</v>
      </c>
      <c r="K318" s="377">
        <f>SUM(K316:K317)</f>
        <v>2.4000000000000004</v>
      </c>
      <c r="L318" s="377">
        <f t="shared" ref="L318:O318" si="145">SUM(L316:L317)</f>
        <v>2.1000000000000005</v>
      </c>
      <c r="M318" s="377">
        <f t="shared" si="145"/>
        <v>1.8000000000000005</v>
      </c>
      <c r="N318" s="377">
        <f t="shared" si="145"/>
        <v>1.5000000000000004</v>
      </c>
      <c r="O318" s="377">
        <f t="shared" si="145"/>
        <v>1.2000000000000004</v>
      </c>
    </row>
    <row r="319" spans="2:17" ht="6" customHeight="1">
      <c r="C319" s="10"/>
    </row>
    <row r="320" spans="2:17" ht="12.95" customHeight="1">
      <c r="C320" s="10"/>
      <c r="D320" t="s">
        <v>74</v>
      </c>
      <c r="K320" s="375">
        <f>Assumptions!O25</f>
        <v>0.2</v>
      </c>
      <c r="L320" s="436">
        <f>K320</f>
        <v>0.2</v>
      </c>
      <c r="M320" s="436">
        <f t="shared" ref="M320:O320" si="146">L320</f>
        <v>0.2</v>
      </c>
      <c r="N320" s="436">
        <f t="shared" si="146"/>
        <v>0.2</v>
      </c>
      <c r="O320" s="436">
        <f t="shared" si="146"/>
        <v>0.2</v>
      </c>
    </row>
    <row r="321" spans="2:15" ht="12.95" customHeight="1">
      <c r="C321" s="10"/>
      <c r="D321" t="s">
        <v>14</v>
      </c>
      <c r="H321" s="12"/>
      <c r="I321" s="12"/>
      <c r="J321" s="12"/>
      <c r="K321" s="372">
        <f>K96</f>
        <v>5.125918875000008</v>
      </c>
      <c r="L321" s="372">
        <f>L96</f>
        <v>5.4879133705023886</v>
      </c>
      <c r="M321" s="372">
        <f t="shared" ref="M321:O321" si="147">M96</f>
        <v>11.63590607536824</v>
      </c>
      <c r="N321" s="372">
        <f t="shared" si="147"/>
        <v>16.341903187682409</v>
      </c>
      <c r="O321" s="372">
        <f t="shared" si="147"/>
        <v>5.8635563600227192</v>
      </c>
    </row>
    <row r="322" spans="2:15" ht="13.5" customHeight="1">
      <c r="C322" s="10"/>
      <c r="D322" s="10" t="s">
        <v>75</v>
      </c>
      <c r="K322" s="374">
        <f>MAX(K320*K321,0)</f>
        <v>1.0251837750000017</v>
      </c>
      <c r="L322" s="374">
        <f>MAX(L320*L321,0)</f>
        <v>1.0975826741004777</v>
      </c>
      <c r="M322" s="374">
        <f t="shared" ref="M322:O322" si="148">MAX(M320*M321,0)</f>
        <v>2.3271812150736482</v>
      </c>
      <c r="N322" s="374">
        <f t="shared" si="148"/>
        <v>3.2683806375364819</v>
      </c>
      <c r="O322" s="374">
        <f t="shared" si="148"/>
        <v>1.1727112720045438</v>
      </c>
    </row>
    <row r="323" spans="2:15">
      <c r="C323" s="10"/>
    </row>
    <row r="324" spans="2:15" ht="12.95" customHeight="1">
      <c r="C324" s="10" t="s">
        <v>38</v>
      </c>
    </row>
    <row r="325" spans="2:15" ht="12.95" customHeight="1">
      <c r="D325" t="s">
        <v>61</v>
      </c>
      <c r="I325" s="12"/>
      <c r="J325" s="12"/>
      <c r="K325" s="372">
        <f>J328</f>
        <v>14.2</v>
      </c>
      <c r="L325" s="372">
        <f t="shared" ref="L325:O325" si="149">K328</f>
        <v>18.300735100000004</v>
      </c>
      <c r="M325" s="372">
        <f t="shared" si="149"/>
        <v>22.691065796401915</v>
      </c>
      <c r="N325" s="372">
        <f t="shared" si="149"/>
        <v>31.999790656696508</v>
      </c>
      <c r="O325" s="372">
        <f t="shared" si="149"/>
        <v>45.073313206842435</v>
      </c>
    </row>
    <row r="326" spans="2:15" ht="12.95" customHeight="1">
      <c r="D326" t="s">
        <v>14</v>
      </c>
      <c r="H326" s="12"/>
      <c r="I326" s="12"/>
      <c r="J326" s="12"/>
      <c r="K326" s="372">
        <f>K321</f>
        <v>5.125918875000008</v>
      </c>
      <c r="L326" s="372">
        <f>L321</f>
        <v>5.4879133705023886</v>
      </c>
      <c r="M326" s="372">
        <f>M321</f>
        <v>11.63590607536824</v>
      </c>
      <c r="N326" s="372">
        <f>N321</f>
        <v>16.341903187682409</v>
      </c>
      <c r="O326" s="372">
        <f>O321</f>
        <v>5.8635563600227192</v>
      </c>
    </row>
    <row r="327" spans="2:15" ht="12.95" customHeight="1">
      <c r="D327" t="s">
        <v>75</v>
      </c>
      <c r="I327" s="12"/>
      <c r="J327" s="16"/>
      <c r="K327" s="373">
        <f>-K322</f>
        <v>-1.0251837750000017</v>
      </c>
      <c r="L327" s="373">
        <f>-L322</f>
        <v>-1.0975826741004777</v>
      </c>
      <c r="M327" s="373">
        <f>-M322</f>
        <v>-2.3271812150736482</v>
      </c>
      <c r="N327" s="373">
        <f>-N322</f>
        <v>-3.2683806375364819</v>
      </c>
      <c r="O327" s="373">
        <f>-O322</f>
        <v>-1.1727112720045438</v>
      </c>
    </row>
    <row r="328" spans="2:15" ht="12.95" customHeight="1">
      <c r="D328" s="10" t="s">
        <v>63</v>
      </c>
      <c r="H328" s="12"/>
      <c r="I328" s="12"/>
      <c r="J328" s="371">
        <f>J178</f>
        <v>14.2</v>
      </c>
      <c r="K328" s="371">
        <f>SUM(K325:K327)</f>
        <v>18.300735100000004</v>
      </c>
      <c r="L328" s="371">
        <f t="shared" ref="L328:O328" si="150">SUM(L325:L327)</f>
        <v>22.691065796401915</v>
      </c>
      <c r="M328" s="371">
        <f t="shared" si="150"/>
        <v>31.999790656696508</v>
      </c>
      <c r="N328" s="371">
        <f t="shared" si="150"/>
        <v>45.073313206842435</v>
      </c>
      <c r="O328" s="371">
        <f t="shared" si="150"/>
        <v>49.764158294860614</v>
      </c>
    </row>
    <row r="329" spans="2:15">
      <c r="B329" s="25"/>
      <c r="C329" s="25"/>
      <c r="D329" s="25"/>
      <c r="E329" s="25"/>
      <c r="F329" s="25"/>
      <c r="G329" s="25"/>
      <c r="H329" s="25"/>
      <c r="I329" s="16"/>
      <c r="J329" s="16"/>
      <c r="K329" s="25"/>
      <c r="L329" s="25"/>
      <c r="M329" s="25"/>
      <c r="N329" s="25"/>
      <c r="O329" s="25"/>
    </row>
  </sheetData>
  <sheetProtection formatCells="0"/>
  <printOptions horizontalCentered="1"/>
  <pageMargins left="0.25" right="0.25" top="0.25" bottom="0.5" header="0.25" footer="0.25"/>
  <pageSetup scale="95" orientation="landscape" r:id="rId1"/>
  <headerFooter alignWithMargins="0">
    <oddFooter>&amp;L&amp;9C:\Documents\Grand Crew Model.xls&amp;C&amp;9Page &amp;P of &amp;N&amp;R&amp;D  &amp;T</oddFooter>
  </headerFooter>
  <cellWatches>
    <cellWatch r="K128"/>
    <cellWatch r="L128"/>
    <cellWatch r="M128"/>
    <cellWatch r="N128"/>
    <cellWatch r="O128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Cover</vt:lpstr>
      <vt:lpstr>Summary</vt:lpstr>
      <vt:lpstr>Assumptions</vt:lpstr>
      <vt:lpstr>Scenarios</vt:lpstr>
      <vt:lpstr>Model</vt:lpstr>
      <vt:lpstr>Assumptions!Print_Area</vt:lpstr>
      <vt:lpstr>Cover!Print_Area</vt:lpstr>
      <vt:lpstr>Scenarios!Print_Area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2025-08-13T19:22:39Z</dcterms:created>
  <dcterms:modified xsi:type="dcterms:W3CDTF">2025-10-05T01:40:26Z</dcterms:modified>
</cp:coreProperties>
</file>