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omments2.xml" ContentType="application/vnd.openxmlformats-officedocument.spreadsheetml.comments+xml"/>
  <Override PartName="/xl/drawings/drawing5.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6.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2.xml" ContentType="application/vnd.openxmlformats-officedocument.drawingml.chart+xml"/>
  <Override PartName="/xl/pivotTables/pivotTable4.xml" ContentType="application/vnd.openxmlformats-officedocument.spreadsheetml.pivotTable+xml"/>
  <Override PartName="/xl/drawings/drawing7.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24226"/>
  <mc:AlternateContent xmlns:mc="http://schemas.openxmlformats.org/markup-compatibility/2006">
    <mc:Choice Requires="x15">
      <x15ac:absPath xmlns:x15ac="http://schemas.microsoft.com/office/spreadsheetml/2010/11/ac" url="https://firstrandgroup-my.sharepoint.com/personal/f5172993_fnb_co_za/Documents/Documents/CORE LITE/RESOURCES and TEMPLATES/"/>
    </mc:Choice>
  </mc:AlternateContent>
  <xr:revisionPtr revIDLastSave="0" documentId="8_{F9E60122-5563-4DC5-B8DD-C057733CAD85}" xr6:coauthVersionLast="45" xr6:coauthVersionMax="45" xr10:uidLastSave="{00000000-0000-0000-0000-000000000000}"/>
  <bookViews>
    <workbookView xWindow="-120" yWindow="-120" windowWidth="20730" windowHeight="11160" tabRatio="669" activeTab="4" xr2:uid="{00000000-000D-0000-FFFF-FFFF00000000}"/>
  </bookViews>
  <sheets>
    <sheet name="Index" sheetId="1" r:id="rId1"/>
    <sheet name="T1" sheetId="2" r:id="rId2"/>
    <sheet name="T2" sheetId="3" r:id="rId3"/>
    <sheet name="T3" sheetId="4" r:id="rId4"/>
    <sheet name="T4" sheetId="5" r:id="rId5"/>
    <sheet name="T5" sheetId="6" r:id="rId6"/>
    <sheet name="T6" sheetId="7" r:id="rId7"/>
    <sheet name="T7" sheetId="9" r:id="rId8"/>
    <sheet name="T8" sheetId="8" r:id="rId9"/>
    <sheet name="T9" sheetId="10" r:id="rId10"/>
    <sheet name="T10" sheetId="22" r:id="rId11"/>
    <sheet name="T10B" sheetId="24" r:id="rId12"/>
    <sheet name="T11" sheetId="11" state="hidden" r:id="rId13"/>
    <sheet name="F1" sheetId="12" r:id="rId14"/>
    <sheet name="F2" sheetId="13" r:id="rId15"/>
    <sheet name="F3" sheetId="14" r:id="rId16"/>
    <sheet name="F4" sheetId="15" r:id="rId17"/>
    <sheet name="F5" sheetId="16" r:id="rId18"/>
    <sheet name="F6" sheetId="17" r:id="rId19"/>
    <sheet name="F7" sheetId="18" r:id="rId20"/>
    <sheet name="F8" sheetId="19" r:id="rId21"/>
    <sheet name="F9" sheetId="20" r:id="rId22"/>
    <sheet name="F10" sheetId="21" r:id="rId23"/>
    <sheet name="M1" sheetId="25" r:id="rId24"/>
    <sheet name="M2" sheetId="26" r:id="rId25"/>
    <sheet name="M3" sheetId="27" r:id="rId26"/>
  </sheets>
  <definedNames>
    <definedName name="_xlnm._FilterDatabase" localSheetId="2" hidden="1">'T2'!$A$72:$B$80</definedName>
    <definedName name="back">Index!$A$1</definedName>
    <definedName name="_xlnm.Extract" localSheetId="2">'T2'!$E$73:$F$73</definedName>
    <definedName name="_xlnm.Print_Area" localSheetId="15">'F3'!$A$19:$F$26</definedName>
    <definedName name="_xlnm.Print_Area" localSheetId="1">'T1'!$A$6:$I$36</definedName>
    <definedName name="_xlnm.Print_Area" localSheetId="11">T10B!$A$1:$K$55</definedName>
    <definedName name="_xlnm.Print_Area" localSheetId="8">'T8'!$A$50:$C$65</definedName>
    <definedName name="_xlnm.Print_Titles" localSheetId="1">'T1'!$1:$1</definedName>
    <definedName name="_xlnm.Print_Titles" localSheetId="8">'T8'!$1:$1</definedName>
    <definedName name="Slicer_Sales_Agent">#N/A</definedName>
  </definedNames>
  <calcPr calcId="191029"/>
  <pivotCaches>
    <pivotCache cacheId="82" r:id="rId27"/>
    <pivotCache cacheId="83" r:id="rId28"/>
    <pivotCache cacheId="84" r:id="rId29"/>
  </pivotCaches>
  <extLst>
    <ext xmlns:x14="http://schemas.microsoft.com/office/spreadsheetml/2009/9/main" uri="{BBE1A952-AA13-448e-AADC-164F8A28A991}">
      <x14:slicerCaches>
        <x14:slicerCache r:id="rId3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89" i="3" l="1"/>
  <c r="K88" i="3"/>
  <c r="J90" i="3"/>
  <c r="J89" i="3"/>
  <c r="J88" i="3"/>
  <c r="G90" i="3"/>
  <c r="G89" i="3"/>
  <c r="G88" i="3"/>
  <c r="L13" i="27" l="1"/>
  <c r="L11" i="27"/>
  <c r="L9" i="27"/>
  <c r="C10" i="26" l="1"/>
  <c r="F7" i="26"/>
  <c r="F8" i="26"/>
  <c r="F9" i="26"/>
  <c r="F10" i="26"/>
  <c r="F11" i="26"/>
  <c r="F12" i="26"/>
  <c r="F13" i="26"/>
  <c r="F6" i="26"/>
  <c r="E13" i="26"/>
  <c r="D13" i="26"/>
  <c r="C13" i="26"/>
  <c r="E12" i="26"/>
  <c r="D12" i="26"/>
  <c r="C12" i="26"/>
  <c r="E11" i="26"/>
  <c r="D11" i="26"/>
  <c r="C11" i="26"/>
  <c r="E10" i="26"/>
  <c r="D10" i="26"/>
  <c r="E9" i="26"/>
  <c r="D9" i="26"/>
  <c r="C9" i="26"/>
  <c r="E8" i="26"/>
  <c r="D8" i="26"/>
  <c r="C8" i="26"/>
  <c r="E7" i="26"/>
  <c r="D7" i="26"/>
  <c r="C7" i="26"/>
  <c r="E6" i="26"/>
  <c r="D6" i="26"/>
  <c r="C6" i="26"/>
  <c r="O15" i="25" l="1"/>
  <c r="O16" i="25" s="1"/>
  <c r="P15" i="25"/>
  <c r="P16" i="25" s="1"/>
  <c r="Z15" i="25"/>
  <c r="Z16" i="25" s="1"/>
  <c r="C15" i="25"/>
  <c r="C16" i="25" s="1"/>
  <c r="N15" i="25"/>
  <c r="N16" i="25" s="1"/>
  <c r="B15" i="25"/>
  <c r="B16" i="25" s="1"/>
  <c r="Z11" i="25"/>
  <c r="O11" i="25"/>
  <c r="P11" i="25"/>
  <c r="N11" i="25"/>
  <c r="C11" i="25"/>
  <c r="B11" i="25"/>
  <c r="C9" i="25"/>
  <c r="N9" i="25"/>
  <c r="O9" i="25"/>
  <c r="P9" i="25"/>
  <c r="Z9" i="25"/>
  <c r="Z12" i="25" s="1"/>
  <c r="B9" i="25"/>
  <c r="Q7" i="25"/>
  <c r="R7" i="25" s="1"/>
  <c r="R9" i="25" s="1"/>
  <c r="D7" i="25"/>
  <c r="R11" i="25" l="1"/>
  <c r="N12" i="25"/>
  <c r="D15" i="25"/>
  <c r="D16" i="25" s="1"/>
  <c r="C12" i="25"/>
  <c r="Q9" i="25"/>
  <c r="Q11" i="25"/>
  <c r="P12" i="25"/>
  <c r="R15" i="25"/>
  <c r="R16" i="25" s="1"/>
  <c r="B12" i="25"/>
  <c r="O12" i="25"/>
  <c r="D9" i="25"/>
  <c r="D11" i="25"/>
  <c r="Q15" i="25"/>
  <c r="Q16" i="25" s="1"/>
  <c r="S7" i="25"/>
  <c r="S11" i="25" s="1"/>
  <c r="E7" i="25"/>
  <c r="Q12" i="25" l="1"/>
  <c r="E9" i="25"/>
  <c r="E11" i="25"/>
  <c r="E12" i="25" s="1"/>
  <c r="R12" i="25"/>
  <c r="T7" i="25"/>
  <c r="T15" i="25" s="1"/>
  <c r="T16" i="25" s="1"/>
  <c r="S9" i="25"/>
  <c r="E15" i="25"/>
  <c r="E16" i="25" s="1"/>
  <c r="S15" i="25"/>
  <c r="S16" i="25" s="1"/>
  <c r="D12" i="25"/>
  <c r="F7" i="25"/>
  <c r="F11" i="25" s="1"/>
  <c r="U7" i="25" l="1"/>
  <c r="T9" i="25"/>
  <c r="T11" i="25"/>
  <c r="T12" i="25" s="1"/>
  <c r="F15" i="25"/>
  <c r="F16" i="25" s="1"/>
  <c r="S12" i="25"/>
  <c r="F9" i="25"/>
  <c r="G7" i="25"/>
  <c r="G9" i="25" s="1"/>
  <c r="G15" i="25" l="1"/>
  <c r="G16" i="25" s="1"/>
  <c r="G11" i="25"/>
  <c r="G12" i="25" s="1"/>
  <c r="V7" i="25"/>
  <c r="U9" i="25"/>
  <c r="V11" i="25"/>
  <c r="U11" i="25"/>
  <c r="U15" i="25"/>
  <c r="U16" i="25" s="1"/>
  <c r="F12" i="25"/>
  <c r="H7" i="25"/>
  <c r="V15" i="25" l="1"/>
  <c r="V16" i="25" s="1"/>
  <c r="H9" i="25"/>
  <c r="H15" i="25"/>
  <c r="H16" i="25" s="1"/>
  <c r="H11" i="25"/>
  <c r="W7" i="25"/>
  <c r="V9" i="25"/>
  <c r="V12" i="25" s="1"/>
  <c r="U12" i="25"/>
  <c r="I7" i="25"/>
  <c r="I11" i="25" s="1"/>
  <c r="I15" i="25" l="1"/>
  <c r="I16" i="25" s="1"/>
  <c r="X7" i="25"/>
  <c r="W9" i="25"/>
  <c r="X15" i="25"/>
  <c r="X16" i="25" s="1"/>
  <c r="W15" i="25"/>
  <c r="W16" i="25" s="1"/>
  <c r="W11" i="25"/>
  <c r="I9" i="25"/>
  <c r="I12" i="25" s="1"/>
  <c r="H12" i="25"/>
  <c r="J7" i="25"/>
  <c r="J9" i="25" l="1"/>
  <c r="J11" i="25"/>
  <c r="J15" i="25"/>
  <c r="J16" i="25" s="1"/>
  <c r="W12" i="25"/>
  <c r="Y7" i="25"/>
  <c r="X9" i="25"/>
  <c r="X11" i="25"/>
  <c r="K7" i="25"/>
  <c r="X12" i="25" l="1"/>
  <c r="K9" i="25"/>
  <c r="K15" i="25"/>
  <c r="K16" i="25" s="1"/>
  <c r="J12" i="25"/>
  <c r="K11" i="25"/>
  <c r="Y9" i="25"/>
  <c r="Y15" i="25"/>
  <c r="Y16" i="25" s="1"/>
  <c r="Y11" i="25"/>
  <c r="L7" i="25"/>
  <c r="K12" i="25" l="1"/>
  <c r="Y12" i="25"/>
  <c r="L9" i="25"/>
  <c r="L15" i="25"/>
  <c r="L16" i="25" s="1"/>
  <c r="L11" i="25"/>
  <c r="M7" i="25"/>
  <c r="L12" i="25" l="1"/>
  <c r="M9" i="25"/>
  <c r="M11" i="25"/>
  <c r="M15" i="25"/>
  <c r="M16" i="25" s="1"/>
  <c r="M12" i="25" l="1"/>
  <c r="F49" i="20" l="1"/>
  <c r="O66" i="16" l="1" a="1"/>
  <c r="O66" i="16" s="1"/>
  <c r="O67" i="16" a="1"/>
  <c r="O67" i="16" s="1"/>
  <c r="O69" i="16" a="1"/>
  <c r="O69" i="16" s="1"/>
  <c r="N67" i="16" a="1"/>
  <c r="N67" i="16" s="1"/>
  <c r="N69" i="16" a="1"/>
  <c r="N69" i="16" s="1"/>
  <c r="N66" i="16" a="1"/>
  <c r="N66" i="16" s="1"/>
  <c r="N56" i="16"/>
  <c r="O56" i="16"/>
  <c r="O57" i="16"/>
  <c r="O59" i="16"/>
  <c r="N57" i="16"/>
  <c r="N59" i="16"/>
  <c r="C42" i="16"/>
  <c r="D42" i="16"/>
  <c r="E42" i="16"/>
  <c r="F42" i="16"/>
  <c r="G42" i="16"/>
  <c r="H42" i="16"/>
  <c r="I42" i="16"/>
  <c r="B42" i="16"/>
  <c r="N47" i="16" s="1"/>
  <c r="I11" i="16"/>
  <c r="I7" i="16"/>
  <c r="I6" i="16"/>
  <c r="J8" i="15"/>
  <c r="K14" i="22"/>
  <c r="E17" i="13"/>
  <c r="E18" i="13"/>
  <c r="E16" i="13"/>
  <c r="D4" i="13"/>
  <c r="J13" i="12"/>
  <c r="J12" i="12"/>
  <c r="J11" i="12"/>
  <c r="J7" i="12"/>
  <c r="J6" i="12"/>
  <c r="J5" i="12"/>
  <c r="N21" i="22"/>
  <c r="N16" i="22"/>
  <c r="N26" i="22"/>
  <c r="N25" i="22"/>
  <c r="N19" i="22"/>
  <c r="N20" i="22"/>
  <c r="N23" i="22"/>
  <c r="N18" i="22"/>
  <c r="N22" i="22"/>
  <c r="N17" i="22"/>
  <c r="N24" i="22"/>
  <c r="N27" i="22"/>
  <c r="O48" i="16" l="1"/>
  <c r="N50" i="16"/>
  <c r="N48" i="16"/>
  <c r="O47" i="16"/>
  <c r="O50" i="16"/>
  <c r="O16" i="22"/>
  <c r="O25" i="22"/>
  <c r="O21" i="22"/>
  <c r="O17" i="22"/>
  <c r="O24" i="22"/>
  <c r="O20" i="22"/>
  <c r="O27" i="22"/>
  <c r="O23" i="22"/>
  <c r="O19" i="22"/>
  <c r="O26" i="22"/>
  <c r="O22" i="22"/>
  <c r="O18" i="22"/>
  <c r="K90" i="3" l="1"/>
  <c r="D5" i="14" l="1"/>
  <c r="D6" i="14"/>
  <c r="D7" i="14"/>
  <c r="D8" i="14"/>
  <c r="D9" i="14"/>
  <c r="D10" i="14"/>
  <c r="D11" i="14"/>
  <c r="D12" i="14"/>
  <c r="D13" i="14"/>
  <c r="D14" i="14"/>
  <c r="D4" i="14"/>
  <c r="G2" i="24" l="1"/>
  <c r="C2" i="24"/>
  <c r="B6" i="10" l="1"/>
  <c r="B9" i="10" s="1"/>
  <c r="B18" i="10"/>
  <c r="C51" i="20" l="1"/>
  <c r="C52" i="20"/>
  <c r="C53" i="20"/>
  <c r="C54" i="20"/>
  <c r="C55" i="20"/>
  <c r="C56" i="20"/>
  <c r="C57" i="20"/>
  <c r="C58" i="20"/>
  <c r="C59" i="20"/>
  <c r="C50" i="20"/>
  <c r="C49" i="20"/>
  <c r="F50" i="20"/>
  <c r="E49" i="20"/>
  <c r="E50" i="20" s="1"/>
  <c r="H50" i="20" l="1"/>
  <c r="G50" i="20"/>
  <c r="G49" i="20"/>
  <c r="H49" i="20"/>
  <c r="E13" i="21"/>
  <c r="I8" i="21"/>
  <c r="I7" i="21"/>
  <c r="I23" i="21"/>
  <c r="I24" i="21"/>
  <c r="I22" i="21"/>
  <c r="I25" i="21" s="1"/>
  <c r="E6" i="21"/>
  <c r="E4" i="19" l="1"/>
  <c r="E6" i="19"/>
  <c r="E26" i="19"/>
  <c r="E20" i="19"/>
  <c r="D21" i="18" l="1"/>
  <c r="B16" i="18"/>
  <c r="B11" i="18"/>
  <c r="B37" i="17"/>
  <c r="E40" i="15" l="1"/>
  <c r="H35" i="15"/>
  <c r="G35" i="15"/>
  <c r="F35" i="15"/>
  <c r="E35" i="15"/>
  <c r="D35" i="15"/>
  <c r="C35" i="15"/>
  <c r="E39" i="15" s="1"/>
  <c r="B35" i="15"/>
  <c r="C43" i="18" l="1"/>
  <c r="D38" i="17"/>
  <c r="D39" i="17"/>
  <c r="D40" i="17"/>
  <c r="D37" i="17"/>
  <c r="C38" i="17"/>
  <c r="C39" i="17"/>
  <c r="C40" i="17"/>
  <c r="C37" i="17"/>
  <c r="B38" i="17"/>
  <c r="B39" i="17"/>
  <c r="B40" i="17"/>
  <c r="B33" i="17"/>
  <c r="C33" i="17" s="1"/>
  <c r="B32" i="17"/>
  <c r="B31" i="17"/>
  <c r="C31" i="17" s="1"/>
  <c r="C25" i="17"/>
  <c r="C26" i="17"/>
  <c r="C24" i="17"/>
  <c r="B25" i="17"/>
  <c r="B26" i="17"/>
  <c r="B24" i="17"/>
  <c r="E38" i="17"/>
  <c r="E39" i="17"/>
  <c r="E40" i="17"/>
  <c r="E37" i="17"/>
  <c r="B84" i="16"/>
  <c r="C32" i="17" l="1"/>
  <c r="D32" i="17" s="1"/>
  <c r="D31" i="17"/>
  <c r="D33" i="17"/>
  <c r="D16" i="17"/>
  <c r="D43" i="18" l="1"/>
  <c r="D33" i="18"/>
  <c r="B16" i="17" l="1"/>
  <c r="C16" i="17"/>
  <c r="C20" i="17"/>
  <c r="B20" i="17"/>
  <c r="C11" i="17"/>
  <c r="D11" i="17" s="1"/>
  <c r="C12" i="17"/>
  <c r="D12" i="17" s="1"/>
  <c r="C10" i="17"/>
  <c r="D10" i="17" s="1"/>
  <c r="B11" i="17"/>
  <c r="B12" i="17"/>
  <c r="B10" i="17"/>
  <c r="E5" i="17"/>
  <c r="E6" i="17"/>
  <c r="E4" i="17"/>
  <c r="D5" i="17"/>
  <c r="D6" i="17"/>
  <c r="D4" i="17"/>
  <c r="C5" i="17"/>
  <c r="C6" i="17"/>
  <c r="C4" i="17"/>
  <c r="B5" i="17"/>
  <c r="B6" i="17"/>
  <c r="B4" i="17"/>
  <c r="H46" i="16" l="1"/>
  <c r="H47" i="16"/>
  <c r="H48" i="16"/>
  <c r="H49" i="16"/>
  <c r="H50" i="16"/>
  <c r="H51" i="16"/>
  <c r="H52" i="16"/>
  <c r="H53" i="16"/>
  <c r="H54" i="16"/>
  <c r="H55" i="16"/>
  <c r="H56" i="16"/>
  <c r="H57" i="16"/>
  <c r="H58" i="16"/>
  <c r="H59" i="16"/>
  <c r="H60" i="16"/>
  <c r="H61" i="16"/>
  <c r="H62" i="16"/>
  <c r="H63" i="16"/>
  <c r="H64" i="16"/>
  <c r="H65" i="16"/>
  <c r="H66" i="16"/>
  <c r="H67" i="16"/>
  <c r="H68" i="16"/>
  <c r="H69" i="16"/>
  <c r="H70" i="16"/>
  <c r="J6" i="15"/>
  <c r="O68" i="16" l="1" a="1"/>
  <c r="O68" i="16" s="1"/>
  <c r="O58" i="16"/>
  <c r="O49" i="16"/>
  <c r="E4" i="13"/>
  <c r="F4" i="13"/>
  <c r="D5" i="13"/>
  <c r="E5" i="13"/>
  <c r="F5" i="13"/>
  <c r="D6" i="13"/>
  <c r="E6" i="13"/>
  <c r="F6" i="13"/>
  <c r="D7" i="13"/>
  <c r="E7" i="13"/>
  <c r="F7" i="13"/>
  <c r="D8" i="13"/>
  <c r="E8" i="13"/>
  <c r="F8" i="13"/>
  <c r="D9" i="13"/>
  <c r="E9" i="13"/>
  <c r="F9" i="13"/>
  <c r="D10" i="13"/>
  <c r="E10" i="13"/>
  <c r="F10" i="13"/>
  <c r="B11" i="10" l="1"/>
  <c r="D32" i="8" l="1"/>
  <c r="D33" i="8"/>
  <c r="D34" i="8"/>
  <c r="D35" i="8"/>
  <c r="D36" i="8"/>
  <c r="D37" i="8"/>
  <c r="D38" i="8"/>
  <c r="D31" i="8"/>
  <c r="C5" i="9"/>
  <c r="C6" i="9"/>
  <c r="C7" i="9"/>
  <c r="C8" i="9"/>
  <c r="C9" i="9"/>
  <c r="C10" i="9"/>
  <c r="C11" i="9"/>
  <c r="C12" i="9"/>
  <c r="C13" i="9"/>
  <c r="C14" i="9"/>
  <c r="C15" i="9"/>
  <c r="C4" i="9"/>
  <c r="B16" i="9"/>
  <c r="F4" i="9" s="1"/>
  <c r="E12" i="6"/>
  <c r="E11" i="6"/>
  <c r="E10" i="6"/>
  <c r="E9" i="6"/>
  <c r="E8" i="6"/>
  <c r="E7" i="6"/>
  <c r="D4" i="20" l="1" a="1"/>
  <c r="D4" i="20" s="1"/>
  <c r="D7" i="20" l="1"/>
  <c r="D6" i="20"/>
  <c r="D9" i="20"/>
  <c r="D5" i="20"/>
  <c r="D8" i="20"/>
  <c r="F52" i="21"/>
  <c r="F51" i="21"/>
  <c r="F50" i="21"/>
  <c r="F49" i="21"/>
  <c r="F48" i="21"/>
  <c r="F47" i="21"/>
  <c r="F46" i="21"/>
  <c r="F45" i="21"/>
  <c r="F44" i="21"/>
  <c r="F41" i="21"/>
  <c r="F40" i="21"/>
  <c r="F39" i="21"/>
  <c r="F38" i="21"/>
  <c r="F37" i="21"/>
  <c r="F36" i="21"/>
  <c r="F35" i="21"/>
  <c r="F34" i="21"/>
  <c r="F33" i="21"/>
  <c r="F27" i="21"/>
  <c r="F26" i="21"/>
  <c r="F25" i="21"/>
  <c r="F24" i="21"/>
  <c r="F23" i="21"/>
  <c r="F22" i="21"/>
  <c r="F21" i="21"/>
  <c r="F20" i="21"/>
  <c r="F19" i="21"/>
  <c r="E11" i="21"/>
  <c r="E10" i="21"/>
  <c r="E9" i="21"/>
  <c r="E8" i="21"/>
  <c r="E7" i="21"/>
  <c r="D34" i="18"/>
  <c r="D32" i="18"/>
  <c r="D23" i="18"/>
  <c r="D22" i="18"/>
  <c r="D4" i="18"/>
  <c r="F53" i="21" l="1"/>
  <c r="E12" i="21"/>
  <c r="D7" i="18"/>
  <c r="C7" i="18"/>
  <c r="B7" i="18"/>
  <c r="H45" i="16" l="1"/>
  <c r="D51" i="16"/>
  <c r="D50" i="16"/>
  <c r="D49" i="16"/>
  <c r="D48" i="16"/>
  <c r="D47" i="16"/>
  <c r="D46" i="16"/>
  <c r="D45" i="16"/>
  <c r="D11" i="16"/>
  <c r="D10" i="16"/>
  <c r="D9" i="16"/>
  <c r="I16" i="16" s="1"/>
  <c r="D8" i="16"/>
  <c r="D7" i="16"/>
  <c r="D6" i="16"/>
  <c r="D5" i="16"/>
  <c r="N68" i="16" l="1" a="1"/>
  <c r="N68" i="16" s="1"/>
  <c r="N58" i="16"/>
  <c r="N49" i="16"/>
  <c r="D5" i="15"/>
  <c r="D6" i="15"/>
  <c r="D7" i="15"/>
  <c r="D8" i="15"/>
  <c r="D9" i="15"/>
  <c r="D10" i="15"/>
  <c r="D4" i="15"/>
  <c r="J5" i="15" s="1"/>
  <c r="E16" i="3" l="1"/>
  <c r="E17" i="3" s="1"/>
  <c r="E19" i="3"/>
  <c r="E20" i="3"/>
  <c r="E21" i="3"/>
  <c r="E23" i="3"/>
  <c r="E25" i="3" s="1"/>
  <c r="E24" i="3"/>
  <c r="E27" i="3"/>
  <c r="E31" i="3" s="1"/>
  <c r="E35" i="3" s="1"/>
  <c r="E28" i="3"/>
  <c r="E29" i="3"/>
  <c r="E30" i="3"/>
  <c r="E32" i="3"/>
  <c r="E34" i="3" s="1"/>
  <c r="E33" i="3"/>
  <c r="E14" i="3"/>
  <c r="E13" i="3"/>
  <c r="E15" i="3" s="1"/>
  <c r="E18" i="3" s="1"/>
  <c r="E22" i="3" l="1"/>
  <c r="E36" i="3" s="1"/>
  <c r="E26"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Leila Gharani</author>
  </authors>
  <commentList>
    <comment ref="AJ3" authorId="0" shapeId="0" xr:uid="{00000000-0006-0000-0400-000001000000}">
      <text>
        <r>
          <rPr>
            <b/>
            <sz val="9"/>
            <color indexed="81"/>
            <rFont val="Tahoma"/>
            <family val="2"/>
          </rPr>
          <t>Hello There!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Leila Gharani</author>
  </authors>
  <commentList>
    <comment ref="C3" authorId="0" shapeId="0" xr:uid="{00000000-0006-0000-0700-000001000000}">
      <text>
        <r>
          <rPr>
            <b/>
            <sz val="9"/>
            <color indexed="81"/>
            <rFont val="Tahoma"/>
            <family val="2"/>
          </rPr>
          <t>Use evaluate formula on some of the cells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Leila Gharani</author>
  </authors>
  <commentList>
    <comment ref="E6" authorId="0" shapeId="0" xr:uid="{00000000-0006-0000-1400-000001000000}">
      <text>
        <r>
          <rPr>
            <b/>
            <sz val="9"/>
            <color indexed="81"/>
            <rFont val="Tahoma"/>
            <family val="2"/>
          </rPr>
          <t>Another way of writing the formula</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Leila Gharani</author>
  </authors>
  <commentList>
    <comment ref="G48" authorId="0" shapeId="0" xr:uid="{00000000-0006-0000-1500-000001000000}">
      <text>
        <r>
          <rPr>
            <b/>
            <sz val="9"/>
            <color indexed="81"/>
            <rFont val="Tahoma"/>
            <family val="2"/>
          </rPr>
          <t>Uses values in helper column</t>
        </r>
        <r>
          <rPr>
            <sz val="9"/>
            <color indexed="81"/>
            <rFont val="Tahoma"/>
            <family val="2"/>
          </rPr>
          <t xml:space="preserve">
</t>
        </r>
      </text>
    </comment>
    <comment ref="H48" authorId="0" shapeId="0" xr:uid="{00000000-0006-0000-1500-000002000000}">
      <text>
        <r>
          <rPr>
            <b/>
            <sz val="9"/>
            <color indexed="81"/>
            <rFont val="Tahoma"/>
            <family val="2"/>
          </rPr>
          <t>Uses values in helper column</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Leila Gharani</author>
    <author>Gharani Leila (AT, Wien)</author>
  </authors>
  <commentList>
    <comment ref="A11" authorId="0" shapeId="0" xr:uid="{00000000-0006-0000-1700-000001000000}">
      <text>
        <r>
          <rPr>
            <sz val="9"/>
            <color indexed="81"/>
            <rFont val="Tahoma"/>
            <family val="2"/>
          </rPr>
          <t xml:space="preserve">Formula needs to be revised in Jan of next year
</t>
        </r>
      </text>
    </comment>
    <comment ref="N11" authorId="1" shapeId="0" xr:uid="{00000000-0006-0000-1700-000002000000}">
      <text>
        <r>
          <rPr>
            <b/>
            <sz val="9"/>
            <color indexed="81"/>
            <rFont val="Tahoma"/>
            <family val="2"/>
          </rPr>
          <t>Formula needs to be revised here</t>
        </r>
        <r>
          <rPr>
            <sz val="9"/>
            <color indexed="81"/>
            <rFont val="Tahoma"/>
            <family val="2"/>
          </rPr>
          <t xml:space="preserve">
</t>
        </r>
      </text>
    </comment>
    <comment ref="Z11" authorId="1" shapeId="0" xr:uid="{00000000-0006-0000-1700-000003000000}">
      <text>
        <r>
          <rPr>
            <b/>
            <sz val="9"/>
            <color indexed="81"/>
            <rFont val="Tahoma"/>
            <family val="2"/>
          </rPr>
          <t>Formula needs to be revised here</t>
        </r>
        <r>
          <rPr>
            <sz val="9"/>
            <color indexed="81"/>
            <rFont val="Tahoma"/>
            <family val="2"/>
          </rPr>
          <t xml:space="preserve">
</t>
        </r>
      </text>
    </comment>
    <comment ref="A12" authorId="0" shapeId="0" xr:uid="{00000000-0006-0000-1700-000004000000}">
      <text>
        <r>
          <rPr>
            <sz val="9"/>
            <color indexed="81"/>
            <rFont val="Tahoma"/>
            <family val="2"/>
          </rPr>
          <t xml:space="preserve">Uses helper cells &amp; formula needs to be revised in Jan of next year
</t>
        </r>
      </text>
    </comment>
    <comment ref="N12" authorId="1" shapeId="0" xr:uid="{00000000-0006-0000-1700-000005000000}">
      <text>
        <r>
          <rPr>
            <b/>
            <sz val="9"/>
            <color indexed="81"/>
            <rFont val="Tahoma"/>
            <family val="2"/>
          </rPr>
          <t>Formula needs to be revised here</t>
        </r>
        <r>
          <rPr>
            <sz val="9"/>
            <color indexed="81"/>
            <rFont val="Tahoma"/>
            <family val="2"/>
          </rPr>
          <t xml:space="preserve">
</t>
        </r>
      </text>
    </comment>
  </commentList>
</comments>
</file>

<file path=xl/sharedStrings.xml><?xml version="1.0" encoding="utf-8"?>
<sst xmlns="http://schemas.openxmlformats.org/spreadsheetml/2006/main" count="2046" uniqueCount="567">
  <si>
    <t>Use Groups to de-clutter</t>
  </si>
  <si>
    <t>Paste special options</t>
  </si>
  <si>
    <t>Introduce Validations / Drop-downs</t>
  </si>
  <si>
    <t>Remove Duplicates</t>
  </si>
  <si>
    <t>Understand Absolute &amp; Relative Referencing</t>
  </si>
  <si>
    <t>Company A</t>
  </si>
  <si>
    <t>Company</t>
  </si>
  <si>
    <t>Items</t>
  </si>
  <si>
    <t>Price</t>
  </si>
  <si>
    <t>Sales</t>
  </si>
  <si>
    <t>Company B</t>
  </si>
  <si>
    <t>Company C</t>
  </si>
  <si>
    <t>Location</t>
  </si>
  <si>
    <t>Germany</t>
  </si>
  <si>
    <t>Denmark</t>
  </si>
  <si>
    <t>UK</t>
  </si>
  <si>
    <t>USA</t>
  </si>
  <si>
    <t>SUMIFS, AVERAGEIFS &amp; COUNTIFS</t>
  </si>
  <si>
    <t>Sales Revenue</t>
  </si>
  <si>
    <t>Month</t>
  </si>
  <si>
    <t>Product</t>
  </si>
  <si>
    <t>Country</t>
  </si>
  <si>
    <t>Jan</t>
  </si>
  <si>
    <t>Feb</t>
  </si>
  <si>
    <t>Mar</t>
  </si>
  <si>
    <t>Apr</t>
  </si>
  <si>
    <t>May</t>
  </si>
  <si>
    <t>Shirt white</t>
  </si>
  <si>
    <t>Shirt blue</t>
  </si>
  <si>
    <t>Shirt yellow</t>
  </si>
  <si>
    <t>Find total sales for the below criteria:</t>
  </si>
  <si>
    <t>Find out how many shirts were sold for the below criteria:</t>
  </si>
  <si>
    <t>Nested Formulas - IF Function</t>
  </si>
  <si>
    <t>Agent A</t>
  </si>
  <si>
    <t>Agent B</t>
  </si>
  <si>
    <t>Agent C</t>
  </si>
  <si>
    <t>Agent D</t>
  </si>
  <si>
    <t>Agent E</t>
  </si>
  <si>
    <t>Agent F</t>
  </si>
  <si>
    <t>Agent G</t>
  </si>
  <si>
    <t>Sales Agent</t>
  </si>
  <si>
    <t>Quantity</t>
  </si>
  <si>
    <t>Revenue</t>
  </si>
  <si>
    <t>Flag if quantity &lt;=3</t>
  </si>
  <si>
    <t>Flag if quantity &lt;= 3 and revenue &lt; 200</t>
  </si>
  <si>
    <t>Customer</t>
  </si>
  <si>
    <t>Quantity 2016</t>
  </si>
  <si>
    <t>Quantity 2015</t>
  </si>
  <si>
    <t>% Change</t>
  </si>
  <si>
    <t>Customer A</t>
  </si>
  <si>
    <t>Customer B</t>
  </si>
  <si>
    <t>Customer C</t>
  </si>
  <si>
    <t>Customer D</t>
  </si>
  <si>
    <t>Customer E</t>
  </si>
  <si>
    <t>Customer F</t>
  </si>
  <si>
    <t>Customer G</t>
  </si>
  <si>
    <t>Customer H</t>
  </si>
  <si>
    <t>Customer I</t>
  </si>
  <si>
    <t>Customer J</t>
  </si>
  <si>
    <t>Customer K</t>
  </si>
  <si>
    <t>IFERROR Function</t>
  </si>
  <si>
    <t>Follow up</t>
  </si>
  <si>
    <t>VLOOKUP &amp; HLOOKUP</t>
  </si>
  <si>
    <t>Agent H</t>
  </si>
  <si>
    <t>Agent I</t>
  </si>
  <si>
    <t>Agent J</t>
  </si>
  <si>
    <t>Agent K</t>
  </si>
  <si>
    <t>Agent L</t>
  </si>
  <si>
    <t>Agent M</t>
  </si>
  <si>
    <t>Agent N</t>
  </si>
  <si>
    <t>Agent O</t>
  </si>
  <si>
    <t>Agent P</t>
  </si>
  <si>
    <t>Agent Q</t>
  </si>
  <si>
    <t>Agent R</t>
  </si>
  <si>
    <t>Agent S</t>
  </si>
  <si>
    <t>Agent T</t>
  </si>
  <si>
    <t>Agent U</t>
  </si>
  <si>
    <t>Agent V</t>
  </si>
  <si>
    <t>Agent W</t>
  </si>
  <si>
    <t>Agent X</t>
  </si>
  <si>
    <t>Agent Y</t>
  </si>
  <si>
    <t>Agent Z</t>
  </si>
  <si>
    <t xml:space="preserve">Customer </t>
  </si>
  <si>
    <t>Customer L</t>
  </si>
  <si>
    <t>Customer M</t>
  </si>
  <si>
    <t>Customer N</t>
  </si>
  <si>
    <t>Customer O</t>
  </si>
  <si>
    <t>Customer P</t>
  </si>
  <si>
    <t>Customer Q</t>
  </si>
  <si>
    <t>Customer R</t>
  </si>
  <si>
    <t>Customer S</t>
  </si>
  <si>
    <t>Customer T</t>
  </si>
  <si>
    <t>Customer U</t>
  </si>
  <si>
    <t>Customer V</t>
  </si>
  <si>
    <t>Customer W</t>
  </si>
  <si>
    <t>Customer X</t>
  </si>
  <si>
    <t>Customer Y</t>
  </si>
  <si>
    <t>Customer Z</t>
  </si>
  <si>
    <t>Agent Report</t>
  </si>
  <si>
    <t>Select Agent:</t>
  </si>
  <si>
    <t>Find Price</t>
  </si>
  <si>
    <t>Find Customer</t>
  </si>
  <si>
    <t>Actual</t>
  </si>
  <si>
    <t>Budget</t>
  </si>
  <si>
    <t>Select Customer:</t>
  </si>
  <si>
    <t>Get Agent</t>
  </si>
  <si>
    <t>Answer:</t>
  </si>
  <si>
    <t>INDEX &amp; MATCH - with more than one row or column criteria</t>
  </si>
  <si>
    <t>INDEX &amp; MATCH - for flexible lookups</t>
  </si>
  <si>
    <t>TEXT FORMULAS</t>
  </si>
  <si>
    <t>CUSTOMER NAME</t>
  </si>
  <si>
    <t>UPPER</t>
  </si>
  <si>
    <t>LOWER</t>
  </si>
  <si>
    <t>PROPER</t>
  </si>
  <si>
    <t>Get Length</t>
  </si>
  <si>
    <t>Valery Mong</t>
  </si>
  <si>
    <t>toby cartER</t>
  </si>
  <si>
    <t>Get Length BEFORE trim</t>
  </si>
  <si>
    <t>TRIM</t>
  </si>
  <si>
    <t>Get Length AFTER trim</t>
  </si>
  <si>
    <t xml:space="preserve"> Valery Mong</t>
  </si>
  <si>
    <t>toby  cartER</t>
  </si>
  <si>
    <t>First Name</t>
  </si>
  <si>
    <t>Middle Name</t>
  </si>
  <si>
    <t>Last Name</t>
  </si>
  <si>
    <t>Toby Jane Carter</t>
  </si>
  <si>
    <t>Find t</t>
  </si>
  <si>
    <t>Search for t</t>
  </si>
  <si>
    <t>DE58963</t>
  </si>
  <si>
    <t>US85975</t>
  </si>
  <si>
    <t>AT98672</t>
  </si>
  <si>
    <t>AT25092</t>
  </si>
  <si>
    <t>Substitute "AT" with "DE"</t>
  </si>
  <si>
    <t>Replace the last 2 digits with one "0"</t>
  </si>
  <si>
    <t>Replace the last 2 digits with two "0"</t>
  </si>
  <si>
    <t>DATE FORMULAS</t>
  </si>
  <si>
    <t>YEAR</t>
  </si>
  <si>
    <t>MONTH</t>
  </si>
  <si>
    <t>DAY</t>
  </si>
  <si>
    <t>DATE</t>
  </si>
  <si>
    <t>WEEKDAY FUNCTION</t>
  </si>
  <si>
    <t>WORKDAY FUNCTION</t>
  </si>
  <si>
    <t>START DATE</t>
  </si>
  <si>
    <t>Days</t>
  </si>
  <si>
    <t>Result</t>
  </si>
  <si>
    <t>Days overview</t>
  </si>
  <si>
    <t>holiday</t>
  </si>
  <si>
    <t>Holidays</t>
  </si>
  <si>
    <t>weekend</t>
  </si>
  <si>
    <t>NETWORKDAY FUNCTION</t>
  </si>
  <si>
    <t>END DATE</t>
  </si>
  <si>
    <t>OFFSET - for dynamic calculations</t>
  </si>
  <si>
    <t>Jun</t>
  </si>
  <si>
    <t>Jul</t>
  </si>
  <si>
    <t>Average of last 6 months</t>
  </si>
  <si>
    <t>Next 3 month average based on selection:</t>
  </si>
  <si>
    <t>Age</t>
  </si>
  <si>
    <t>Age group</t>
  </si>
  <si>
    <t>Frequency</t>
  </si>
  <si>
    <t>up to and including 20</t>
  </si>
  <si>
    <t>from 20 to 30 (30 included)</t>
  </si>
  <si>
    <t>from 30 to 40 (40 included)</t>
  </si>
  <si>
    <t>from 40 to 50 (50 included)</t>
  </si>
  <si>
    <t>from 50 to 60 (60 included)</t>
  </si>
  <si>
    <t>from 60 to 100</t>
  </si>
  <si>
    <t>Product A</t>
  </si>
  <si>
    <t>Product B</t>
  </si>
  <si>
    <t>Total</t>
  </si>
  <si>
    <t>Sumproduct</t>
  </si>
  <si>
    <t>SUMPRODUCT - Much more than meets the eye</t>
  </si>
  <si>
    <t>Year</t>
  </si>
  <si>
    <t>Conditions</t>
  </si>
  <si>
    <t>or</t>
  </si>
  <si>
    <t>Appendix - SUMPRODUCT in SLOW MOTION</t>
  </si>
  <si>
    <t>Company D</t>
  </si>
  <si>
    <t>Only for:</t>
  </si>
  <si>
    <t>Slow motion: 1st step</t>
  </si>
  <si>
    <t>Slow motion: 2nd step</t>
  </si>
  <si>
    <t>Count quantity (SUMPRODUCT)</t>
  </si>
  <si>
    <t>Sum quantity (SUMPRODCUT)</t>
  </si>
  <si>
    <t>Sum Revenue (SUMPRODCUT)</t>
  </si>
  <si>
    <t xml:space="preserve">Number of people in each age group </t>
  </si>
  <si>
    <t xml:space="preserve">Below is a list that you can print and put right beside your keyboard to help you master </t>
  </si>
  <si>
    <t xml:space="preserve">the main Excel keyboard shortcuts. </t>
  </si>
  <si>
    <t>A more detailed list of all Excel Shortcuts is available on the Microsoft Office website</t>
  </si>
  <si>
    <t>Aug</t>
  </si>
  <si>
    <t>Sep</t>
  </si>
  <si>
    <t>Oct</t>
  </si>
  <si>
    <t>Nov</t>
  </si>
  <si>
    <t>Dec</t>
  </si>
  <si>
    <t>West_01</t>
  </si>
  <si>
    <t>West_03</t>
  </si>
  <si>
    <t>West_04</t>
  </si>
  <si>
    <t>East_02</t>
  </si>
  <si>
    <t>Global Factor</t>
  </si>
  <si>
    <t>monthly factor</t>
  </si>
  <si>
    <t>Multiply by monthly factor</t>
  </si>
  <si>
    <t>Mainly Demo Session</t>
  </si>
  <si>
    <t>Feel free to add your own notes here!</t>
  </si>
  <si>
    <t>my bonus</t>
  </si>
  <si>
    <t>There are two hidden objects on this sheet. Can you find them?</t>
  </si>
  <si>
    <t>Entity</t>
  </si>
  <si>
    <t>Turnover</t>
  </si>
  <si>
    <t>Input price</t>
  </si>
  <si>
    <t>Input quantity</t>
  </si>
  <si>
    <t>Input template demo</t>
  </si>
  <si>
    <t>Special Agent Input field - provide details</t>
  </si>
  <si>
    <t>In case you don't see it, change the text filter to "All files"</t>
  </si>
  <si>
    <t>Average price:</t>
  </si>
  <si>
    <t>Flag if quantity &lt; 200</t>
  </si>
  <si>
    <t>Character</t>
  </si>
  <si>
    <t>Description</t>
  </si>
  <si>
    <t>$ or €</t>
  </si>
  <si>
    <t>Special character that will show without need for quotation marks</t>
  </si>
  <si>
    <t>+ , - , = , &lt; , &gt; , /, ( , )</t>
  </si>
  <si>
    <t>These appear in the cell depending on where you have typed it, No need for quotation marks</t>
  </si>
  <si>
    <t>“”</t>
  </si>
  <si>
    <t>Displays text that is typed between the quotation marks</t>
  </si>
  <si>
    <t>_( , _)</t>
  </si>
  <si>
    <t xml:space="preserve">The _ displays a single blank character space </t>
  </si>
  <si>
    <t>Placeholder for values. No decimal places.</t>
  </si>
  <si>
    <t>#</t>
  </si>
  <si>
    <t>Digit placeholder as in 0. Difference is that it does not force trailing 0 values. i.e. if you have #.## as format then 1.2 is displayed and not 1.20</t>
  </si>
  <si>
    <t>.</t>
  </si>
  <si>
    <t>Dot to display decimal digits</t>
  </si>
  <si>
    <t>,</t>
  </si>
  <si>
    <t>Comma displays the thousand separator</t>
  </si>
  <si>
    <t>#,##0</t>
  </si>
  <si>
    <t>Displays commas for every three digits</t>
  </si>
  <si>
    <t>#,##0.00</t>
  </si>
  <si>
    <t>Display commas for thousands and shows two decimal places</t>
  </si>
  <si>
    <t>0, and 0,,</t>
  </si>
  <si>
    <t>If a comma follows a placeholder then numbers are displayed in thousands and if two commas follow then they are displayed in millions</t>
  </si>
  <si>
    <t>?</t>
  </si>
  <si>
    <t>Digit placeholder follows the same rule as 0. One difference is that it shows blank for zero values and also aligns the decimal places of the numbers in columns</t>
  </si>
  <si>
    <t>*</t>
  </si>
  <si>
    <t>[Black], [Green], [Red], [White], [Yellow], [Magenta], [Cyan], [Blue]</t>
  </si>
  <si>
    <t>@</t>
  </si>
  <si>
    <t>Placeholder for text</t>
  </si>
  <si>
    <r>
      <t>The asterisk tells Excel to repeat the next character until the width of the cell is filled so for example if you want the dollar sign on the left hand side of the cell and then have blank space and the number on the right hand side inside the cell you have to follow the * with a blank space. For example:  $*</t>
    </r>
    <r>
      <rPr>
        <sz val="11"/>
        <color rgb="FFFF0000"/>
        <rFont val="Calibri"/>
        <family val="2"/>
        <scheme val="minor"/>
      </rPr>
      <t xml:space="preserve"> </t>
    </r>
    <r>
      <rPr>
        <sz val="11"/>
        <color rgb="FF000000"/>
        <rFont val="Calibri"/>
        <family val="2"/>
        <scheme val="minor"/>
      </rPr>
      <t>#,##0 (the yellow part emphasises the blank space)</t>
    </r>
  </si>
  <si>
    <r>
      <t>To change the colour of your values type the colour code as the first item of each section. If you’re not happy with the hue or you’d like another colour you can select a colour code (see</t>
    </r>
    <r>
      <rPr>
        <b/>
        <sz val="11"/>
        <color rgb="FF000000"/>
        <rFont val="Calibri"/>
        <family val="2"/>
        <scheme val="minor"/>
      </rPr>
      <t xml:space="preserve"> http://msdn.microsoft.com/en-us/library/cc296089(v=office.12).aspx</t>
    </r>
    <r>
      <rPr>
        <sz val="11"/>
        <color rgb="FF000000"/>
        <rFont val="Calibri"/>
        <family val="2"/>
        <scheme val="minor"/>
      </rPr>
      <t xml:space="preserve"> for using more colours from the palette. The syntax for using the colour index is for example [Color 10] which is a darker green than the [Green] colour</t>
    </r>
  </si>
  <si>
    <t>Below is a list of characters that can be used in custom formatting and their outcome</t>
  </si>
  <si>
    <t>Use custom formatting to get the below as follows</t>
  </si>
  <si>
    <t>http://msdn.microsoft.com/en-us/library/cc296089(v=office.12).aspx</t>
  </si>
  <si>
    <t>Volume</t>
  </si>
  <si>
    <t>Custom format the following so that the EUR is on the left hand side of the cell as in screenshot below</t>
  </si>
  <si>
    <t>Revenue / Volume</t>
  </si>
  <si>
    <t>Create a custom format so that the numbers in Revenue are showing as "### M" but can still be used in the formula for Revenue / Volume</t>
  </si>
  <si>
    <t>Do not show zero values</t>
  </si>
  <si>
    <t>Align decimal places</t>
  </si>
  <si>
    <t>Add 2 trailing zeros before</t>
  </si>
  <si>
    <t>Units sold</t>
  </si>
  <si>
    <t>INPUT</t>
  </si>
  <si>
    <t>Price per unit</t>
  </si>
  <si>
    <t>Working capital</t>
  </si>
  <si>
    <t>Turnover annualized</t>
  </si>
  <si>
    <t>Working capital %</t>
  </si>
  <si>
    <t>=B3*B4</t>
  </si>
  <si>
    <t>=B5*12</t>
  </si>
  <si>
    <t>=B7/B8</t>
  </si>
  <si>
    <t>Folder 1</t>
  </si>
  <si>
    <t>Folder 2</t>
  </si>
  <si>
    <t>Folder 3</t>
  </si>
  <si>
    <t>File Name</t>
  </si>
  <si>
    <t>File Path</t>
  </si>
  <si>
    <t>Excel</t>
  </si>
  <si>
    <t>Reporting</t>
  </si>
  <si>
    <t>Completed</t>
  </si>
  <si>
    <t>Costs</t>
  </si>
  <si>
    <t>Open</t>
  </si>
  <si>
    <t>KPI_development</t>
  </si>
  <si>
    <t>Documents</t>
  </si>
  <si>
    <t>Profit_development</t>
  </si>
  <si>
    <t>Red_flag_Followup</t>
  </si>
  <si>
    <t>If revenue &gt;= 300 and if only quantity &gt;=4 then "Gift" otherwise if revenue &gt;=250 then "Praise" otherwise leave empty</t>
  </si>
  <si>
    <t>Select Variable:</t>
  </si>
  <si>
    <t>Price Calculated</t>
  </si>
  <si>
    <t>john anderson</t>
  </si>
  <si>
    <t xml:space="preserve">john anderson    </t>
  </si>
  <si>
    <t xml:space="preserve">Agent H    </t>
  </si>
  <si>
    <t>January</t>
  </si>
  <si>
    <t>February</t>
  </si>
  <si>
    <t>March</t>
  </si>
  <si>
    <t>April</t>
  </si>
  <si>
    <t>Actual Revenue</t>
  </si>
  <si>
    <t>Row Labels</t>
  </si>
  <si>
    <t>Date</t>
  </si>
  <si>
    <t>Category 1</t>
  </si>
  <si>
    <t>Category 2</t>
  </si>
  <si>
    <t>Category 3</t>
  </si>
  <si>
    <t>Category 4</t>
  </si>
  <si>
    <t>Category 5</t>
  </si>
  <si>
    <t>Category 6</t>
  </si>
  <si>
    <t>Product 1</t>
  </si>
  <si>
    <t>A</t>
  </si>
  <si>
    <t>B</t>
  </si>
  <si>
    <t>C</t>
  </si>
  <si>
    <t>D</t>
  </si>
  <si>
    <t>E</t>
  </si>
  <si>
    <t>F</t>
  </si>
  <si>
    <t>Product 2</t>
  </si>
  <si>
    <t>Product 3</t>
  </si>
  <si>
    <t>Select product</t>
  </si>
  <si>
    <t>Select Type</t>
  </si>
  <si>
    <t>WEEK NUMBER</t>
  </si>
  <si>
    <t>Week #</t>
  </si>
  <si>
    <t>Include holidays</t>
  </si>
  <si>
    <t>Exclude holidays</t>
  </si>
  <si>
    <t>THU 31</t>
  </si>
  <si>
    <t>FRI 1</t>
  </si>
  <si>
    <t>SAT 2</t>
  </si>
  <si>
    <t>SUN 3</t>
  </si>
  <si>
    <t>MON 4</t>
  </si>
  <si>
    <t>TUE 5</t>
  </si>
  <si>
    <t>WED 6</t>
  </si>
  <si>
    <t>THU 7</t>
  </si>
  <si>
    <t>(scroll down for more examples)</t>
  </si>
  <si>
    <t>Working days</t>
  </si>
  <si>
    <t>Austria</t>
  </si>
  <si>
    <t>Thailand</t>
  </si>
  <si>
    <t>holiday Austria</t>
  </si>
  <si>
    <t>holiday Austria &amp; Thailand</t>
  </si>
  <si>
    <t>Method #1 - simple Index Match</t>
  </si>
  <si>
    <t>Method #2 - additional Index</t>
  </si>
  <si>
    <r>
      <t xml:space="preserve">Method #3 - Array CSE </t>
    </r>
    <r>
      <rPr>
        <b/>
        <sz val="9"/>
        <color theme="1"/>
        <rFont val="Calibri"/>
        <family val="2"/>
        <scheme val="minor"/>
      </rPr>
      <t>(Control Shift Enter)</t>
    </r>
  </si>
  <si>
    <t>John Anderson</t>
  </si>
  <si>
    <t>Dynamic</t>
  </si>
  <si>
    <t>Replace first 2 characters with "DE"</t>
  </si>
  <si>
    <t>Product Main Category</t>
  </si>
  <si>
    <t>Beverages</t>
  </si>
  <si>
    <t>Coke</t>
  </si>
  <si>
    <t>Orange Juice</t>
  </si>
  <si>
    <t>Apple Juice</t>
  </si>
  <si>
    <t>Sparkling Water</t>
  </si>
  <si>
    <t>Snacks</t>
  </si>
  <si>
    <t>Chips</t>
  </si>
  <si>
    <t>Nuts</t>
  </si>
  <si>
    <t>Fruits</t>
  </si>
  <si>
    <t>Sandwiches</t>
  </si>
  <si>
    <t xml:space="preserve">Revenue </t>
  </si>
  <si>
    <t xml:space="preserve">Quantity </t>
  </si>
  <si>
    <t xml:space="preserve"> </t>
  </si>
  <si>
    <t>Classical SUMPRODUCT</t>
  </si>
  <si>
    <t>Advanced SUMPRODUCT</t>
  </si>
  <si>
    <t>Average Price (SUMPRODCUT)</t>
  </si>
  <si>
    <t>Toby Carter</t>
  </si>
  <si>
    <r>
      <t xml:space="preserve">Import the file "sample_raw_data" in this worksheet (download first from resources tab in Lecture called </t>
    </r>
    <r>
      <rPr>
        <b/>
        <sz val="11"/>
        <color theme="1"/>
        <rFont val="Calibri"/>
        <family val="2"/>
        <scheme val="minor"/>
      </rPr>
      <t>Download These Files First</t>
    </r>
    <r>
      <rPr>
        <sz val="11"/>
        <color theme="1"/>
        <rFont val="Calibri"/>
        <family val="2"/>
        <scheme val="minor"/>
      </rPr>
      <t>)</t>
    </r>
  </si>
  <si>
    <t>Text to Columns</t>
  </si>
  <si>
    <t>Go to Data / Text to Columns to split first name and last name</t>
  </si>
  <si>
    <t xml:space="preserve">Go to Data / From Text and browse for your file. </t>
  </si>
  <si>
    <t>Error</t>
  </si>
  <si>
    <t>This is probably the most common error and easiest to pinpoint. When you divide a number by zero you will get this error.</t>
  </si>
  <si>
    <t>#N/A!</t>
  </si>
  <si>
    <t>This error results when you move your formulas and haven’t correctly specified which cells are fixed and which should move with your formula. Also if you delete some cells that were a part of your formula.</t>
  </si>
  <si>
    <t>The most common reason for this error is because the formula has been mistyped and Excel doesn’t recognize what function you are referring to.</t>
  </si>
  <si>
    <t>This error is returned when the wrong type of argument is used. For example if you try to multiply a value by a cell that has text in it.</t>
  </si>
  <si>
    <t xml:space="preserve">This is a frequent error if you are using Lookup formulas (especially in VLOOKUP) and the matching cannot be done. </t>
  </si>
  <si>
    <t>This is another uncommon error and occurs when you supply an invalid number to your formula e.g. if you are using negatives where a positive number is required by your function.</t>
  </si>
  <si>
    <t>This is an uncommon error and occurs if you haven’t specified your ranges correctly, e.g. typing SUM(B4 B6) instead of SUM(B4:B6) or SUM(B4,B6).</t>
  </si>
  <si>
    <t>T1</t>
  </si>
  <si>
    <t>Top 10 Tips</t>
  </si>
  <si>
    <t>Top 10 Formulas</t>
  </si>
  <si>
    <t>Select One…</t>
  </si>
  <si>
    <t>Quickly Navigate Larger Files</t>
  </si>
  <si>
    <t>Inspect Workbooks for Hidden Information</t>
  </si>
  <si>
    <t>Import Text, CSV &amp; Web Data Properly</t>
  </si>
  <si>
    <t>Use Protection Appropriately</t>
  </si>
  <si>
    <t>Master the Simpler Tasks</t>
  </si>
  <si>
    <t>Audit &amp; Debug Formulas</t>
  </si>
  <si>
    <t>Use PivotTables for Super Fast Analysis</t>
  </si>
  <si>
    <t>Solve Problems With Goal Seek</t>
  </si>
  <si>
    <t>Become Faster with Excel's Keyboard Shortcuts</t>
  </si>
  <si>
    <t>Improve Presentation with Customized Number Formatting</t>
  </si>
  <si>
    <t>SUMIFS, COUNTIFS, AVERAGEIFS to Account for Exceptions</t>
  </si>
  <si>
    <t>IF (Nested Functions) Because Data Analysis is Often Not Simple</t>
  </si>
  <si>
    <t>IFERROR for Credible Reports</t>
  </si>
  <si>
    <t>VLOOKUP &amp; HLOOKUP For Dynamic Lookups</t>
  </si>
  <si>
    <t>The Most Useful Text Functions</t>
  </si>
  <si>
    <t>Excel's Top Date Functions</t>
  </si>
  <si>
    <t>OFFSET for Dynamic Calculations</t>
  </si>
  <si>
    <t>FREQUENCY, SMALL &amp; LARGE to Organize and Rank</t>
  </si>
  <si>
    <t>SUMPRODUCT For the Gurus</t>
  </si>
  <si>
    <t>INDEX &amp; MATCH for Flexible &amp; Complex Lookups</t>
  </si>
  <si>
    <t>F1</t>
  </si>
  <si>
    <t>Company E</t>
  </si>
  <si>
    <t>Company F</t>
  </si>
  <si>
    <t>Best</t>
  </si>
  <si>
    <t>Worst</t>
  </si>
  <si>
    <t>3rd Best</t>
  </si>
  <si>
    <t>3rd Worst</t>
  </si>
  <si>
    <t>Company G</t>
  </si>
  <si>
    <t>Company H</t>
  </si>
  <si>
    <t>Company I</t>
  </si>
  <si>
    <t>Company J</t>
  </si>
  <si>
    <t>Company K</t>
  </si>
  <si>
    <t>Helper column</t>
  </si>
  <si>
    <t>Loan borrowed</t>
  </si>
  <si>
    <t>Interest rate</t>
  </si>
  <si>
    <t>months</t>
  </si>
  <si>
    <t>payment monthly</t>
  </si>
  <si>
    <t>Problem 1 - Turnover &amp; Working Capital</t>
  </si>
  <si>
    <t>Problem 2: Loan Payback</t>
  </si>
  <si>
    <t>Grand Total</t>
  </si>
  <si>
    <t>2015</t>
  </si>
  <si>
    <t>June</t>
  </si>
  <si>
    <t>T2</t>
  </si>
  <si>
    <t>T3</t>
  </si>
  <si>
    <t>T4</t>
  </si>
  <si>
    <t>T5</t>
  </si>
  <si>
    <t>T6</t>
  </si>
  <si>
    <t>T7</t>
  </si>
  <si>
    <t>T8</t>
  </si>
  <si>
    <t>T9</t>
  </si>
  <si>
    <t>T10</t>
  </si>
  <si>
    <t>F2</t>
  </si>
  <si>
    <t>F3</t>
  </si>
  <si>
    <t>F4</t>
  </si>
  <si>
    <t>F5</t>
  </si>
  <si>
    <t>F6</t>
  </si>
  <si>
    <t>F7</t>
  </si>
  <si>
    <t>F8</t>
  </si>
  <si>
    <t>F9</t>
  </si>
  <si>
    <t>F10</t>
  </si>
  <si>
    <t>Status</t>
  </si>
  <si>
    <t>Products</t>
  </si>
  <si>
    <t xml:space="preserve">Beverages </t>
  </si>
  <si>
    <t xml:space="preserve">Snacks </t>
  </si>
  <si>
    <t>% ∆ PY</t>
  </si>
  <si>
    <t>Customize Excel</t>
  </si>
  <si>
    <t>Office 2010 &amp; above, the Ribbon can be fully customized in addition to the quick access bar</t>
  </si>
  <si>
    <t xml:space="preserve">Office 2007, customization is limited to quick access bar
</t>
  </si>
  <si>
    <t>Agent</t>
  </si>
  <si>
    <t>Create a Table of Contents</t>
  </si>
  <si>
    <t>Use keyboard shortcuts</t>
  </si>
  <si>
    <t>Ctrl + Page down to move to the next spreadsheet</t>
  </si>
  <si>
    <t>Ctrl + Page up to move to the previous spreadsheet</t>
  </si>
  <si>
    <t>Ctrl + Tab to move between different workbooks</t>
  </si>
  <si>
    <t>Ctrl + Home to move to cell A1</t>
  </si>
  <si>
    <t>Ctrl + End to move to the last populated cell</t>
  </si>
  <si>
    <t>Use the Name Box</t>
  </si>
  <si>
    <t>You can directly type the cell address or tab name and cell address to jump to a cell on a specific tab.</t>
  </si>
  <si>
    <t xml:space="preserve">If you are using defined names in Excel which is highly recommended you can type the name directly </t>
  </si>
  <si>
    <t>Color your Tabs Accordingly</t>
  </si>
  <si>
    <t>Use the Tab Menu</t>
  </si>
  <si>
    <t>Freeze Panes &amp; Arrange Worksheets</t>
  </si>
  <si>
    <t>New Sales</t>
  </si>
  <si>
    <t>Design Recipe</t>
  </si>
  <si>
    <t>(All)</t>
  </si>
  <si>
    <t>Company A Total</t>
  </si>
  <si>
    <t>Company B Total</t>
  </si>
  <si>
    <t>Company C Total</t>
  </si>
  <si>
    <t>Select Month:</t>
  </si>
  <si>
    <t>in the box and it takes you to the respective cell in the specific tab.</t>
  </si>
  <si>
    <t>Right-mouse click on a tab and go to Tab Color.</t>
  </si>
  <si>
    <t>Right-mouse click on the tab menu - bottom left-hand corner</t>
  </si>
  <si>
    <t>I am in Hiding!</t>
  </si>
  <si>
    <t>Use the protection options under the Review Tab to practice. Follow the lecture.</t>
  </si>
  <si>
    <r>
      <rPr>
        <b/>
        <sz val="11"/>
        <color theme="1"/>
        <rFont val="Calibri"/>
        <family val="2"/>
        <scheme val="minor"/>
      </rPr>
      <t>Note:</t>
    </r>
    <r>
      <rPr>
        <sz val="11"/>
        <color theme="1"/>
        <rFont val="Calibri"/>
        <family val="2"/>
        <scheme val="minor"/>
      </rPr>
      <t xml:space="preserve"> Click on the cells, go to format cells and view the formatting applied to them</t>
    </r>
  </si>
  <si>
    <t xml:space="preserve">Note: Darker  green = [color10]. For full list vist see </t>
  </si>
  <si>
    <t>Follow the respective lecture.</t>
  </si>
  <si>
    <t>Fancy Pivot - PivotTable is in tab T10B</t>
  </si>
  <si>
    <t xml:space="preserve">Actual Revenue </t>
  </si>
  <si>
    <t>Years</t>
  </si>
  <si>
    <t>Data preparation for chart</t>
  </si>
  <si>
    <t>July</t>
  </si>
  <si>
    <t>August</t>
  </si>
  <si>
    <t>September</t>
  </si>
  <si>
    <t>October</t>
  </si>
  <si>
    <t>November</t>
  </si>
  <si>
    <t>December</t>
  </si>
  <si>
    <t>Max to highlight</t>
  </si>
  <si>
    <t>T10B</t>
  </si>
  <si>
    <t>PivotTable Custom Design</t>
  </si>
  <si>
    <t>Planned Revenue</t>
  </si>
  <si>
    <t xml:space="preserve">Planned Revenue </t>
  </si>
  <si>
    <t>Mrz</t>
  </si>
  <si>
    <t xml:space="preserve"> Variance</t>
  </si>
  <si>
    <t>FREQUENCY - easily get number of occurrences within categories</t>
  </si>
  <si>
    <t>Find Category:</t>
  </si>
  <si>
    <t>Update the formatting to get the below green</t>
  </si>
  <si>
    <t>YTD Volume - Dynamic Formula</t>
  </si>
  <si>
    <t>Helper: Volume * Price</t>
  </si>
  <si>
    <t>YTD Volume - not optimal method</t>
  </si>
  <si>
    <t>YTD Calculation Example: SUM, SUMPRODUCT &amp; OFFSET</t>
  </si>
  <si>
    <t>1. Get YTD volume so that you only need to write it in column B and drag it all the way to the end</t>
  </si>
  <si>
    <t>M1</t>
  </si>
  <si>
    <t>SUM, SUMPRODUCT &amp; OFFSET for YTD Calculations</t>
  </si>
  <si>
    <t>2. Get YTD prices (volume weighted) so that you can drag the first formula all the way across to the end</t>
  </si>
  <si>
    <t>YTD Price (VWAP) - not optimal method</t>
  </si>
  <si>
    <t>YTD Price (VWAP) - Dynamic Formula</t>
  </si>
  <si>
    <t>Score</t>
  </si>
  <si>
    <t>Category SUMIFS</t>
  </si>
  <si>
    <t>Category SUMPRODUCT</t>
  </si>
  <si>
    <t>Category INDEX</t>
  </si>
  <si>
    <t>Category</t>
  </si>
  <si>
    <t>Lower bound</t>
  </si>
  <si>
    <t>Upper Bound</t>
  </si>
  <si>
    <t>Classification</t>
  </si>
  <si>
    <t>negligible</t>
  </si>
  <si>
    <t>low risk</t>
  </si>
  <si>
    <t>relatively low</t>
  </si>
  <si>
    <t>risky</t>
  </si>
  <si>
    <t>serious risk</t>
  </si>
  <si>
    <t>significant risk</t>
  </si>
  <si>
    <t>Lookup values within Boundaries</t>
  </si>
  <si>
    <t>4 different methods (LOOKUP variation was not originally included in the video)</t>
  </si>
  <si>
    <t>Category LOOKUP</t>
  </si>
  <si>
    <t>M2</t>
  </si>
  <si>
    <t>M3</t>
  </si>
  <si>
    <t>Cost center</t>
  </si>
  <si>
    <t>Last name</t>
  </si>
  <si>
    <t>First name</t>
  </si>
  <si>
    <t>Sex</t>
  </si>
  <si>
    <t>FTE</t>
  </si>
  <si>
    <t>Base salary</t>
  </si>
  <si>
    <t>Benefits</t>
  </si>
  <si>
    <t>Bonus</t>
  </si>
  <si>
    <t>Smith</t>
  </si>
  <si>
    <t>James</t>
  </si>
  <si>
    <t>M</t>
  </si>
  <si>
    <t>Johnson</t>
  </si>
  <si>
    <t>John</t>
  </si>
  <si>
    <t>Williams</t>
  </si>
  <si>
    <t>Robet</t>
  </si>
  <si>
    <t>Brown</t>
  </si>
  <si>
    <t>Michael</t>
  </si>
  <si>
    <t>Jones</t>
  </si>
  <si>
    <t>William</t>
  </si>
  <si>
    <t>Miller</t>
  </si>
  <si>
    <t>David</t>
  </si>
  <si>
    <t>Davis</t>
  </si>
  <si>
    <t>Richard</t>
  </si>
  <si>
    <t>Using 2nd argument for Index:</t>
  </si>
  <si>
    <t>Garcia</t>
  </si>
  <si>
    <t>Charles</t>
  </si>
  <si>
    <t>Rodriguez</t>
  </si>
  <si>
    <t>Joseph</t>
  </si>
  <si>
    <t>SUMPRODUCT:</t>
  </si>
  <si>
    <t>Wilson</t>
  </si>
  <si>
    <t>Thomas</t>
  </si>
  <si>
    <t>Martinez</t>
  </si>
  <si>
    <t>Mary</t>
  </si>
  <si>
    <t>Anderson</t>
  </si>
  <si>
    <t>Patricia</t>
  </si>
  <si>
    <t>Taylor</t>
  </si>
  <si>
    <t>Linda</t>
  </si>
  <si>
    <t>Barbara</t>
  </si>
  <si>
    <t>Hernandez</t>
  </si>
  <si>
    <t>Elizabeth</t>
  </si>
  <si>
    <t>Moore</t>
  </si>
  <si>
    <t>Jennifer</t>
  </si>
  <si>
    <t>Martin</t>
  </si>
  <si>
    <t>Maria</t>
  </si>
  <si>
    <t>Jackson</t>
  </si>
  <si>
    <t>Susan</t>
  </si>
  <si>
    <t>Thompson</t>
  </si>
  <si>
    <t>Lisa</t>
  </si>
  <si>
    <t>Bill</t>
  </si>
  <si>
    <t>SUMIFS, INDEX, MATCH and SUMPRODUCT Approach</t>
  </si>
  <si>
    <t>SUM Alternate Columns depending on Selection</t>
  </si>
  <si>
    <t>Done &amp; Understood</t>
  </si>
  <si>
    <t>Germany Total</t>
  </si>
  <si>
    <t>Denmark Total</t>
  </si>
  <si>
    <t>UK Total</t>
  </si>
  <si>
    <t>USA Total</t>
  </si>
  <si>
    <t>Are you married?</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</si>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</sst>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8">
    <numFmt numFmtId="164" formatCode="#,##0.00\ &quot;€&quot;;[Red]\-#,##0.00\ &quot;€&quot;"/>
    <numFmt numFmtId="165" formatCode="0.0"/>
    <numFmt numFmtId="166" formatCode="ddd\,\ dd/mm/yyyy"/>
    <numFmt numFmtId="167" formatCode="mm/yyyy"/>
    <numFmt numFmtId="168" formatCode="_(* #,##0_);_(* \(#,##0\);_(* &quot;-&quot;??_);_(@_)"/>
    <numFmt numFmtId="169" formatCode="m/yyyy"/>
    <numFmt numFmtId="170" formatCode="#,##0.00000"/>
    <numFmt numFmtId="171" formatCode="\+0.0%;\-0.0%;0.0"/>
    <numFmt numFmtId="172" formatCode="#;\-#;"/>
    <numFmt numFmtId="173" formatCode="#.???"/>
    <numFmt numFmtId="174" formatCode="00000"/>
    <numFmt numFmtId="175" formatCode="[Green]#,##0;\(#,##0\);0"/>
    <numFmt numFmtId="176" formatCode="[Color10]#,##0;\(#,##0\);0"/>
    <numFmt numFmtId="177" formatCode="#,##0,,\ &quot;M&quot;"/>
    <numFmt numFmtId="178" formatCode="&quot;EUR&quot;* #,##0;&quot;EUR&quot;* \-#,##0"/>
    <numFmt numFmtId="179" formatCode="0.0%"/>
    <numFmt numFmtId="180" formatCode="mmm"/>
    <numFmt numFmtId="181" formatCode="&quot;C&quot;#"/>
  </numFmts>
  <fonts count="26" x14ac:knownFonts="1">
    <font>
      <sz val="11"/>
      <color theme="1"/>
      <name val="Calibri"/>
      <family val="2"/>
      <scheme val="minor"/>
    </font>
    <font>
      <b/>
      <sz val="13"/>
      <color theme="1"/>
      <name val="Calibri"/>
      <family val="2"/>
      <scheme val="minor"/>
    </font>
    <font>
      <sz val="11"/>
      <color theme="1"/>
      <name val="Calibri"/>
      <family val="2"/>
      <scheme val="minor"/>
    </font>
    <font>
      <b/>
      <sz val="11"/>
      <color theme="1"/>
      <name val="Calibri"/>
      <family val="2"/>
      <scheme val="minor"/>
    </font>
    <font>
      <sz val="11"/>
      <color theme="6" tint="-0.499984740745262"/>
      <name val="Calibri"/>
      <family val="2"/>
      <scheme val="minor"/>
    </font>
    <font>
      <sz val="10"/>
      <color theme="1"/>
      <name val="Arial"/>
      <family val="2"/>
      <charset val="204"/>
    </font>
    <font>
      <b/>
      <sz val="10"/>
      <color theme="1"/>
      <name val="Arial"/>
      <family val="2"/>
    </font>
    <font>
      <sz val="10"/>
      <name val="Arial"/>
      <family val="2"/>
      <charset val="204"/>
    </font>
    <font>
      <b/>
      <u/>
      <sz val="11"/>
      <color theme="1"/>
      <name val="Calibri"/>
      <family val="2"/>
      <scheme val="minor"/>
    </font>
    <font>
      <sz val="11"/>
      <color rgb="FFFF0000"/>
      <name val="Calibri"/>
      <family val="2"/>
      <scheme val="minor"/>
    </font>
    <font>
      <u/>
      <sz val="11"/>
      <color theme="10"/>
      <name val="Calibri"/>
      <family val="2"/>
    </font>
    <font>
      <sz val="9"/>
      <color indexed="81"/>
      <name val="Tahoma"/>
      <family val="2"/>
    </font>
    <font>
      <b/>
      <sz val="9"/>
      <color indexed="81"/>
      <name val="Tahoma"/>
      <family val="2"/>
    </font>
    <font>
      <sz val="11"/>
      <color rgb="FF000000"/>
      <name val="Calibri"/>
      <family val="2"/>
      <scheme val="minor"/>
    </font>
    <font>
      <b/>
      <sz val="12"/>
      <color rgb="FF000000"/>
      <name val="Times New Roman"/>
      <family val="1"/>
    </font>
    <font>
      <b/>
      <sz val="12"/>
      <color rgb="FFFFFFFF"/>
      <name val="Times New Roman"/>
      <family val="1"/>
    </font>
    <font>
      <b/>
      <sz val="11"/>
      <color rgb="FF000000"/>
      <name val="Calibri"/>
      <family val="2"/>
      <scheme val="minor"/>
    </font>
    <font>
      <b/>
      <sz val="9"/>
      <color theme="1"/>
      <name val="Calibri"/>
      <family val="2"/>
      <scheme val="minor"/>
    </font>
    <font>
      <b/>
      <sz val="11"/>
      <color theme="1"/>
      <name val="Arial"/>
      <family val="2"/>
    </font>
    <font>
      <b/>
      <sz val="18"/>
      <color theme="0"/>
      <name val="Calibri"/>
      <family val="2"/>
      <scheme val="minor"/>
    </font>
    <font>
      <b/>
      <sz val="14"/>
      <color theme="0"/>
      <name val="Calibri"/>
      <family val="2"/>
      <scheme val="minor"/>
    </font>
    <font>
      <sz val="11"/>
      <color theme="0"/>
      <name val="Calibri"/>
      <family val="2"/>
      <scheme val="minor"/>
    </font>
    <font>
      <sz val="10"/>
      <color theme="1"/>
      <name val="Calibri"/>
      <family val="2"/>
      <scheme val="minor"/>
    </font>
    <font>
      <sz val="9"/>
      <color theme="1"/>
      <name val="Calibri"/>
      <family val="2"/>
      <scheme val="minor"/>
    </font>
    <font>
      <b/>
      <sz val="10"/>
      <color theme="1"/>
      <name val="Calibri"/>
      <family val="2"/>
      <scheme val="minor"/>
    </font>
    <font>
      <b/>
      <sz val="11"/>
      <color theme="0"/>
      <name val="Calibri"/>
      <family val="2"/>
      <scheme val="minor"/>
    </font>
  </fonts>
  <fills count="19">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6" tint="0.39997558519241921"/>
        <bgColor indexed="64"/>
      </patternFill>
    </fill>
    <fill>
      <patternFill patternType="solid">
        <fgColor theme="0" tint="-4.9989318521683403E-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D99594"/>
        <bgColor indexed="64"/>
      </patternFill>
    </fill>
    <fill>
      <patternFill patternType="solid">
        <fgColor rgb="FFF2F2F2"/>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theme="1" tint="0.14999847407452621"/>
        <bgColor indexed="64"/>
      </patternFill>
    </fill>
    <fill>
      <patternFill patternType="solid">
        <fgColor theme="1" tint="0.499984740745262"/>
        <bgColor indexed="64"/>
      </patternFill>
    </fill>
    <fill>
      <patternFill patternType="solid">
        <fgColor theme="9" tint="0.39997558519241921"/>
        <bgColor indexed="64"/>
      </patternFill>
    </fill>
    <fill>
      <patternFill patternType="solid">
        <fgColor theme="1" tint="0.34998626667073579"/>
        <bgColor indexed="64"/>
      </patternFill>
    </fill>
    <fill>
      <patternFill patternType="solid">
        <fgColor theme="3" tint="0.59999389629810485"/>
        <bgColor indexed="64"/>
      </patternFill>
    </fill>
  </fills>
  <borders count="3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theme="0" tint="-0.14996795556505021"/>
      </top>
      <bottom style="thin">
        <color theme="0" tint="-0.149967955565050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style="thin">
        <color indexed="64"/>
      </top>
      <bottom style="double">
        <color indexed="64"/>
      </bottom>
      <diagonal/>
    </border>
    <border>
      <left/>
      <right/>
      <top/>
      <bottom style="medium">
        <color rgb="FF7F7F7F"/>
      </bottom>
      <diagonal/>
    </border>
    <border>
      <left/>
      <right/>
      <top style="thin">
        <color indexed="64"/>
      </top>
      <bottom/>
      <diagonal/>
    </border>
    <border>
      <left/>
      <right style="medium">
        <color indexed="64"/>
      </right>
      <top style="thin">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style="thin">
        <color indexed="64"/>
      </right>
      <top/>
      <bottom style="thin">
        <color indexed="64"/>
      </bottom>
      <diagonal/>
    </border>
    <border>
      <left/>
      <right/>
      <top style="thin">
        <color theme="0" tint="-0.14996795556505021"/>
      </top>
      <bottom style="thin">
        <color theme="0" tint="-0.14993743705557422"/>
      </bottom>
      <diagonal/>
    </border>
    <border>
      <left/>
      <right/>
      <top style="thin">
        <color theme="0" tint="-0.14993743705557422"/>
      </top>
      <bottom style="thin">
        <color theme="0" tint="-0.14993743705557422"/>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style="thin">
        <color rgb="FFBFBFBF"/>
      </bottom>
      <diagonal/>
    </border>
    <border>
      <left/>
      <right/>
      <top/>
      <bottom style="medium">
        <color theme="1" tint="0.2499465926084170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theme="0" tint="-0.14999847407452621"/>
      </top>
      <bottom style="thin">
        <color theme="0" tint="-0.14999847407452621"/>
      </bottom>
      <diagonal/>
    </border>
    <border>
      <left/>
      <right/>
      <top style="thin">
        <color theme="1" tint="4.9989318521683403E-2"/>
      </top>
      <bottom/>
      <diagonal/>
    </border>
    <border>
      <left/>
      <right/>
      <top/>
      <bottom style="thin">
        <color theme="1" tint="4.9989318521683403E-2"/>
      </bottom>
      <diagonal/>
    </border>
    <border>
      <left style="thick">
        <color theme="0" tint="-0.24994659260841701"/>
      </left>
      <right style="thin">
        <color theme="0" tint="-0.14996795556505021"/>
      </right>
      <top style="thick">
        <color theme="0" tint="-0.499984740745262"/>
      </top>
      <bottom style="thin">
        <color theme="0" tint="-0.14996795556505021"/>
      </bottom>
      <diagonal/>
    </border>
  </borders>
  <cellStyleXfs count="4">
    <xf numFmtId="0" fontId="0" fillId="0" borderId="0"/>
    <xf numFmtId="9" fontId="2" fillId="0" borderId="0" applyFont="0" applyFill="0" applyBorder="0" applyAlignment="0" applyProtection="0"/>
    <xf numFmtId="0" fontId="7" fillId="0" borderId="0"/>
    <xf numFmtId="0" fontId="10" fillId="0" borderId="0" applyNumberFormat="0" applyFill="0" applyBorder="0" applyAlignment="0" applyProtection="0">
      <alignment vertical="top"/>
      <protection locked="0"/>
    </xf>
  </cellStyleXfs>
  <cellXfs count="172">
    <xf numFmtId="0" fontId="0" fillId="0" borderId="0" xfId="0"/>
    <xf numFmtId="0" fontId="1" fillId="0" borderId="1" xfId="0" applyFont="1" applyBorder="1"/>
    <xf numFmtId="0" fontId="0" fillId="0" borderId="1" xfId="0" applyBorder="1"/>
    <xf numFmtId="165" fontId="0" fillId="0" borderId="0" xfId="0" applyNumberFormat="1"/>
    <xf numFmtId="0" fontId="1" fillId="0" borderId="1" xfId="0" applyFont="1" applyBorder="1" applyAlignment="1"/>
    <xf numFmtId="0" fontId="3" fillId="2" borderId="0" xfId="0" applyFont="1" applyFill="1"/>
    <xf numFmtId="0" fontId="0" fillId="0" borderId="2" xfId="0" applyBorder="1"/>
    <xf numFmtId="0" fontId="3" fillId="0" borderId="0" xfId="0" applyFont="1"/>
    <xf numFmtId="0" fontId="0" fillId="0" borderId="0" xfId="0" applyAlignment="1">
      <alignment wrapText="1"/>
    </xf>
    <xf numFmtId="0" fontId="3" fillId="2" borderId="0" xfId="0" applyFont="1" applyFill="1" applyAlignment="1">
      <alignment wrapText="1"/>
    </xf>
    <xf numFmtId="0" fontId="0" fillId="3" borderId="0" xfId="0" applyFill="1" applyAlignment="1">
      <alignment wrapText="1"/>
    </xf>
    <xf numFmtId="9" fontId="0" fillId="0" borderId="0" xfId="1" applyFont="1"/>
    <xf numFmtId="0" fontId="3" fillId="2" borderId="3" xfId="0" applyNumberFormat="1" applyFont="1" applyFill="1" applyBorder="1" applyAlignment="1">
      <alignment wrapText="1"/>
    </xf>
    <xf numFmtId="0" fontId="3" fillId="2" borderId="3" xfId="0" applyNumberFormat="1" applyFont="1" applyFill="1" applyBorder="1" applyAlignment="1">
      <alignment horizontal="right" wrapText="1"/>
    </xf>
    <xf numFmtId="0" fontId="3" fillId="3" borderId="3" xfId="0" applyNumberFormat="1" applyFont="1" applyFill="1" applyBorder="1" applyAlignment="1">
      <alignment horizontal="right"/>
    </xf>
    <xf numFmtId="0" fontId="0" fillId="0" borderId="3" xfId="0" applyNumberFormat="1" applyBorder="1"/>
    <xf numFmtId="1" fontId="0" fillId="0" borderId="0" xfId="0" applyNumberFormat="1"/>
    <xf numFmtId="0" fontId="0" fillId="0" borderId="0" xfId="0" applyAlignment="1">
      <alignment horizontal="center"/>
    </xf>
    <xf numFmtId="0" fontId="0" fillId="4" borderId="0" xfId="0" applyFill="1"/>
    <xf numFmtId="0" fontId="0" fillId="4" borderId="2" xfId="0" applyFill="1" applyBorder="1"/>
    <xf numFmtId="0" fontId="5" fillId="5" borderId="9" xfId="0" applyFont="1" applyFill="1" applyBorder="1"/>
    <xf numFmtId="0" fontId="6" fillId="5" borderId="1" xfId="0" applyFont="1" applyFill="1" applyBorder="1"/>
    <xf numFmtId="0" fontId="6" fillId="5" borderId="0" xfId="0" applyFont="1" applyFill="1" applyBorder="1"/>
    <xf numFmtId="0" fontId="6" fillId="5" borderId="10" xfId="0" applyFont="1" applyFill="1" applyBorder="1"/>
    <xf numFmtId="0" fontId="3" fillId="2" borderId="7" xfId="0" applyFont="1" applyFill="1" applyBorder="1" applyAlignment="1">
      <alignment wrapText="1"/>
    </xf>
    <xf numFmtId="0" fontId="3" fillId="2" borderId="11" xfId="0" applyFont="1" applyFill="1" applyBorder="1" applyAlignment="1">
      <alignment wrapText="1"/>
    </xf>
    <xf numFmtId="0" fontId="0" fillId="6" borderId="0" xfId="0" applyFill="1"/>
    <xf numFmtId="0" fontId="0" fillId="7" borderId="0" xfId="0" applyFill="1"/>
    <xf numFmtId="0" fontId="0" fillId="0" borderId="0" xfId="0" quotePrefix="1"/>
    <xf numFmtId="0" fontId="3" fillId="8" borderId="0" xfId="0" applyFont="1" applyFill="1" applyAlignment="1">
      <alignment wrapText="1"/>
    </xf>
    <xf numFmtId="0" fontId="0" fillId="0" borderId="0" xfId="0" applyAlignment="1">
      <alignment horizontal="right"/>
    </xf>
    <xf numFmtId="166" fontId="0" fillId="0" borderId="0" xfId="0" applyNumberFormat="1"/>
    <xf numFmtId="0" fontId="3" fillId="0" borderId="1" xfId="0" applyFont="1" applyBorder="1"/>
    <xf numFmtId="14" fontId="0" fillId="0" borderId="0" xfId="0" applyNumberFormat="1"/>
    <xf numFmtId="14" fontId="0" fillId="4" borderId="0" xfId="0" applyNumberFormat="1" applyFill="1"/>
    <xf numFmtId="167" fontId="0" fillId="0" borderId="0" xfId="0" applyNumberFormat="1"/>
    <xf numFmtId="1" fontId="0" fillId="0" borderId="0" xfId="0" quotePrefix="1" applyNumberFormat="1"/>
    <xf numFmtId="167" fontId="0" fillId="0" borderId="0" xfId="0" applyNumberFormat="1" applyAlignment="1">
      <alignment horizontal="center"/>
    </xf>
    <xf numFmtId="1" fontId="0" fillId="0" borderId="2" xfId="0" applyNumberFormat="1" applyBorder="1"/>
    <xf numFmtId="3" fontId="0" fillId="0" borderId="0" xfId="0" applyNumberFormat="1"/>
    <xf numFmtId="3" fontId="0" fillId="0" borderId="0" xfId="0" applyNumberFormat="1" applyProtection="1">
      <protection locked="0"/>
    </xf>
    <xf numFmtId="3" fontId="0" fillId="0" borderId="1" xfId="0" applyNumberFormat="1" applyBorder="1"/>
    <xf numFmtId="3" fontId="0" fillId="0" borderId="14" xfId="0" applyNumberFormat="1" applyBorder="1"/>
    <xf numFmtId="3" fontId="0" fillId="0" borderId="15" xfId="0" applyNumberFormat="1" applyBorder="1"/>
    <xf numFmtId="0" fontId="0" fillId="2" borderId="0" xfId="0" applyFill="1"/>
    <xf numFmtId="3" fontId="0" fillId="2" borderId="0" xfId="0" applyNumberFormat="1" applyFill="1"/>
    <xf numFmtId="3" fontId="0" fillId="2" borderId="0" xfId="0" applyNumberFormat="1" applyFill="1" applyProtection="1">
      <protection locked="0"/>
    </xf>
    <xf numFmtId="0" fontId="0" fillId="3" borderId="0" xfId="0" applyFill="1"/>
    <xf numFmtId="3" fontId="0" fillId="3" borderId="0" xfId="0" applyNumberFormat="1" applyFill="1"/>
    <xf numFmtId="0" fontId="0" fillId="2" borderId="0" xfId="0" applyFill="1" applyAlignment="1">
      <alignment horizontal="center"/>
    </xf>
    <xf numFmtId="0" fontId="0" fillId="3" borderId="0" xfId="0" applyFill="1" applyAlignment="1">
      <alignment horizontal="center"/>
    </xf>
    <xf numFmtId="3" fontId="3" fillId="0" borderId="15" xfId="0" applyNumberFormat="1" applyFont="1" applyBorder="1"/>
    <xf numFmtId="3" fontId="3" fillId="0" borderId="0" xfId="0" applyNumberFormat="1" applyFont="1" applyBorder="1"/>
    <xf numFmtId="0" fontId="8" fillId="0" borderId="0" xfId="0" applyFont="1" applyFill="1" applyBorder="1"/>
    <xf numFmtId="0" fontId="0" fillId="0" borderId="2" xfId="0" applyFill="1" applyBorder="1"/>
    <xf numFmtId="3" fontId="0" fillId="0" borderId="2" xfId="0" applyNumberFormat="1" applyFill="1" applyBorder="1"/>
    <xf numFmtId="0" fontId="3" fillId="8" borderId="1" xfId="0" applyFont="1" applyFill="1" applyBorder="1" applyAlignment="1">
      <alignment wrapText="1"/>
    </xf>
    <xf numFmtId="0" fontId="0" fillId="0" borderId="0" xfId="0" applyAlignment="1">
      <alignment horizontal="center"/>
    </xf>
    <xf numFmtId="0" fontId="10" fillId="0" borderId="0" xfId="3" applyAlignment="1" applyProtection="1"/>
    <xf numFmtId="0" fontId="3" fillId="0" borderId="1" xfId="0" applyFont="1" applyBorder="1" applyAlignment="1"/>
    <xf numFmtId="0" fontId="0" fillId="0" borderId="1" xfId="0" applyFont="1" applyBorder="1"/>
    <xf numFmtId="0" fontId="3" fillId="0" borderId="0" xfId="0" applyFont="1" applyBorder="1" applyAlignment="1"/>
    <xf numFmtId="0" fontId="0" fillId="0" borderId="0" xfId="0" applyFont="1" applyBorder="1"/>
    <xf numFmtId="0" fontId="3" fillId="2" borderId="0" xfId="0" applyFont="1" applyFill="1" applyAlignment="1">
      <alignment horizontal="center"/>
    </xf>
    <xf numFmtId="0" fontId="0" fillId="9" borderId="0" xfId="0" applyFill="1"/>
    <xf numFmtId="0" fontId="0" fillId="0" borderId="0" xfId="0" applyFill="1"/>
    <xf numFmtId="0" fontId="0" fillId="0" borderId="0" xfId="0" applyProtection="1">
      <protection locked="0"/>
    </xf>
    <xf numFmtId="0" fontId="3" fillId="3" borderId="0" xfId="0" applyFont="1" applyFill="1"/>
    <xf numFmtId="0" fontId="15" fillId="10" borderId="16" xfId="0" applyFont="1" applyFill="1" applyBorder="1" applyAlignment="1">
      <alignment vertical="center" wrapText="1"/>
    </xf>
    <xf numFmtId="0" fontId="15" fillId="10" borderId="16" xfId="0" applyFont="1" applyFill="1" applyBorder="1" applyAlignment="1">
      <alignment horizontal="justify" vertical="center" wrapText="1"/>
    </xf>
    <xf numFmtId="0" fontId="14" fillId="11" borderId="16" xfId="0" applyFont="1" applyFill="1" applyBorder="1" applyAlignment="1">
      <alignment vertical="center" wrapText="1"/>
    </xf>
    <xf numFmtId="0" fontId="13" fillId="11" borderId="16" xfId="0" applyFont="1" applyFill="1" applyBorder="1" applyAlignment="1">
      <alignment vertical="center" wrapText="1"/>
    </xf>
    <xf numFmtId="0" fontId="0" fillId="0" borderId="0" xfId="0" applyNumberFormat="1"/>
    <xf numFmtId="0" fontId="14" fillId="11" borderId="16" xfId="0" applyFont="1" applyFill="1" applyBorder="1" applyAlignment="1">
      <alignment horizontal="left" vertical="center" wrapText="1"/>
    </xf>
    <xf numFmtId="168" fontId="0" fillId="0" borderId="0" xfId="0" applyNumberFormat="1"/>
    <xf numFmtId="2" fontId="0" fillId="0" borderId="0" xfId="0" applyNumberFormat="1"/>
    <xf numFmtId="1" fontId="6" fillId="5" borderId="0" xfId="0" applyNumberFormat="1" applyFont="1" applyFill="1" applyBorder="1"/>
    <xf numFmtId="0" fontId="6" fillId="5" borderId="17" xfId="0" applyFont="1" applyFill="1" applyBorder="1"/>
    <xf numFmtId="0" fontId="6" fillId="5" borderId="18" xfId="0" applyFont="1" applyFill="1" applyBorder="1"/>
    <xf numFmtId="0" fontId="6" fillId="5" borderId="8" xfId="0" applyFont="1" applyFill="1" applyBorder="1"/>
    <xf numFmtId="1" fontId="6" fillId="5" borderId="8" xfId="0" applyNumberFormat="1" applyFont="1" applyFill="1" applyBorder="1"/>
    <xf numFmtId="0" fontId="6" fillId="5" borderId="12" xfId="0" applyFont="1" applyFill="1" applyBorder="1"/>
    <xf numFmtId="0" fontId="6" fillId="5" borderId="13" xfId="0" applyFont="1" applyFill="1" applyBorder="1"/>
    <xf numFmtId="0" fontId="0" fillId="0" borderId="0" xfId="0" pivotButton="1"/>
    <xf numFmtId="0" fontId="0" fillId="0" borderId="0" xfId="0" applyAlignment="1">
      <alignment horizontal="left"/>
    </xf>
    <xf numFmtId="17" fontId="0" fillId="0" borderId="0" xfId="0" applyNumberFormat="1"/>
    <xf numFmtId="0" fontId="0" fillId="12" borderId="0" xfId="0" applyFill="1" applyAlignment="1"/>
    <xf numFmtId="0" fontId="0" fillId="13" borderId="0" xfId="0" applyFill="1" applyAlignment="1"/>
    <xf numFmtId="0" fontId="0" fillId="0" borderId="19" xfId="0" applyBorder="1"/>
    <xf numFmtId="0" fontId="0" fillId="5" borderId="1" xfId="0" applyFill="1" applyBorder="1"/>
    <xf numFmtId="14" fontId="0" fillId="4" borderId="0" xfId="0" applyNumberFormat="1" applyFill="1" applyAlignment="1">
      <alignment horizontal="left"/>
    </xf>
    <xf numFmtId="0" fontId="0" fillId="5" borderId="2" xfId="0" applyFill="1" applyBorder="1"/>
    <xf numFmtId="0" fontId="0" fillId="4" borderId="20" xfId="0" applyFill="1" applyBorder="1"/>
    <xf numFmtId="0" fontId="0" fillId="4" borderId="0" xfId="0" applyFill="1" applyBorder="1"/>
    <xf numFmtId="0" fontId="3" fillId="0" borderId="12" xfId="0" applyFont="1" applyBorder="1"/>
    <xf numFmtId="0" fontId="0" fillId="0" borderId="12" xfId="0" applyBorder="1"/>
    <xf numFmtId="0" fontId="3" fillId="0" borderId="0" xfId="0" applyFont="1" applyBorder="1"/>
    <xf numFmtId="0" fontId="0" fillId="0" borderId="0" xfId="0" applyBorder="1"/>
    <xf numFmtId="0" fontId="3" fillId="6" borderId="0" xfId="0" applyFont="1" applyFill="1"/>
    <xf numFmtId="169" fontId="3" fillId="2" borderId="2" xfId="0" applyNumberFormat="1" applyFont="1" applyFill="1" applyBorder="1"/>
    <xf numFmtId="0" fontId="3" fillId="8" borderId="0" xfId="0" applyFont="1" applyFill="1" applyAlignment="1">
      <alignment horizontal="right" wrapText="1"/>
    </xf>
    <xf numFmtId="3" fontId="0" fillId="0" borderId="2" xfId="0" applyNumberFormat="1" applyBorder="1"/>
    <xf numFmtId="0" fontId="0" fillId="4" borderId="0" xfId="0" applyFill="1" applyAlignment="1">
      <alignment horizontal="left"/>
    </xf>
    <xf numFmtId="0" fontId="0" fillId="0" borderId="21" xfId="0" applyNumberFormat="1" applyBorder="1"/>
    <xf numFmtId="3" fontId="0" fillId="0" borderId="21" xfId="0" applyNumberFormat="1" applyBorder="1"/>
    <xf numFmtId="9" fontId="0" fillId="0" borderId="21" xfId="1" applyFont="1" applyBorder="1"/>
    <xf numFmtId="0" fontId="0" fillId="0" borderId="22" xfId="0" applyNumberFormat="1" applyBorder="1"/>
    <xf numFmtId="3" fontId="0" fillId="0" borderId="22" xfId="0" applyNumberFormat="1" applyBorder="1"/>
    <xf numFmtId="3" fontId="4" fillId="0" borderId="22" xfId="0" applyNumberFormat="1" applyFont="1" applyBorder="1" applyAlignment="1">
      <alignment horizontal="right"/>
    </xf>
    <xf numFmtId="0" fontId="18" fillId="0" borderId="24" xfId="0" applyFont="1" applyBorder="1" applyAlignment="1">
      <alignment horizontal="left" vertical="center" wrapText="1"/>
    </xf>
    <xf numFmtId="9" fontId="0" fillId="0" borderId="0" xfId="0" applyNumberFormat="1"/>
    <xf numFmtId="0" fontId="0" fillId="14" borderId="0" xfId="0" applyFill="1"/>
    <xf numFmtId="0" fontId="0" fillId="16" borderId="0" xfId="0" applyFill="1" applyBorder="1"/>
    <xf numFmtId="0" fontId="10" fillId="0" borderId="0" xfId="3" applyBorder="1" applyAlignment="1" applyProtection="1"/>
    <xf numFmtId="3" fontId="0" fillId="5" borderId="1" xfId="0" applyNumberFormat="1" applyFill="1" applyBorder="1" applyAlignment="1">
      <alignment horizontal="left"/>
    </xf>
    <xf numFmtId="170" fontId="0" fillId="0" borderId="0" xfId="0" applyNumberFormat="1"/>
    <xf numFmtId="164" fontId="0" fillId="9" borderId="0" xfId="0" applyNumberFormat="1" applyFill="1"/>
    <xf numFmtId="9" fontId="0" fillId="9" borderId="0" xfId="1" applyFont="1" applyFill="1"/>
    <xf numFmtId="3" fontId="0" fillId="9" borderId="0" xfId="0" applyNumberFormat="1" applyFill="1"/>
    <xf numFmtId="0" fontId="0" fillId="15" borderId="26" xfId="0" applyFill="1" applyBorder="1"/>
    <xf numFmtId="0" fontId="19" fillId="15" borderId="26" xfId="0" applyFont="1" applyFill="1" applyBorder="1"/>
    <xf numFmtId="0" fontId="20" fillId="15" borderId="26" xfId="0" applyFont="1" applyFill="1" applyBorder="1"/>
    <xf numFmtId="10" fontId="0" fillId="0" borderId="0" xfId="0" applyNumberFormat="1"/>
    <xf numFmtId="171" fontId="0" fillId="0" borderId="0" xfId="0" applyNumberFormat="1"/>
    <xf numFmtId="0" fontId="0" fillId="0" borderId="0" xfId="0" applyAlignment="1"/>
    <xf numFmtId="0" fontId="3" fillId="9" borderId="0" xfId="0" applyFont="1" applyFill="1"/>
    <xf numFmtId="0" fontId="0" fillId="0" borderId="27" xfId="0" applyBorder="1"/>
    <xf numFmtId="0" fontId="0" fillId="0" borderId="28" xfId="0" applyBorder="1"/>
    <xf numFmtId="0" fontId="0" fillId="0" borderId="29" xfId="0" applyBorder="1"/>
    <xf numFmtId="0" fontId="0" fillId="0" borderId="30" xfId="0" applyBorder="1"/>
    <xf numFmtId="172" fontId="0" fillId="0" borderId="0" xfId="0" applyNumberFormat="1"/>
    <xf numFmtId="173" fontId="0" fillId="0" borderId="0" xfId="0" applyNumberFormat="1"/>
    <xf numFmtId="174"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0" fontId="0" fillId="0" borderId="31" xfId="0" applyFont="1" applyBorder="1" applyAlignment="1">
      <alignment horizontal="left"/>
    </xf>
    <xf numFmtId="179" fontId="0" fillId="0" borderId="0" xfId="0" applyNumberFormat="1"/>
    <xf numFmtId="17" fontId="0" fillId="0" borderId="0" xfId="0" applyNumberFormat="1" applyAlignment="1">
      <alignment horizontal="left"/>
    </xf>
    <xf numFmtId="0" fontId="3" fillId="0" borderId="1" xfId="0" applyFont="1" applyBorder="1" applyAlignment="1">
      <alignment horizontal="centerContinuous"/>
    </xf>
    <xf numFmtId="180" fontId="21" fillId="17" borderId="0" xfId="0" applyNumberFormat="1" applyFont="1" applyFill="1"/>
    <xf numFmtId="180" fontId="0" fillId="18" borderId="0" xfId="0" applyNumberFormat="1" applyFill="1"/>
    <xf numFmtId="0" fontId="23" fillId="0" borderId="0" xfId="0" applyFont="1"/>
    <xf numFmtId="1" fontId="23" fillId="0" borderId="0" xfId="0" applyNumberFormat="1" applyFont="1"/>
    <xf numFmtId="0" fontId="24" fillId="0" borderId="0" xfId="0" applyFont="1" applyAlignment="1">
      <alignment wrapText="1"/>
    </xf>
    <xf numFmtId="1" fontId="0" fillId="0" borderId="17" xfId="0" applyNumberFormat="1" applyFill="1" applyBorder="1"/>
    <xf numFmtId="165" fontId="0" fillId="0" borderId="1" xfId="0" applyNumberFormat="1" applyFill="1" applyBorder="1"/>
    <xf numFmtId="1" fontId="22" fillId="0" borderId="32" xfId="0" applyNumberFormat="1" applyFont="1" applyBorder="1"/>
    <xf numFmtId="165" fontId="22" fillId="0" borderId="33" xfId="0" applyNumberFormat="1" applyFont="1" applyBorder="1"/>
    <xf numFmtId="0" fontId="25" fillId="17" borderId="0" xfId="0" applyFont="1" applyFill="1"/>
    <xf numFmtId="0" fontId="25" fillId="13" borderId="0" xfId="0" applyNumberFormat="1" applyFont="1" applyFill="1"/>
    <xf numFmtId="181" fontId="0" fillId="0" borderId="0" xfId="0" applyNumberFormat="1" applyAlignment="1">
      <alignment horizontal="left"/>
    </xf>
    <xf numFmtId="0" fontId="0" fillId="0" borderId="0" xfId="0" applyNumberFormat="1" applyAlignment="1">
      <alignment horizontal="center"/>
    </xf>
    <xf numFmtId="0" fontId="0" fillId="0" borderId="0" xfId="0" quotePrefix="1" applyNumberFormat="1" applyAlignment="1">
      <alignment horizontal="center"/>
    </xf>
    <xf numFmtId="0" fontId="25" fillId="17" borderId="0" xfId="0" applyFont="1" applyFill="1" applyAlignment="1">
      <alignment wrapText="1"/>
    </xf>
    <xf numFmtId="0" fontId="25" fillId="17" borderId="0" xfId="0" applyNumberFormat="1" applyFont="1" applyFill="1" applyAlignment="1">
      <alignment wrapText="1"/>
    </xf>
    <xf numFmtId="0" fontId="21" fillId="17" borderId="0" xfId="0" applyFont="1" applyFill="1"/>
    <xf numFmtId="0" fontId="0" fillId="0" borderId="34" xfId="0" applyBorder="1"/>
    <xf numFmtId="3" fontId="0" fillId="7" borderId="34" xfId="0" applyNumberFormat="1" applyFill="1" applyBorder="1"/>
    <xf numFmtId="0" fontId="0" fillId="0" borderId="0" xfId="0" applyFont="1"/>
    <xf numFmtId="0" fontId="0" fillId="0" borderId="25" xfId="0" applyFont="1" applyBorder="1" applyAlignment="1">
      <alignment horizontal="left" vertical="center" wrapText="1"/>
    </xf>
    <xf numFmtId="0" fontId="0" fillId="0" borderId="23" xfId="0" applyFont="1" applyBorder="1" applyAlignment="1">
      <alignment horizontal="left" vertical="center" wrapText="1"/>
    </xf>
    <xf numFmtId="0" fontId="3" fillId="3" borderId="0" xfId="0" applyFont="1" applyFill="1" applyBorder="1" applyAlignment="1">
      <alignment horizontal="center"/>
    </xf>
    <xf numFmtId="0" fontId="5" fillId="4" borderId="7" xfId="0" applyFont="1" applyFill="1" applyBorder="1" applyAlignment="1">
      <alignment horizontal="center"/>
    </xf>
    <xf numFmtId="0" fontId="5" fillId="4" borderId="0" xfId="0" applyFont="1" applyFill="1" applyBorder="1" applyAlignment="1">
      <alignment horizontal="center"/>
    </xf>
    <xf numFmtId="0" fontId="5" fillId="4" borderId="8" xfId="0" applyFont="1" applyFill="1" applyBorder="1" applyAlignment="1">
      <alignment horizontal="center"/>
    </xf>
    <xf numFmtId="0" fontId="5" fillId="5" borderId="4" xfId="0" applyFont="1" applyFill="1" applyBorder="1" applyAlignment="1">
      <alignment horizontal="center"/>
    </xf>
    <xf numFmtId="0" fontId="5" fillId="5" borderId="5" xfId="0" applyFont="1" applyFill="1" applyBorder="1" applyAlignment="1">
      <alignment horizontal="center"/>
    </xf>
    <xf numFmtId="0" fontId="5" fillId="5" borderId="6" xfId="0" applyFont="1" applyFill="1" applyBorder="1" applyAlignment="1">
      <alignment horizontal="center"/>
    </xf>
    <xf numFmtId="0" fontId="3" fillId="0" borderId="12" xfId="0" applyFont="1" applyBorder="1" applyAlignment="1">
      <alignment horizontal="center"/>
    </xf>
    <xf numFmtId="0" fontId="0" fillId="0" borderId="0" xfId="0" quotePrefix="1" applyAlignment="1">
      <alignment horizontal="left" wrapText="1"/>
    </xf>
  </cellXfs>
  <cellStyles count="4">
    <cellStyle name="Hyperlink" xfId="3" builtinId="8"/>
    <cellStyle name="Normal" xfId="0" builtinId="0"/>
    <cellStyle name="Normal 3 15 2" xfId="2" xr:uid="{00000000-0005-0000-0000-000002000000}"/>
    <cellStyle name="Percent" xfId="1" builtinId="5"/>
  </cellStyles>
  <dxfs count="46">
    <dxf>
      <numFmt numFmtId="3" formatCode="#,##0"/>
    </dxf>
    <dxf>
      <numFmt numFmtId="3" formatCode="#,##0"/>
    </dxf>
    <dxf>
      <numFmt numFmtId="3" formatCode="#,##0"/>
    </dxf>
    <dxf>
      <numFmt numFmtId="2" formatCode="0.00"/>
    </dxf>
    <dxf>
      <font>
        <b val="0"/>
        <i val="0"/>
        <strike val="0"/>
        <condense val="0"/>
        <extend val="0"/>
        <outline val="0"/>
        <shadow val="0"/>
        <u val="none"/>
        <vertAlign val="baseline"/>
        <sz val="11"/>
        <color theme="0"/>
        <name val="Calibri"/>
        <family val="2"/>
        <scheme val="minor"/>
      </font>
      <fill>
        <patternFill patternType="solid">
          <fgColor indexed="64"/>
          <bgColor theme="1" tint="0.34998626667073579"/>
        </patternFill>
      </fill>
    </dxf>
    <dxf>
      <font>
        <color theme="6"/>
      </font>
      <fill>
        <patternFill>
          <bgColor theme="6"/>
        </patternFill>
      </fill>
      <border>
        <left style="thin">
          <color theme="0"/>
        </left>
        <right style="thin">
          <color theme="0"/>
        </right>
        <top style="thin">
          <color theme="0"/>
        </top>
        <bottom style="thin">
          <color theme="0"/>
        </bottom>
        <vertical/>
        <horizontal/>
      </border>
    </dxf>
    <dxf>
      <font>
        <color theme="5"/>
      </font>
      <fill>
        <patternFill>
          <bgColor theme="5"/>
        </patternFill>
      </fill>
      <border>
        <left style="thin">
          <color theme="0"/>
        </left>
        <right style="thin">
          <color theme="0"/>
        </right>
        <top style="thin">
          <color theme="0"/>
        </top>
        <bottom style="thin">
          <color theme="0"/>
        </bottom>
        <vertical/>
        <horizontal/>
      </border>
    </dxf>
    <dxf>
      <font>
        <b/>
        <i val="0"/>
        <strike val="0"/>
        <condense val="0"/>
        <extend val="0"/>
        <outline val="0"/>
        <shadow val="0"/>
        <u val="none"/>
        <vertAlign val="baseline"/>
        <sz val="11"/>
        <color theme="1"/>
        <name val="Calibri"/>
        <scheme val="minor"/>
      </font>
      <fill>
        <patternFill patternType="solid">
          <fgColor indexed="64"/>
          <bgColor theme="5" tint="0.79998168889431442"/>
        </patternFill>
      </fill>
      <alignment horizontal="general" vertical="bottom" textRotation="0" wrapText="1" indent="0" justifyLastLine="0" shrinkToFit="0" readingOrder="0"/>
    </dxf>
    <dxf>
      <fill>
        <patternFill>
          <bgColor theme="6"/>
        </patternFill>
      </fill>
      <border>
        <left style="thin">
          <color theme="0"/>
        </left>
        <right style="thin">
          <color theme="0"/>
        </right>
        <top style="thin">
          <color theme="0"/>
        </top>
        <bottom style="thin">
          <color theme="0"/>
        </bottom>
      </border>
    </dxf>
    <dxf>
      <fill>
        <patternFill>
          <bgColor rgb="FFFFFF8F"/>
        </patternFill>
      </fill>
      <border>
        <left style="thin">
          <color theme="0"/>
        </left>
        <right style="thin">
          <color theme="0"/>
        </right>
        <top style="thin">
          <color theme="0"/>
        </top>
        <bottom style="thin">
          <color theme="0"/>
        </bottom>
        <vertical/>
        <horizontal/>
      </border>
    </dxf>
    <dxf>
      <fill>
        <patternFill>
          <bgColor theme="5"/>
        </patternFill>
      </fill>
      <border>
        <left style="thin">
          <color theme="0"/>
        </left>
        <right style="thin">
          <color theme="0"/>
        </right>
        <top style="thin">
          <color theme="0"/>
        </top>
        <bottom style="thin">
          <color theme="0"/>
        </bottom>
        <vertical/>
        <horizontal/>
      </border>
    </dxf>
    <dxf>
      <fill>
        <patternFill>
          <bgColor theme="6"/>
        </patternFill>
      </fill>
      <border>
        <left style="thin">
          <color theme="0"/>
        </left>
        <right style="thin">
          <color theme="0"/>
        </right>
        <top style="thin">
          <color theme="0"/>
        </top>
        <bottom style="thin">
          <color theme="0"/>
        </bottom>
      </border>
    </dxf>
    <dxf>
      <fill>
        <patternFill>
          <bgColor rgb="FFFFFF8F"/>
        </patternFill>
      </fill>
      <border>
        <left style="thin">
          <color theme="0"/>
        </left>
        <right style="thin">
          <color theme="0"/>
        </right>
        <top style="thin">
          <color theme="0"/>
        </top>
        <bottom style="thin">
          <color theme="0"/>
        </bottom>
        <vertical/>
        <horizontal/>
      </border>
    </dxf>
    <dxf>
      <fill>
        <patternFill>
          <bgColor theme="5"/>
        </patternFill>
      </fill>
      <border>
        <left style="thin">
          <color theme="0"/>
        </left>
        <right style="thin">
          <color theme="0"/>
        </right>
        <top style="thin">
          <color theme="0"/>
        </top>
        <bottom style="thin">
          <color theme="0"/>
        </bottom>
        <vertical/>
        <horizontal/>
      </border>
    </dxf>
    <dxf>
      <fill>
        <patternFill>
          <bgColor theme="6"/>
        </patternFill>
      </fill>
      <border>
        <left style="thin">
          <color theme="0"/>
        </left>
        <right style="thin">
          <color theme="0"/>
        </right>
        <top style="thin">
          <color theme="0"/>
        </top>
        <bottom style="thin">
          <color theme="0"/>
        </bottom>
      </border>
    </dxf>
    <dxf>
      <fill>
        <patternFill>
          <bgColor rgb="FFFFFF8F"/>
        </patternFill>
      </fill>
      <border>
        <left style="thin">
          <color theme="0"/>
        </left>
        <right style="thin">
          <color theme="0"/>
        </right>
        <top style="thin">
          <color theme="0"/>
        </top>
        <bottom style="thin">
          <color theme="0"/>
        </bottom>
        <vertical/>
        <horizontal/>
      </border>
    </dxf>
    <dxf>
      <fill>
        <patternFill>
          <bgColor theme="5"/>
        </patternFill>
      </fill>
      <border>
        <left style="thin">
          <color theme="0"/>
        </left>
        <right style="thin">
          <color theme="0"/>
        </right>
        <top style="thin">
          <color theme="0"/>
        </top>
        <bottom style="thin">
          <color theme="0"/>
        </bottom>
        <vertical/>
        <horizontal/>
      </border>
    </dxf>
    <dxf>
      <fill>
        <patternFill>
          <bgColor theme="6"/>
        </patternFill>
      </fill>
      <border>
        <left style="thin">
          <color theme="0"/>
        </left>
        <right style="thin">
          <color theme="0"/>
        </right>
        <top style="thin">
          <color theme="0"/>
        </top>
        <bottom style="thin">
          <color theme="0"/>
        </bottom>
      </border>
    </dxf>
    <dxf>
      <fill>
        <patternFill>
          <bgColor rgb="FFFFFF8F"/>
        </patternFill>
      </fill>
      <border>
        <left style="thin">
          <color theme="0"/>
        </left>
        <right style="thin">
          <color theme="0"/>
        </right>
        <top style="thin">
          <color theme="0"/>
        </top>
        <bottom style="thin">
          <color theme="0"/>
        </bottom>
        <vertical/>
        <horizontal/>
      </border>
    </dxf>
    <dxf>
      <fill>
        <patternFill>
          <bgColor theme="5"/>
        </patternFill>
      </fill>
      <border>
        <left style="thin">
          <color theme="0"/>
        </left>
        <right style="thin">
          <color theme="0"/>
        </right>
        <top style="thin">
          <color theme="0"/>
        </top>
        <bottom style="thin">
          <color theme="0"/>
        </bottom>
        <vertical/>
        <horizontal/>
      </border>
    </dxf>
    <dxf>
      <fill>
        <patternFill>
          <bgColor theme="6"/>
        </patternFill>
      </fill>
      <border>
        <left style="thin">
          <color theme="0"/>
        </left>
        <right style="thin">
          <color theme="0"/>
        </right>
        <top style="thin">
          <color theme="0"/>
        </top>
        <bottom style="thin">
          <color theme="0"/>
        </bottom>
      </border>
    </dxf>
    <dxf>
      <fill>
        <patternFill>
          <bgColor rgb="FFFFFF8F"/>
        </patternFill>
      </fill>
      <border>
        <left style="thin">
          <color theme="0"/>
        </left>
        <right style="thin">
          <color theme="0"/>
        </right>
        <top style="thin">
          <color theme="0"/>
        </top>
        <bottom style="thin">
          <color theme="0"/>
        </bottom>
        <vertical/>
        <horizontal/>
      </border>
    </dxf>
    <dxf>
      <fill>
        <patternFill>
          <bgColor theme="5"/>
        </patternFill>
      </fill>
      <border>
        <left style="thin">
          <color theme="0"/>
        </left>
        <right style="thin">
          <color theme="0"/>
        </right>
        <top style="thin">
          <color theme="0"/>
        </top>
        <bottom style="thin">
          <color theme="0"/>
        </bottom>
        <vertical/>
        <horizontal/>
      </border>
    </dxf>
    <dxf>
      <fill>
        <patternFill>
          <bgColor theme="6"/>
        </patternFill>
      </fill>
      <border>
        <left style="thin">
          <color theme="0"/>
        </left>
        <right style="thin">
          <color theme="0"/>
        </right>
        <top style="thin">
          <color theme="0"/>
        </top>
        <bottom style="thin">
          <color theme="0"/>
        </bottom>
      </border>
    </dxf>
    <dxf>
      <fill>
        <patternFill>
          <bgColor rgb="FFFFFF8F"/>
        </patternFill>
      </fill>
      <border>
        <left style="thin">
          <color theme="0"/>
        </left>
        <right style="thin">
          <color theme="0"/>
        </right>
        <top style="thin">
          <color theme="0"/>
        </top>
        <bottom style="thin">
          <color theme="0"/>
        </bottom>
        <vertical/>
        <horizontal/>
      </border>
    </dxf>
    <dxf>
      <fill>
        <patternFill>
          <bgColor theme="5"/>
        </patternFill>
      </fill>
      <border>
        <left style="thin">
          <color theme="0"/>
        </left>
        <right style="thin">
          <color theme="0"/>
        </right>
        <top style="thin">
          <color theme="0"/>
        </top>
        <bottom style="thin">
          <color theme="0"/>
        </bottom>
        <vertical/>
        <horizontal/>
      </border>
    </dxf>
    <dxf>
      <fill>
        <patternFill>
          <bgColor theme="6"/>
        </patternFill>
      </fill>
      <border>
        <left style="thin">
          <color theme="0"/>
        </left>
        <right style="thin">
          <color theme="0"/>
        </right>
        <top style="thin">
          <color theme="0"/>
        </top>
        <bottom style="thin">
          <color theme="0"/>
        </bottom>
      </border>
    </dxf>
    <dxf>
      <fill>
        <patternFill>
          <bgColor rgb="FFFFFF8F"/>
        </patternFill>
      </fill>
      <border>
        <left style="thin">
          <color theme="0"/>
        </left>
        <right style="thin">
          <color theme="0"/>
        </right>
        <top style="thin">
          <color theme="0"/>
        </top>
        <bottom style="thin">
          <color theme="0"/>
        </bottom>
        <vertical/>
        <horizontal/>
      </border>
    </dxf>
    <dxf>
      <fill>
        <patternFill>
          <bgColor theme="5"/>
        </patternFill>
      </fill>
      <border>
        <left style="thin">
          <color theme="0"/>
        </left>
        <right style="thin">
          <color theme="0"/>
        </right>
        <top style="thin">
          <color theme="0"/>
        </top>
        <bottom style="thin">
          <color theme="0"/>
        </bottom>
        <vertical/>
        <horizontal/>
      </border>
    </dxf>
    <dxf>
      <fill>
        <patternFill>
          <bgColor theme="6"/>
        </patternFill>
      </fill>
      <border>
        <left style="thin">
          <color theme="0"/>
        </left>
        <right style="thin">
          <color theme="0"/>
        </right>
        <top style="thin">
          <color theme="0"/>
        </top>
        <bottom style="thin">
          <color theme="0"/>
        </bottom>
      </border>
    </dxf>
    <dxf>
      <fill>
        <patternFill>
          <bgColor rgb="FFFFFF8F"/>
        </patternFill>
      </fill>
      <border>
        <left style="thin">
          <color theme="0"/>
        </left>
        <right style="thin">
          <color theme="0"/>
        </right>
        <top style="thin">
          <color theme="0"/>
        </top>
        <bottom style="thin">
          <color theme="0"/>
        </bottom>
        <vertical/>
        <horizontal/>
      </border>
    </dxf>
    <dxf>
      <fill>
        <patternFill>
          <bgColor theme="5"/>
        </patternFill>
      </fill>
      <border>
        <left style="thin">
          <color theme="0"/>
        </left>
        <right style="thin">
          <color theme="0"/>
        </right>
        <top style="thin">
          <color theme="0"/>
        </top>
        <bottom style="thin">
          <color theme="0"/>
        </bottom>
        <vertical/>
        <horizontal/>
      </border>
    </dxf>
    <dxf>
      <font>
        <b/>
        <color theme="1"/>
      </font>
      <border>
        <bottom style="thin">
          <color theme="4"/>
        </bottom>
        <vertical/>
        <horizontal/>
      </border>
    </dxf>
    <dxf>
      <font>
        <sz val="9"/>
        <color theme="1"/>
      </font>
      <border diagonalUp="0" diagonalDown="0">
        <left/>
        <right/>
        <top/>
        <bottom/>
        <vertical/>
        <horizontal/>
      </border>
    </dxf>
    <dxf>
      <border>
        <top/>
        <bottom style="thin">
          <color theme="1" tint="0.499984740745262"/>
        </bottom>
      </border>
    </dxf>
    <dxf>
      <border>
        <top/>
        <bottom style="thin">
          <color theme="1" tint="0.499984740745262"/>
        </bottom>
      </border>
    </dxf>
    <dxf>
      <font>
        <b/>
        <color theme="1" tint="0.499984740745262"/>
      </font>
    </dxf>
    <dxf>
      <font>
        <b/>
        <color theme="1"/>
      </font>
    </dxf>
    <dxf>
      <font>
        <b/>
        <color theme="1" tint="0.499984740745262"/>
      </font>
    </dxf>
    <dxf>
      <font>
        <b/>
        <color theme="1"/>
      </font>
      <border>
        <bottom style="medium">
          <color auto="1"/>
        </bottom>
        <horizontal style="medium">
          <color auto="1"/>
        </horizontal>
      </border>
    </dxf>
    <dxf>
      <border diagonalUp="0" diagonalDown="0">
        <left/>
        <right/>
        <top/>
        <bottom/>
        <vertical/>
        <horizontal/>
      </border>
    </dxf>
    <dxf>
      <fill>
        <patternFill patternType="solid">
          <fgColor theme="0" tint="-0.14999847407452621"/>
          <bgColor theme="0" tint="-0.14999847407452621"/>
        </patternFill>
      </fill>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ill>
        <patternFill patternType="solid">
          <fgColor theme="0" tint="-0.14999847407452621"/>
          <bgColor theme="0" tint="-0.14999847407452621"/>
        </patternFill>
      </fill>
      <border>
        <top style="thin">
          <color theme="0" tint="-0.34998626667073579"/>
        </top>
        <bottom style="thin">
          <color theme="0" tint="-0.34998626667073579"/>
        </bottom>
      </border>
    </dxf>
    <dxf>
      <font>
        <b/>
        <color theme="1"/>
      </font>
      <fill>
        <patternFill patternType="solid">
          <fgColor theme="0"/>
          <bgColor theme="0"/>
        </patternFill>
      </fill>
      <border>
        <top style="medium">
          <color theme="1"/>
        </top>
        <bottom style="medium">
          <color theme="1"/>
        </bottom>
      </border>
    </dxf>
    <dxf>
      <font>
        <b/>
        <color theme="1"/>
      </font>
      <border>
        <top/>
        <bottom style="medium">
          <color theme="1"/>
        </bottom>
        <vertical/>
      </border>
    </dxf>
    <dxf>
      <font>
        <color theme="1"/>
      </font>
      <border>
        <vertical style="double">
          <color theme="0"/>
        </vertical>
        <horizontal style="thin">
          <color theme="0" tint="-0.14999847407452621"/>
        </horizontal>
      </border>
    </dxf>
  </dxfs>
  <tableStyles count="2" defaultTableStyle="TableStyleMedium2" defaultPivotStyle="PivotStyleLight16">
    <tableStyle name="PivotFancy" table="0" count="12" xr9:uid="{00000000-0011-0000-FFFF-FFFF00000000}">
      <tableStyleElement type="wholeTable" dxfId="45"/>
      <tableStyleElement type="headerRow" dxfId="44"/>
      <tableStyleElement type="totalRow" dxfId="43"/>
      <tableStyleElement type="firstRowStripe" dxfId="42"/>
      <tableStyleElement type="firstColumnStripe" dxfId="41"/>
      <tableStyleElement type="firstHeaderCell" dxfId="40"/>
      <tableStyleElement type="firstSubtotalRow" dxfId="39"/>
      <tableStyleElement type="secondSubtotalRow" dxfId="38"/>
      <tableStyleElement type="firstRowSubheading" dxfId="37"/>
      <tableStyleElement type="secondRowSubheading" dxfId="36"/>
      <tableStyleElement type="pageFieldLabels" dxfId="35"/>
      <tableStyleElement type="pageFieldValues" dxfId="34"/>
    </tableStyle>
    <tableStyle name="Slicerwithoutborder" pivot="0" table="0" count="10" xr9:uid="{00000000-0011-0000-FFFF-FFFF01000000}">
      <tableStyleElement type="wholeTable" dxfId="33"/>
      <tableStyleElement type="headerRow" dxfId="32"/>
    </tableStyle>
  </tableStyles>
  <colors>
    <mruColors>
      <color rgb="FFFFFF8F"/>
      <color rgb="FFFFFF00"/>
      <color rgb="FFFABA86"/>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withoutbor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1.xml"/><Relationship Id="rId30" Type="http://schemas.microsoft.com/office/2007/relationships/slicerCache" Target="slicerCaches/slicerCache1.xml"/><Relationship Id="rId35" Type="http://schemas.openxmlformats.org/officeDocument/2006/relationships/customXml" Target="../customXml/item1.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sz="1100"/>
          </a:pPr>
          <a:endParaRPr lang="en-US"/>
        </a:p>
      </c:txPr>
    </c:title>
    <c:autoTitleDeleted val="0"/>
    <c:plotArea>
      <c:layout/>
      <c:barChart>
        <c:barDir val="col"/>
        <c:grouping val="clustered"/>
        <c:varyColors val="0"/>
        <c:ser>
          <c:idx val="0"/>
          <c:order val="0"/>
          <c:tx>
            <c:strRef>
              <c:f>'T4'!$E$11</c:f>
              <c:strCache>
                <c:ptCount val="1"/>
                <c:pt idx="0">
                  <c:v>my bonus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'T4'!$D$12:$D$14</c:f>
              <c:numCache>
                <c:formatCode>General</c:formatCode>
                <c:ptCount val="3"/>
                <c:pt idx="0">
                  <c:v>2014</c:v>
                </c:pt>
                <c:pt idx="1">
                  <c:v>2015</c:v>
                </c:pt>
                <c:pt idx="2">
                  <c:v>2016</c:v>
                </c:pt>
              </c:numCache>
            </c:numRef>
          </c:cat>
          <c:val>
            <c:numRef>
              <c:f>'T4'!$E$12:$E$14</c:f>
              <c:numCache>
                <c:formatCode>General</c:formatCode>
                <c:ptCount val="3"/>
                <c:pt idx="0">
                  <c:v>2000</c:v>
                </c:pt>
                <c:pt idx="1">
                  <c:v>1000</c:v>
                </c:pt>
                <c:pt idx="2">
                  <c:v>2100</c:v>
                </c:pt>
              </c:numCache>
            </c:numRef>
          </c:val>
          <c:extLst>
            <c:ext xmlns:c16="http://schemas.microsoft.com/office/drawing/2014/chart" uri="{C3380CC4-5D6E-409C-BE32-E72D297353CC}">
              <c16:uniqueId val="{00000000-ECB7-49F1-8D0B-961CA38AC5EC}"/>
            </c:ext>
          </c:extLst>
        </c:ser>
        <c:dLbls>
          <c:showLegendKey val="0"/>
          <c:showVal val="0"/>
          <c:showCatName val="0"/>
          <c:showSerName val="0"/>
          <c:showPercent val="0"/>
          <c:showBubbleSize val="0"/>
        </c:dLbls>
        <c:gapWidth val="150"/>
        <c:axId val="109731840"/>
        <c:axId val="109733376"/>
      </c:barChart>
      <c:catAx>
        <c:axId val="109731840"/>
        <c:scaling>
          <c:orientation val="minMax"/>
        </c:scaling>
        <c:delete val="0"/>
        <c:axPos val="b"/>
        <c:numFmt formatCode="General" sourceLinked="1"/>
        <c:majorTickMark val="out"/>
        <c:minorTickMark val="none"/>
        <c:tickLblPos val="nextTo"/>
        <c:crossAx val="109733376"/>
        <c:crosses val="autoZero"/>
        <c:auto val="1"/>
        <c:lblAlgn val="ctr"/>
        <c:lblOffset val="100"/>
        <c:noMultiLvlLbl val="0"/>
      </c:catAx>
      <c:valAx>
        <c:axId val="109733376"/>
        <c:scaling>
          <c:orientation val="minMax"/>
        </c:scaling>
        <c:delete val="1"/>
        <c:axPos val="l"/>
        <c:numFmt formatCode="General" sourceLinked="1"/>
        <c:majorTickMark val="out"/>
        <c:minorTickMark val="none"/>
        <c:tickLblPos val="nextTo"/>
        <c:crossAx val="109731840"/>
        <c:crosses val="autoZero"/>
        <c:crossBetween val="between"/>
      </c:valAx>
    </c:plotArea>
    <c:plotVisOnly val="0"/>
    <c:dispBlanksAs val="gap"/>
    <c:showDLblsOverMax val="0"/>
  </c:chart>
  <c:spPr>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'T10'!$K$14</c:f>
          <c:strCache>
            <c:ptCount val="1"/>
            <c:pt idx="0">
              <c:v>Revenue for Agent A</c:v>
            </c:pt>
          </c:strCache>
        </c:strRef>
      </c:tx>
      <c:overlay val="0"/>
      <c:txPr>
        <a:bodyPr/>
        <a:lstStyle/>
        <a:p>
          <a:pPr>
            <a:defRPr sz="1400">
              <a:solidFill>
                <a:schemeClr val="tx1">
                  <a:lumMod val="75000"/>
                  <a:lumOff val="25000"/>
                </a:schemeClr>
              </a:solidFill>
            </a:defRPr>
          </a:pPr>
          <a:endParaRPr lang="en-US"/>
        </a:p>
      </c:txPr>
    </c:title>
    <c:autoTitleDeleted val="0"/>
    <c:plotArea>
      <c:layout/>
      <c:barChart>
        <c:barDir val="col"/>
        <c:grouping val="clustered"/>
        <c:varyColors val="0"/>
        <c:ser>
          <c:idx val="0"/>
          <c:order val="0"/>
          <c:tx>
            <c:strRef>
              <c:f>'T10'!$N$15</c:f>
              <c:strCache>
                <c:ptCount val="1"/>
                <c:pt idx="0">
                  <c:v>Revenue</c:v>
                </c:pt>
              </c:strCache>
            </c:strRef>
          </c:tx>
          <c:spPr>
            <a:solidFill>
              <a:schemeClr val="tx1">
                <a:lumMod val="65000"/>
                <a:lumOff val="35000"/>
              </a:schemeClr>
            </a:solidFill>
          </c:spPr>
          <c:invertIfNegative val="0"/>
          <c:cat>
            <c:strRef>
              <c:f>'T10'!$M$16:$M$27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'T10'!$N$16:$N$27</c:f>
              <c:numCache>
                <c:formatCode>General</c:formatCode>
                <c:ptCount val="12"/>
                <c:pt idx="0">
                  <c:v>550</c:v>
                </c:pt>
                <c:pt idx="1">
                  <c:v>1323</c:v>
                </c:pt>
                <c:pt idx="2">
                  <c:v>1010</c:v>
                </c:pt>
                <c:pt idx="3">
                  <c:v>740</c:v>
                </c:pt>
                <c:pt idx="4">
                  <c:v>1103</c:v>
                </c:pt>
                <c:pt idx="5">
                  <c:v>600</c:v>
                </c:pt>
                <c:pt idx="6">
                  <c:v>0</c:v>
                </c:pt>
                <c:pt idx="7">
                  <c:v>0</c:v>
                </c:pt>
                <c:pt idx="8">
                  <c:v>0</c:v>
                </c:pt>
                <c:pt idx="9">
                  <c:v>0</c:v>
                </c:pt>
                <c:pt idx="10">
                  <c:v>0</c:v>
                </c:pt>
                <c:pt idx="11">
                  <c:v>0</c:v>
                </c:pt>
              </c:numCache>
            </c:numRef>
          </c:val>
          <c:extLst>
            <c:ext xmlns:c16="http://schemas.microsoft.com/office/drawing/2014/chart" uri="{C3380CC4-5D6E-409C-BE32-E72D297353CC}">
              <c16:uniqueId val="{00000000-E928-47B5-944E-4B076DDFA2B9}"/>
            </c:ext>
          </c:extLst>
        </c:ser>
        <c:ser>
          <c:idx val="1"/>
          <c:order val="1"/>
          <c:tx>
            <c:strRef>
              <c:f>'T10'!$O$15</c:f>
              <c:strCache>
                <c:ptCount val="1"/>
                <c:pt idx="0">
                  <c:v>Max to highlight</c:v>
                </c:pt>
              </c:strCache>
            </c:strRef>
          </c:tx>
          <c:spPr>
            <a:solidFill>
              <a:schemeClr val="accent3"/>
            </a:solidFill>
          </c:spPr>
          <c:invertIfNegative val="0"/>
          <c:cat>
            <c:strRef>
              <c:f>'T10'!$M$16:$M$27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'T10'!$O$16:$O$27</c:f>
              <c:numCache>
                <c:formatCode>General</c:formatCode>
                <c:ptCount val="12"/>
                <c:pt idx="0">
                  <c:v>0</c:v>
                </c:pt>
                <c:pt idx="1">
                  <c:v>1323</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E928-47B5-944E-4B076DDFA2B9}"/>
            </c:ext>
          </c:extLst>
        </c:ser>
        <c:dLbls>
          <c:showLegendKey val="0"/>
          <c:showVal val="0"/>
          <c:showCatName val="0"/>
          <c:showSerName val="0"/>
          <c:showPercent val="0"/>
          <c:showBubbleSize val="0"/>
        </c:dLbls>
        <c:gapWidth val="95"/>
        <c:overlap val="100"/>
        <c:axId val="112388736"/>
        <c:axId val="112390528"/>
      </c:barChart>
      <c:catAx>
        <c:axId val="112388736"/>
        <c:scaling>
          <c:orientation val="minMax"/>
        </c:scaling>
        <c:delete val="0"/>
        <c:axPos val="b"/>
        <c:numFmt formatCode="General" sourceLinked="0"/>
        <c:majorTickMark val="out"/>
        <c:minorTickMark val="none"/>
        <c:tickLblPos val="nextTo"/>
        <c:crossAx val="112390528"/>
        <c:crosses val="autoZero"/>
        <c:auto val="1"/>
        <c:lblAlgn val="ctr"/>
        <c:lblOffset val="100"/>
        <c:noMultiLvlLbl val="0"/>
      </c:catAx>
      <c:valAx>
        <c:axId val="112390528"/>
        <c:scaling>
          <c:orientation val="minMax"/>
        </c:scaling>
        <c:delete val="0"/>
        <c:axPos val="l"/>
        <c:numFmt formatCode="General" sourceLinked="1"/>
        <c:majorTickMark val="out"/>
        <c:minorTickMark val="none"/>
        <c:tickLblPos val="nextTo"/>
        <c:crossAx val="112388736"/>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xelplus.com"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_rels/drawing7.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8</xdr:col>
      <xdr:colOff>3810000</xdr:colOff>
      <xdr:row>15</xdr:row>
      <xdr:rowOff>161925</xdr:rowOff>
    </xdr:from>
    <xdr:to>
      <xdr:col>9</xdr:col>
      <xdr:colOff>1515899</xdr:colOff>
      <xdr:row>16</xdr:row>
      <xdr:rowOff>139594</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734675" y="3300413"/>
          <a:ext cx="1796887" cy="158644"/>
        </a:xfrm>
        <a:prstGeom prst="rect">
          <a:avLst/>
        </a:prstGeom>
      </xdr:spPr>
    </xdr:pic>
    <xdr:clientData/>
  </xdr:twoCellAnchor>
  <xdr:oneCellAnchor>
    <xdr:from>
      <xdr:col>5</xdr:col>
      <xdr:colOff>276225</xdr:colOff>
      <xdr:row>0</xdr:row>
      <xdr:rowOff>95250</xdr:rowOff>
    </xdr:from>
    <xdr:ext cx="4454553"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505575" y="95250"/>
          <a:ext cx="445455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solidFill>
                <a:schemeClr val="bg1"/>
              </a:solidFill>
            </a:rPr>
            <a:t>Type "back" in the name field to get back from any tab to THIS Index Page!</a:t>
          </a:r>
        </a:p>
      </xdr:txBody>
    </xdr:sp>
    <xdr:clientData/>
  </xdr:oneCellAnchor>
  <xdr:oneCellAnchor>
    <xdr:from>
      <xdr:col>2</xdr:col>
      <xdr:colOff>280988</xdr:colOff>
      <xdr:row>0</xdr:row>
      <xdr:rowOff>38100</xdr:rowOff>
    </xdr:from>
    <xdr:ext cx="2352632" cy="468013"/>
    <xdr:sp macro="" textlink="">
      <xdr:nvSpPr>
        <xdr:cNvPr id="4" name="Textfeld 3">
          <a:extLst>
            <a:ext uri="{FF2B5EF4-FFF2-40B4-BE49-F238E27FC236}">
              <a16:creationId xmlns:a16="http://schemas.microsoft.com/office/drawing/2014/main" id="{00000000-0008-0000-0000-000004000000}"/>
            </a:ext>
          </a:extLst>
        </xdr:cNvPr>
        <xdr:cNvSpPr txBox="1"/>
      </xdr:nvSpPr>
      <xdr:spPr>
        <a:xfrm>
          <a:off x="795338" y="38100"/>
          <a:ext cx="2352632"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AT" sz="2400" b="1">
              <a:solidFill>
                <a:schemeClr val="bg1"/>
              </a:solidFill>
            </a:rPr>
            <a:t>Demo</a:t>
          </a:r>
          <a:r>
            <a:rPr lang="de-AT" sz="2000" b="1">
              <a:solidFill>
                <a:schemeClr val="bg1"/>
              </a:solidFill>
            </a:rPr>
            <a:t> </a:t>
          </a:r>
          <a:r>
            <a:rPr lang="de-AT" sz="2400" b="1">
              <a:solidFill>
                <a:schemeClr val="bg1"/>
              </a:solidFill>
            </a:rPr>
            <a:t>Workbook</a:t>
          </a:r>
          <a:endParaRPr lang="de-AT" sz="2000" b="1">
            <a:solidFill>
              <a:schemeClr val="bg1"/>
            </a:solidFill>
          </a:endParaRP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5</xdr:row>
      <xdr:rowOff>28575</xdr:rowOff>
    </xdr:from>
    <xdr:to>
      <xdr:col>8</xdr:col>
      <xdr:colOff>294638</xdr:colOff>
      <xdr:row>35</xdr:row>
      <xdr:rowOff>183411</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1009650"/>
          <a:ext cx="5095238" cy="5914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180975</xdr:colOff>
      <xdr:row>22</xdr:row>
      <xdr:rowOff>57150</xdr:rowOff>
    </xdr:from>
    <xdr:to>
      <xdr:col>3</xdr:col>
      <xdr:colOff>228600</xdr:colOff>
      <xdr:row>28</xdr:row>
      <xdr:rowOff>171450</xdr:rowOff>
    </xdr:to>
    <xdr:pic>
      <xdr:nvPicPr>
        <xdr:cNvPr id="2" name="Picture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srcRect/>
        <a:stretch>
          <a:fillRect/>
        </a:stretch>
      </xdr:blipFill>
      <xdr:spPr bwMode="auto">
        <a:xfrm>
          <a:off x="180975" y="4276725"/>
          <a:ext cx="1847850" cy="1257300"/>
        </a:xfrm>
        <a:prstGeom prst="rect">
          <a:avLst/>
        </a:prstGeom>
        <a:noFill/>
        <a:ln w="9525">
          <a:noFill/>
          <a:miter lim="800000"/>
          <a:headEnd/>
          <a:tailEnd/>
        </a:ln>
      </xdr:spPr>
    </xdr:pic>
    <xdr:clientData/>
  </xdr:twoCellAnchor>
  <xdr:twoCellAnchor>
    <xdr:from>
      <xdr:col>0</xdr:col>
      <xdr:colOff>0</xdr:colOff>
      <xdr:row>33</xdr:row>
      <xdr:rowOff>104775</xdr:rowOff>
    </xdr:from>
    <xdr:to>
      <xdr:col>2</xdr:col>
      <xdr:colOff>200023</xdr:colOff>
      <xdr:row>43</xdr:row>
      <xdr:rowOff>95250</xdr:rowOff>
    </xdr:to>
    <xdr:grpSp>
      <xdr:nvGrpSpPr>
        <xdr:cNvPr id="5" name="Group 4">
          <a:extLst>
            <a:ext uri="{FF2B5EF4-FFF2-40B4-BE49-F238E27FC236}">
              <a16:creationId xmlns:a16="http://schemas.microsoft.com/office/drawing/2014/main" id="{00000000-0008-0000-0300-000005000000}"/>
            </a:ext>
          </a:extLst>
        </xdr:cNvPr>
        <xdr:cNvGrpSpPr/>
      </xdr:nvGrpSpPr>
      <xdr:grpSpPr>
        <a:xfrm>
          <a:off x="0" y="6210300"/>
          <a:ext cx="1400173" cy="1895475"/>
          <a:chOff x="5495925" y="8919584"/>
          <a:chExt cx="1529991" cy="2205616"/>
        </a:xfrm>
      </xdr:grpSpPr>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rotWithShape="1">
          <a:blip xmlns:r="http://schemas.openxmlformats.org/officeDocument/2006/relationships" r:embed="rId2"/>
          <a:srcRect t="43495" r="80525" b="5456"/>
          <a:stretch/>
        </xdr:blipFill>
        <xdr:spPr>
          <a:xfrm>
            <a:off x="5606691" y="8919584"/>
            <a:ext cx="1419225" cy="2091489"/>
          </a:xfrm>
          <a:prstGeom prst="rect">
            <a:avLst/>
          </a:prstGeom>
        </xdr:spPr>
      </xdr:pic>
      <xdr:sp macro="" textlink="">
        <xdr:nvSpPr>
          <xdr:cNvPr id="4" name="Oval 3">
            <a:extLst>
              <a:ext uri="{FF2B5EF4-FFF2-40B4-BE49-F238E27FC236}">
                <a16:creationId xmlns:a16="http://schemas.microsoft.com/office/drawing/2014/main" id="{00000000-0008-0000-0300-000004000000}"/>
              </a:ext>
            </a:extLst>
          </xdr:cNvPr>
          <xdr:cNvSpPr/>
        </xdr:nvSpPr>
        <xdr:spPr>
          <a:xfrm>
            <a:off x="5495925" y="10763250"/>
            <a:ext cx="1171575" cy="3619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editAs="oneCell">
    <xdr:from>
      <xdr:col>0</xdr:col>
      <xdr:colOff>266699</xdr:colOff>
      <xdr:row>45</xdr:row>
      <xdr:rowOff>57150</xdr:rowOff>
    </xdr:from>
    <xdr:to>
      <xdr:col>5</xdr:col>
      <xdr:colOff>57149</xdr:colOff>
      <xdr:row>51</xdr:row>
      <xdr:rowOff>133350</xdr:rowOff>
    </xdr:to>
    <xdr:pic>
      <xdr:nvPicPr>
        <xdr:cNvPr id="6" name="Picture 5">
          <a:extLst>
            <a:ext uri="{FF2B5EF4-FFF2-40B4-BE49-F238E27FC236}">
              <a16:creationId xmlns:a16="http://schemas.microsoft.com/office/drawing/2014/main" id="{00000000-0008-0000-0300-000006000000}"/>
            </a:ext>
          </a:extLst>
        </xdr:cNvPr>
        <xdr:cNvPicPr/>
      </xdr:nvPicPr>
      <xdr:blipFill>
        <a:blip xmlns:r="http://schemas.openxmlformats.org/officeDocument/2006/relationships" r:embed="rId3" cstate="print"/>
        <a:srcRect/>
        <a:stretch>
          <a:fillRect/>
        </a:stretch>
      </xdr:blipFill>
      <xdr:spPr bwMode="auto">
        <a:xfrm>
          <a:off x="266699" y="8658225"/>
          <a:ext cx="2790825" cy="1219200"/>
        </a:xfrm>
        <a:prstGeom prst="rect">
          <a:avLst/>
        </a:prstGeom>
        <a:noFill/>
        <a:ln w="9525">
          <a:noFill/>
          <a:miter lim="800000"/>
          <a:headEnd/>
          <a:tailEnd/>
        </a:ln>
      </xdr:spPr>
    </xdr:pic>
    <xdr:clientData/>
  </xdr:twoCellAnchor>
  <xdr:twoCellAnchor editAs="oneCell">
    <xdr:from>
      <xdr:col>5</xdr:col>
      <xdr:colOff>409575</xdr:colOff>
      <xdr:row>45</xdr:row>
      <xdr:rowOff>133350</xdr:rowOff>
    </xdr:from>
    <xdr:to>
      <xdr:col>9</xdr:col>
      <xdr:colOff>495300</xdr:colOff>
      <xdr:row>50</xdr:row>
      <xdr:rowOff>142875</xdr:rowOff>
    </xdr:to>
    <xdr:pic>
      <xdr:nvPicPr>
        <xdr:cNvPr id="7" name="Picture 6">
          <a:extLst>
            <a:ext uri="{FF2B5EF4-FFF2-40B4-BE49-F238E27FC236}">
              <a16:creationId xmlns:a16="http://schemas.microsoft.com/office/drawing/2014/main" id="{00000000-0008-0000-0300-000007000000}"/>
            </a:ext>
          </a:extLst>
        </xdr:cNvPr>
        <xdr:cNvPicPr/>
      </xdr:nvPicPr>
      <xdr:blipFill>
        <a:blip xmlns:r="http://schemas.openxmlformats.org/officeDocument/2006/relationships" r:embed="rId4" cstate="print"/>
        <a:srcRect/>
        <a:stretch>
          <a:fillRect/>
        </a:stretch>
      </xdr:blipFill>
      <xdr:spPr bwMode="auto">
        <a:xfrm>
          <a:off x="3409950" y="8734425"/>
          <a:ext cx="2486025" cy="962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8</xdr:col>
      <xdr:colOff>133350</xdr:colOff>
      <xdr:row>5</xdr:row>
      <xdr:rowOff>152400</xdr:rowOff>
    </xdr:from>
    <xdr:to>
      <xdr:col>10</xdr:col>
      <xdr:colOff>533400</xdr:colOff>
      <xdr:row>11</xdr:row>
      <xdr:rowOff>19050</xdr:rowOff>
    </xdr:to>
    <xdr:sp macro="" textlink="">
      <xdr:nvSpPr>
        <xdr:cNvPr id="2" name="confidential" hidden="1">
          <a:extLst>
            <a:ext uri="{FF2B5EF4-FFF2-40B4-BE49-F238E27FC236}">
              <a16:creationId xmlns:a16="http://schemas.microsoft.com/office/drawing/2014/main" id="{00000000-0008-0000-0400-000002000000}"/>
            </a:ext>
          </a:extLst>
        </xdr:cNvPr>
        <xdr:cNvSpPr/>
      </xdr:nvSpPr>
      <xdr:spPr>
        <a:xfrm>
          <a:off x="4933950" y="1133475"/>
          <a:ext cx="1600200" cy="10096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t>Confidential</a:t>
          </a:r>
          <a:r>
            <a:rPr lang="en-GB" sz="1100" baseline="0"/>
            <a:t> Information here!!!</a:t>
          </a:r>
          <a:endParaRPr lang="en-GB" sz="1100"/>
        </a:p>
      </xdr:txBody>
    </xdr:sp>
    <xdr:clientData/>
  </xdr:twoCellAnchor>
  <xdr:twoCellAnchor>
    <xdr:from>
      <xdr:col>5</xdr:col>
      <xdr:colOff>76200</xdr:colOff>
      <xdr:row>9</xdr:row>
      <xdr:rowOff>152400</xdr:rowOff>
    </xdr:from>
    <xdr:to>
      <xdr:col>8</xdr:col>
      <xdr:colOff>57149</xdr:colOff>
      <xdr:row>16</xdr:row>
      <xdr:rowOff>95250</xdr:rowOff>
    </xdr:to>
    <xdr:graphicFrame macro="">
      <xdr:nvGraphicFramePr>
        <xdr:cNvPr id="3" name="mybonus" hidden="1">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1447800</xdr:colOff>
      <xdr:row>11</xdr:row>
      <xdr:rowOff>161925</xdr:rowOff>
    </xdr:from>
    <xdr:to>
      <xdr:col>2</xdr:col>
      <xdr:colOff>2352675</xdr:colOff>
      <xdr:row>15</xdr:row>
      <xdr:rowOff>161925</xdr:rowOff>
    </xdr:to>
    <xdr:pic>
      <xdr:nvPicPr>
        <xdr:cNvPr id="3" name="Picture 4">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752850" y="2286000"/>
          <a:ext cx="904875" cy="762000"/>
        </a:xfrm>
        <a:prstGeom prst="rect">
          <a:avLst/>
        </a:prstGeom>
        <a:noFill/>
        <a:ln w="19050">
          <a:solidFill>
            <a:schemeClr val="tx1"/>
          </a:solidFill>
          <a:miter lim="800000"/>
          <a:headEnd/>
          <a:tailEnd type="none" w="med" len="med"/>
        </a:ln>
        <a:effectLst/>
      </xdr:spPr>
    </xdr:pic>
    <xdr:clientData/>
  </xdr:twoCellAnchor>
  <xdr:twoCellAnchor editAs="oneCell">
    <xdr:from>
      <xdr:col>2</xdr:col>
      <xdr:colOff>1466850</xdr:colOff>
      <xdr:row>18</xdr:row>
      <xdr:rowOff>9525</xdr:rowOff>
    </xdr:from>
    <xdr:to>
      <xdr:col>2</xdr:col>
      <xdr:colOff>2352675</xdr:colOff>
      <xdr:row>22</xdr:row>
      <xdr:rowOff>47625</xdr:rowOff>
    </xdr:to>
    <xdr:pic>
      <xdr:nvPicPr>
        <xdr:cNvPr id="4" name="Picture 5">
          <a:extLst>
            <a:ext uri="{FF2B5EF4-FFF2-40B4-BE49-F238E27FC236}">
              <a16:creationId xmlns:a16="http://schemas.microsoft.com/office/drawing/2014/main" id="{00000000-0008-0000-0800-000004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3771900" y="3467100"/>
          <a:ext cx="885825" cy="800100"/>
        </a:xfrm>
        <a:prstGeom prst="rect">
          <a:avLst/>
        </a:prstGeom>
        <a:noFill/>
        <a:ln w="19050">
          <a:solidFill>
            <a:schemeClr val="tx1"/>
          </a:solidFill>
          <a:miter lim="800000"/>
          <a:headEnd/>
          <a:tailEnd type="none" w="med" len="med"/>
        </a:ln>
        <a:effectLst/>
      </xdr:spPr>
    </xdr:pic>
    <xdr:clientData/>
  </xdr:twoCellAnchor>
  <xdr:twoCellAnchor editAs="oneCell">
    <xdr:from>
      <xdr:col>2</xdr:col>
      <xdr:colOff>857250</xdr:colOff>
      <xdr:row>41</xdr:row>
      <xdr:rowOff>142875</xdr:rowOff>
    </xdr:from>
    <xdr:to>
      <xdr:col>2</xdr:col>
      <xdr:colOff>1781175</xdr:colOff>
      <xdr:row>44</xdr:row>
      <xdr:rowOff>28575</xdr:rowOff>
    </xdr:to>
    <xdr:pic>
      <xdr:nvPicPr>
        <xdr:cNvPr id="5" name="Picture 3">
          <a:extLst>
            <a:ext uri="{FF2B5EF4-FFF2-40B4-BE49-F238E27FC236}">
              <a16:creationId xmlns:a16="http://schemas.microsoft.com/office/drawing/2014/main" id="{00000000-0008-0000-0800-00000500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2571750" y="9505950"/>
          <a:ext cx="923925" cy="457200"/>
        </a:xfrm>
        <a:prstGeom prst="rect">
          <a:avLst/>
        </a:prstGeom>
        <a:noFill/>
        <a:ln w="19050">
          <a:solidFill>
            <a:schemeClr val="tx1"/>
          </a:solidFill>
          <a:miter lim="800000"/>
          <a:headEnd/>
          <a:tailEnd type="none" w="med" len="med"/>
        </a:ln>
        <a:effec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7</xdr:col>
      <xdr:colOff>600074</xdr:colOff>
      <xdr:row>26</xdr:row>
      <xdr:rowOff>66675</xdr:rowOff>
    </xdr:from>
    <xdr:to>
      <xdr:col>13</xdr:col>
      <xdr:colOff>171450</xdr:colOff>
      <xdr:row>39</xdr:row>
      <xdr:rowOff>47625</xdr:rowOff>
    </xdr:to>
    <xdr:graphicFrame macro="">
      <xdr:nvGraphicFramePr>
        <xdr:cNvPr id="2" name="Chart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990600</xdr:colOff>
      <xdr:row>39</xdr:row>
      <xdr:rowOff>85725</xdr:rowOff>
    </xdr:from>
    <xdr:to>
      <xdr:col>12</xdr:col>
      <xdr:colOff>485775</xdr:colOff>
      <xdr:row>41</xdr:row>
      <xdr:rowOff>133350</xdr:rowOff>
    </xdr:to>
    <mc:AlternateContent xmlns:mc="http://schemas.openxmlformats.org/markup-compatibility/2006" xmlns:a14="http://schemas.microsoft.com/office/drawing/2010/main">
      <mc:Choice Requires="a14">
        <xdr:graphicFrame macro="">
          <xdr:nvGraphicFramePr>
            <xdr:cNvPr id="3" name="Sales Agent">
              <a:extLst>
                <a:ext uri="{FF2B5EF4-FFF2-40B4-BE49-F238E27FC236}">
                  <a16:creationId xmlns:a16="http://schemas.microsoft.com/office/drawing/2014/main" id="{00000000-0008-0000-0A00-000003000000}"/>
                </a:ext>
              </a:extLst>
            </xdr:cNvPr>
            <xdr:cNvGraphicFramePr/>
          </xdr:nvGraphicFramePr>
          <xdr:xfrm>
            <a:off x="0" y="0"/>
            <a:ext cx="0" cy="0"/>
          </xdr:xfrm>
          <a:graphic>
            <a:graphicData uri="http://schemas.microsoft.com/office/drawing/2010/slicer">
              <sle:slicer xmlns:sle="http://schemas.microsoft.com/office/drawing/2010/slicer" name="Sales Agent"/>
            </a:graphicData>
          </a:graphic>
        </xdr:graphicFrame>
      </mc:Choice>
      <mc:Fallback xmlns="">
        <xdr:sp macro="" textlink="">
          <xdr:nvSpPr>
            <xdr:cNvPr id="0" name=""/>
            <xdr:cNvSpPr>
              <a:spLocks noTextEdit="1"/>
            </xdr:cNvSpPr>
          </xdr:nvSpPr>
          <xdr:spPr>
            <a:xfrm>
              <a:off x="8429625" y="7734300"/>
              <a:ext cx="3581400" cy="4286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24</xdr:row>
      <xdr:rowOff>0</xdr:rowOff>
    </xdr:from>
    <xdr:to>
      <xdr:col>10</xdr:col>
      <xdr:colOff>399343</xdr:colOff>
      <xdr:row>35</xdr:row>
      <xdr:rowOff>47357</xdr:rowOff>
    </xdr:to>
    <xdr:pic>
      <xdr:nvPicPr>
        <xdr:cNvPr id="2" name="Picture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4000500"/>
          <a:ext cx="5657143" cy="2142857"/>
        </a:xfrm>
        <a:prstGeom prst="rect">
          <a:avLst/>
        </a:prstGeom>
      </xdr:spPr>
    </xdr:pic>
    <xdr:clientData/>
  </xdr:twoCellAnchor>
  <xdr:twoCellAnchor>
    <xdr:from>
      <xdr:col>1</xdr:col>
      <xdr:colOff>552450</xdr:colOff>
      <xdr:row>24</xdr:row>
      <xdr:rowOff>38101</xdr:rowOff>
    </xdr:from>
    <xdr:to>
      <xdr:col>4</xdr:col>
      <xdr:colOff>57150</xdr:colOff>
      <xdr:row>26</xdr:row>
      <xdr:rowOff>114301</xdr:rowOff>
    </xdr:to>
    <xdr:sp macro="" textlink="">
      <xdr:nvSpPr>
        <xdr:cNvPr id="4" name="Rechteckige Legende 3">
          <a:extLst>
            <a:ext uri="{FF2B5EF4-FFF2-40B4-BE49-F238E27FC236}">
              <a16:creationId xmlns:a16="http://schemas.microsoft.com/office/drawing/2014/main" id="{00000000-0008-0000-0B00-000004000000}"/>
            </a:ext>
          </a:extLst>
        </xdr:cNvPr>
        <xdr:cNvSpPr/>
      </xdr:nvSpPr>
      <xdr:spPr>
        <a:xfrm>
          <a:off x="1647825" y="4038601"/>
          <a:ext cx="1752600" cy="457200"/>
        </a:xfrm>
        <a:prstGeom prst="wedgeRectCallout">
          <a:avLst>
            <a:gd name="adj1" fmla="val -84509"/>
            <a:gd name="adj2" fmla="val 120379"/>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u="sng">
              <a:solidFill>
                <a:schemeClr val="tx1"/>
              </a:solidFill>
            </a:rPr>
            <a:t>Whole Table</a:t>
          </a:r>
          <a:r>
            <a:rPr lang="en-GB" sz="1100">
              <a:solidFill>
                <a:schemeClr val="tx1"/>
              </a:solidFill>
            </a:rPr>
            <a:t>:  Include a</a:t>
          </a:r>
          <a:r>
            <a:rPr lang="en-GB" sz="1100" baseline="0">
              <a:solidFill>
                <a:schemeClr val="tx1"/>
              </a:solidFill>
            </a:rPr>
            <a:t> t</a:t>
          </a:r>
          <a:r>
            <a:rPr lang="en-GB" sz="1100">
              <a:solidFill>
                <a:schemeClr val="tx1"/>
              </a:solidFill>
            </a:rPr>
            <a:t>hick</a:t>
          </a:r>
          <a:r>
            <a:rPr lang="en-GB" sz="1100" baseline="0">
              <a:solidFill>
                <a:schemeClr val="tx1"/>
              </a:solidFill>
            </a:rPr>
            <a:t> white middle border</a:t>
          </a:r>
          <a:endParaRPr lang="en-GB" sz="1100">
            <a:solidFill>
              <a:schemeClr val="tx1"/>
            </a:solidFill>
          </a:endParaRPr>
        </a:p>
      </xdr:txBody>
    </xdr:sp>
    <xdr:clientData/>
  </xdr:twoCellAnchor>
  <xdr:twoCellAnchor>
    <xdr:from>
      <xdr:col>1</xdr:col>
      <xdr:colOff>933450</xdr:colOff>
      <xdr:row>28</xdr:row>
      <xdr:rowOff>38101</xdr:rowOff>
    </xdr:from>
    <xdr:to>
      <xdr:col>4</xdr:col>
      <xdr:colOff>438150</xdr:colOff>
      <xdr:row>30</xdr:row>
      <xdr:rowOff>133350</xdr:rowOff>
    </xdr:to>
    <xdr:sp macro="" textlink="">
      <xdr:nvSpPr>
        <xdr:cNvPr id="5" name="Rechteckige Legende 3">
          <a:extLst>
            <a:ext uri="{FF2B5EF4-FFF2-40B4-BE49-F238E27FC236}">
              <a16:creationId xmlns:a16="http://schemas.microsoft.com/office/drawing/2014/main" id="{00000000-0008-0000-0B00-000005000000}"/>
            </a:ext>
          </a:extLst>
        </xdr:cNvPr>
        <xdr:cNvSpPr/>
      </xdr:nvSpPr>
      <xdr:spPr>
        <a:xfrm>
          <a:off x="2028825" y="4800601"/>
          <a:ext cx="1752600" cy="476249"/>
        </a:xfrm>
        <a:prstGeom prst="wedgeRectCallout">
          <a:avLst>
            <a:gd name="adj1" fmla="val -84509"/>
            <a:gd name="adj2" fmla="val -10355"/>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u="sng">
              <a:solidFill>
                <a:schemeClr val="tx1"/>
              </a:solidFill>
            </a:rPr>
            <a:t>Filter Labels</a:t>
          </a:r>
          <a:r>
            <a:rPr lang="en-GB" sz="1100" b="1" u="sng" baseline="0">
              <a:solidFill>
                <a:schemeClr val="tx1"/>
              </a:solidFill>
            </a:rPr>
            <a:t> &amp; Values</a:t>
          </a:r>
          <a:r>
            <a:rPr lang="en-GB" sz="1100">
              <a:solidFill>
                <a:schemeClr val="tx1"/>
              </a:solidFill>
            </a:rPr>
            <a:t>:  </a:t>
          </a:r>
          <a:r>
            <a:rPr lang="en-GB" sz="1100" baseline="0">
              <a:solidFill>
                <a:schemeClr val="tx1"/>
              </a:solidFill>
            </a:rPr>
            <a:t>Remove top border</a:t>
          </a:r>
          <a:endParaRPr lang="en-GB" sz="1100">
            <a:solidFill>
              <a:schemeClr val="tx1"/>
            </a:solidFill>
          </a:endParaRPr>
        </a:p>
      </xdr:txBody>
    </xdr:sp>
    <xdr:clientData/>
  </xdr:twoCellAnchor>
  <xdr:twoCellAnchor>
    <xdr:from>
      <xdr:col>1</xdr:col>
      <xdr:colOff>523875</xdr:colOff>
      <xdr:row>31</xdr:row>
      <xdr:rowOff>57150</xdr:rowOff>
    </xdr:from>
    <xdr:to>
      <xdr:col>4</xdr:col>
      <xdr:colOff>28575</xdr:colOff>
      <xdr:row>35</xdr:row>
      <xdr:rowOff>76200</xdr:rowOff>
    </xdr:to>
    <xdr:sp macro="" textlink="">
      <xdr:nvSpPr>
        <xdr:cNvPr id="6" name="Rechteckige Legende 3">
          <a:extLst>
            <a:ext uri="{FF2B5EF4-FFF2-40B4-BE49-F238E27FC236}">
              <a16:creationId xmlns:a16="http://schemas.microsoft.com/office/drawing/2014/main" id="{00000000-0008-0000-0B00-000006000000}"/>
            </a:ext>
          </a:extLst>
        </xdr:cNvPr>
        <xdr:cNvSpPr/>
      </xdr:nvSpPr>
      <xdr:spPr>
        <a:xfrm>
          <a:off x="1619250" y="5391150"/>
          <a:ext cx="1752600" cy="781050"/>
        </a:xfrm>
        <a:prstGeom prst="wedgeRectCallout">
          <a:avLst>
            <a:gd name="adj1" fmla="val -85052"/>
            <a:gd name="adj2" fmla="val 4182"/>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u="sng">
              <a:solidFill>
                <a:schemeClr val="tx1"/>
              </a:solidFill>
            </a:rPr>
            <a:t>Header Row</a:t>
          </a:r>
          <a:r>
            <a:rPr lang="en-GB" sz="1100">
              <a:solidFill>
                <a:schemeClr val="tx1"/>
              </a:solidFill>
            </a:rPr>
            <a:t>:  </a:t>
          </a:r>
          <a:r>
            <a:rPr lang="en-GB" sz="1100" baseline="0">
              <a:solidFill>
                <a:schemeClr val="tx1"/>
              </a:solidFill>
            </a:rPr>
            <a:t>Remove top border, remove white middle border, add dark black border to the bottom</a:t>
          </a:r>
          <a:endParaRPr lang="en-GB" sz="1100">
            <a:solidFill>
              <a:schemeClr val="tx1"/>
            </a:solidFill>
          </a:endParaRPr>
        </a:p>
      </xdr:txBody>
    </xdr:sp>
    <xdr:clientData/>
  </xdr:twoCellAnchor>
  <xdr:twoCellAnchor editAs="oneCell">
    <xdr:from>
      <xdr:col>0</xdr:col>
      <xdr:colOff>0</xdr:colOff>
      <xdr:row>37</xdr:row>
      <xdr:rowOff>0</xdr:rowOff>
    </xdr:from>
    <xdr:to>
      <xdr:col>10</xdr:col>
      <xdr:colOff>342200</xdr:colOff>
      <xdr:row>45</xdr:row>
      <xdr:rowOff>114095</xdr:rowOff>
    </xdr:to>
    <xdr:pic>
      <xdr:nvPicPr>
        <xdr:cNvPr id="7" name="Picture 6">
          <a:extLst>
            <a:ext uri="{FF2B5EF4-FFF2-40B4-BE49-F238E27FC236}">
              <a16:creationId xmlns:a16="http://schemas.microsoft.com/office/drawing/2014/main" id="{00000000-0008-0000-0B00-000007000000}"/>
            </a:ext>
          </a:extLst>
        </xdr:cNvPr>
        <xdr:cNvPicPr>
          <a:picLocks noChangeAspect="1"/>
        </xdr:cNvPicPr>
      </xdr:nvPicPr>
      <xdr:blipFill>
        <a:blip xmlns:r="http://schemas.openxmlformats.org/officeDocument/2006/relationships" r:embed="rId2"/>
        <a:stretch>
          <a:fillRect/>
        </a:stretch>
      </xdr:blipFill>
      <xdr:spPr>
        <a:xfrm>
          <a:off x="0" y="6477000"/>
          <a:ext cx="5600000" cy="1638095"/>
        </a:xfrm>
        <a:prstGeom prst="rect">
          <a:avLst/>
        </a:prstGeom>
      </xdr:spPr>
    </xdr:pic>
    <xdr:clientData/>
  </xdr:twoCellAnchor>
  <xdr:twoCellAnchor>
    <xdr:from>
      <xdr:col>1</xdr:col>
      <xdr:colOff>495300</xdr:colOff>
      <xdr:row>36</xdr:row>
      <xdr:rowOff>85725</xdr:rowOff>
    </xdr:from>
    <xdr:to>
      <xdr:col>4</xdr:col>
      <xdr:colOff>0</xdr:colOff>
      <xdr:row>38</xdr:row>
      <xdr:rowOff>161925</xdr:rowOff>
    </xdr:to>
    <xdr:sp macro="" textlink="">
      <xdr:nvSpPr>
        <xdr:cNvPr id="8" name="Rechteckige Legende 3">
          <a:extLst>
            <a:ext uri="{FF2B5EF4-FFF2-40B4-BE49-F238E27FC236}">
              <a16:creationId xmlns:a16="http://schemas.microsoft.com/office/drawing/2014/main" id="{00000000-0008-0000-0B00-000008000000}"/>
            </a:ext>
          </a:extLst>
        </xdr:cNvPr>
        <xdr:cNvSpPr/>
      </xdr:nvSpPr>
      <xdr:spPr>
        <a:xfrm>
          <a:off x="1590675" y="6372225"/>
          <a:ext cx="1752600" cy="457200"/>
        </a:xfrm>
        <a:prstGeom prst="wedgeRectCallout">
          <a:avLst>
            <a:gd name="adj1" fmla="val -77444"/>
            <a:gd name="adj2" fmla="val 34962"/>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u="sng">
              <a:solidFill>
                <a:schemeClr val="tx1"/>
              </a:solidFill>
            </a:rPr>
            <a:t>First Header</a:t>
          </a:r>
          <a:r>
            <a:rPr lang="en-GB" sz="1100" b="1" u="sng" baseline="0">
              <a:solidFill>
                <a:schemeClr val="tx1"/>
              </a:solidFill>
            </a:rPr>
            <a:t> Cell</a:t>
          </a:r>
          <a:r>
            <a:rPr lang="en-GB" sz="1100">
              <a:solidFill>
                <a:schemeClr val="tx1"/>
              </a:solidFill>
            </a:rPr>
            <a:t>:  Remove border</a:t>
          </a:r>
          <a:r>
            <a:rPr lang="en-GB" sz="1100" baseline="0">
              <a:solidFill>
                <a:schemeClr val="tx1"/>
              </a:solidFill>
            </a:rPr>
            <a:t> outline</a:t>
          </a:r>
          <a:endParaRPr lang="en-GB" sz="1100">
            <a:solidFill>
              <a:schemeClr val="tx1"/>
            </a:solidFill>
          </a:endParaRPr>
        </a:p>
      </xdr:txBody>
    </xdr:sp>
    <xdr:clientData/>
  </xdr:twoCellAnchor>
  <xdr:twoCellAnchor>
    <xdr:from>
      <xdr:col>1</xdr:col>
      <xdr:colOff>447675</xdr:colOff>
      <xdr:row>39</xdr:row>
      <xdr:rowOff>161924</xdr:rowOff>
    </xdr:from>
    <xdr:to>
      <xdr:col>3</xdr:col>
      <xdr:colOff>571500</xdr:colOff>
      <xdr:row>43</xdr:row>
      <xdr:rowOff>85725</xdr:rowOff>
    </xdr:to>
    <xdr:sp macro="" textlink="">
      <xdr:nvSpPr>
        <xdr:cNvPr id="9" name="Rechteckige Legende 3">
          <a:extLst>
            <a:ext uri="{FF2B5EF4-FFF2-40B4-BE49-F238E27FC236}">
              <a16:creationId xmlns:a16="http://schemas.microsoft.com/office/drawing/2014/main" id="{00000000-0008-0000-0B00-000009000000}"/>
            </a:ext>
          </a:extLst>
        </xdr:cNvPr>
        <xdr:cNvSpPr/>
      </xdr:nvSpPr>
      <xdr:spPr>
        <a:xfrm>
          <a:off x="1543050" y="7019924"/>
          <a:ext cx="1752600" cy="685801"/>
        </a:xfrm>
        <a:prstGeom prst="wedgeRectCallout">
          <a:avLst>
            <a:gd name="adj1" fmla="val -77444"/>
            <a:gd name="adj2" fmla="val 4406"/>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u="sng">
              <a:solidFill>
                <a:schemeClr val="tx1"/>
              </a:solidFill>
            </a:rPr>
            <a:t>Subtotal Row</a:t>
          </a:r>
          <a:r>
            <a:rPr lang="en-GB" sz="1100" b="1" u="sng" baseline="0">
              <a:solidFill>
                <a:schemeClr val="tx1"/>
              </a:solidFill>
            </a:rPr>
            <a:t> 1</a:t>
          </a:r>
          <a:r>
            <a:rPr lang="en-GB" sz="1100">
              <a:solidFill>
                <a:schemeClr val="tx1"/>
              </a:solidFill>
            </a:rPr>
            <a:t>:  Include a thick black border to middle and bottom parts</a:t>
          </a:r>
        </a:p>
      </xdr:txBody>
    </xdr:sp>
    <xdr:clientData/>
  </xdr:twoCellAnchor>
  <xdr:twoCellAnchor editAs="oneCell">
    <xdr:from>
      <xdr:col>0</xdr:col>
      <xdr:colOff>0</xdr:colOff>
      <xdr:row>46</xdr:row>
      <xdr:rowOff>0</xdr:rowOff>
    </xdr:from>
    <xdr:to>
      <xdr:col>10</xdr:col>
      <xdr:colOff>389819</xdr:colOff>
      <xdr:row>54</xdr:row>
      <xdr:rowOff>123619</xdr:rowOff>
    </xdr:to>
    <xdr:pic>
      <xdr:nvPicPr>
        <xdr:cNvPr id="10" name="Picture 9">
          <a:extLst>
            <a:ext uri="{FF2B5EF4-FFF2-40B4-BE49-F238E27FC236}">
              <a16:creationId xmlns:a16="http://schemas.microsoft.com/office/drawing/2014/main" id="{00000000-0008-0000-0B00-00000A000000}"/>
            </a:ext>
          </a:extLst>
        </xdr:cNvPr>
        <xdr:cNvPicPr>
          <a:picLocks noChangeAspect="1"/>
        </xdr:cNvPicPr>
      </xdr:nvPicPr>
      <xdr:blipFill>
        <a:blip xmlns:r="http://schemas.openxmlformats.org/officeDocument/2006/relationships" r:embed="rId3"/>
        <a:stretch>
          <a:fillRect/>
        </a:stretch>
      </xdr:blipFill>
      <xdr:spPr>
        <a:xfrm>
          <a:off x="0" y="8191500"/>
          <a:ext cx="5647619" cy="1647619"/>
        </a:xfrm>
        <a:prstGeom prst="rect">
          <a:avLst/>
        </a:prstGeom>
      </xdr:spPr>
    </xdr:pic>
    <xdr:clientData/>
  </xdr:twoCellAnchor>
  <xdr:twoCellAnchor>
    <xdr:from>
      <xdr:col>1</xdr:col>
      <xdr:colOff>552450</xdr:colOff>
      <xdr:row>48</xdr:row>
      <xdr:rowOff>57151</xdr:rowOff>
    </xdr:from>
    <xdr:to>
      <xdr:col>4</xdr:col>
      <xdr:colOff>57150</xdr:colOff>
      <xdr:row>51</xdr:row>
      <xdr:rowOff>171451</xdr:rowOff>
    </xdr:to>
    <xdr:sp macro="" textlink="">
      <xdr:nvSpPr>
        <xdr:cNvPr id="11" name="Rechteckige Legende 3">
          <a:extLst>
            <a:ext uri="{FF2B5EF4-FFF2-40B4-BE49-F238E27FC236}">
              <a16:creationId xmlns:a16="http://schemas.microsoft.com/office/drawing/2014/main" id="{00000000-0008-0000-0B00-00000B000000}"/>
            </a:ext>
          </a:extLst>
        </xdr:cNvPr>
        <xdr:cNvSpPr/>
      </xdr:nvSpPr>
      <xdr:spPr>
        <a:xfrm>
          <a:off x="1647825" y="8629651"/>
          <a:ext cx="1752600" cy="685800"/>
        </a:xfrm>
        <a:prstGeom prst="wedgeRectCallout">
          <a:avLst>
            <a:gd name="adj1" fmla="val -75813"/>
            <a:gd name="adj2" fmla="val 69685"/>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u="sng">
              <a:solidFill>
                <a:schemeClr val="tx1"/>
              </a:solidFill>
            </a:rPr>
            <a:t>Grand Total Row: </a:t>
          </a:r>
          <a:r>
            <a:rPr lang="en-GB" sz="1100">
              <a:solidFill>
                <a:schemeClr val="tx1"/>
              </a:solidFill>
            </a:rPr>
            <a:t>Include a thick black border to top and bottom</a:t>
          </a:r>
          <a:r>
            <a:rPr lang="en-GB" sz="1100" baseline="0">
              <a:solidFill>
                <a:schemeClr val="tx1"/>
              </a:solidFill>
            </a:rPr>
            <a:t> sections</a:t>
          </a:r>
          <a:endParaRPr lang="en-GB" sz="1100">
            <a:solidFill>
              <a:schemeClr val="tx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ila Gharani" refreshedDate="42443.342225" createdVersion="4" refreshedVersion="4" minRefreshableVersion="3" recordCount="192" xr:uid="{00000000-000A-0000-FFFF-FFFF00000000}">
  <cacheSource type="worksheet">
    <worksheetSource name="Table1"/>
  </cacheSource>
  <cacheFields count="6">
    <cacheField name="Product Main Category" numFmtId="0">
      <sharedItems count="3">
        <s v="Beverages"/>
        <s v="Snacks"/>
        <s v="Food" u="1"/>
      </sharedItems>
    </cacheField>
    <cacheField name="Product" numFmtId="0">
      <sharedItems count="11">
        <s v="Coke"/>
        <s v="Orange Juice"/>
        <s v="Apple Juice"/>
        <s v="Sparkling Water"/>
        <s v="Nuts"/>
        <s v="Sandwiches"/>
        <s v="Fruits"/>
        <s v="Chips"/>
        <s v="Sweet stuff" u="1"/>
        <s v="Pasta" u="1"/>
        <s v="Fries" u="1"/>
      </sharedItems>
    </cacheField>
    <cacheField name="Year" numFmtId="0">
      <sharedItems containsSemiMixedTypes="0" containsString="0" containsNumber="1" containsInteger="1" minValue="2015" maxValue="2016" count="2">
        <n v="2015"/>
        <n v="2016"/>
      </sharedItems>
    </cacheField>
    <cacheField name="Month" numFmtId="0">
      <sharedItems count="12">
        <s v="Jan"/>
        <s v="Feb"/>
        <s v="Mar"/>
        <s v="Apr"/>
        <s v="May"/>
        <s v="Jun"/>
        <s v="Jul"/>
        <s v="Aug"/>
        <s v="Sep"/>
        <s v="Oct"/>
        <s v="Nov"/>
        <s v="Dec"/>
      </sharedItems>
    </cacheField>
    <cacheField name="Revenue" numFmtId="0">
      <sharedItems containsSemiMixedTypes="0" containsString="0" containsNumber="1" containsInteger="1" minValue="100" maxValue="694"/>
    </cacheField>
    <cacheField name="Quantity" numFmtId="0">
      <sharedItems containsSemiMixedTypes="0" containsString="0" containsNumber="1" containsInteger="1" minValue="66" maxValue="28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ila Gharani" refreshedDate="42476.403071759261" createdVersion="4" refreshedVersion="4" minRefreshableVersion="3" recordCount="49" xr:uid="{00000000-000A-0000-FFFF-FFFF01000000}">
  <cacheSource type="worksheet">
    <worksheetSource ref="A74:E123" sheet="T10"/>
  </cacheSource>
  <cacheFields count="6">
    <cacheField name="Date" numFmtId="17">
      <sharedItems containsSemiMixedTypes="0" containsNonDate="0" containsDate="1" containsString="0" minDate="2015-01-01T00:00:00" maxDate="2016-04-02T00:00:00" count="8">
        <d v="2015-01-01T00:00:00"/>
        <d v="2016-01-01T00:00:00"/>
        <d v="2015-02-01T00:00:00"/>
        <d v="2016-02-01T00:00:00"/>
        <d v="2015-03-01T00:00:00"/>
        <d v="2016-03-01T00:00:00"/>
        <d v="2015-04-01T00:00:00"/>
        <d v="2016-04-01T00:00:00"/>
      </sharedItems>
      <fieldGroup par="5" base="0">
        <rangePr groupBy="months" startDate="2015-01-01T00:00:00" endDate="2016-04-02T00:00:00"/>
        <groupItems count="14">
          <s v="&lt;01.01.2015"/>
          <s v="Jan"/>
          <s v="Feb"/>
          <s v="Mrz"/>
          <s v="Apr"/>
          <s v="Mai"/>
          <s v="Jun"/>
          <s v="Jul"/>
          <s v="Aug"/>
          <s v="Sep"/>
          <s v="Okt"/>
          <s v="Nov"/>
          <s v="Dez"/>
          <s v="&gt;02.04.2016"/>
        </groupItems>
      </fieldGroup>
    </cacheField>
    <cacheField name="Sales Agent" numFmtId="0">
      <sharedItems/>
    </cacheField>
    <cacheField name="Quantity" numFmtId="0">
      <sharedItems containsSemiMixedTypes="0" containsString="0" containsNumber="1" containsInteger="1" minValue="1" maxValue="11"/>
    </cacheField>
    <cacheField name="Actual Revenue" numFmtId="0">
      <sharedItems containsSemiMixedTypes="0" containsString="0" containsNumber="1" containsInteger="1" minValue="50" maxValue="410"/>
    </cacheField>
    <cacheField name="Planned Revenue" numFmtId="0">
      <sharedItems containsSemiMixedTypes="0" containsString="0" containsNumber="1" containsInteger="1" minValue="200" maxValue="449"/>
    </cacheField>
    <cacheField name="Years" numFmtId="0" databaseField="0">
      <fieldGroup base="0">
        <rangePr groupBy="years" startDate="2015-01-01T00:00:00" endDate="2016-04-02T00:00:00"/>
        <groupItems count="4">
          <s v="&lt;01.01.2015"/>
          <s v="2015"/>
          <s v="2016"/>
          <s v="&gt;02.04.2016"/>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ila Gharani" refreshedDate="42476.406700347223" createdVersion="4" refreshedVersion="4" minRefreshableVersion="3" recordCount="66" xr:uid="{00000000-000A-0000-FFFF-FFFF02000000}">
  <cacheSource type="worksheet">
    <worksheetSource ref="A3:F69" sheet="T10"/>
  </cacheSource>
  <cacheFields count="7">
    <cacheField name="Year" numFmtId="0">
      <sharedItems containsSemiMixedTypes="0" containsString="0" containsNumber="1" containsInteger="1" minValue="2016" maxValue="2016"/>
    </cacheField>
    <cacheField name="Month" numFmtId="0">
      <sharedItems count="6">
        <s v="January"/>
        <s v="February"/>
        <s v="March"/>
        <s v="April"/>
        <s v="May"/>
        <s v="June"/>
      </sharedItems>
    </cacheField>
    <cacheField name="Sales Agent" numFmtId="0">
      <sharedItems count="4">
        <s v="Agent A"/>
        <s v="Agent B"/>
        <s v="Agent C"/>
        <s v="Agent D"/>
      </sharedItems>
    </cacheField>
    <cacheField name="Quantity" numFmtId="0">
      <sharedItems containsSemiMixedTypes="0" containsString="0" containsNumber="1" containsInteger="1" minValue="1" maxValue="11"/>
    </cacheField>
    <cacheField name="Actual Revenue" numFmtId="0">
      <sharedItems containsSemiMixedTypes="0" containsString="0" containsNumber="1" containsInteger="1" minValue="50" maxValue="410"/>
    </cacheField>
    <cacheField name="Planned Revenue" numFmtId="0">
      <sharedItems containsSemiMixedTypes="0" containsString="0" containsNumber="1" containsInteger="1" minValue="170" maxValue="449"/>
    </cacheField>
    <cacheField name="Variance" numFmtId="0" formula=" ('Actual Revenue'-'Planned Revenue')/'Planned Revenue'" databaseField="0"/>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192">
  <r>
    <x v="0"/>
    <x v="0"/>
    <x v="0"/>
    <x v="0"/>
    <n v="520"/>
    <n v="247"/>
  </r>
  <r>
    <x v="0"/>
    <x v="0"/>
    <x v="0"/>
    <x v="1"/>
    <n v="468"/>
    <n v="234"/>
  </r>
  <r>
    <x v="0"/>
    <x v="0"/>
    <x v="0"/>
    <x v="2"/>
    <n v="520"/>
    <n v="260"/>
  </r>
  <r>
    <x v="0"/>
    <x v="0"/>
    <x v="0"/>
    <x v="3"/>
    <n v="499"/>
    <n v="250"/>
  </r>
  <r>
    <x v="0"/>
    <x v="0"/>
    <x v="0"/>
    <x v="4"/>
    <n v="408"/>
    <n v="204"/>
  </r>
  <r>
    <x v="0"/>
    <x v="0"/>
    <x v="0"/>
    <x v="5"/>
    <n v="542"/>
    <n v="271"/>
  </r>
  <r>
    <x v="0"/>
    <x v="0"/>
    <x v="0"/>
    <x v="6"/>
    <n v="410"/>
    <n v="205"/>
  </r>
  <r>
    <x v="0"/>
    <x v="0"/>
    <x v="0"/>
    <x v="7"/>
    <n v="570"/>
    <n v="285"/>
  </r>
  <r>
    <x v="0"/>
    <x v="0"/>
    <x v="0"/>
    <x v="8"/>
    <n v="412"/>
    <n v="206"/>
  </r>
  <r>
    <x v="0"/>
    <x v="0"/>
    <x v="0"/>
    <x v="9"/>
    <n v="486"/>
    <n v="243"/>
  </r>
  <r>
    <x v="0"/>
    <x v="0"/>
    <x v="0"/>
    <x v="10"/>
    <n v="512"/>
    <n v="256"/>
  </r>
  <r>
    <x v="0"/>
    <x v="0"/>
    <x v="0"/>
    <x v="11"/>
    <n v="523"/>
    <n v="262"/>
  </r>
  <r>
    <x v="0"/>
    <x v="1"/>
    <x v="0"/>
    <x v="0"/>
    <n v="675"/>
    <n v="225"/>
  </r>
  <r>
    <x v="0"/>
    <x v="1"/>
    <x v="0"/>
    <x v="1"/>
    <n v="597"/>
    <n v="199"/>
  </r>
  <r>
    <x v="0"/>
    <x v="1"/>
    <x v="0"/>
    <x v="2"/>
    <n v="625"/>
    <n v="208"/>
  </r>
  <r>
    <x v="0"/>
    <x v="1"/>
    <x v="0"/>
    <x v="3"/>
    <n v="555"/>
    <n v="185"/>
  </r>
  <r>
    <x v="0"/>
    <x v="1"/>
    <x v="0"/>
    <x v="4"/>
    <n v="543"/>
    <n v="181"/>
  </r>
  <r>
    <x v="0"/>
    <x v="1"/>
    <x v="0"/>
    <x v="5"/>
    <n v="528"/>
    <n v="176"/>
  </r>
  <r>
    <x v="0"/>
    <x v="1"/>
    <x v="0"/>
    <x v="6"/>
    <n v="687"/>
    <n v="229"/>
  </r>
  <r>
    <x v="0"/>
    <x v="1"/>
    <x v="0"/>
    <x v="7"/>
    <n v="588"/>
    <n v="196"/>
  </r>
  <r>
    <x v="0"/>
    <x v="1"/>
    <x v="0"/>
    <x v="8"/>
    <n v="576"/>
    <n v="192"/>
  </r>
  <r>
    <x v="0"/>
    <x v="1"/>
    <x v="0"/>
    <x v="9"/>
    <n v="530"/>
    <n v="177"/>
  </r>
  <r>
    <x v="0"/>
    <x v="1"/>
    <x v="0"/>
    <x v="10"/>
    <n v="578"/>
    <n v="193"/>
  </r>
  <r>
    <x v="0"/>
    <x v="1"/>
    <x v="0"/>
    <x v="11"/>
    <n v="532"/>
    <n v="177"/>
  </r>
  <r>
    <x v="0"/>
    <x v="2"/>
    <x v="0"/>
    <x v="0"/>
    <n v="694"/>
    <n v="204"/>
  </r>
  <r>
    <x v="0"/>
    <x v="2"/>
    <x v="0"/>
    <x v="1"/>
    <n v="687"/>
    <n v="202"/>
  </r>
  <r>
    <x v="0"/>
    <x v="2"/>
    <x v="0"/>
    <x v="2"/>
    <n v="500"/>
    <n v="147"/>
  </r>
  <r>
    <x v="0"/>
    <x v="2"/>
    <x v="0"/>
    <x v="3"/>
    <n v="534"/>
    <n v="157"/>
  </r>
  <r>
    <x v="0"/>
    <x v="2"/>
    <x v="0"/>
    <x v="4"/>
    <n v="615"/>
    <n v="181"/>
  </r>
  <r>
    <x v="0"/>
    <x v="2"/>
    <x v="0"/>
    <x v="5"/>
    <n v="555"/>
    <n v="163"/>
  </r>
  <r>
    <x v="0"/>
    <x v="2"/>
    <x v="0"/>
    <x v="6"/>
    <n v="535"/>
    <n v="157"/>
  </r>
  <r>
    <x v="0"/>
    <x v="2"/>
    <x v="0"/>
    <x v="7"/>
    <n v="636"/>
    <n v="187"/>
  </r>
  <r>
    <x v="0"/>
    <x v="2"/>
    <x v="0"/>
    <x v="8"/>
    <n v="694"/>
    <n v="204"/>
  </r>
  <r>
    <x v="0"/>
    <x v="2"/>
    <x v="0"/>
    <x v="9"/>
    <n v="540"/>
    <n v="159"/>
  </r>
  <r>
    <x v="0"/>
    <x v="2"/>
    <x v="0"/>
    <x v="10"/>
    <n v="606"/>
    <n v="178"/>
  </r>
  <r>
    <x v="0"/>
    <x v="2"/>
    <x v="0"/>
    <x v="11"/>
    <n v="560"/>
    <n v="165"/>
  </r>
  <r>
    <x v="0"/>
    <x v="3"/>
    <x v="0"/>
    <x v="0"/>
    <n v="185"/>
    <n v="123"/>
  </r>
  <r>
    <x v="0"/>
    <x v="3"/>
    <x v="0"/>
    <x v="1"/>
    <n v="125"/>
    <n v="83"/>
  </r>
  <r>
    <x v="0"/>
    <x v="3"/>
    <x v="0"/>
    <x v="2"/>
    <n v="194"/>
    <n v="129"/>
  </r>
  <r>
    <x v="0"/>
    <x v="3"/>
    <x v="0"/>
    <x v="3"/>
    <n v="125"/>
    <n v="83"/>
  </r>
  <r>
    <x v="0"/>
    <x v="3"/>
    <x v="0"/>
    <x v="4"/>
    <n v="129"/>
    <n v="86"/>
  </r>
  <r>
    <x v="0"/>
    <x v="3"/>
    <x v="0"/>
    <x v="5"/>
    <n v="192"/>
    <n v="128"/>
  </r>
  <r>
    <x v="0"/>
    <x v="3"/>
    <x v="0"/>
    <x v="6"/>
    <n v="109"/>
    <n v="73"/>
  </r>
  <r>
    <x v="0"/>
    <x v="3"/>
    <x v="0"/>
    <x v="7"/>
    <n v="147"/>
    <n v="98"/>
  </r>
  <r>
    <x v="0"/>
    <x v="3"/>
    <x v="0"/>
    <x v="8"/>
    <n v="112"/>
    <n v="75"/>
  </r>
  <r>
    <x v="0"/>
    <x v="3"/>
    <x v="0"/>
    <x v="9"/>
    <n v="196"/>
    <n v="131"/>
  </r>
  <r>
    <x v="0"/>
    <x v="3"/>
    <x v="0"/>
    <x v="10"/>
    <n v="109"/>
    <n v="73"/>
  </r>
  <r>
    <x v="0"/>
    <x v="3"/>
    <x v="0"/>
    <x v="11"/>
    <n v="147"/>
    <n v="98"/>
  </r>
  <r>
    <x v="1"/>
    <x v="4"/>
    <x v="0"/>
    <x v="0"/>
    <n v="494"/>
    <n v="247"/>
  </r>
  <r>
    <x v="1"/>
    <x v="4"/>
    <x v="0"/>
    <x v="1"/>
    <n v="468"/>
    <n v="234"/>
  </r>
  <r>
    <x v="1"/>
    <x v="4"/>
    <x v="0"/>
    <x v="2"/>
    <n v="520"/>
    <n v="260"/>
  </r>
  <r>
    <x v="1"/>
    <x v="4"/>
    <x v="0"/>
    <x v="3"/>
    <n v="499"/>
    <n v="250"/>
  </r>
  <r>
    <x v="1"/>
    <x v="4"/>
    <x v="0"/>
    <x v="4"/>
    <n v="408"/>
    <n v="204"/>
  </r>
  <r>
    <x v="1"/>
    <x v="4"/>
    <x v="0"/>
    <x v="5"/>
    <n v="542"/>
    <n v="271"/>
  </r>
  <r>
    <x v="1"/>
    <x v="4"/>
    <x v="0"/>
    <x v="6"/>
    <n v="410"/>
    <n v="205"/>
  </r>
  <r>
    <x v="1"/>
    <x v="4"/>
    <x v="0"/>
    <x v="7"/>
    <n v="570"/>
    <n v="285"/>
  </r>
  <r>
    <x v="1"/>
    <x v="4"/>
    <x v="0"/>
    <x v="8"/>
    <n v="412"/>
    <n v="206"/>
  </r>
  <r>
    <x v="1"/>
    <x v="4"/>
    <x v="0"/>
    <x v="9"/>
    <n v="486"/>
    <n v="243"/>
  </r>
  <r>
    <x v="1"/>
    <x v="4"/>
    <x v="0"/>
    <x v="10"/>
    <n v="512"/>
    <n v="256"/>
  </r>
  <r>
    <x v="1"/>
    <x v="4"/>
    <x v="0"/>
    <x v="11"/>
    <n v="523"/>
    <n v="262"/>
  </r>
  <r>
    <x v="1"/>
    <x v="5"/>
    <x v="0"/>
    <x v="0"/>
    <n v="675"/>
    <n v="225"/>
  </r>
  <r>
    <x v="1"/>
    <x v="5"/>
    <x v="0"/>
    <x v="1"/>
    <n v="597"/>
    <n v="199"/>
  </r>
  <r>
    <x v="1"/>
    <x v="5"/>
    <x v="0"/>
    <x v="2"/>
    <n v="625"/>
    <n v="208"/>
  </r>
  <r>
    <x v="1"/>
    <x v="5"/>
    <x v="0"/>
    <x v="3"/>
    <n v="555"/>
    <n v="185"/>
  </r>
  <r>
    <x v="1"/>
    <x v="5"/>
    <x v="0"/>
    <x v="4"/>
    <n v="543"/>
    <n v="181"/>
  </r>
  <r>
    <x v="1"/>
    <x v="5"/>
    <x v="0"/>
    <x v="5"/>
    <n v="528"/>
    <n v="176"/>
  </r>
  <r>
    <x v="1"/>
    <x v="5"/>
    <x v="0"/>
    <x v="6"/>
    <n v="687"/>
    <n v="229"/>
  </r>
  <r>
    <x v="1"/>
    <x v="5"/>
    <x v="0"/>
    <x v="7"/>
    <n v="588"/>
    <n v="196"/>
  </r>
  <r>
    <x v="1"/>
    <x v="5"/>
    <x v="0"/>
    <x v="8"/>
    <n v="576"/>
    <n v="192"/>
  </r>
  <r>
    <x v="1"/>
    <x v="5"/>
    <x v="0"/>
    <x v="9"/>
    <n v="530"/>
    <n v="177"/>
  </r>
  <r>
    <x v="1"/>
    <x v="5"/>
    <x v="0"/>
    <x v="10"/>
    <n v="578"/>
    <n v="193"/>
  </r>
  <r>
    <x v="1"/>
    <x v="5"/>
    <x v="0"/>
    <x v="11"/>
    <n v="532"/>
    <n v="177"/>
  </r>
  <r>
    <x v="1"/>
    <x v="6"/>
    <x v="0"/>
    <x v="0"/>
    <n v="694"/>
    <n v="204"/>
  </r>
  <r>
    <x v="1"/>
    <x v="6"/>
    <x v="0"/>
    <x v="1"/>
    <n v="687"/>
    <n v="202"/>
  </r>
  <r>
    <x v="1"/>
    <x v="6"/>
    <x v="0"/>
    <x v="2"/>
    <n v="500"/>
    <n v="147"/>
  </r>
  <r>
    <x v="1"/>
    <x v="6"/>
    <x v="0"/>
    <x v="3"/>
    <n v="534"/>
    <n v="157"/>
  </r>
  <r>
    <x v="1"/>
    <x v="6"/>
    <x v="0"/>
    <x v="4"/>
    <n v="615"/>
    <n v="181"/>
  </r>
  <r>
    <x v="1"/>
    <x v="6"/>
    <x v="0"/>
    <x v="5"/>
    <n v="555"/>
    <n v="163"/>
  </r>
  <r>
    <x v="1"/>
    <x v="6"/>
    <x v="0"/>
    <x v="6"/>
    <n v="535"/>
    <n v="157"/>
  </r>
  <r>
    <x v="1"/>
    <x v="6"/>
    <x v="0"/>
    <x v="7"/>
    <n v="636"/>
    <n v="187"/>
  </r>
  <r>
    <x v="1"/>
    <x v="6"/>
    <x v="0"/>
    <x v="8"/>
    <n v="694"/>
    <n v="204"/>
  </r>
  <r>
    <x v="1"/>
    <x v="6"/>
    <x v="0"/>
    <x v="9"/>
    <n v="540"/>
    <n v="159"/>
  </r>
  <r>
    <x v="1"/>
    <x v="6"/>
    <x v="0"/>
    <x v="10"/>
    <n v="606"/>
    <n v="178"/>
  </r>
  <r>
    <x v="1"/>
    <x v="6"/>
    <x v="0"/>
    <x v="11"/>
    <n v="560"/>
    <n v="165"/>
  </r>
  <r>
    <x v="1"/>
    <x v="7"/>
    <x v="0"/>
    <x v="0"/>
    <n v="204"/>
    <n v="135"/>
  </r>
  <r>
    <x v="1"/>
    <x v="7"/>
    <x v="0"/>
    <x v="1"/>
    <n v="138"/>
    <n v="91"/>
  </r>
  <r>
    <x v="1"/>
    <x v="7"/>
    <x v="0"/>
    <x v="2"/>
    <n v="213"/>
    <n v="142"/>
  </r>
  <r>
    <x v="1"/>
    <x v="7"/>
    <x v="0"/>
    <x v="3"/>
    <n v="138"/>
    <n v="91"/>
  </r>
  <r>
    <x v="1"/>
    <x v="7"/>
    <x v="0"/>
    <x v="4"/>
    <n v="142"/>
    <n v="95"/>
  </r>
  <r>
    <x v="1"/>
    <x v="7"/>
    <x v="0"/>
    <x v="5"/>
    <n v="211"/>
    <n v="141"/>
  </r>
  <r>
    <x v="1"/>
    <x v="7"/>
    <x v="0"/>
    <x v="6"/>
    <n v="120"/>
    <n v="80"/>
  </r>
  <r>
    <x v="1"/>
    <x v="7"/>
    <x v="0"/>
    <x v="7"/>
    <n v="162"/>
    <n v="108"/>
  </r>
  <r>
    <x v="1"/>
    <x v="7"/>
    <x v="0"/>
    <x v="8"/>
    <n v="123"/>
    <n v="83"/>
  </r>
  <r>
    <x v="1"/>
    <x v="7"/>
    <x v="0"/>
    <x v="9"/>
    <n v="216"/>
    <n v="144"/>
  </r>
  <r>
    <x v="1"/>
    <x v="7"/>
    <x v="0"/>
    <x v="10"/>
    <n v="120"/>
    <n v="80"/>
  </r>
  <r>
    <x v="1"/>
    <x v="7"/>
    <x v="0"/>
    <x v="11"/>
    <n v="162"/>
    <n v="108"/>
  </r>
  <r>
    <x v="0"/>
    <x v="0"/>
    <x v="1"/>
    <x v="0"/>
    <n v="499"/>
    <n v="247"/>
  </r>
  <r>
    <x v="0"/>
    <x v="1"/>
    <x v="1"/>
    <x v="0"/>
    <n v="670"/>
    <n v="203"/>
  </r>
  <r>
    <x v="0"/>
    <x v="2"/>
    <x v="1"/>
    <x v="0"/>
    <n v="680"/>
    <n v="184"/>
  </r>
  <r>
    <x v="0"/>
    <x v="3"/>
    <x v="1"/>
    <x v="0"/>
    <n v="204"/>
    <n v="111"/>
  </r>
  <r>
    <x v="1"/>
    <x v="4"/>
    <x v="1"/>
    <x v="0"/>
    <n v="499"/>
    <n v="247"/>
  </r>
  <r>
    <x v="1"/>
    <x v="5"/>
    <x v="1"/>
    <x v="0"/>
    <n v="608"/>
    <n v="203"/>
  </r>
  <r>
    <x v="1"/>
    <x v="6"/>
    <x v="1"/>
    <x v="0"/>
    <n v="680"/>
    <n v="184"/>
  </r>
  <r>
    <x v="1"/>
    <x v="7"/>
    <x v="1"/>
    <x v="0"/>
    <n v="210"/>
    <n v="136"/>
  </r>
  <r>
    <x v="0"/>
    <x v="0"/>
    <x v="1"/>
    <x v="1"/>
    <n v="473"/>
    <n v="234"/>
  </r>
  <r>
    <x v="0"/>
    <x v="1"/>
    <x v="1"/>
    <x v="1"/>
    <n v="600"/>
    <n v="179"/>
  </r>
  <r>
    <x v="0"/>
    <x v="2"/>
    <x v="1"/>
    <x v="1"/>
    <n v="673"/>
    <n v="182"/>
  </r>
  <r>
    <x v="0"/>
    <x v="3"/>
    <x v="1"/>
    <x v="1"/>
    <n v="138"/>
    <n v="75"/>
  </r>
  <r>
    <x v="1"/>
    <x v="4"/>
    <x v="1"/>
    <x v="1"/>
    <n v="473"/>
    <n v="234"/>
  </r>
  <r>
    <x v="1"/>
    <x v="5"/>
    <x v="1"/>
    <x v="1"/>
    <n v="537"/>
    <n v="179"/>
  </r>
  <r>
    <x v="1"/>
    <x v="6"/>
    <x v="1"/>
    <x v="1"/>
    <n v="673"/>
    <n v="182"/>
  </r>
  <r>
    <x v="1"/>
    <x v="7"/>
    <x v="1"/>
    <x v="1"/>
    <n v="148"/>
    <n v="92"/>
  </r>
  <r>
    <x v="0"/>
    <x v="0"/>
    <x v="1"/>
    <x v="2"/>
    <n v="526"/>
    <n v="260"/>
  </r>
  <r>
    <x v="0"/>
    <x v="1"/>
    <x v="1"/>
    <x v="2"/>
    <n v="629"/>
    <n v="187"/>
  </r>
  <r>
    <x v="0"/>
    <x v="2"/>
    <x v="1"/>
    <x v="2"/>
    <n v="490"/>
    <n v="132"/>
  </r>
  <r>
    <x v="0"/>
    <x v="3"/>
    <x v="1"/>
    <x v="2"/>
    <n v="214"/>
    <n v="116"/>
  </r>
  <r>
    <x v="1"/>
    <x v="4"/>
    <x v="1"/>
    <x v="2"/>
    <n v="526"/>
    <n v="260"/>
  </r>
  <r>
    <x v="1"/>
    <x v="5"/>
    <x v="1"/>
    <x v="2"/>
    <n v="563"/>
    <n v="187"/>
  </r>
  <r>
    <x v="1"/>
    <x v="6"/>
    <x v="1"/>
    <x v="2"/>
    <n v="490"/>
    <n v="132"/>
  </r>
  <r>
    <x v="1"/>
    <x v="7"/>
    <x v="1"/>
    <x v="2"/>
    <n v="200"/>
    <n v="143"/>
  </r>
  <r>
    <x v="0"/>
    <x v="0"/>
    <x v="1"/>
    <x v="3"/>
    <n v="505"/>
    <n v="253"/>
  </r>
  <r>
    <x v="0"/>
    <x v="1"/>
    <x v="1"/>
    <x v="3"/>
    <n v="540"/>
    <n v="167"/>
  </r>
  <r>
    <x v="0"/>
    <x v="2"/>
    <x v="1"/>
    <x v="3"/>
    <n v="523"/>
    <n v="141"/>
  </r>
  <r>
    <x v="0"/>
    <x v="3"/>
    <x v="1"/>
    <x v="3"/>
    <n v="138"/>
    <n v="75"/>
  </r>
  <r>
    <x v="1"/>
    <x v="4"/>
    <x v="1"/>
    <x v="3"/>
    <n v="505"/>
    <n v="253"/>
  </r>
  <r>
    <x v="1"/>
    <x v="5"/>
    <x v="1"/>
    <x v="3"/>
    <n v="500"/>
    <n v="167"/>
  </r>
  <r>
    <x v="1"/>
    <x v="6"/>
    <x v="1"/>
    <x v="3"/>
    <n v="523"/>
    <n v="141"/>
  </r>
  <r>
    <x v="1"/>
    <x v="7"/>
    <x v="1"/>
    <x v="3"/>
    <n v="130"/>
    <n v="92"/>
  </r>
  <r>
    <x v="0"/>
    <x v="0"/>
    <x v="1"/>
    <x v="4"/>
    <n v="413"/>
    <n v="206"/>
  </r>
  <r>
    <x v="0"/>
    <x v="1"/>
    <x v="1"/>
    <x v="4"/>
    <n v="530"/>
    <n v="163"/>
  </r>
  <r>
    <x v="0"/>
    <x v="2"/>
    <x v="1"/>
    <x v="4"/>
    <n v="603"/>
    <n v="163"/>
  </r>
  <r>
    <x v="0"/>
    <x v="3"/>
    <x v="1"/>
    <x v="4"/>
    <n v="142"/>
    <n v="77"/>
  </r>
  <r>
    <x v="1"/>
    <x v="4"/>
    <x v="1"/>
    <x v="4"/>
    <n v="413"/>
    <n v="206"/>
  </r>
  <r>
    <x v="1"/>
    <x v="5"/>
    <x v="1"/>
    <x v="4"/>
    <n v="489"/>
    <n v="163"/>
  </r>
  <r>
    <x v="1"/>
    <x v="6"/>
    <x v="1"/>
    <x v="4"/>
    <n v="603"/>
    <n v="163"/>
  </r>
  <r>
    <x v="1"/>
    <x v="7"/>
    <x v="1"/>
    <x v="4"/>
    <n v="149"/>
    <n v="96"/>
  </r>
  <r>
    <x v="0"/>
    <x v="0"/>
    <x v="1"/>
    <x v="5"/>
    <n v="548"/>
    <n v="274"/>
  </r>
  <r>
    <x v="0"/>
    <x v="1"/>
    <x v="1"/>
    <x v="5"/>
    <n v="500"/>
    <n v="158"/>
  </r>
  <r>
    <x v="0"/>
    <x v="2"/>
    <x v="1"/>
    <x v="5"/>
    <n v="544"/>
    <n v="147"/>
  </r>
  <r>
    <x v="0"/>
    <x v="3"/>
    <x v="1"/>
    <x v="5"/>
    <n v="212"/>
    <n v="115"/>
  </r>
  <r>
    <x v="1"/>
    <x v="4"/>
    <x v="1"/>
    <x v="5"/>
    <n v="548"/>
    <n v="274"/>
  </r>
  <r>
    <x v="1"/>
    <x v="5"/>
    <x v="1"/>
    <x v="5"/>
    <n v="475"/>
    <n v="158"/>
  </r>
  <r>
    <x v="1"/>
    <x v="6"/>
    <x v="1"/>
    <x v="5"/>
    <n v="544"/>
    <n v="147"/>
  </r>
  <r>
    <x v="1"/>
    <x v="7"/>
    <x v="1"/>
    <x v="5"/>
    <n v="200"/>
    <n v="142"/>
  </r>
  <r>
    <x v="0"/>
    <x v="0"/>
    <x v="1"/>
    <x v="6"/>
    <n v="415"/>
    <n v="207"/>
  </r>
  <r>
    <x v="0"/>
    <x v="1"/>
    <x v="1"/>
    <x v="6"/>
    <n v="680"/>
    <n v="206"/>
  </r>
  <r>
    <x v="0"/>
    <x v="2"/>
    <x v="1"/>
    <x v="6"/>
    <n v="524"/>
    <n v="141"/>
  </r>
  <r>
    <x v="0"/>
    <x v="3"/>
    <x v="1"/>
    <x v="6"/>
    <n v="120"/>
    <n v="66"/>
  </r>
  <r>
    <x v="1"/>
    <x v="4"/>
    <x v="1"/>
    <x v="6"/>
    <n v="415"/>
    <n v="207"/>
  </r>
  <r>
    <x v="1"/>
    <x v="5"/>
    <x v="1"/>
    <x v="6"/>
    <n v="618"/>
    <n v="206"/>
  </r>
  <r>
    <x v="1"/>
    <x v="6"/>
    <x v="1"/>
    <x v="6"/>
    <n v="524"/>
    <n v="141"/>
  </r>
  <r>
    <x v="1"/>
    <x v="7"/>
    <x v="1"/>
    <x v="6"/>
    <n v="130"/>
    <n v="81"/>
  </r>
  <r>
    <x v="0"/>
    <x v="0"/>
    <x v="1"/>
    <x v="7"/>
    <n v="576"/>
    <n v="288"/>
  </r>
  <r>
    <x v="0"/>
    <x v="1"/>
    <x v="1"/>
    <x v="7"/>
    <n v="570"/>
    <n v="176"/>
  </r>
  <r>
    <x v="0"/>
    <x v="2"/>
    <x v="1"/>
    <x v="7"/>
    <n v="623"/>
    <n v="168"/>
  </r>
  <r>
    <x v="0"/>
    <x v="3"/>
    <x v="1"/>
    <x v="7"/>
    <n v="162"/>
    <n v="88"/>
  </r>
  <r>
    <x v="1"/>
    <x v="4"/>
    <x v="1"/>
    <x v="7"/>
    <n v="576"/>
    <n v="288"/>
  </r>
  <r>
    <x v="1"/>
    <x v="5"/>
    <x v="1"/>
    <x v="7"/>
    <n v="529"/>
    <n v="176"/>
  </r>
  <r>
    <x v="1"/>
    <x v="6"/>
    <x v="1"/>
    <x v="7"/>
    <n v="623"/>
    <n v="168"/>
  </r>
  <r>
    <x v="1"/>
    <x v="7"/>
    <x v="1"/>
    <x v="7"/>
    <n v="180"/>
    <n v="109"/>
  </r>
  <r>
    <x v="0"/>
    <x v="0"/>
    <x v="1"/>
    <x v="8"/>
    <n v="417"/>
    <n v="208"/>
  </r>
  <r>
    <x v="0"/>
    <x v="1"/>
    <x v="1"/>
    <x v="8"/>
    <n v="590"/>
    <n v="173"/>
  </r>
  <r>
    <x v="0"/>
    <x v="2"/>
    <x v="1"/>
    <x v="8"/>
    <n v="680"/>
    <n v="184"/>
  </r>
  <r>
    <x v="0"/>
    <x v="3"/>
    <x v="1"/>
    <x v="8"/>
    <n v="123"/>
    <n v="68"/>
  </r>
  <r>
    <x v="1"/>
    <x v="4"/>
    <x v="1"/>
    <x v="8"/>
    <n v="417"/>
    <n v="208"/>
  </r>
  <r>
    <x v="1"/>
    <x v="5"/>
    <x v="1"/>
    <x v="8"/>
    <n v="518"/>
    <n v="173"/>
  </r>
  <r>
    <x v="1"/>
    <x v="6"/>
    <x v="1"/>
    <x v="8"/>
    <n v="680"/>
    <n v="184"/>
  </r>
  <r>
    <x v="1"/>
    <x v="7"/>
    <x v="1"/>
    <x v="8"/>
    <n v="100"/>
    <n v="84"/>
  </r>
  <r>
    <x v="0"/>
    <x v="0"/>
    <x v="1"/>
    <x v="9"/>
    <n v="491"/>
    <n v="245"/>
  </r>
  <r>
    <x v="0"/>
    <x v="1"/>
    <x v="1"/>
    <x v="9"/>
    <n v="477"/>
    <n v="159"/>
  </r>
  <r>
    <x v="0"/>
    <x v="2"/>
    <x v="1"/>
    <x v="9"/>
    <n v="529"/>
    <n v="143"/>
  </r>
  <r>
    <x v="0"/>
    <x v="3"/>
    <x v="1"/>
    <x v="9"/>
    <n v="216"/>
    <n v="118"/>
  </r>
  <r>
    <x v="1"/>
    <x v="4"/>
    <x v="1"/>
    <x v="9"/>
    <n v="491"/>
    <n v="245"/>
  </r>
  <r>
    <x v="1"/>
    <x v="5"/>
    <x v="1"/>
    <x v="9"/>
    <n v="477"/>
    <n v="159"/>
  </r>
  <r>
    <x v="1"/>
    <x v="6"/>
    <x v="1"/>
    <x v="9"/>
    <n v="529"/>
    <n v="143"/>
  </r>
  <r>
    <x v="1"/>
    <x v="7"/>
    <x v="1"/>
    <x v="9"/>
    <n v="200"/>
    <n v="145"/>
  </r>
  <r>
    <x v="0"/>
    <x v="0"/>
    <x v="1"/>
    <x v="10"/>
    <n v="518"/>
    <n v="259"/>
  </r>
  <r>
    <x v="0"/>
    <x v="1"/>
    <x v="1"/>
    <x v="10"/>
    <n v="520"/>
    <n v="174"/>
  </r>
  <r>
    <x v="0"/>
    <x v="2"/>
    <x v="1"/>
    <x v="10"/>
    <n v="594"/>
    <n v="160"/>
  </r>
  <r>
    <x v="0"/>
    <x v="3"/>
    <x v="1"/>
    <x v="10"/>
    <n v="120"/>
    <n v="66"/>
  </r>
  <r>
    <x v="1"/>
    <x v="4"/>
    <x v="1"/>
    <x v="10"/>
    <n v="518"/>
    <n v="259"/>
  </r>
  <r>
    <x v="1"/>
    <x v="5"/>
    <x v="1"/>
    <x v="10"/>
    <n v="520"/>
    <n v="174"/>
  </r>
  <r>
    <x v="1"/>
    <x v="6"/>
    <x v="1"/>
    <x v="10"/>
    <n v="594"/>
    <n v="160"/>
  </r>
  <r>
    <x v="1"/>
    <x v="7"/>
    <x v="1"/>
    <x v="10"/>
    <n v="140"/>
    <n v="81"/>
  </r>
  <r>
    <x v="0"/>
    <x v="0"/>
    <x v="1"/>
    <x v="11"/>
    <n v="529"/>
    <n v="265"/>
  </r>
  <r>
    <x v="0"/>
    <x v="1"/>
    <x v="1"/>
    <x v="11"/>
    <n v="540"/>
    <n v="159"/>
  </r>
  <r>
    <x v="0"/>
    <x v="2"/>
    <x v="1"/>
    <x v="11"/>
    <n v="549"/>
    <n v="149"/>
  </r>
  <r>
    <x v="0"/>
    <x v="3"/>
    <x v="1"/>
    <x v="11"/>
    <n v="162"/>
    <n v="88"/>
  </r>
  <r>
    <x v="1"/>
    <x v="4"/>
    <x v="1"/>
    <x v="11"/>
    <n v="529"/>
    <n v="265"/>
  </r>
  <r>
    <x v="1"/>
    <x v="5"/>
    <x v="1"/>
    <x v="11"/>
    <n v="479"/>
    <n v="159"/>
  </r>
  <r>
    <x v="1"/>
    <x v="6"/>
    <x v="1"/>
    <x v="11"/>
    <n v="549"/>
    <n v="149"/>
  </r>
  <r>
    <x v="1"/>
    <x v="7"/>
    <x v="1"/>
    <x v="11"/>
    <n v="150"/>
    <n v="109"/>
  </r>
</pivotCacheRecords>
</file>

<file path=xl/pivotCache/pivotCacheRecords2.xml><?xml version="1.0" encoding="utf-8"?>
<pivotCacheRecords xmlns="http://schemas.openxmlformats.org/spreadsheetml/2006/main" xmlns:r="http://schemas.openxmlformats.org/officeDocument/2006/relationships" count="49">
  <r>
    <x v="0"/>
    <s v="Agent A"/>
    <n v="5"/>
    <n v="200"/>
    <n v="296"/>
  </r>
  <r>
    <x v="1"/>
    <s v="Agent A"/>
    <n v="6"/>
    <n v="300"/>
    <n v="329"/>
  </r>
  <r>
    <x v="1"/>
    <s v="Agent A"/>
    <n v="1"/>
    <n v="50"/>
    <n v="286"/>
  </r>
  <r>
    <x v="2"/>
    <s v="Agent A"/>
    <n v="9"/>
    <n v="350"/>
    <n v="448"/>
  </r>
  <r>
    <x v="2"/>
    <s v="Agent A"/>
    <n v="2"/>
    <n v="90"/>
    <n v="363"/>
  </r>
  <r>
    <x v="3"/>
    <s v="Agent A"/>
    <n v="3"/>
    <n v="200"/>
    <n v="214"/>
  </r>
  <r>
    <x v="3"/>
    <s v="Agent A"/>
    <n v="4"/>
    <n v="350"/>
    <n v="447"/>
  </r>
  <r>
    <x v="3"/>
    <s v="Agent A"/>
    <n v="9"/>
    <n v="333"/>
    <n v="318"/>
  </r>
  <r>
    <x v="4"/>
    <s v="Agent A"/>
    <n v="10"/>
    <n v="410"/>
    <n v="300"/>
  </r>
  <r>
    <x v="5"/>
    <s v="Agent A"/>
    <n v="7"/>
    <n v="280"/>
    <n v="284"/>
  </r>
  <r>
    <x v="5"/>
    <s v="Agent A"/>
    <n v="10"/>
    <n v="320"/>
    <n v="347"/>
  </r>
  <r>
    <x v="6"/>
    <s v="Agent A"/>
    <n v="8"/>
    <n v="272"/>
    <n v="338"/>
  </r>
  <r>
    <x v="6"/>
    <s v="Agent A"/>
    <n v="10"/>
    <n v="300"/>
    <n v="306"/>
  </r>
  <r>
    <x v="7"/>
    <s v="Agent A"/>
    <n v="4"/>
    <n v="168"/>
    <n v="359"/>
  </r>
  <r>
    <x v="0"/>
    <s v="Agent B"/>
    <n v="9"/>
    <n v="279"/>
    <n v="406"/>
  </r>
  <r>
    <x v="1"/>
    <s v="Agent B"/>
    <n v="8"/>
    <n v="320"/>
    <n v="298"/>
  </r>
  <r>
    <x v="2"/>
    <s v="Agent B"/>
    <n v="3"/>
    <n v="144"/>
    <n v="445"/>
  </r>
  <r>
    <x v="3"/>
    <s v="Agent B"/>
    <n v="10"/>
    <n v="380"/>
    <n v="368"/>
  </r>
  <r>
    <x v="4"/>
    <s v="Agent B"/>
    <n v="4"/>
    <n v="192"/>
    <n v="258"/>
  </r>
  <r>
    <x v="5"/>
    <s v="Agent B"/>
    <n v="4"/>
    <n v="160"/>
    <n v="218"/>
  </r>
  <r>
    <x v="6"/>
    <s v="Agent B"/>
    <n v="5"/>
    <n v="155"/>
    <n v="234"/>
  </r>
  <r>
    <x v="7"/>
    <s v="Agent B"/>
    <n v="8"/>
    <n v="352"/>
    <n v="201"/>
  </r>
  <r>
    <x v="7"/>
    <s v="Agent B"/>
    <n v="8"/>
    <n v="400"/>
    <n v="275"/>
  </r>
  <r>
    <x v="0"/>
    <s v="Agent C"/>
    <n v="8"/>
    <n v="280"/>
    <n v="422"/>
  </r>
  <r>
    <x v="0"/>
    <s v="Agent C"/>
    <n v="10"/>
    <n v="350"/>
    <n v="340"/>
  </r>
  <r>
    <x v="1"/>
    <s v="Agent C"/>
    <n v="3"/>
    <n v="102"/>
    <n v="302"/>
  </r>
  <r>
    <x v="1"/>
    <s v="Agent C"/>
    <n v="8"/>
    <n v="339"/>
    <n v="302"/>
  </r>
  <r>
    <x v="1"/>
    <s v="Agent C"/>
    <n v="11"/>
    <n v="372"/>
    <n v="429"/>
  </r>
  <r>
    <x v="2"/>
    <s v="Agent C"/>
    <n v="10"/>
    <n v="336"/>
    <n v="322"/>
  </r>
  <r>
    <x v="3"/>
    <s v="Agent C"/>
    <n v="9"/>
    <n v="179"/>
    <n v="219"/>
  </r>
  <r>
    <x v="3"/>
    <s v="Agent C"/>
    <n v="11"/>
    <n v="168"/>
    <n v="304"/>
  </r>
  <r>
    <x v="4"/>
    <s v="Agent C"/>
    <n v="8"/>
    <n v="368"/>
    <n v="402"/>
  </r>
  <r>
    <x v="5"/>
    <s v="Agent C"/>
    <n v="7"/>
    <n v="164"/>
    <n v="289"/>
  </r>
  <r>
    <x v="5"/>
    <s v="Agent C"/>
    <n v="8"/>
    <n v="292"/>
    <n v="247"/>
  </r>
  <r>
    <x v="6"/>
    <s v="Agent C"/>
    <n v="7"/>
    <n v="356"/>
    <n v="449"/>
  </r>
  <r>
    <x v="7"/>
    <s v="Agent D"/>
    <n v="6"/>
    <n v="202"/>
    <n v="233"/>
  </r>
  <r>
    <x v="0"/>
    <s v="Agent D"/>
    <n v="9"/>
    <n v="305"/>
    <n v="254"/>
  </r>
  <r>
    <x v="1"/>
    <s v="Agent D"/>
    <n v="9"/>
    <n v="346"/>
    <n v="316"/>
  </r>
  <r>
    <x v="2"/>
    <s v="Agent D"/>
    <n v="8"/>
    <n v="344"/>
    <n v="235"/>
  </r>
  <r>
    <x v="3"/>
    <s v="Agent D"/>
    <n v="11"/>
    <n v="218"/>
    <n v="370"/>
  </r>
  <r>
    <x v="4"/>
    <s v="Agent D"/>
    <n v="5"/>
    <n v="292"/>
    <n v="348"/>
  </r>
  <r>
    <x v="4"/>
    <s v="Agent D"/>
    <n v="6"/>
    <n v="250"/>
    <n v="406"/>
  </r>
  <r>
    <x v="4"/>
    <s v="Agent D"/>
    <n v="8"/>
    <n v="242"/>
    <n v="209"/>
  </r>
  <r>
    <x v="5"/>
    <s v="Agent D"/>
    <n v="8"/>
    <n v="182"/>
    <n v="409"/>
  </r>
  <r>
    <x v="5"/>
    <s v="Agent D"/>
    <n v="9"/>
    <n v="278"/>
    <n v="200"/>
  </r>
  <r>
    <x v="5"/>
    <s v="Agent D"/>
    <n v="7"/>
    <n v="294"/>
    <n v="212"/>
  </r>
  <r>
    <x v="5"/>
    <s v="Agent D"/>
    <n v="3"/>
    <n v="229"/>
    <n v="247"/>
  </r>
  <r>
    <x v="6"/>
    <s v="Agent D"/>
    <n v="8"/>
    <n v="324"/>
    <n v="444"/>
  </r>
  <r>
    <x v="7"/>
    <s v="Agent D"/>
    <n v="10"/>
    <n v="243"/>
    <n v="414"/>
  </r>
</pivotCacheRecords>
</file>

<file path=xl/pivotCache/pivotCacheRecords3.xml><?xml version="1.0" encoding="utf-8"?>
<pivotCacheRecords xmlns="http://schemas.openxmlformats.org/spreadsheetml/2006/main" xmlns:r="http://schemas.openxmlformats.org/officeDocument/2006/relationships" count="66">
  <r>
    <n v="2016"/>
    <x v="0"/>
    <x v="0"/>
    <n v="5"/>
    <n v="200"/>
    <n v="296"/>
  </r>
  <r>
    <n v="2016"/>
    <x v="0"/>
    <x v="0"/>
    <n v="6"/>
    <n v="300"/>
    <n v="329"/>
  </r>
  <r>
    <n v="2016"/>
    <x v="0"/>
    <x v="0"/>
    <n v="1"/>
    <n v="50"/>
    <n v="286"/>
  </r>
  <r>
    <n v="2016"/>
    <x v="1"/>
    <x v="0"/>
    <n v="9"/>
    <n v="350"/>
    <n v="448"/>
  </r>
  <r>
    <n v="2016"/>
    <x v="1"/>
    <x v="0"/>
    <n v="2"/>
    <n v="90"/>
    <n v="363"/>
  </r>
  <r>
    <n v="2016"/>
    <x v="1"/>
    <x v="0"/>
    <n v="3"/>
    <n v="200"/>
    <n v="214"/>
  </r>
  <r>
    <n v="2016"/>
    <x v="1"/>
    <x v="0"/>
    <n v="4"/>
    <n v="350"/>
    <n v="447"/>
  </r>
  <r>
    <n v="2016"/>
    <x v="1"/>
    <x v="0"/>
    <n v="9"/>
    <n v="333"/>
    <n v="318"/>
  </r>
  <r>
    <n v="2016"/>
    <x v="2"/>
    <x v="0"/>
    <n v="10"/>
    <n v="410"/>
    <n v="300"/>
  </r>
  <r>
    <n v="2016"/>
    <x v="2"/>
    <x v="0"/>
    <n v="7"/>
    <n v="280"/>
    <n v="284"/>
  </r>
  <r>
    <n v="2016"/>
    <x v="2"/>
    <x v="0"/>
    <n v="10"/>
    <n v="320"/>
    <n v="347"/>
  </r>
  <r>
    <n v="2016"/>
    <x v="3"/>
    <x v="0"/>
    <n v="8"/>
    <n v="272"/>
    <n v="338"/>
  </r>
  <r>
    <n v="2016"/>
    <x v="3"/>
    <x v="0"/>
    <n v="10"/>
    <n v="300"/>
    <n v="306"/>
  </r>
  <r>
    <n v="2016"/>
    <x v="3"/>
    <x v="0"/>
    <n v="4"/>
    <n v="168"/>
    <n v="359"/>
  </r>
  <r>
    <n v="2016"/>
    <x v="4"/>
    <x v="0"/>
    <n v="4"/>
    <n v="360"/>
    <n v="400"/>
  </r>
  <r>
    <n v="2016"/>
    <x v="4"/>
    <x v="0"/>
    <n v="9"/>
    <n v="333"/>
    <n v="320"/>
  </r>
  <r>
    <n v="2016"/>
    <x v="4"/>
    <x v="0"/>
    <n v="10"/>
    <n v="410"/>
    <n v="320"/>
  </r>
  <r>
    <n v="2016"/>
    <x v="5"/>
    <x v="0"/>
    <n v="7"/>
    <n v="280"/>
    <n v="280"/>
  </r>
  <r>
    <n v="2016"/>
    <x v="5"/>
    <x v="0"/>
    <n v="10"/>
    <n v="320"/>
    <n v="340"/>
  </r>
  <r>
    <n v="2016"/>
    <x v="0"/>
    <x v="1"/>
    <n v="9"/>
    <n v="279"/>
    <n v="406"/>
  </r>
  <r>
    <n v="2016"/>
    <x v="0"/>
    <x v="1"/>
    <n v="8"/>
    <n v="320"/>
    <n v="298"/>
  </r>
  <r>
    <n v="2016"/>
    <x v="1"/>
    <x v="1"/>
    <n v="3"/>
    <n v="144"/>
    <n v="445"/>
  </r>
  <r>
    <n v="2016"/>
    <x v="1"/>
    <x v="1"/>
    <n v="10"/>
    <n v="380"/>
    <n v="368"/>
  </r>
  <r>
    <n v="2016"/>
    <x v="2"/>
    <x v="1"/>
    <n v="4"/>
    <n v="192"/>
    <n v="258"/>
  </r>
  <r>
    <n v="2016"/>
    <x v="3"/>
    <x v="1"/>
    <n v="4"/>
    <n v="160"/>
    <n v="218"/>
  </r>
  <r>
    <n v="2016"/>
    <x v="3"/>
    <x v="1"/>
    <n v="5"/>
    <n v="155"/>
    <n v="234"/>
  </r>
  <r>
    <n v="2016"/>
    <x v="3"/>
    <x v="1"/>
    <n v="8"/>
    <n v="352"/>
    <n v="201"/>
  </r>
  <r>
    <n v="2016"/>
    <x v="3"/>
    <x v="1"/>
    <n v="8"/>
    <n v="400"/>
    <n v="275"/>
  </r>
  <r>
    <n v="2016"/>
    <x v="4"/>
    <x v="1"/>
    <n v="9"/>
    <n v="333"/>
    <n v="320"/>
  </r>
  <r>
    <n v="2016"/>
    <x v="4"/>
    <x v="1"/>
    <n v="10"/>
    <n v="380"/>
    <n v="320"/>
  </r>
  <r>
    <n v="2016"/>
    <x v="5"/>
    <x v="1"/>
    <n v="7"/>
    <n v="280"/>
    <n v="290"/>
  </r>
  <r>
    <n v="2016"/>
    <x v="5"/>
    <x v="1"/>
    <n v="10"/>
    <n v="320"/>
    <n v="330"/>
  </r>
  <r>
    <n v="2016"/>
    <x v="0"/>
    <x v="2"/>
    <n v="8"/>
    <n v="280"/>
    <n v="422"/>
  </r>
  <r>
    <n v="2016"/>
    <x v="0"/>
    <x v="2"/>
    <n v="10"/>
    <n v="350"/>
    <n v="340"/>
  </r>
  <r>
    <n v="2016"/>
    <x v="0"/>
    <x v="2"/>
    <n v="3"/>
    <n v="102"/>
    <n v="302"/>
  </r>
  <r>
    <n v="2016"/>
    <x v="0"/>
    <x v="2"/>
    <n v="8"/>
    <n v="339"/>
    <n v="302"/>
  </r>
  <r>
    <n v="2016"/>
    <x v="0"/>
    <x v="2"/>
    <n v="11"/>
    <n v="372"/>
    <n v="429"/>
  </r>
  <r>
    <n v="2016"/>
    <x v="1"/>
    <x v="2"/>
    <n v="10"/>
    <n v="336"/>
    <n v="322"/>
  </r>
  <r>
    <n v="2016"/>
    <x v="1"/>
    <x v="2"/>
    <n v="9"/>
    <n v="179"/>
    <n v="219"/>
  </r>
  <r>
    <n v="2016"/>
    <x v="1"/>
    <x v="2"/>
    <n v="11"/>
    <n v="168"/>
    <n v="304"/>
  </r>
  <r>
    <n v="2016"/>
    <x v="2"/>
    <x v="2"/>
    <n v="8"/>
    <n v="368"/>
    <n v="402"/>
  </r>
  <r>
    <n v="2016"/>
    <x v="2"/>
    <x v="2"/>
    <n v="7"/>
    <n v="164"/>
    <n v="289"/>
  </r>
  <r>
    <n v="2016"/>
    <x v="2"/>
    <x v="2"/>
    <n v="8"/>
    <n v="292"/>
    <n v="247"/>
  </r>
  <r>
    <n v="2016"/>
    <x v="3"/>
    <x v="2"/>
    <n v="7"/>
    <n v="356"/>
    <n v="449"/>
  </r>
  <r>
    <n v="2016"/>
    <x v="4"/>
    <x v="2"/>
    <n v="8"/>
    <n v="180"/>
    <n v="200"/>
  </r>
  <r>
    <n v="2016"/>
    <x v="4"/>
    <x v="2"/>
    <n v="7"/>
    <n v="160"/>
    <n v="190"/>
  </r>
  <r>
    <n v="2016"/>
    <x v="5"/>
    <x v="2"/>
    <n v="8"/>
    <n v="280"/>
    <n v="240"/>
  </r>
  <r>
    <n v="2016"/>
    <x v="5"/>
    <x v="2"/>
    <n v="10"/>
    <n v="320"/>
    <n v="310"/>
  </r>
  <r>
    <n v="2016"/>
    <x v="0"/>
    <x v="3"/>
    <n v="6"/>
    <n v="202"/>
    <n v="233"/>
  </r>
  <r>
    <n v="2016"/>
    <x v="0"/>
    <x v="3"/>
    <n v="9"/>
    <n v="305"/>
    <n v="254"/>
  </r>
  <r>
    <n v="2016"/>
    <x v="1"/>
    <x v="3"/>
    <n v="9"/>
    <n v="346"/>
    <n v="316"/>
  </r>
  <r>
    <n v="2016"/>
    <x v="1"/>
    <x v="3"/>
    <n v="8"/>
    <n v="344"/>
    <n v="235"/>
  </r>
  <r>
    <n v="2016"/>
    <x v="1"/>
    <x v="3"/>
    <n v="11"/>
    <n v="218"/>
    <n v="370"/>
  </r>
  <r>
    <n v="2016"/>
    <x v="2"/>
    <x v="3"/>
    <n v="5"/>
    <n v="292"/>
    <n v="348"/>
  </r>
  <r>
    <n v="2016"/>
    <x v="2"/>
    <x v="3"/>
    <n v="6"/>
    <n v="250"/>
    <n v="406"/>
  </r>
  <r>
    <n v="2016"/>
    <x v="2"/>
    <x v="3"/>
    <n v="8"/>
    <n v="242"/>
    <n v="209"/>
  </r>
  <r>
    <n v="2016"/>
    <x v="2"/>
    <x v="3"/>
    <n v="8"/>
    <n v="182"/>
    <n v="409"/>
  </r>
  <r>
    <n v="2016"/>
    <x v="2"/>
    <x v="3"/>
    <n v="9"/>
    <n v="278"/>
    <n v="200"/>
  </r>
  <r>
    <n v="2016"/>
    <x v="2"/>
    <x v="3"/>
    <n v="7"/>
    <n v="294"/>
    <n v="212"/>
  </r>
  <r>
    <n v="2016"/>
    <x v="2"/>
    <x v="3"/>
    <n v="3"/>
    <n v="229"/>
    <n v="247"/>
  </r>
  <r>
    <n v="2016"/>
    <x v="3"/>
    <x v="3"/>
    <n v="8"/>
    <n v="324"/>
    <n v="444"/>
  </r>
  <r>
    <n v="2016"/>
    <x v="3"/>
    <x v="3"/>
    <n v="10"/>
    <n v="243"/>
    <n v="414"/>
  </r>
  <r>
    <n v="2016"/>
    <x v="4"/>
    <x v="3"/>
    <n v="9"/>
    <n v="320"/>
    <n v="400"/>
  </r>
  <r>
    <n v="2016"/>
    <x v="4"/>
    <x v="3"/>
    <n v="7"/>
    <n v="190"/>
    <n v="170"/>
  </r>
  <r>
    <n v="2016"/>
    <x v="5"/>
    <x v="3"/>
    <n v="5"/>
    <n v="280"/>
    <n v="230"/>
  </r>
  <r>
    <n v="2016"/>
    <x v="5"/>
    <x v="3"/>
    <n v="8"/>
    <n v="320"/>
    <n v="3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1" cacheId="84" applyNumberFormats="0" applyBorderFormats="0" applyFontFormats="0" applyPatternFormats="0" applyAlignmentFormats="0" applyWidthHeightFormats="1" dataCaption="Values" grandTotalCaption="Total" updatedVersion="4" minRefreshableVersion="3" useAutoFormatting="1" itemPrintTitles="1" createdVersion="4" indent="0" outline="1" outlineData="1" multipleFieldFilters="0">
  <location ref="J4:M9" firstHeaderRow="0" firstDataRow="1" firstDataCol="1" rowPageCount="1" colPageCount="1"/>
  <pivotFields count="7">
    <pivotField showAll="0"/>
    <pivotField axis="axisPage" showAll="0">
      <items count="7">
        <item x="0"/>
        <item x="1"/>
        <item x="2"/>
        <item x="3"/>
        <item x="4"/>
        <item x="5"/>
        <item t="default"/>
      </items>
    </pivotField>
    <pivotField axis="axisRow" showAll="0">
      <items count="5">
        <item x="0"/>
        <item x="1"/>
        <item x="2"/>
        <item x="3"/>
        <item t="default"/>
      </items>
    </pivotField>
    <pivotField showAll="0"/>
    <pivotField dataField="1" showAll="0"/>
    <pivotField dataField="1" showAll="0" defaultSubtotal="0"/>
    <pivotField dataField="1" dragToRow="0" dragToCol="0" dragToPage="0" showAll="0" defaultSubtotal="0"/>
  </pivotFields>
  <rowFields count="1">
    <field x="2"/>
  </rowFields>
  <rowItems count="5">
    <i>
      <x/>
    </i>
    <i>
      <x v="1"/>
    </i>
    <i>
      <x v="2"/>
    </i>
    <i>
      <x v="3"/>
    </i>
    <i t="grand">
      <x/>
    </i>
  </rowItems>
  <colFields count="1">
    <field x="-2"/>
  </colFields>
  <colItems count="3">
    <i>
      <x/>
    </i>
    <i i="1">
      <x v="1"/>
    </i>
    <i i="2">
      <x v="2"/>
    </i>
  </colItems>
  <pageFields count="1">
    <pageField fld="1" item="0" hier="-1"/>
  </pageFields>
  <dataFields count="3">
    <dataField name="Actual Revenue " fld="4" baseField="1" baseItem="0" numFmtId="3"/>
    <dataField name="Planned Revenue " fld="5" baseField="0" baseItem="0"/>
    <dataField name=" Variance" fld="6" baseField="2" baseItem="1" numFmtId="179"/>
  </dataField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A00-000001000000}" name="PivotTable2" cacheId="84" applyNumberFormats="0" applyBorderFormats="0" applyFontFormats="0" applyPatternFormats="0" applyAlignmentFormats="0" applyWidthHeightFormats="1" dataCaption="Values" grandTotalCaption="Total" updatedVersion="4" minRefreshableVersion="3" useAutoFormatting="1" rowGrandTotals="0" itemPrintTitles="1" createdVersion="4" indent="0" outline="1" outlineData="1" multipleFieldFilters="0">
  <location ref="J15:K21" firstHeaderRow="1" firstDataRow="1" firstDataCol="1" rowPageCount="1" colPageCount="1"/>
  <pivotFields count="7">
    <pivotField showAll="0"/>
    <pivotField axis="axisRow" showAll="0">
      <items count="7">
        <item x="0"/>
        <item x="1"/>
        <item x="2"/>
        <item x="3"/>
        <item x="4"/>
        <item x="5"/>
        <item t="default"/>
      </items>
    </pivotField>
    <pivotField axis="axisPage" showAll="0">
      <items count="5">
        <item x="0"/>
        <item x="1"/>
        <item x="2"/>
        <item x="3"/>
        <item t="default"/>
      </items>
    </pivotField>
    <pivotField showAll="0"/>
    <pivotField dataField="1" showAll="0"/>
    <pivotField showAll="0" defaultSubtotal="0"/>
    <pivotField dragToRow="0" dragToCol="0" dragToPage="0" showAll="0" defaultSubtotal="0"/>
  </pivotFields>
  <rowFields count="1">
    <field x="1"/>
  </rowFields>
  <rowItems count="6">
    <i>
      <x/>
    </i>
    <i>
      <x v="1"/>
    </i>
    <i>
      <x v="2"/>
    </i>
    <i>
      <x v="3"/>
    </i>
    <i>
      <x v="4"/>
    </i>
    <i>
      <x v="5"/>
    </i>
  </rowItems>
  <colItems count="1">
    <i/>
  </colItems>
  <pageFields count="1">
    <pageField fld="2" item="0" hier="-1"/>
  </pageFields>
  <dataFields count="1">
    <dataField name="Actual Revenue " fld="4" baseField="1" baseItem="0" numFmtId="3"/>
  </dataField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A00-000002000000}" name="PivotTable4" cacheId="8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H76:I81" firstHeaderRow="1" firstDataRow="1" firstDataCol="1" rowPageCount="1" colPageCount="1"/>
  <pivotFields count="6">
    <pivotField axis="axisRow" numFmtId="17" showAll="0">
      <items count="15">
        <item x="0"/>
        <item x="1"/>
        <item x="2"/>
        <item x="3"/>
        <item x="4"/>
        <item x="5"/>
        <item x="6"/>
        <item x="7"/>
        <item x="8"/>
        <item x="9"/>
        <item x="10"/>
        <item x="11"/>
        <item x="12"/>
        <item x="13"/>
        <item t="default"/>
      </items>
    </pivotField>
    <pivotField showAll="0"/>
    <pivotField showAll="0"/>
    <pivotField dataField="1" showAll="0"/>
    <pivotField showAll="0" defaultSubtotal="0"/>
    <pivotField axis="axisPage" showAll="0" defaultSubtotal="0">
      <items count="4">
        <item x="1"/>
        <item x="2"/>
        <item x="0"/>
        <item x="3"/>
      </items>
    </pivotField>
  </pivotFields>
  <rowFields count="1">
    <field x="0"/>
  </rowFields>
  <rowItems count="5">
    <i>
      <x v="1"/>
    </i>
    <i>
      <x v="2"/>
    </i>
    <i>
      <x v="3"/>
    </i>
    <i>
      <x v="4"/>
    </i>
    <i t="grand">
      <x/>
    </i>
  </rowItems>
  <colItems count="1">
    <i/>
  </colItems>
  <pageFields count="1">
    <pageField fld="5" item="0" hier="-1"/>
  </pageFields>
  <dataFields count="1">
    <dataField name="Actual Revenue " fld="3" baseField="0" baseItem="3"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B00-000000000000}" name="PivotTable2" cacheId="82" applyNumberFormats="0" applyBorderFormats="0" applyFontFormats="0" applyPatternFormats="0" applyAlignmentFormats="0" applyWidthHeightFormats="1" dataCaption="Values" grandTotalCaption="Products" updatedVersion="4" minRefreshableVersion="3" showDrill="0" colGrandTotals="0" itemPrintTitles="1" createdVersion="4" indent="0" showHeaders="0" compact="0" compactData="0" multipleFieldFilters="0">
  <location ref="A3:J15" firstHeaderRow="0" firstDataRow="2" firstDataCol="2" rowPageCount="1" colPageCount="1"/>
  <pivotFields count="6">
    <pivotField axis="axisRow" subtotalCaption="? " compact="0" outline="0" showAll="0">
      <items count="4">
        <item x="0"/>
        <item x="1"/>
        <item m="1" x="2"/>
        <item t="default"/>
      </items>
    </pivotField>
    <pivotField axis="axisRow" compact="0" outline="0" showAll="0">
      <items count="12">
        <item x="2"/>
        <item x="7"/>
        <item x="0"/>
        <item x="6"/>
        <item x="4"/>
        <item x="1"/>
        <item x="5"/>
        <item x="3"/>
        <item m="1" x="8"/>
        <item m="1" x="9"/>
        <item m="1" x="10"/>
        <item t="default"/>
      </items>
    </pivotField>
    <pivotField axis="axisCol" compact="0" outline="0" showAll="0" sortType="descending">
      <items count="3">
        <item x="1"/>
        <item x="0"/>
        <item t="default"/>
      </items>
    </pivotField>
    <pivotField axis="axisPage" compact="0" outline="0" showAll="0">
      <items count="13">
        <item x="0"/>
        <item x="1"/>
        <item x="2"/>
        <item x="3"/>
        <item x="4"/>
        <item x="5"/>
        <item x="6"/>
        <item x="7"/>
        <item x="8"/>
        <item x="9"/>
        <item x="10"/>
        <item x="11"/>
        <item t="default"/>
      </items>
    </pivotField>
    <pivotField dataField="1" compact="0" outline="0" showAll="0"/>
    <pivotField dataField="1" compact="0" outline="0" showAll="0"/>
  </pivotFields>
  <rowFields count="2">
    <field x="0"/>
    <field x="1"/>
  </rowFields>
  <rowItems count="11">
    <i>
      <x/>
      <x/>
    </i>
    <i r="1">
      <x v="2"/>
    </i>
    <i r="1">
      <x v="5"/>
    </i>
    <i r="1">
      <x v="7"/>
    </i>
    <i t="default">
      <x/>
    </i>
    <i>
      <x v="1"/>
      <x v="1"/>
    </i>
    <i r="1">
      <x v="3"/>
    </i>
    <i r="1">
      <x v="4"/>
    </i>
    <i r="1">
      <x v="6"/>
    </i>
    <i t="default">
      <x v="1"/>
    </i>
    <i t="grand">
      <x/>
    </i>
  </rowItems>
  <colFields count="2">
    <field x="2"/>
    <field x="-2"/>
  </colFields>
  <colItems count="8">
    <i>
      <x/>
      <x/>
    </i>
    <i r="1" i="1">
      <x v="1"/>
    </i>
    <i r="1" i="2">
      <x v="2"/>
    </i>
    <i r="1" i="3">
      <x v="3"/>
    </i>
    <i>
      <x v="1"/>
      <x/>
    </i>
    <i r="1" i="1">
      <x v="1"/>
    </i>
    <i r="1" i="2">
      <x v="2"/>
    </i>
    <i r="1" i="3">
      <x v="3"/>
    </i>
  </colItems>
  <pageFields count="1">
    <pageField fld="3" hier="-1"/>
  </pageFields>
  <dataFields count="4">
    <dataField name="Quantity " fld="5" baseField="1" baseItem="2" numFmtId="3"/>
    <dataField name="Revenue " fld="4" baseField="1" baseItem="2" numFmtId="3"/>
    <dataField name="% ∆ PY" fld="4" showDataAs="percentDiff" baseField="2" baseItem="1048829" numFmtId="171"/>
    <dataField name=" " fld="4" showDataAs="percentDiff" baseField="2" baseItem="1048829" numFmtId="10"/>
  </dataFields>
  <conditionalFormats count="2">
    <conditionalFormat scope="data" priority="2">
      <pivotAreas count="1">
        <pivotArea outline="0" fieldPosition="0">
          <references count="1">
            <reference field="4294967294" count="1" selected="0">
              <x v="3"/>
            </reference>
          </references>
        </pivotArea>
      </pivotAreas>
    </conditionalFormat>
    <conditionalFormat scope="data" priority="1">
      <pivotAreas count="1">
        <pivotArea outline="0" fieldPosition="0">
          <references count="1">
            <reference field="4294967294" count="1" selected="0">
              <x v="3"/>
            </reference>
          </references>
        </pivotArea>
      </pivotAreas>
    </conditionalFormat>
  </conditionalFormats>
  <pivotTableStyleInfo name="PivotFancy"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Agent" xr10:uid="{00000000-0013-0000-FFFF-FFFF01000000}" sourceName="Sales Agent">
  <pivotTables>
    <pivotTable tabId="22" name="PivotTable2"/>
  </pivotTables>
  <data>
    <tabular pivotCacheId="2">
      <items count="4">
        <i x="0" s="1"/>
        <i x="1"/>
        <i x="2"/>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Agent" xr10:uid="{00000000-0014-0000-FFFF-FFFF01000000}" cache="Slicer_Sales_Agent" caption="Sales Agent" columnCount="4" showCaption="0" style="Slicerwithoutbord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9:F321" totalsRowShown="0" headerRowDxfId="7">
  <autoFilter ref="A129:F321" xr:uid="{00000000-0009-0000-0100-000001000000}"/>
  <tableColumns count="6">
    <tableColumn id="1" xr3:uid="{00000000-0010-0000-0000-000001000000}" name="Product Main Category"/>
    <tableColumn id="2" xr3:uid="{00000000-0010-0000-0000-000002000000}" name="Product"/>
    <tableColumn id="3" xr3:uid="{00000000-0010-0000-0000-000003000000}" name="Year"/>
    <tableColumn id="4" xr3:uid="{00000000-0010-0000-0000-000004000000}" name="Month"/>
    <tableColumn id="5" xr3:uid="{00000000-0010-0000-0000-000005000000}" name="Revenue"/>
    <tableColumn id="6" xr3:uid="{00000000-0010-0000-0000-000006000000}" name="Quantity"/>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3" displayName="Table13" ref="A4:H24" totalsRowShown="0" headerRowDxfId="4">
  <autoFilter ref="A4:H24" xr:uid="{00000000-0009-0000-0100-000002000000}"/>
  <tableColumns count="8">
    <tableColumn id="1" xr3:uid="{00000000-0010-0000-0100-000001000000}" name="Cost center"/>
    <tableColumn id="2" xr3:uid="{00000000-0010-0000-0100-000002000000}" name="Last name"/>
    <tableColumn id="3" xr3:uid="{00000000-0010-0000-0100-000003000000}" name="First name"/>
    <tableColumn id="4" xr3:uid="{00000000-0010-0000-0100-000004000000}" name="Sex"/>
    <tableColumn id="5" xr3:uid="{00000000-0010-0000-0100-000005000000}" name="FTE" dataDxfId="3"/>
    <tableColumn id="6" xr3:uid="{00000000-0010-0000-0100-000006000000}" name="Base salary" dataDxfId="2"/>
    <tableColumn id="7" xr3:uid="{00000000-0010-0000-0100-000007000000}" name="Benefits" dataDxfId="1"/>
    <tableColumn id="8" xr3:uid="{00000000-0010-0000-0100-000008000000}" name="Bonu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office.microsoft.com/en-001/excel-help/excel-shortcut-and-function-keys-HP010073848.asp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gharani@xelplus.com" TargetMode="External"/><Relationship Id="rId2" Type="http://schemas.openxmlformats.org/officeDocument/2006/relationships/hyperlink" Target="https://d.docs.live.net/a60237486963a246/Udemy/2_Advanced/ExcelPDFFiles/Excel_Advanced_ExerciseBook.xlsx" TargetMode="External"/><Relationship Id="rId1" Type="http://schemas.openxmlformats.org/officeDocument/2006/relationships/hyperlink" Target="http://www.xelplus.com/" TargetMode="External"/><Relationship Id="rId5" Type="http://schemas.openxmlformats.org/officeDocument/2006/relationships/drawing" Target="../drawings/drawing3.xm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9.bin"/><Relationship Id="rId1" Type="http://schemas.openxmlformats.org/officeDocument/2006/relationships/hyperlink" Target="http://msdn.microsoft.com/en-us/library/cc296089(v=office.12).aspx"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1.xml"/><Relationship Id="rId5" Type="http://schemas.openxmlformats.org/officeDocument/2006/relationships/drawing" Target="../drawings/drawing6.x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2.bin"/><Relationship Id="rId1" Type="http://schemas.openxmlformats.org/officeDocument/2006/relationships/pivotTable" Target="../pivotTables/pivotTable4.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1" tint="0.249977111117893"/>
  </sheetPr>
  <dimension ref="A1:K31"/>
  <sheetViews>
    <sheetView showGridLines="0" workbookViewId="0"/>
  </sheetViews>
  <sheetFormatPr defaultColWidth="0" defaultRowHeight="15" zeroHeight="1" x14ac:dyDescent="0.25"/>
  <cols>
    <col min="1" max="1" width="1.42578125" customWidth="1"/>
    <col min="2" max="2" width="2.85546875" customWidth="1"/>
    <col min="3" max="3" width="5.5703125" customWidth="1"/>
    <col min="4" max="4" width="54.140625" customWidth="1"/>
    <col min="5" max="5" width="23.140625" customWidth="1"/>
    <col min="6" max="6" width="1.28515625" customWidth="1"/>
    <col min="7" max="7" width="3.42578125" customWidth="1"/>
    <col min="8" max="8" width="5.140625" customWidth="1"/>
    <col min="9" max="9" width="57.28515625" customWidth="1"/>
    <col min="10" max="10" width="22.5703125" customWidth="1"/>
    <col min="11" max="11" width="9" customWidth="1"/>
    <col min="12" max="16384" width="9" hidden="1"/>
  </cols>
  <sheetData>
    <row r="1" spans="1:11" ht="38.25" customHeight="1" x14ac:dyDescent="0.25">
      <c r="A1" s="111"/>
      <c r="B1" s="111"/>
      <c r="C1" s="111"/>
      <c r="D1" s="111"/>
      <c r="E1" s="111"/>
      <c r="F1" s="111"/>
      <c r="G1" s="111"/>
      <c r="H1" s="111"/>
      <c r="I1" s="111"/>
      <c r="J1" s="111"/>
      <c r="K1" s="111"/>
    </row>
    <row r="2" spans="1:11" ht="24" thickBot="1" x14ac:dyDescent="0.4">
      <c r="A2" s="111"/>
      <c r="B2" s="119"/>
      <c r="C2" s="119"/>
      <c r="D2" s="120" t="s">
        <v>360</v>
      </c>
      <c r="E2" s="121" t="s">
        <v>423</v>
      </c>
      <c r="F2" s="111"/>
      <c r="G2" s="119"/>
      <c r="H2" s="119"/>
      <c r="I2" s="120" t="s">
        <v>361</v>
      </c>
      <c r="J2" s="121" t="s">
        <v>423</v>
      </c>
      <c r="K2" s="111"/>
    </row>
    <row r="3" spans="1:11" x14ac:dyDescent="0.25">
      <c r="A3" s="111"/>
      <c r="B3" s="112"/>
      <c r="C3" s="113" t="s">
        <v>359</v>
      </c>
      <c r="D3" t="s">
        <v>371</v>
      </c>
      <c r="E3" s="97" t="s">
        <v>560</v>
      </c>
      <c r="F3" s="111"/>
      <c r="G3" s="112"/>
      <c r="H3" s="113" t="s">
        <v>383</v>
      </c>
      <c r="I3" t="s">
        <v>373</v>
      </c>
      <c r="J3" s="97" t="s">
        <v>362</v>
      </c>
      <c r="K3" s="111"/>
    </row>
    <row r="4" spans="1:11" x14ac:dyDescent="0.25">
      <c r="A4" s="111"/>
      <c r="B4" s="112"/>
      <c r="C4" s="113" t="s">
        <v>405</v>
      </c>
      <c r="D4" t="s">
        <v>367</v>
      </c>
      <c r="E4" s="97" t="s">
        <v>560</v>
      </c>
      <c r="F4" s="111"/>
      <c r="G4" s="112"/>
      <c r="H4" s="58" t="s">
        <v>414</v>
      </c>
      <c r="I4" t="s">
        <v>374</v>
      </c>
      <c r="J4" s="97" t="s">
        <v>362</v>
      </c>
      <c r="K4" s="111"/>
    </row>
    <row r="5" spans="1:11" x14ac:dyDescent="0.25">
      <c r="A5" s="111"/>
      <c r="B5" s="112"/>
      <c r="C5" s="58" t="s">
        <v>406</v>
      </c>
      <c r="D5" t="s">
        <v>363</v>
      </c>
      <c r="E5" s="97" t="s">
        <v>362</v>
      </c>
      <c r="F5" s="111"/>
      <c r="G5" s="112"/>
      <c r="H5" s="58" t="s">
        <v>415</v>
      </c>
      <c r="I5" t="s">
        <v>375</v>
      </c>
      <c r="J5" s="97" t="s">
        <v>362</v>
      </c>
      <c r="K5" s="111"/>
    </row>
    <row r="6" spans="1:11" x14ac:dyDescent="0.25">
      <c r="A6" s="111"/>
      <c r="B6" s="112"/>
      <c r="C6" s="58" t="s">
        <v>407</v>
      </c>
      <c r="D6" t="s">
        <v>364</v>
      </c>
      <c r="E6" s="97" t="s">
        <v>362</v>
      </c>
      <c r="F6" s="111"/>
      <c r="G6" s="112"/>
      <c r="H6" s="58" t="s">
        <v>416</v>
      </c>
      <c r="I6" t="s">
        <v>376</v>
      </c>
      <c r="J6" s="97" t="s">
        <v>362</v>
      </c>
      <c r="K6" s="111"/>
    </row>
    <row r="7" spans="1:11" x14ac:dyDescent="0.25">
      <c r="A7" s="111"/>
      <c r="B7" s="112"/>
      <c r="C7" s="58" t="s">
        <v>408</v>
      </c>
      <c r="D7" t="s">
        <v>366</v>
      </c>
      <c r="E7" s="97" t="s">
        <v>362</v>
      </c>
      <c r="F7" s="111"/>
      <c r="G7" s="112"/>
      <c r="H7" s="58" t="s">
        <v>417</v>
      </c>
      <c r="I7" t="s">
        <v>382</v>
      </c>
      <c r="J7" s="97" t="s">
        <v>362</v>
      </c>
      <c r="K7" s="111"/>
    </row>
    <row r="8" spans="1:11" x14ac:dyDescent="0.25">
      <c r="A8" s="111"/>
      <c r="B8" s="112"/>
      <c r="C8" s="58" t="s">
        <v>409</v>
      </c>
      <c r="D8" t="s">
        <v>365</v>
      </c>
      <c r="E8" s="97" t="s">
        <v>362</v>
      </c>
      <c r="F8" s="111"/>
      <c r="G8" s="112"/>
      <c r="H8" s="58" t="s">
        <v>418</v>
      </c>
      <c r="I8" t="s">
        <v>377</v>
      </c>
      <c r="J8" s="97" t="s">
        <v>362</v>
      </c>
      <c r="K8" s="111"/>
    </row>
    <row r="9" spans="1:11" x14ac:dyDescent="0.25">
      <c r="A9" s="111"/>
      <c r="B9" s="112"/>
      <c r="C9" s="58" t="s">
        <v>410</v>
      </c>
      <c r="D9" t="s">
        <v>368</v>
      </c>
      <c r="E9" s="97" t="s">
        <v>362</v>
      </c>
      <c r="F9" s="111"/>
      <c r="G9" s="112"/>
      <c r="H9" s="58" t="s">
        <v>419</v>
      </c>
      <c r="I9" t="s">
        <v>378</v>
      </c>
      <c r="J9" s="97" t="s">
        <v>362</v>
      </c>
      <c r="K9" s="111"/>
    </row>
    <row r="10" spans="1:11" x14ac:dyDescent="0.25">
      <c r="A10" s="111"/>
      <c r="B10" s="112"/>
      <c r="C10" s="58" t="s">
        <v>411</v>
      </c>
      <c r="D10" t="s">
        <v>372</v>
      </c>
      <c r="E10" s="97" t="s">
        <v>362</v>
      </c>
      <c r="F10" s="111"/>
      <c r="G10" s="112"/>
      <c r="H10" s="58" t="s">
        <v>420</v>
      </c>
      <c r="I10" t="s">
        <v>379</v>
      </c>
      <c r="J10" s="97" t="s">
        <v>362</v>
      </c>
      <c r="K10" s="111"/>
    </row>
    <row r="11" spans="1:11" x14ac:dyDescent="0.25">
      <c r="A11" s="111"/>
      <c r="B11" s="112"/>
      <c r="C11" s="58" t="s">
        <v>412</v>
      </c>
      <c r="D11" t="s">
        <v>370</v>
      </c>
      <c r="E11" s="97" t="s">
        <v>362</v>
      </c>
      <c r="F11" s="111"/>
      <c r="G11" s="112"/>
      <c r="H11" s="58" t="s">
        <v>421</v>
      </c>
      <c r="I11" t="s">
        <v>380</v>
      </c>
      <c r="J11" s="97" t="s">
        <v>362</v>
      </c>
      <c r="K11" s="111"/>
    </row>
    <row r="12" spans="1:11" x14ac:dyDescent="0.25">
      <c r="A12" s="111"/>
      <c r="B12" s="112"/>
      <c r="C12" s="58" t="s">
        <v>413</v>
      </c>
      <c r="D12" t="s">
        <v>369</v>
      </c>
      <c r="E12" s="97" t="s">
        <v>362</v>
      </c>
      <c r="F12" s="111"/>
      <c r="G12" s="112"/>
      <c r="H12" s="58" t="s">
        <v>422</v>
      </c>
      <c r="I12" t="s">
        <v>381</v>
      </c>
      <c r="J12" s="97" t="s">
        <v>362</v>
      </c>
      <c r="K12" s="111"/>
    </row>
    <row r="13" spans="1:11" x14ac:dyDescent="0.25">
      <c r="A13" s="111"/>
      <c r="B13" s="112"/>
      <c r="C13" s="58" t="s">
        <v>471</v>
      </c>
      <c r="D13" s="8" t="s">
        <v>472</v>
      </c>
      <c r="E13" s="97" t="s">
        <v>362</v>
      </c>
      <c r="F13" s="111"/>
      <c r="G13" s="112"/>
      <c r="K13" s="111"/>
    </row>
    <row r="14" spans="1:11" x14ac:dyDescent="0.25">
      <c r="A14" s="111"/>
      <c r="B14" s="112"/>
      <c r="C14" s="58"/>
      <c r="D14" s="8"/>
      <c r="E14" s="97"/>
      <c r="F14" s="111"/>
      <c r="G14" s="112"/>
      <c r="H14" s="58" t="s">
        <v>485</v>
      </c>
      <c r="I14" t="s">
        <v>486</v>
      </c>
      <c r="J14" s="97" t="s">
        <v>362</v>
      </c>
      <c r="K14" s="111"/>
    </row>
    <row r="15" spans="1:11" x14ac:dyDescent="0.25">
      <c r="A15" s="111"/>
      <c r="B15" s="112"/>
      <c r="C15" s="58"/>
      <c r="D15" s="8"/>
      <c r="E15" s="97"/>
      <c r="F15" s="111"/>
      <c r="G15" s="112"/>
      <c r="H15" s="58" t="s">
        <v>507</v>
      </c>
      <c r="I15" t="s">
        <v>504</v>
      </c>
      <c r="J15" s="97" t="s">
        <v>362</v>
      </c>
      <c r="K15" s="111"/>
    </row>
    <row r="16" spans="1:11" x14ac:dyDescent="0.25">
      <c r="A16" s="111"/>
      <c r="B16" s="112"/>
      <c r="C16" s="58"/>
      <c r="D16" s="8"/>
      <c r="E16" s="97"/>
      <c r="F16" s="111"/>
      <c r="G16" s="112"/>
      <c r="H16" s="58" t="s">
        <v>508</v>
      </c>
      <c r="I16" t="s">
        <v>559</v>
      </c>
      <c r="J16" s="97" t="s">
        <v>362</v>
      </c>
      <c r="K16" s="111"/>
    </row>
    <row r="17" spans="1:11" x14ac:dyDescent="0.25">
      <c r="A17" s="111"/>
      <c r="B17" s="112"/>
      <c r="D17" s="8"/>
      <c r="E17" s="8"/>
      <c r="F17" s="111"/>
      <c r="G17" s="112"/>
      <c r="K17" s="111"/>
    </row>
    <row r="18" spans="1:11" x14ac:dyDescent="0.25">
      <c r="A18" s="111"/>
      <c r="B18" s="111"/>
      <c r="C18" s="111"/>
      <c r="D18" s="111"/>
      <c r="E18" s="111"/>
      <c r="F18" s="111"/>
      <c r="G18" s="111"/>
      <c r="H18" s="111"/>
      <c r="I18" s="111"/>
      <c r="J18" s="111"/>
      <c r="K18" s="111"/>
    </row>
    <row r="19" spans="1:11" x14ac:dyDescent="0.25">
      <c r="A19" s="111"/>
      <c r="B19" s="111"/>
      <c r="C19" s="111"/>
      <c r="D19" s="111"/>
      <c r="E19" s="111"/>
      <c r="F19" s="111"/>
      <c r="G19" s="111"/>
      <c r="H19" s="111"/>
      <c r="I19" s="111"/>
      <c r="J19" s="111"/>
      <c r="K19" s="111"/>
    </row>
    <row r="20" spans="1:11" hidden="1" x14ac:dyDescent="0.25">
      <c r="D20" s="8"/>
    </row>
    <row r="21" spans="1:11" hidden="1" x14ac:dyDescent="0.25">
      <c r="D21" s="8"/>
    </row>
    <row r="22" spans="1:11" hidden="1" x14ac:dyDescent="0.25">
      <c r="D22" s="8"/>
    </row>
    <row r="23" spans="1:11" hidden="1" x14ac:dyDescent="0.25">
      <c r="D23" s="8"/>
    </row>
    <row r="24" spans="1:11" hidden="1" x14ac:dyDescent="0.25">
      <c r="D24" s="8"/>
    </row>
    <row r="25" spans="1:11" hidden="1" x14ac:dyDescent="0.25">
      <c r="D25" s="8"/>
    </row>
    <row r="26" spans="1:11" hidden="1" x14ac:dyDescent="0.25">
      <c r="D26" s="8"/>
    </row>
    <row r="27" spans="1:11" hidden="1" x14ac:dyDescent="0.25">
      <c r="D27" s="8"/>
    </row>
    <row r="28" spans="1:11" hidden="1" x14ac:dyDescent="0.25">
      <c r="D28" s="8"/>
    </row>
    <row r="29" spans="1:11" hidden="1" x14ac:dyDescent="0.25">
      <c r="D29" s="8"/>
    </row>
    <row r="30" spans="1:11" hidden="1" x14ac:dyDescent="0.25">
      <c r="D30" s="8"/>
    </row>
    <row r="31" spans="1:11" hidden="1" x14ac:dyDescent="0.25">
      <c r="D31" s="8"/>
    </row>
  </sheetData>
  <conditionalFormatting sqref="I3:J12 I17">
    <cfRule type="expression" dxfId="31" priority="19">
      <formula>$J3="Review Later"</formula>
    </cfRule>
    <cfRule type="expression" dxfId="30" priority="20">
      <formula>$J3="Done but needs practice"</formula>
    </cfRule>
    <cfRule type="expression" dxfId="29" priority="21">
      <formula>$J3="Done &amp; Understood"</formula>
    </cfRule>
  </conditionalFormatting>
  <conditionalFormatting sqref="E13:E16">
    <cfRule type="expression" dxfId="28" priority="16">
      <formula>$E13="Review Later"</formula>
    </cfRule>
    <cfRule type="expression" dxfId="27" priority="17">
      <formula>$E13="Done but needs practice"</formula>
    </cfRule>
    <cfRule type="expression" dxfId="26" priority="18">
      <formula>$E13="Done &amp; Understood"</formula>
    </cfRule>
  </conditionalFormatting>
  <conditionalFormatting sqref="D3:E16">
    <cfRule type="expression" dxfId="25" priority="22">
      <formula>$E3="Review Later"</formula>
    </cfRule>
    <cfRule type="expression" dxfId="24" priority="23">
      <formula>$E3="Done but needs practice"</formula>
    </cfRule>
    <cfRule type="expression" dxfId="23" priority="24">
      <formula>$E3="Done &amp; Understood"</formula>
    </cfRule>
  </conditionalFormatting>
  <conditionalFormatting sqref="I14">
    <cfRule type="expression" dxfId="22" priority="13">
      <formula>$J14="Review Later"</formula>
    </cfRule>
    <cfRule type="expression" dxfId="21" priority="14">
      <formula>$J14="Done but needs practice"</formula>
    </cfRule>
    <cfRule type="expression" dxfId="20" priority="15">
      <formula>$J14="Done &amp; Understood"</formula>
    </cfRule>
  </conditionalFormatting>
  <conditionalFormatting sqref="J14">
    <cfRule type="expression" dxfId="19" priority="10">
      <formula>$J14="Review Later"</formula>
    </cfRule>
    <cfRule type="expression" dxfId="18" priority="11">
      <formula>$J14="Done but needs practice"</formula>
    </cfRule>
    <cfRule type="expression" dxfId="17" priority="12">
      <formula>$J14="Done &amp; Understood"</formula>
    </cfRule>
  </conditionalFormatting>
  <conditionalFormatting sqref="I15">
    <cfRule type="expression" dxfId="16" priority="7">
      <formula>$J15="Review Later"</formula>
    </cfRule>
    <cfRule type="expression" dxfId="15" priority="8">
      <formula>$J15="Done but needs practice"</formula>
    </cfRule>
    <cfRule type="expression" dxfId="14" priority="9">
      <formula>$J15="Done &amp; Understood"</formula>
    </cfRule>
  </conditionalFormatting>
  <conditionalFormatting sqref="J15:J16">
    <cfRule type="expression" dxfId="13" priority="4">
      <formula>$J15="Review Later"</formula>
    </cfRule>
    <cfRule type="expression" dxfId="12" priority="5">
      <formula>$J15="Done but needs practice"</formula>
    </cfRule>
    <cfRule type="expression" dxfId="11" priority="6">
      <formula>$J15="Done &amp; Understood"</formula>
    </cfRule>
  </conditionalFormatting>
  <conditionalFormatting sqref="I16">
    <cfRule type="expression" dxfId="10" priority="1">
      <formula>$J16="Review Later"</formula>
    </cfRule>
    <cfRule type="expression" dxfId="9" priority="2">
      <formula>$J16="Done but needs practice"</formula>
    </cfRule>
    <cfRule type="expression" dxfId="8" priority="3">
      <formula>$J16="Done &amp; Understood"</formula>
    </cfRule>
  </conditionalFormatting>
  <dataValidations count="1">
    <dataValidation type="list" allowBlank="1" showInputMessage="1" showErrorMessage="1" sqref="E3:E16 J3:J12 J14:J16" xr:uid="{00000000-0002-0000-0000-000000000000}">
      <formula1>"Select One…,Done &amp; Understood, Done but needs practice, Review Later"</formula1>
    </dataValidation>
  </dataValidations>
  <hyperlinks>
    <hyperlink ref="C3" location="'T1'!A1" display="T1" xr:uid="{00000000-0004-0000-0000-000000000000}"/>
    <hyperlink ref="H3" location="'F1'!A1" display="F1" xr:uid="{00000000-0004-0000-0000-000001000000}"/>
    <hyperlink ref="C4" location="'T2'!A1" display="T2" xr:uid="{00000000-0004-0000-0000-000002000000}"/>
    <hyperlink ref="C5" location="'T3'!A1" display="T3" xr:uid="{00000000-0004-0000-0000-000003000000}"/>
    <hyperlink ref="C6" location="'T4'!A1" display="T4" xr:uid="{00000000-0004-0000-0000-000004000000}"/>
    <hyperlink ref="C7" location="'T5'!A1" display="T5" xr:uid="{00000000-0004-0000-0000-000005000000}"/>
    <hyperlink ref="C8" location="'T6'!A1" display="T6" xr:uid="{00000000-0004-0000-0000-000006000000}"/>
    <hyperlink ref="C9" location="'T7'!A1" display="T7" xr:uid="{00000000-0004-0000-0000-000007000000}"/>
    <hyperlink ref="C10" location="'T8'!A1" display="T8" xr:uid="{00000000-0004-0000-0000-000008000000}"/>
    <hyperlink ref="C11" location="'T9'!A1" display="T9" xr:uid="{00000000-0004-0000-0000-000009000000}"/>
    <hyperlink ref="C12" location="'T10'!A1" display="T10" xr:uid="{00000000-0004-0000-0000-00000A000000}"/>
    <hyperlink ref="H4" location="'F2'!A1" display="F2" xr:uid="{00000000-0004-0000-0000-00000B000000}"/>
    <hyperlink ref="H5" location="'F3'!A1" display="F3" xr:uid="{00000000-0004-0000-0000-00000C000000}"/>
    <hyperlink ref="H6" location="'F4'!A1" display="F4" xr:uid="{00000000-0004-0000-0000-00000D000000}"/>
    <hyperlink ref="H7" location="'F5'!A1" display="F5" xr:uid="{00000000-0004-0000-0000-00000E000000}"/>
    <hyperlink ref="H8" location="'F6'!A1" display="F6" xr:uid="{00000000-0004-0000-0000-00000F000000}"/>
    <hyperlink ref="H9" location="'F7'!A1" display="F7" xr:uid="{00000000-0004-0000-0000-000010000000}"/>
    <hyperlink ref="H10" location="'F8'!A1" display="F8" xr:uid="{00000000-0004-0000-0000-000011000000}"/>
    <hyperlink ref="H11" location="'F9'!A1" display="F9" xr:uid="{00000000-0004-0000-0000-000012000000}"/>
    <hyperlink ref="H12" location="'F10'!A1" display="F10" xr:uid="{00000000-0004-0000-0000-000013000000}"/>
    <hyperlink ref="C13" location="T10B!A1" display="T10B" xr:uid="{00000000-0004-0000-0000-000014000000}"/>
    <hyperlink ref="H14" location="'M1'!A1" display="M1" xr:uid="{00000000-0004-0000-0000-000015000000}"/>
    <hyperlink ref="H15" location="'M2'!A1" display="M2" xr:uid="{00000000-0004-0000-0000-000016000000}"/>
    <hyperlink ref="H16" location="'M3'!A1" display="M3" xr:uid="{00000000-0004-0000-0000-00001700000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6" tint="-0.249977111117893"/>
    <pageSetUpPr fitToPage="1"/>
  </sheetPr>
  <dimension ref="A1:L9"/>
  <sheetViews>
    <sheetView workbookViewId="0">
      <selection activeCell="K9" sqref="K8:L9"/>
    </sheetView>
  </sheetViews>
  <sheetFormatPr defaultColWidth="9" defaultRowHeight="15" x14ac:dyDescent="0.25"/>
  <cols>
    <col min="11" max="11" width="9.7109375" bestFit="1" customWidth="1"/>
  </cols>
  <sheetData>
    <row r="1" spans="1:12" ht="17.25" x14ac:dyDescent="0.3">
      <c r="A1" s="1" t="s">
        <v>371</v>
      </c>
      <c r="B1" s="2"/>
      <c r="C1" s="2"/>
      <c r="D1" s="2"/>
      <c r="E1" s="2"/>
      <c r="F1" s="2"/>
      <c r="G1" s="2"/>
      <c r="H1" s="2"/>
    </row>
    <row r="3" spans="1:12" x14ac:dyDescent="0.25">
      <c r="A3" t="s">
        <v>182</v>
      </c>
    </row>
    <row r="4" spans="1:12" x14ac:dyDescent="0.25">
      <c r="A4" t="s">
        <v>183</v>
      </c>
    </row>
    <row r="5" spans="1:12" x14ac:dyDescent="0.25">
      <c r="A5" s="58" t="s">
        <v>184</v>
      </c>
    </row>
    <row r="6" spans="1:12" ht="18" customHeight="1" x14ac:dyDescent="0.25"/>
    <row r="8" spans="1:12" x14ac:dyDescent="0.25">
      <c r="K8" s="160"/>
      <c r="L8" s="160"/>
    </row>
    <row r="9" spans="1:12" x14ac:dyDescent="0.25">
      <c r="K9" s="160"/>
      <c r="L9" s="160"/>
    </row>
  </sheetData>
  <hyperlinks>
    <hyperlink ref="A5" r:id="rId1" display="A detailed list of all Excel Shortcuts is available on the Microsoft Office website" xr:uid="{00000000-0004-0000-0100-000000000000}"/>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249977111117893"/>
    <pageSetUpPr autoPageBreaks="0"/>
  </sheetPr>
  <dimension ref="A1:K90"/>
  <sheetViews>
    <sheetView topLeftCell="A75" zoomScaleNormal="100" workbookViewId="0">
      <selection activeCell="K90" sqref="K90"/>
    </sheetView>
  </sheetViews>
  <sheetFormatPr defaultColWidth="9" defaultRowHeight="15" outlineLevelRow="3" x14ac:dyDescent="0.25"/>
  <cols>
    <col min="1" max="2" width="14.85546875" customWidth="1"/>
    <col min="5" max="5" width="12" customWidth="1"/>
    <col min="9" max="9" width="11.140625" customWidth="1"/>
  </cols>
  <sheetData>
    <row r="1" spans="1:8" ht="17.25" x14ac:dyDescent="0.3">
      <c r="A1" s="4" t="s">
        <v>367</v>
      </c>
      <c r="B1" s="2"/>
      <c r="C1" s="2"/>
      <c r="D1" s="2"/>
      <c r="E1" s="2"/>
      <c r="F1" s="2"/>
      <c r="G1" s="2"/>
      <c r="H1" s="2"/>
    </row>
    <row r="3" spans="1:8" x14ac:dyDescent="0.25">
      <c r="A3" s="59" t="s">
        <v>428</v>
      </c>
      <c r="B3" s="59"/>
      <c r="C3" s="59"/>
    </row>
    <row r="5" spans="1:8" x14ac:dyDescent="0.25">
      <c r="A5" s="124" t="s">
        <v>430</v>
      </c>
    </row>
    <row r="6" spans="1:8" x14ac:dyDescent="0.25">
      <c r="A6" t="s">
        <v>429</v>
      </c>
    </row>
    <row r="9" spans="1:8" x14ac:dyDescent="0.25">
      <c r="A9" s="59" t="s">
        <v>0</v>
      </c>
      <c r="B9" s="59"/>
      <c r="C9" s="59"/>
      <c r="D9" s="62"/>
      <c r="E9" s="62"/>
      <c r="F9" s="62"/>
      <c r="G9" s="62"/>
      <c r="H9" s="62"/>
    </row>
    <row r="12" spans="1:8" x14ac:dyDescent="0.25">
      <c r="A12" s="5" t="s">
        <v>6</v>
      </c>
      <c r="B12" s="5" t="s">
        <v>12</v>
      </c>
      <c r="C12" s="5" t="s">
        <v>7</v>
      </c>
      <c r="D12" s="5" t="s">
        <v>8</v>
      </c>
      <c r="E12" s="5" t="s">
        <v>9</v>
      </c>
    </row>
    <row r="13" spans="1:8" outlineLevel="3" x14ac:dyDescent="0.25">
      <c r="A13" t="s">
        <v>5</v>
      </c>
      <c r="B13" t="s">
        <v>13</v>
      </c>
      <c r="C13">
        <v>10</v>
      </c>
      <c r="D13" s="3">
        <v>4</v>
      </c>
      <c r="E13">
        <f>C13*D13</f>
        <v>40</v>
      </c>
    </row>
    <row r="14" spans="1:8" outlineLevel="3" x14ac:dyDescent="0.25">
      <c r="A14" t="s">
        <v>5</v>
      </c>
      <c r="B14" t="s">
        <v>13</v>
      </c>
      <c r="C14">
        <v>50</v>
      </c>
      <c r="D14" s="3">
        <v>4</v>
      </c>
      <c r="E14">
        <f>C14*D14</f>
        <v>200</v>
      </c>
    </row>
    <row r="15" spans="1:8" outlineLevel="2" x14ac:dyDescent="0.25">
      <c r="B15" s="7" t="s">
        <v>561</v>
      </c>
      <c r="D15" s="3"/>
      <c r="E15">
        <f>SUBTOTAL(9,E13:E14)</f>
        <v>240</v>
      </c>
    </row>
    <row r="16" spans="1:8" outlineLevel="3" x14ac:dyDescent="0.25">
      <c r="A16" t="s">
        <v>5</v>
      </c>
      <c r="B16" t="s">
        <v>14</v>
      </c>
      <c r="C16">
        <v>82</v>
      </c>
      <c r="D16" s="3">
        <v>4</v>
      </c>
      <c r="E16">
        <f t="shared" ref="E16:E33" si="0">C16*D16</f>
        <v>328</v>
      </c>
    </row>
    <row r="17" spans="1:5" outlineLevel="2" x14ac:dyDescent="0.25">
      <c r="B17" s="7" t="s">
        <v>562</v>
      </c>
      <c r="D17" s="3"/>
      <c r="E17">
        <f>SUBTOTAL(9,E16:E16)</f>
        <v>328</v>
      </c>
    </row>
    <row r="18" spans="1:5" outlineLevel="1" x14ac:dyDescent="0.25">
      <c r="A18" s="7" t="s">
        <v>448</v>
      </c>
      <c r="D18" s="3"/>
      <c r="E18">
        <f>SUBTOTAL(9,E13:E16)</f>
        <v>568</v>
      </c>
    </row>
    <row r="19" spans="1:5" outlineLevel="3" x14ac:dyDescent="0.25">
      <c r="A19" t="s">
        <v>10</v>
      </c>
      <c r="B19" t="s">
        <v>15</v>
      </c>
      <c r="C19">
        <v>26</v>
      </c>
      <c r="D19" s="3">
        <v>8</v>
      </c>
      <c r="E19">
        <f t="shared" si="0"/>
        <v>208</v>
      </c>
    </row>
    <row r="20" spans="1:5" outlineLevel="3" x14ac:dyDescent="0.25">
      <c r="A20" t="s">
        <v>10</v>
      </c>
      <c r="B20" t="s">
        <v>15</v>
      </c>
      <c r="C20">
        <v>26</v>
      </c>
      <c r="D20" s="3">
        <v>8</v>
      </c>
      <c r="E20">
        <f t="shared" si="0"/>
        <v>208</v>
      </c>
    </row>
    <row r="21" spans="1:5" outlineLevel="3" x14ac:dyDescent="0.25">
      <c r="A21" t="s">
        <v>10</v>
      </c>
      <c r="B21" t="s">
        <v>15</v>
      </c>
      <c r="C21">
        <v>52</v>
      </c>
      <c r="D21" s="3">
        <v>8</v>
      </c>
      <c r="E21">
        <f t="shared" si="0"/>
        <v>416</v>
      </c>
    </row>
    <row r="22" spans="1:5" outlineLevel="2" x14ac:dyDescent="0.25">
      <c r="B22" s="7" t="s">
        <v>563</v>
      </c>
      <c r="D22" s="3"/>
      <c r="E22">
        <f>SUBTOTAL(9,E19:E21)</f>
        <v>832</v>
      </c>
    </row>
    <row r="23" spans="1:5" outlineLevel="3" x14ac:dyDescent="0.25">
      <c r="A23" t="s">
        <v>10</v>
      </c>
      <c r="B23" t="s">
        <v>13</v>
      </c>
      <c r="C23">
        <v>76</v>
      </c>
      <c r="D23" s="3">
        <v>4</v>
      </c>
      <c r="E23">
        <f t="shared" si="0"/>
        <v>304</v>
      </c>
    </row>
    <row r="24" spans="1:5" outlineLevel="3" x14ac:dyDescent="0.25">
      <c r="A24" t="s">
        <v>10</v>
      </c>
      <c r="B24" t="s">
        <v>13</v>
      </c>
      <c r="C24">
        <v>62</v>
      </c>
      <c r="D24" s="3">
        <v>4</v>
      </c>
      <c r="E24">
        <f t="shared" si="0"/>
        <v>248</v>
      </c>
    </row>
    <row r="25" spans="1:5" outlineLevel="2" x14ac:dyDescent="0.25">
      <c r="B25" s="7" t="s">
        <v>561</v>
      </c>
      <c r="D25" s="3"/>
      <c r="E25">
        <f>SUBTOTAL(9,E23:E24)</f>
        <v>552</v>
      </c>
    </row>
    <row r="26" spans="1:5" outlineLevel="1" x14ac:dyDescent="0.25">
      <c r="A26" s="7" t="s">
        <v>449</v>
      </c>
      <c r="D26" s="3"/>
      <c r="E26">
        <f>SUBTOTAL(9,E19:E24)</f>
        <v>1384</v>
      </c>
    </row>
    <row r="27" spans="1:5" outlineLevel="3" x14ac:dyDescent="0.25">
      <c r="A27" t="s">
        <v>11</v>
      </c>
      <c r="B27" t="s">
        <v>16</v>
      </c>
      <c r="C27">
        <v>67</v>
      </c>
      <c r="D27" s="3">
        <v>6</v>
      </c>
      <c r="E27">
        <f t="shared" si="0"/>
        <v>402</v>
      </c>
    </row>
    <row r="28" spans="1:5" outlineLevel="3" x14ac:dyDescent="0.25">
      <c r="A28" t="s">
        <v>11</v>
      </c>
      <c r="B28" t="s">
        <v>16</v>
      </c>
      <c r="C28">
        <v>78</v>
      </c>
      <c r="D28" s="3">
        <v>6</v>
      </c>
      <c r="E28">
        <f t="shared" si="0"/>
        <v>468</v>
      </c>
    </row>
    <row r="29" spans="1:5" outlineLevel="3" x14ac:dyDescent="0.25">
      <c r="A29" t="s">
        <v>11</v>
      </c>
      <c r="B29" t="s">
        <v>16</v>
      </c>
      <c r="C29">
        <v>16</v>
      </c>
      <c r="D29" s="3">
        <v>6</v>
      </c>
      <c r="E29">
        <f t="shared" si="0"/>
        <v>96</v>
      </c>
    </row>
    <row r="30" spans="1:5" outlineLevel="3" x14ac:dyDescent="0.25">
      <c r="A30" t="s">
        <v>11</v>
      </c>
      <c r="B30" t="s">
        <v>16</v>
      </c>
      <c r="C30">
        <v>42</v>
      </c>
      <c r="D30" s="3">
        <v>6</v>
      </c>
      <c r="E30">
        <f t="shared" si="0"/>
        <v>252</v>
      </c>
    </row>
    <row r="31" spans="1:5" outlineLevel="2" x14ac:dyDescent="0.25">
      <c r="B31" s="7" t="s">
        <v>564</v>
      </c>
      <c r="D31" s="3"/>
      <c r="E31">
        <f>SUBTOTAL(9,E27:E30)</f>
        <v>1218</v>
      </c>
    </row>
    <row r="32" spans="1:5" outlineLevel="3" x14ac:dyDescent="0.25">
      <c r="A32" t="s">
        <v>11</v>
      </c>
      <c r="B32" t="s">
        <v>13</v>
      </c>
      <c r="C32">
        <v>23</v>
      </c>
      <c r="D32" s="3">
        <v>4</v>
      </c>
      <c r="E32">
        <f t="shared" si="0"/>
        <v>92</v>
      </c>
    </row>
    <row r="33" spans="1:8" outlineLevel="3" x14ac:dyDescent="0.25">
      <c r="A33" t="s">
        <v>11</v>
      </c>
      <c r="B33" t="s">
        <v>13</v>
      </c>
      <c r="C33">
        <v>75</v>
      </c>
      <c r="D33" s="3">
        <v>4</v>
      </c>
      <c r="E33">
        <f t="shared" si="0"/>
        <v>300</v>
      </c>
    </row>
    <row r="34" spans="1:8" outlineLevel="2" x14ac:dyDescent="0.25">
      <c r="B34" s="7" t="s">
        <v>561</v>
      </c>
      <c r="D34" s="3"/>
      <c r="E34">
        <f>SUBTOTAL(9,E32:E33)</f>
        <v>392</v>
      </c>
    </row>
    <row r="35" spans="1:8" outlineLevel="1" x14ac:dyDescent="0.25">
      <c r="A35" s="7" t="s">
        <v>450</v>
      </c>
      <c r="D35" s="3"/>
      <c r="E35">
        <f>SUBTOTAL(9,E27:E33)</f>
        <v>1610</v>
      </c>
    </row>
    <row r="36" spans="1:8" x14ac:dyDescent="0.25">
      <c r="A36" s="7" t="s">
        <v>402</v>
      </c>
      <c r="D36" s="3"/>
      <c r="E36">
        <f>SUBTOTAL(9,E13:E33)</f>
        <v>3562</v>
      </c>
    </row>
    <row r="45" spans="1:8" x14ac:dyDescent="0.25">
      <c r="A45" s="59" t="s">
        <v>1</v>
      </c>
      <c r="B45" s="60"/>
      <c r="C45" s="60"/>
      <c r="D45" s="62"/>
      <c r="E45" s="62"/>
      <c r="F45" s="62"/>
      <c r="G45" s="61"/>
      <c r="H45" s="62"/>
    </row>
    <row r="47" spans="1:8" x14ac:dyDescent="0.25">
      <c r="B47" s="5" t="s">
        <v>445</v>
      </c>
      <c r="F47" s="5" t="s">
        <v>9</v>
      </c>
    </row>
    <row r="48" spans="1:8" x14ac:dyDescent="0.25">
      <c r="A48" t="s">
        <v>22</v>
      </c>
      <c r="B48">
        <v>137</v>
      </c>
      <c r="E48" t="s">
        <v>22</v>
      </c>
      <c r="F48">
        <v>77</v>
      </c>
    </row>
    <row r="49" spans="1:6" x14ac:dyDescent="0.25">
      <c r="A49" t="s">
        <v>23</v>
      </c>
      <c r="B49">
        <v>125</v>
      </c>
      <c r="E49" t="s">
        <v>23</v>
      </c>
      <c r="F49">
        <v>53</v>
      </c>
    </row>
    <row r="50" spans="1:6" x14ac:dyDescent="0.25">
      <c r="A50" t="s">
        <v>24</v>
      </c>
      <c r="B50">
        <v>187</v>
      </c>
      <c r="E50" t="s">
        <v>24</v>
      </c>
      <c r="F50">
        <v>53</v>
      </c>
    </row>
    <row r="51" spans="1:6" x14ac:dyDescent="0.25">
      <c r="A51" t="s">
        <v>25</v>
      </c>
      <c r="B51">
        <v>158</v>
      </c>
      <c r="E51" t="s">
        <v>25</v>
      </c>
      <c r="F51">
        <v>54</v>
      </c>
    </row>
    <row r="52" spans="1:6" x14ac:dyDescent="0.25">
      <c r="A52" t="s">
        <v>26</v>
      </c>
      <c r="B52">
        <v>128</v>
      </c>
      <c r="E52" t="s">
        <v>26</v>
      </c>
      <c r="F52">
        <v>84</v>
      </c>
    </row>
    <row r="53" spans="1:6" x14ac:dyDescent="0.25">
      <c r="A53" t="s">
        <v>152</v>
      </c>
      <c r="B53">
        <v>175</v>
      </c>
      <c r="E53" t="s">
        <v>152</v>
      </c>
      <c r="F53">
        <v>67</v>
      </c>
    </row>
    <row r="54" spans="1:6" x14ac:dyDescent="0.25">
      <c r="A54" t="s">
        <v>153</v>
      </c>
      <c r="B54">
        <v>191</v>
      </c>
      <c r="E54" t="s">
        <v>153</v>
      </c>
      <c r="F54">
        <v>83</v>
      </c>
    </row>
    <row r="55" spans="1:6" x14ac:dyDescent="0.25">
      <c r="A55" t="s">
        <v>185</v>
      </c>
      <c r="B55">
        <v>155</v>
      </c>
      <c r="E55" t="s">
        <v>185</v>
      </c>
      <c r="F55">
        <v>63</v>
      </c>
    </row>
    <row r="56" spans="1:6" x14ac:dyDescent="0.25">
      <c r="A56" t="s">
        <v>186</v>
      </c>
      <c r="B56">
        <v>156</v>
      </c>
      <c r="E56" t="s">
        <v>186</v>
      </c>
      <c r="F56">
        <v>63</v>
      </c>
    </row>
    <row r="57" spans="1:6" x14ac:dyDescent="0.25">
      <c r="A57" t="s">
        <v>187</v>
      </c>
      <c r="B57">
        <v>102</v>
      </c>
      <c r="E57" t="s">
        <v>187</v>
      </c>
      <c r="F57">
        <v>62</v>
      </c>
    </row>
    <row r="58" spans="1:6" x14ac:dyDescent="0.25">
      <c r="A58" t="s">
        <v>188</v>
      </c>
      <c r="B58">
        <v>158</v>
      </c>
      <c r="E58" t="s">
        <v>188</v>
      </c>
      <c r="F58">
        <v>90</v>
      </c>
    </row>
    <row r="59" spans="1:6" x14ac:dyDescent="0.25">
      <c r="A59" t="s">
        <v>189</v>
      </c>
      <c r="B59">
        <v>113</v>
      </c>
      <c r="E59" t="s">
        <v>189</v>
      </c>
      <c r="F59">
        <v>85</v>
      </c>
    </row>
    <row r="64" spans="1:6" x14ac:dyDescent="0.25">
      <c r="A64" s="59" t="s">
        <v>2</v>
      </c>
      <c r="B64" s="60"/>
      <c r="C64" s="60"/>
      <c r="D64" s="62"/>
      <c r="E64" s="62"/>
    </row>
    <row r="67" spans="1:6" x14ac:dyDescent="0.25">
      <c r="A67" t="s">
        <v>451</v>
      </c>
      <c r="B67" s="6" t="s">
        <v>24</v>
      </c>
      <c r="D67" t="s">
        <v>565</v>
      </c>
      <c r="F67" t="s">
        <v>566</v>
      </c>
    </row>
    <row r="69" spans="1:6" ht="15.75" customHeight="1" x14ac:dyDescent="0.25"/>
    <row r="70" spans="1:6" x14ac:dyDescent="0.25">
      <c r="A70" s="59" t="s">
        <v>3</v>
      </c>
      <c r="B70" s="60"/>
      <c r="C70" s="60"/>
      <c r="D70" s="62"/>
      <c r="E70" s="62"/>
    </row>
    <row r="72" spans="1:6" x14ac:dyDescent="0.25">
      <c r="A72" s="5" t="s">
        <v>6</v>
      </c>
      <c r="B72" s="5" t="s">
        <v>431</v>
      </c>
    </row>
    <row r="73" spans="1:6" x14ac:dyDescent="0.25">
      <c r="A73" t="s">
        <v>190</v>
      </c>
      <c r="B73" t="s">
        <v>33</v>
      </c>
      <c r="E73" s="5" t="s">
        <v>6</v>
      </c>
      <c r="F73" s="5" t="s">
        <v>431</v>
      </c>
    </row>
    <row r="74" spans="1:6" x14ac:dyDescent="0.25">
      <c r="A74" t="s">
        <v>190</v>
      </c>
      <c r="B74" t="s">
        <v>34</v>
      </c>
      <c r="E74" t="s">
        <v>190</v>
      </c>
      <c r="F74" t="s">
        <v>33</v>
      </c>
    </row>
    <row r="75" spans="1:6" x14ac:dyDescent="0.25">
      <c r="A75" t="s">
        <v>191</v>
      </c>
      <c r="B75" t="s">
        <v>33</v>
      </c>
      <c r="E75" t="s">
        <v>190</v>
      </c>
      <c r="F75" t="s">
        <v>34</v>
      </c>
    </row>
    <row r="76" spans="1:6" x14ac:dyDescent="0.25">
      <c r="A76" t="s">
        <v>192</v>
      </c>
      <c r="B76" t="s">
        <v>34</v>
      </c>
      <c r="E76" t="s">
        <v>191</v>
      </c>
      <c r="F76" t="s">
        <v>33</v>
      </c>
    </row>
    <row r="77" spans="1:6" x14ac:dyDescent="0.25">
      <c r="A77" t="s">
        <v>191</v>
      </c>
      <c r="B77" t="s">
        <v>33</v>
      </c>
      <c r="E77" t="s">
        <v>192</v>
      </c>
      <c r="F77" t="s">
        <v>34</v>
      </c>
    </row>
    <row r="78" spans="1:6" x14ac:dyDescent="0.25">
      <c r="A78" t="s">
        <v>193</v>
      </c>
      <c r="B78" t="s">
        <v>33</v>
      </c>
      <c r="E78" t="s">
        <v>193</v>
      </c>
      <c r="F78" t="s">
        <v>33</v>
      </c>
    </row>
    <row r="79" spans="1:6" x14ac:dyDescent="0.25">
      <c r="A79" t="s">
        <v>193</v>
      </c>
      <c r="B79" t="s">
        <v>34</v>
      </c>
      <c r="E79" t="s">
        <v>193</v>
      </c>
      <c r="F79" t="s">
        <v>34</v>
      </c>
    </row>
    <row r="80" spans="1:6" x14ac:dyDescent="0.25">
      <c r="A80" t="s">
        <v>193</v>
      </c>
      <c r="B80" t="s">
        <v>33</v>
      </c>
    </row>
    <row r="82" spans="1:11" x14ac:dyDescent="0.25">
      <c r="A82" s="59" t="s">
        <v>4</v>
      </c>
      <c r="B82" s="60"/>
      <c r="C82" s="60"/>
      <c r="D82" s="2"/>
    </row>
    <row r="84" spans="1:11" x14ac:dyDescent="0.25">
      <c r="A84" s="125" t="s">
        <v>194</v>
      </c>
      <c r="B84" s="64">
        <v>0.2</v>
      </c>
    </row>
    <row r="85" spans="1:11" x14ac:dyDescent="0.25">
      <c r="A85" s="125" t="s">
        <v>195</v>
      </c>
      <c r="B85" s="64">
        <v>0.3</v>
      </c>
      <c r="C85" s="64">
        <v>0.5</v>
      </c>
      <c r="E85" s="7"/>
      <c r="I85" s="7" t="s">
        <v>196</v>
      </c>
    </row>
    <row r="87" spans="1:11" x14ac:dyDescent="0.25">
      <c r="B87" s="5" t="s">
        <v>22</v>
      </c>
      <c r="C87" s="5" t="s">
        <v>23</v>
      </c>
      <c r="F87" s="5"/>
      <c r="G87" s="5" t="s">
        <v>23</v>
      </c>
      <c r="J87" s="5" t="s">
        <v>22</v>
      </c>
      <c r="K87" s="5" t="s">
        <v>23</v>
      </c>
    </row>
    <row r="88" spans="1:11" x14ac:dyDescent="0.25">
      <c r="A88" t="s">
        <v>5</v>
      </c>
      <c r="B88">
        <v>100</v>
      </c>
      <c r="C88">
        <v>200</v>
      </c>
      <c r="F88" s="26"/>
      <c r="G88" s="26">
        <f>C88*$B$84</f>
        <v>40</v>
      </c>
      <c r="I88" t="s">
        <v>5</v>
      </c>
      <c r="J88" s="26">
        <f t="shared" ref="J88:K90" si="1">B88*B$85</f>
        <v>30</v>
      </c>
      <c r="K88" s="26">
        <f t="shared" si="1"/>
        <v>100</v>
      </c>
    </row>
    <row r="89" spans="1:11" x14ac:dyDescent="0.25">
      <c r="A89" t="s">
        <v>10</v>
      </c>
      <c r="B89">
        <v>150</v>
      </c>
      <c r="C89">
        <v>250</v>
      </c>
      <c r="F89" s="26"/>
      <c r="G89" s="26">
        <f>C89*$B$84</f>
        <v>50</v>
      </c>
      <c r="I89" t="s">
        <v>10</v>
      </c>
      <c r="J89" s="26">
        <f t="shared" si="1"/>
        <v>45</v>
      </c>
      <c r="K89" s="26">
        <f t="shared" si="1"/>
        <v>125</v>
      </c>
    </row>
    <row r="90" spans="1:11" x14ac:dyDescent="0.25">
      <c r="A90" t="s">
        <v>11</v>
      </c>
      <c r="B90">
        <v>300</v>
      </c>
      <c r="C90">
        <v>350</v>
      </c>
      <c r="F90" s="26"/>
      <c r="G90" s="26">
        <f>C90*$B$84</f>
        <v>70</v>
      </c>
      <c r="I90" t="s">
        <v>11</v>
      </c>
      <c r="J90" s="26">
        <f t="shared" si="1"/>
        <v>90</v>
      </c>
      <c r="K90" s="26">
        <f t="shared" si="1"/>
        <v>175</v>
      </c>
    </row>
  </sheetData>
  <dataValidations count="2">
    <dataValidation type="list" allowBlank="1" showInputMessage="1" showErrorMessage="1" sqref="B67" xr:uid="{00000000-0002-0000-0200-000000000000}">
      <formula1>$A$48:$A$59</formula1>
    </dataValidation>
    <dataValidation type="list" allowBlank="1" showInputMessage="1" showErrorMessage="1" sqref="F67" xr:uid="{513733F5-582E-4164-AB60-F03D9052F670}">
      <formula1>"Yes,No"</formula1>
    </dataValidation>
  </dataValidations>
  <pageMargins left="0.7" right="0.7" top="0.75" bottom="0.75" header="0.3" footer="0.3"/>
  <pageSetup paperSize="9" orientation="portrait" r:id="rId1"/>
  <rowBreaks count="8" manualBreakCount="8">
    <brk id="15" max="16383" man="1"/>
    <brk id="17" max="16383" man="1"/>
    <brk id="18" max="16383" man="1"/>
    <brk id="22" max="16383" man="1"/>
    <brk id="25" max="16383" man="1"/>
    <brk id="26" max="16383" man="1"/>
    <brk id="31" max="16383" man="1"/>
    <brk id="36"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249977111117893"/>
    <pageSetUpPr fitToPage="1"/>
  </sheetPr>
  <dimension ref="A1:H59"/>
  <sheetViews>
    <sheetView topLeftCell="A42" workbookViewId="0">
      <selection activeCell="E16" sqref="E16"/>
    </sheetView>
  </sheetViews>
  <sheetFormatPr defaultColWidth="9" defaultRowHeight="15" x14ac:dyDescent="0.25"/>
  <sheetData>
    <row r="1" spans="1:8" ht="17.25" x14ac:dyDescent="0.3">
      <c r="A1" s="1" t="s">
        <v>363</v>
      </c>
      <c r="B1" s="2"/>
      <c r="C1" s="2"/>
      <c r="D1" s="2"/>
      <c r="E1" s="2"/>
      <c r="F1" s="2"/>
      <c r="G1" s="2"/>
      <c r="H1" s="2"/>
    </row>
    <row r="3" spans="1:8" x14ac:dyDescent="0.25">
      <c r="A3" t="s">
        <v>197</v>
      </c>
    </row>
    <row r="4" spans="1:8" x14ac:dyDescent="0.25">
      <c r="A4" t="s">
        <v>198</v>
      </c>
      <c r="B4" s="28"/>
    </row>
    <row r="5" spans="1:8" x14ac:dyDescent="0.25">
      <c r="B5" s="28"/>
    </row>
    <row r="6" spans="1:8" x14ac:dyDescent="0.25">
      <c r="A6" s="59" t="s">
        <v>433</v>
      </c>
      <c r="B6" s="59"/>
      <c r="C6" s="59"/>
    </row>
    <row r="7" spans="1:8" x14ac:dyDescent="0.25">
      <c r="B7" s="28"/>
    </row>
    <row r="8" spans="1:8" x14ac:dyDescent="0.25">
      <c r="A8" t="s">
        <v>434</v>
      </c>
      <c r="B8" s="28"/>
    </row>
    <row r="9" spans="1:8" x14ac:dyDescent="0.25">
      <c r="A9" t="s">
        <v>435</v>
      </c>
      <c r="B9" s="28"/>
    </row>
    <row r="10" spans="1:8" x14ac:dyDescent="0.25">
      <c r="A10" t="s">
        <v>436</v>
      </c>
      <c r="B10" s="28"/>
    </row>
    <row r="11" spans="1:8" x14ac:dyDescent="0.25">
      <c r="A11" t="s">
        <v>437</v>
      </c>
      <c r="B11" s="28"/>
    </row>
    <row r="12" spans="1:8" x14ac:dyDescent="0.25">
      <c r="A12" t="s">
        <v>438</v>
      </c>
      <c r="B12" s="28"/>
    </row>
    <row r="13" spans="1:8" x14ac:dyDescent="0.25">
      <c r="B13" s="28"/>
    </row>
    <row r="14" spans="1:8" x14ac:dyDescent="0.25">
      <c r="A14" s="59" t="s">
        <v>439</v>
      </c>
      <c r="B14" s="59"/>
      <c r="C14" s="59"/>
    </row>
    <row r="15" spans="1:8" x14ac:dyDescent="0.25">
      <c r="B15" s="28"/>
    </row>
    <row r="16" spans="1:8" x14ac:dyDescent="0.25">
      <c r="A16" t="s">
        <v>440</v>
      </c>
      <c r="B16" s="28"/>
    </row>
    <row r="17" spans="1:3" x14ac:dyDescent="0.25">
      <c r="A17" t="s">
        <v>441</v>
      </c>
      <c r="B17" s="28"/>
    </row>
    <row r="18" spans="1:3" x14ac:dyDescent="0.25">
      <c r="A18" t="s">
        <v>452</v>
      </c>
      <c r="B18" s="28"/>
    </row>
    <row r="19" spans="1:3" x14ac:dyDescent="0.25">
      <c r="B19" s="28"/>
    </row>
    <row r="20" spans="1:3" x14ac:dyDescent="0.25">
      <c r="A20" s="59" t="s">
        <v>442</v>
      </c>
      <c r="B20" s="59"/>
      <c r="C20" s="59"/>
    </row>
    <row r="21" spans="1:3" x14ac:dyDescent="0.25">
      <c r="B21" s="28"/>
    </row>
    <row r="22" spans="1:3" x14ac:dyDescent="0.25">
      <c r="A22" t="s">
        <v>453</v>
      </c>
      <c r="B22" s="28"/>
    </row>
    <row r="23" spans="1:3" x14ac:dyDescent="0.25">
      <c r="B23" s="28"/>
    </row>
    <row r="24" spans="1:3" x14ac:dyDescent="0.25">
      <c r="B24" s="28"/>
    </row>
    <row r="25" spans="1:3" x14ac:dyDescent="0.25">
      <c r="B25" s="28"/>
    </row>
    <row r="26" spans="1:3" x14ac:dyDescent="0.25">
      <c r="B26" s="28"/>
    </row>
    <row r="27" spans="1:3" x14ac:dyDescent="0.25">
      <c r="B27" s="28"/>
    </row>
    <row r="28" spans="1:3" x14ac:dyDescent="0.25">
      <c r="B28" s="28"/>
    </row>
    <row r="29" spans="1:3" x14ac:dyDescent="0.25">
      <c r="B29" s="28"/>
    </row>
    <row r="30" spans="1:3" ht="6" customHeight="1" x14ac:dyDescent="0.25">
      <c r="B30" s="28"/>
    </row>
    <row r="31" spans="1:3" x14ac:dyDescent="0.25">
      <c r="A31" s="59" t="s">
        <v>443</v>
      </c>
      <c r="B31" s="59"/>
      <c r="C31" s="59"/>
    </row>
    <row r="32" spans="1:3" ht="7.5" customHeight="1" x14ac:dyDescent="0.25">
      <c r="B32" s="28"/>
    </row>
    <row r="33" spans="1:3" x14ac:dyDescent="0.25">
      <c r="A33" t="s">
        <v>454</v>
      </c>
      <c r="B33" s="28"/>
    </row>
    <row r="34" spans="1:3" x14ac:dyDescent="0.25">
      <c r="B34" s="28"/>
    </row>
    <row r="35" spans="1:3" x14ac:dyDescent="0.25">
      <c r="B35" s="28"/>
    </row>
    <row r="36" spans="1:3" x14ac:dyDescent="0.25">
      <c r="B36" s="28"/>
    </row>
    <row r="37" spans="1:3" x14ac:dyDescent="0.25">
      <c r="B37" s="28"/>
    </row>
    <row r="38" spans="1:3" x14ac:dyDescent="0.25">
      <c r="B38" s="28"/>
    </row>
    <row r="39" spans="1:3" x14ac:dyDescent="0.25">
      <c r="B39" s="28"/>
    </row>
    <row r="40" spans="1:3" x14ac:dyDescent="0.25">
      <c r="B40" s="28"/>
    </row>
    <row r="41" spans="1:3" x14ac:dyDescent="0.25">
      <c r="B41" s="28"/>
    </row>
    <row r="42" spans="1:3" x14ac:dyDescent="0.25">
      <c r="B42" s="28"/>
    </row>
    <row r="43" spans="1:3" x14ac:dyDescent="0.25">
      <c r="B43" s="28"/>
    </row>
    <row r="44" spans="1:3" ht="28.5" customHeight="1" x14ac:dyDescent="0.25">
      <c r="A44" s="59" t="s">
        <v>444</v>
      </c>
      <c r="B44" s="59"/>
      <c r="C44" s="59"/>
    </row>
    <row r="45" spans="1:3" x14ac:dyDescent="0.25">
      <c r="B45" s="28"/>
    </row>
    <row r="46" spans="1:3" x14ac:dyDescent="0.25">
      <c r="B46" s="28"/>
    </row>
    <row r="47" spans="1:3" x14ac:dyDescent="0.25">
      <c r="B47" s="28"/>
    </row>
    <row r="48" spans="1:3" x14ac:dyDescent="0.25">
      <c r="B48" s="28"/>
    </row>
    <row r="49" spans="1:3" x14ac:dyDescent="0.25">
      <c r="B49" s="28"/>
    </row>
    <row r="50" spans="1:3" x14ac:dyDescent="0.25">
      <c r="B50" s="28"/>
    </row>
    <row r="51" spans="1:3" x14ac:dyDescent="0.25">
      <c r="B51" s="28"/>
    </row>
    <row r="52" spans="1:3" x14ac:dyDescent="0.25">
      <c r="B52" s="28"/>
    </row>
    <row r="53" spans="1:3" x14ac:dyDescent="0.25">
      <c r="B53" s="28"/>
    </row>
    <row r="54" spans="1:3" x14ac:dyDescent="0.25">
      <c r="B54" s="28"/>
    </row>
    <row r="55" spans="1:3" x14ac:dyDescent="0.25">
      <c r="B55" s="28"/>
    </row>
    <row r="56" spans="1:3" x14ac:dyDescent="0.25">
      <c r="A56" s="59" t="s">
        <v>432</v>
      </c>
      <c r="B56" s="59"/>
      <c r="C56" s="59"/>
    </row>
    <row r="58" spans="1:3" x14ac:dyDescent="0.25">
      <c r="B58" s="58" t="s">
        <v>407</v>
      </c>
      <c r="C58" t="s">
        <v>364</v>
      </c>
    </row>
    <row r="59" spans="1:3" x14ac:dyDescent="0.25">
      <c r="B59" s="58" t="s">
        <v>383</v>
      </c>
      <c r="C59" t="s">
        <v>17</v>
      </c>
    </row>
  </sheetData>
  <hyperlinks>
    <hyperlink ref="B58" location="'T4'!A1" display="T4" xr:uid="{00000000-0004-0000-0300-000000000000}"/>
    <hyperlink ref="C60" r:id="rId1" display="Click Here for more info" xr:uid="{00000000-0004-0000-0300-000001000000}"/>
    <hyperlink ref="C62" r:id="rId2" display="Open Exercise book" xr:uid="{00000000-0004-0000-0300-000002000000}"/>
    <hyperlink ref="C64" r:id="rId3" display="gharani@xelplus.com" xr:uid="{00000000-0004-0000-0300-000003000000}"/>
    <hyperlink ref="B59" location="'F1'!A1" display="F1" xr:uid="{00000000-0004-0000-0300-000004000000}"/>
  </hyperlinks>
  <pageMargins left="0.7" right="0.7" top="0.75" bottom="0.75" header="0.3" footer="0.3"/>
  <pageSetup paperSize="9" scale="85" orientation="portrait" r:id="rId4"/>
  <drawing r:id="rId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6" tint="-0.249977111117893"/>
  </sheetPr>
  <dimension ref="A1:AJ14"/>
  <sheetViews>
    <sheetView tabSelected="1" workbookViewId="0">
      <selection activeCell="A4" sqref="A4"/>
    </sheetView>
  </sheetViews>
  <sheetFormatPr defaultColWidth="9" defaultRowHeight="15" x14ac:dyDescent="0.25"/>
  <cols>
    <col min="4" max="5" width="0" hidden="1" customWidth="1"/>
  </cols>
  <sheetData>
    <row r="1" spans="1:36" ht="17.25" x14ac:dyDescent="0.3">
      <c r="A1" s="1" t="s">
        <v>364</v>
      </c>
      <c r="B1" s="2"/>
      <c r="C1" s="2"/>
      <c r="D1" s="2"/>
      <c r="E1" s="2"/>
      <c r="F1" s="2"/>
      <c r="G1" s="2"/>
      <c r="H1" s="2"/>
    </row>
    <row r="3" spans="1:36" x14ac:dyDescent="0.25">
      <c r="A3" t="s">
        <v>200</v>
      </c>
    </row>
    <row r="4" spans="1:36" x14ac:dyDescent="0.25">
      <c r="B4" s="28"/>
    </row>
    <row r="9" spans="1:36" x14ac:dyDescent="0.25">
      <c r="F9" s="7"/>
    </row>
    <row r="11" spans="1:36" x14ac:dyDescent="0.25">
      <c r="E11" t="s">
        <v>199</v>
      </c>
    </row>
    <row r="12" spans="1:36" x14ac:dyDescent="0.25">
      <c r="D12">
        <v>2014</v>
      </c>
      <c r="E12">
        <v>2000</v>
      </c>
    </row>
    <row r="13" spans="1:36" x14ac:dyDescent="0.25">
      <c r="D13">
        <v>2015</v>
      </c>
      <c r="E13">
        <v>1000</v>
      </c>
    </row>
    <row r="14" spans="1:36" x14ac:dyDescent="0.25">
      <c r="D14">
        <v>2016</v>
      </c>
      <c r="E14">
        <v>2100</v>
      </c>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6" tint="-0.249977111117893"/>
  </sheetPr>
  <dimension ref="A1:H17"/>
  <sheetViews>
    <sheetView workbookViewId="0"/>
  </sheetViews>
  <sheetFormatPr defaultColWidth="9" defaultRowHeight="15" x14ac:dyDescent="0.25"/>
  <cols>
    <col min="2" max="2" width="9.5703125" bestFit="1" customWidth="1"/>
    <col min="3" max="3" width="10.7109375" bestFit="1" customWidth="1"/>
    <col min="4" max="4" width="13.28515625" bestFit="1" customWidth="1"/>
  </cols>
  <sheetData>
    <row r="1" spans="1:8" ht="17.25" x14ac:dyDescent="0.3">
      <c r="A1" s="1" t="s">
        <v>366</v>
      </c>
      <c r="B1" s="2"/>
      <c r="C1" s="2"/>
      <c r="D1" s="2"/>
      <c r="E1" s="2"/>
      <c r="F1" s="2"/>
      <c r="G1" s="2"/>
      <c r="H1" s="2"/>
    </row>
    <row r="3" spans="1:8" x14ac:dyDescent="0.25">
      <c r="A3" t="s">
        <v>456</v>
      </c>
    </row>
    <row r="5" spans="1:8" x14ac:dyDescent="0.25">
      <c r="A5" s="7" t="s">
        <v>205</v>
      </c>
    </row>
    <row r="6" spans="1:8" x14ac:dyDescent="0.25">
      <c r="A6" s="5" t="s">
        <v>201</v>
      </c>
      <c r="B6" s="5" t="s">
        <v>20</v>
      </c>
      <c r="C6" s="67" t="s">
        <v>203</v>
      </c>
      <c r="D6" s="67" t="s">
        <v>204</v>
      </c>
      <c r="E6" s="5" t="s">
        <v>42</v>
      </c>
    </row>
    <row r="7" spans="1:8" x14ac:dyDescent="0.25">
      <c r="A7" t="s">
        <v>33</v>
      </c>
      <c r="B7" t="s">
        <v>165</v>
      </c>
      <c r="E7">
        <f>C7*D7</f>
        <v>0</v>
      </c>
    </row>
    <row r="8" spans="1:8" x14ac:dyDescent="0.25">
      <c r="A8" t="s">
        <v>34</v>
      </c>
      <c r="B8" t="s">
        <v>165</v>
      </c>
      <c r="E8">
        <f t="shared" ref="E8:E12" si="0">C8*D8</f>
        <v>0</v>
      </c>
    </row>
    <row r="9" spans="1:8" x14ac:dyDescent="0.25">
      <c r="A9" t="s">
        <v>35</v>
      </c>
      <c r="B9" t="s">
        <v>165</v>
      </c>
      <c r="E9" s="65">
        <f t="shared" si="0"/>
        <v>0</v>
      </c>
    </row>
    <row r="10" spans="1:8" x14ac:dyDescent="0.25">
      <c r="A10" t="s">
        <v>33</v>
      </c>
      <c r="B10" t="s">
        <v>166</v>
      </c>
      <c r="D10" s="66"/>
      <c r="E10">
        <f t="shared" si="0"/>
        <v>0</v>
      </c>
    </row>
    <row r="11" spans="1:8" x14ac:dyDescent="0.25">
      <c r="A11" t="s">
        <v>34</v>
      </c>
      <c r="B11" t="s">
        <v>166</v>
      </c>
      <c r="E11">
        <f t="shared" si="0"/>
        <v>0</v>
      </c>
    </row>
    <row r="12" spans="1:8" x14ac:dyDescent="0.25">
      <c r="A12" t="s">
        <v>35</v>
      </c>
      <c r="B12" t="s">
        <v>166</v>
      </c>
      <c r="E12" s="66">
        <f t="shared" si="0"/>
        <v>0</v>
      </c>
    </row>
    <row r="15" spans="1:8" x14ac:dyDescent="0.25">
      <c r="A15" t="s">
        <v>206</v>
      </c>
    </row>
    <row r="16" spans="1:8" x14ac:dyDescent="0.25">
      <c r="B16" s="126"/>
      <c r="C16" s="127"/>
    </row>
    <row r="17" spans="2:3" x14ac:dyDescent="0.25">
      <c r="B17" s="128"/>
      <c r="C17" s="129"/>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6" tint="-0.249977111117893"/>
  </sheetPr>
  <dimension ref="A1:H12"/>
  <sheetViews>
    <sheetView workbookViewId="0"/>
  </sheetViews>
  <sheetFormatPr defaultColWidth="9" defaultRowHeight="15" x14ac:dyDescent="0.25"/>
  <cols>
    <col min="1" max="1" width="16.140625" customWidth="1"/>
    <col min="9" max="9" width="19.140625" customWidth="1"/>
  </cols>
  <sheetData>
    <row r="1" spans="1:8" ht="17.25" x14ac:dyDescent="0.3">
      <c r="A1" s="1" t="s">
        <v>365</v>
      </c>
      <c r="B1" s="2"/>
      <c r="C1" s="2"/>
      <c r="D1" s="2"/>
      <c r="E1" s="2"/>
      <c r="F1" s="2"/>
      <c r="G1" s="2"/>
      <c r="H1" s="2"/>
    </row>
    <row r="3" spans="1:8" x14ac:dyDescent="0.25">
      <c r="A3" t="s">
        <v>346</v>
      </c>
    </row>
    <row r="4" spans="1:8" x14ac:dyDescent="0.25">
      <c r="A4" t="s">
        <v>349</v>
      </c>
    </row>
    <row r="5" spans="1:8" x14ac:dyDescent="0.25">
      <c r="A5" t="s">
        <v>207</v>
      </c>
    </row>
    <row r="8" spans="1:8" x14ac:dyDescent="0.25">
      <c r="A8" t="s">
        <v>348</v>
      </c>
    </row>
    <row r="9" spans="1:8" x14ac:dyDescent="0.25">
      <c r="A9" s="5" t="s">
        <v>347</v>
      </c>
    </row>
    <row r="10" spans="1:8" x14ac:dyDescent="0.25">
      <c r="A10" t="s">
        <v>325</v>
      </c>
    </row>
    <row r="11" spans="1:8" x14ac:dyDescent="0.25">
      <c r="A11" t="s">
        <v>115</v>
      </c>
    </row>
    <row r="12" spans="1:8" x14ac:dyDescent="0.25">
      <c r="A12" t="s">
        <v>345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6" tint="-0.249977111117893"/>
  </sheetPr>
  <dimension ref="A1:H16"/>
  <sheetViews>
    <sheetView workbookViewId="0"/>
  </sheetViews>
  <sheetFormatPr defaultColWidth="9" defaultRowHeight="15" x14ac:dyDescent="0.25"/>
  <cols>
    <col min="3" max="3" width="13.7109375" customWidth="1"/>
    <col min="4" max="4" width="13.28515625" bestFit="1" customWidth="1"/>
    <col min="5" max="5" width="13.85546875" bestFit="1" customWidth="1"/>
  </cols>
  <sheetData>
    <row r="1" spans="1:8" ht="17.25" x14ac:dyDescent="0.3">
      <c r="A1" s="1" t="s">
        <v>368</v>
      </c>
      <c r="B1" s="2"/>
      <c r="C1" s="2"/>
      <c r="D1" s="2"/>
      <c r="E1" s="2"/>
      <c r="F1" s="2"/>
      <c r="G1" s="2"/>
      <c r="H1" s="2"/>
    </row>
    <row r="2" spans="1:8" x14ac:dyDescent="0.25">
      <c r="B2" s="57"/>
    </row>
    <row r="3" spans="1:8" ht="30" x14ac:dyDescent="0.25">
      <c r="A3" s="5" t="s">
        <v>19</v>
      </c>
      <c r="B3" s="63" t="s">
        <v>41</v>
      </c>
      <c r="C3" s="10" t="s">
        <v>209</v>
      </c>
      <c r="E3" s="44" t="s">
        <v>208</v>
      </c>
      <c r="F3" s="44">
        <v>20</v>
      </c>
    </row>
    <row r="4" spans="1:8" x14ac:dyDescent="0.25">
      <c r="A4" t="s">
        <v>22</v>
      </c>
      <c r="B4">
        <v>300</v>
      </c>
      <c r="C4" t="str">
        <f>IF(B4&lt;200,"Flag","")</f>
        <v/>
      </c>
      <c r="E4" t="s">
        <v>42</v>
      </c>
      <c r="F4" s="101">
        <f>B16*F3</f>
        <v>76200</v>
      </c>
    </row>
    <row r="5" spans="1:8" x14ac:dyDescent="0.25">
      <c r="A5" t="s">
        <v>23</v>
      </c>
      <c r="B5">
        <v>400</v>
      </c>
      <c r="C5" t="str">
        <f t="shared" ref="C5:C15" si="0">IF(B5&lt;200,"Flag","")</f>
        <v/>
      </c>
    </row>
    <row r="6" spans="1:8" x14ac:dyDescent="0.25">
      <c r="A6" t="s">
        <v>24</v>
      </c>
      <c r="B6">
        <v>100</v>
      </c>
      <c r="C6" t="str">
        <f t="shared" si="0"/>
        <v>Flag</v>
      </c>
    </row>
    <row r="7" spans="1:8" x14ac:dyDescent="0.25">
      <c r="A7" t="s">
        <v>25</v>
      </c>
      <c r="B7">
        <v>180</v>
      </c>
      <c r="C7" t="str">
        <f t="shared" si="0"/>
        <v>Flag</v>
      </c>
    </row>
    <row r="8" spans="1:8" x14ac:dyDescent="0.25">
      <c r="A8" t="s">
        <v>26</v>
      </c>
      <c r="B8">
        <v>320</v>
      </c>
      <c r="C8" t="str">
        <f t="shared" si="0"/>
        <v/>
      </c>
    </row>
    <row r="9" spans="1:8" x14ac:dyDescent="0.25">
      <c r="A9" t="s">
        <v>152</v>
      </c>
      <c r="B9">
        <v>350</v>
      </c>
      <c r="C9" t="str">
        <f t="shared" si="0"/>
        <v/>
      </c>
    </row>
    <row r="10" spans="1:8" x14ac:dyDescent="0.25">
      <c r="A10" t="s">
        <v>153</v>
      </c>
      <c r="B10">
        <v>360</v>
      </c>
      <c r="C10" t="str">
        <f t="shared" si="0"/>
        <v/>
      </c>
    </row>
    <row r="11" spans="1:8" x14ac:dyDescent="0.25">
      <c r="A11" t="s">
        <v>185</v>
      </c>
      <c r="B11">
        <v>370</v>
      </c>
      <c r="C11" t="str">
        <f t="shared" si="0"/>
        <v/>
      </c>
    </row>
    <row r="12" spans="1:8" x14ac:dyDescent="0.25">
      <c r="A12" t="s">
        <v>186</v>
      </c>
      <c r="B12">
        <v>190</v>
      </c>
      <c r="C12" t="str">
        <f t="shared" si="0"/>
        <v>Flag</v>
      </c>
    </row>
    <row r="13" spans="1:8" x14ac:dyDescent="0.25">
      <c r="A13" t="s">
        <v>187</v>
      </c>
      <c r="B13">
        <v>320</v>
      </c>
      <c r="C13" t="str">
        <f t="shared" si="0"/>
        <v/>
      </c>
    </row>
    <row r="14" spans="1:8" x14ac:dyDescent="0.25">
      <c r="A14" t="s">
        <v>188</v>
      </c>
      <c r="B14">
        <v>360</v>
      </c>
      <c r="C14" t="str">
        <f t="shared" si="0"/>
        <v/>
      </c>
    </row>
    <row r="15" spans="1:8" x14ac:dyDescent="0.25">
      <c r="A15" s="2" t="s">
        <v>189</v>
      </c>
      <c r="B15" s="2">
        <v>560</v>
      </c>
      <c r="C15" t="str">
        <f t="shared" si="0"/>
        <v/>
      </c>
    </row>
    <row r="16" spans="1:8" x14ac:dyDescent="0.25">
      <c r="B16" s="39">
        <f>SUM(B4:B15)</f>
        <v>3810</v>
      </c>
    </row>
  </sheetData>
  <pageMargins left="0.7" right="0.7" top="0.75" bottom="0.75" header="0.3" footer="0.3"/>
  <pageSetup paperSize="9" orientation="portrait" r:id="rId1"/>
  <cellWatches>
    <cellWatch r="F4"/>
  </cellWatches>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theme="6" tint="-0.249977111117893"/>
    <pageSetUpPr fitToPage="1"/>
  </sheetPr>
  <dimension ref="A1:H65"/>
  <sheetViews>
    <sheetView topLeftCell="A63" workbookViewId="0"/>
  </sheetViews>
  <sheetFormatPr defaultColWidth="19.85546875" defaultRowHeight="15" x14ac:dyDescent="0.25"/>
  <cols>
    <col min="1" max="1" width="13.42578125" customWidth="1"/>
    <col min="2" max="2" width="21.140625" customWidth="1"/>
    <col min="3" max="3" width="36.7109375" customWidth="1"/>
  </cols>
  <sheetData>
    <row r="1" spans="1:8" ht="17.25" x14ac:dyDescent="0.3">
      <c r="A1" s="1" t="s">
        <v>372</v>
      </c>
      <c r="B1" s="2"/>
      <c r="C1" s="2"/>
      <c r="D1" s="2"/>
      <c r="E1" s="2"/>
      <c r="F1" s="2"/>
      <c r="G1" s="2"/>
      <c r="H1" s="2"/>
    </row>
    <row r="2" spans="1:8" x14ac:dyDescent="0.25">
      <c r="A2" t="s">
        <v>457</v>
      </c>
    </row>
    <row r="3" spans="1:8" x14ac:dyDescent="0.25">
      <c r="A3" t="s">
        <v>248</v>
      </c>
      <c r="D3" t="s">
        <v>249</v>
      </c>
      <c r="F3" t="s">
        <v>250</v>
      </c>
    </row>
    <row r="5" spans="1:8" x14ac:dyDescent="0.25">
      <c r="B5" s="130">
        <v>200</v>
      </c>
      <c r="D5" s="131">
        <v>2.7</v>
      </c>
      <c r="F5" s="132">
        <v>258</v>
      </c>
    </row>
    <row r="6" spans="1:8" x14ac:dyDescent="0.25">
      <c r="B6" s="130">
        <v>1000</v>
      </c>
      <c r="D6" s="131">
        <v>5.82</v>
      </c>
      <c r="F6" s="132">
        <v>693</v>
      </c>
    </row>
    <row r="7" spans="1:8" x14ac:dyDescent="0.25">
      <c r="B7" s="130">
        <v>-23</v>
      </c>
      <c r="D7" s="131">
        <v>600.39800000000002</v>
      </c>
      <c r="F7" s="132">
        <v>800</v>
      </c>
    </row>
    <row r="8" spans="1:8" x14ac:dyDescent="0.25">
      <c r="B8" s="130">
        <v>0</v>
      </c>
    </row>
    <row r="11" spans="1:8" x14ac:dyDescent="0.25">
      <c r="A11" t="s">
        <v>242</v>
      </c>
    </row>
    <row r="13" spans="1:8" x14ac:dyDescent="0.25">
      <c r="B13" s="133">
        <v>200</v>
      </c>
    </row>
    <row r="14" spans="1:8" x14ac:dyDescent="0.25">
      <c r="B14" s="133">
        <v>1000</v>
      </c>
    </row>
    <row r="15" spans="1:8" x14ac:dyDescent="0.25">
      <c r="B15" s="133">
        <v>-23</v>
      </c>
    </row>
    <row r="16" spans="1:8" x14ac:dyDescent="0.25">
      <c r="B16" s="133">
        <v>0</v>
      </c>
    </row>
    <row r="18" spans="1:4" x14ac:dyDescent="0.25">
      <c r="A18" t="s">
        <v>479</v>
      </c>
    </row>
    <row r="19" spans="1:4" x14ac:dyDescent="0.25">
      <c r="B19" s="134">
        <v>200</v>
      </c>
    </row>
    <row r="20" spans="1:4" x14ac:dyDescent="0.25">
      <c r="B20" s="134">
        <v>1000</v>
      </c>
    </row>
    <row r="21" spans="1:4" x14ac:dyDescent="0.25">
      <c r="B21" s="134">
        <v>-23</v>
      </c>
      <c r="D21" s="72"/>
    </row>
    <row r="22" spans="1:4" x14ac:dyDescent="0.25">
      <c r="B22" s="134">
        <v>0</v>
      </c>
    </row>
    <row r="24" spans="1:4" x14ac:dyDescent="0.25">
      <c r="A24" t="s">
        <v>458</v>
      </c>
    </row>
    <row r="25" spans="1:4" x14ac:dyDescent="0.25">
      <c r="A25" s="58" t="s">
        <v>243</v>
      </c>
    </row>
    <row r="28" spans="1:4" x14ac:dyDescent="0.25">
      <c r="A28" t="s">
        <v>247</v>
      </c>
    </row>
    <row r="30" spans="1:4" x14ac:dyDescent="0.25">
      <c r="A30" s="5" t="s">
        <v>45</v>
      </c>
      <c r="B30" s="5" t="s">
        <v>244</v>
      </c>
      <c r="C30" s="5" t="s">
        <v>42</v>
      </c>
      <c r="D30" s="5" t="s">
        <v>246</v>
      </c>
    </row>
    <row r="31" spans="1:4" x14ac:dyDescent="0.25">
      <c r="A31" s="15" t="s">
        <v>49</v>
      </c>
      <c r="B31">
        <v>20000</v>
      </c>
      <c r="C31" s="135">
        <v>300000000</v>
      </c>
      <c r="D31" s="74">
        <f>C31/B31</f>
        <v>15000</v>
      </c>
    </row>
    <row r="32" spans="1:4" x14ac:dyDescent="0.25">
      <c r="A32" s="15" t="s">
        <v>50</v>
      </c>
      <c r="B32">
        <v>20000</v>
      </c>
      <c r="C32" s="135">
        <v>400000000</v>
      </c>
      <c r="D32" s="74">
        <f t="shared" ref="D32:D38" si="0">C32/B32</f>
        <v>20000</v>
      </c>
    </row>
    <row r="33" spans="1:4" x14ac:dyDescent="0.25">
      <c r="A33" s="15" t="s">
        <v>51</v>
      </c>
      <c r="B33">
        <v>20000</v>
      </c>
      <c r="C33" s="135">
        <v>100000000</v>
      </c>
      <c r="D33" s="74">
        <f t="shared" si="0"/>
        <v>5000</v>
      </c>
    </row>
    <row r="34" spans="1:4" x14ac:dyDescent="0.25">
      <c r="A34" s="15" t="s">
        <v>52</v>
      </c>
      <c r="B34">
        <v>20000</v>
      </c>
      <c r="C34" s="135">
        <v>200000000</v>
      </c>
      <c r="D34" s="74">
        <f t="shared" si="0"/>
        <v>10000</v>
      </c>
    </row>
    <row r="35" spans="1:4" x14ac:dyDescent="0.25">
      <c r="A35" s="15" t="s">
        <v>53</v>
      </c>
      <c r="B35">
        <v>20000</v>
      </c>
      <c r="C35" s="135">
        <v>320000000</v>
      </c>
      <c r="D35" s="74">
        <f t="shared" si="0"/>
        <v>16000</v>
      </c>
    </row>
    <row r="36" spans="1:4" x14ac:dyDescent="0.25">
      <c r="A36" s="15" t="s">
        <v>54</v>
      </c>
      <c r="B36">
        <v>20000</v>
      </c>
      <c r="C36" s="135">
        <v>350000000</v>
      </c>
      <c r="D36" s="74">
        <f t="shared" si="0"/>
        <v>17500</v>
      </c>
    </row>
    <row r="37" spans="1:4" x14ac:dyDescent="0.25">
      <c r="A37" s="15" t="s">
        <v>55</v>
      </c>
      <c r="B37">
        <v>20000</v>
      </c>
      <c r="C37" s="135">
        <v>360000000</v>
      </c>
      <c r="D37" s="74">
        <f t="shared" si="0"/>
        <v>18000</v>
      </c>
    </row>
    <row r="38" spans="1:4" x14ac:dyDescent="0.25">
      <c r="A38" s="15" t="s">
        <v>56</v>
      </c>
      <c r="B38">
        <v>20000</v>
      </c>
      <c r="C38" s="135">
        <v>370000000</v>
      </c>
      <c r="D38" s="74">
        <f t="shared" si="0"/>
        <v>18500</v>
      </c>
    </row>
    <row r="41" spans="1:4" x14ac:dyDescent="0.25">
      <c r="A41" t="s">
        <v>245</v>
      </c>
    </row>
    <row r="43" spans="1:4" x14ac:dyDescent="0.25">
      <c r="B43" s="136">
        <v>2000</v>
      </c>
    </row>
    <row r="44" spans="1:4" x14ac:dyDescent="0.25">
      <c r="B44" s="136">
        <v>-20</v>
      </c>
    </row>
    <row r="48" spans="1:4" x14ac:dyDescent="0.25">
      <c r="A48" s="7" t="s">
        <v>241</v>
      </c>
    </row>
    <row r="50" spans="2:3" ht="16.5" thickBot="1" x14ac:dyDescent="0.3">
      <c r="B50" s="68" t="s">
        <v>210</v>
      </c>
      <c r="C50" s="69" t="s">
        <v>211</v>
      </c>
    </row>
    <row r="51" spans="2:3" ht="30.75" thickBot="1" x14ac:dyDescent="0.3">
      <c r="B51" s="70" t="s">
        <v>212</v>
      </c>
      <c r="C51" s="71" t="s">
        <v>213</v>
      </c>
    </row>
    <row r="52" spans="2:3" ht="45.75" thickBot="1" x14ac:dyDescent="0.3">
      <c r="B52" s="70" t="s">
        <v>214</v>
      </c>
      <c r="C52" s="71" t="s">
        <v>215</v>
      </c>
    </row>
    <row r="53" spans="2:3" ht="30.75" thickBot="1" x14ac:dyDescent="0.3">
      <c r="B53" s="70" t="s">
        <v>216</v>
      </c>
      <c r="C53" s="71" t="s">
        <v>217</v>
      </c>
    </row>
    <row r="54" spans="2:3" ht="30.75" thickBot="1" x14ac:dyDescent="0.3">
      <c r="B54" s="70" t="s">
        <v>218</v>
      </c>
      <c r="C54" s="71" t="s">
        <v>219</v>
      </c>
    </row>
    <row r="55" spans="2:3" ht="30.75" thickBot="1" x14ac:dyDescent="0.3">
      <c r="B55" s="73">
        <v>0</v>
      </c>
      <c r="C55" s="71" t="s">
        <v>220</v>
      </c>
    </row>
    <row r="56" spans="2:3" ht="60.75" thickBot="1" x14ac:dyDescent="0.3">
      <c r="B56" s="70" t="s">
        <v>221</v>
      </c>
      <c r="C56" s="71" t="s">
        <v>222</v>
      </c>
    </row>
    <row r="57" spans="2:3" ht="16.5" thickBot="1" x14ac:dyDescent="0.3">
      <c r="B57" s="70" t="s">
        <v>223</v>
      </c>
      <c r="C57" s="71" t="s">
        <v>224</v>
      </c>
    </row>
    <row r="58" spans="2:3" ht="30.75" thickBot="1" x14ac:dyDescent="0.3">
      <c r="B58" s="70" t="s">
        <v>225</v>
      </c>
      <c r="C58" s="71" t="s">
        <v>226</v>
      </c>
    </row>
    <row r="59" spans="2:3" ht="16.5" thickBot="1" x14ac:dyDescent="0.3">
      <c r="B59" s="70" t="s">
        <v>227</v>
      </c>
      <c r="C59" s="71" t="s">
        <v>228</v>
      </c>
    </row>
    <row r="60" spans="2:3" ht="30.75" thickBot="1" x14ac:dyDescent="0.3">
      <c r="B60" s="70" t="s">
        <v>229</v>
      </c>
      <c r="C60" s="71" t="s">
        <v>230</v>
      </c>
    </row>
    <row r="61" spans="2:3" ht="60.75" thickBot="1" x14ac:dyDescent="0.3">
      <c r="B61" s="70" t="s">
        <v>231</v>
      </c>
      <c r="C61" s="71" t="s">
        <v>232</v>
      </c>
    </row>
    <row r="62" spans="2:3" ht="75.75" thickBot="1" x14ac:dyDescent="0.3">
      <c r="B62" s="70" t="s">
        <v>233</v>
      </c>
      <c r="C62" s="71" t="s">
        <v>234</v>
      </c>
    </row>
    <row r="63" spans="2:3" ht="150.75" thickBot="1" x14ac:dyDescent="0.3">
      <c r="B63" s="70" t="s">
        <v>235</v>
      </c>
      <c r="C63" s="71" t="s">
        <v>239</v>
      </c>
    </row>
    <row r="64" spans="2:3" ht="165.75" thickBot="1" x14ac:dyDescent="0.3">
      <c r="B64" s="70" t="s">
        <v>236</v>
      </c>
      <c r="C64" s="71" t="s">
        <v>240</v>
      </c>
    </row>
    <row r="65" spans="2:3" ht="30.75" customHeight="1" thickBot="1" x14ac:dyDescent="0.3">
      <c r="B65" s="70" t="s">
        <v>237</v>
      </c>
      <c r="C65" s="71" t="s">
        <v>238</v>
      </c>
    </row>
  </sheetData>
  <hyperlinks>
    <hyperlink ref="A25" r:id="rId1" xr:uid="{00000000-0004-0000-0800-000000000000}"/>
  </hyperlinks>
  <pageMargins left="0.7" right="0.7" top="0.75" bottom="0.75" header="0.3" footer="0.3"/>
  <pageSetup paperSize="9" scale="90"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theme="6" tint="-0.249977111117893"/>
  </sheetPr>
  <dimension ref="A1:H18"/>
  <sheetViews>
    <sheetView workbookViewId="0"/>
  </sheetViews>
  <sheetFormatPr defaultColWidth="9" defaultRowHeight="15" x14ac:dyDescent="0.25"/>
  <cols>
    <col min="1" max="1" width="23.140625" customWidth="1"/>
    <col min="2" max="2" width="14" customWidth="1"/>
    <col min="3" max="3" width="10.140625" customWidth="1"/>
    <col min="7" max="7" width="16.85546875" bestFit="1" customWidth="1"/>
  </cols>
  <sheetData>
    <row r="1" spans="1:8" ht="17.25" x14ac:dyDescent="0.3">
      <c r="A1" s="1" t="s">
        <v>370</v>
      </c>
      <c r="B1" s="2"/>
      <c r="C1" s="2"/>
      <c r="D1" s="2"/>
      <c r="E1" s="2"/>
      <c r="F1" s="2"/>
      <c r="G1" s="2"/>
      <c r="H1" s="2"/>
    </row>
    <row r="2" spans="1:8" x14ac:dyDescent="0.25">
      <c r="A2" t="s">
        <v>459</v>
      </c>
    </row>
    <row r="3" spans="1:8" x14ac:dyDescent="0.25">
      <c r="A3" s="32" t="s">
        <v>400</v>
      </c>
      <c r="B3" s="2"/>
      <c r="C3" s="2"/>
    </row>
    <row r="4" spans="1:8" x14ac:dyDescent="0.25">
      <c r="A4" t="s">
        <v>251</v>
      </c>
      <c r="B4" s="75">
        <v>65</v>
      </c>
      <c r="C4" t="s">
        <v>252</v>
      </c>
    </row>
    <row r="5" spans="1:8" x14ac:dyDescent="0.25">
      <c r="A5" t="s">
        <v>253</v>
      </c>
      <c r="B5">
        <v>5</v>
      </c>
      <c r="C5" t="s">
        <v>252</v>
      </c>
    </row>
    <row r="6" spans="1:8" x14ac:dyDescent="0.25">
      <c r="A6" t="s">
        <v>202</v>
      </c>
      <c r="B6" s="64">
        <f>B4*B5</f>
        <v>325</v>
      </c>
      <c r="C6" s="28" t="s">
        <v>257</v>
      </c>
    </row>
    <row r="8" spans="1:8" x14ac:dyDescent="0.25">
      <c r="A8" t="s">
        <v>254</v>
      </c>
      <c r="B8">
        <v>490</v>
      </c>
      <c r="C8" t="s">
        <v>252</v>
      </c>
    </row>
    <row r="9" spans="1:8" x14ac:dyDescent="0.25">
      <c r="A9" t="s">
        <v>255</v>
      </c>
      <c r="B9" s="118">
        <f>B6*12</f>
        <v>3900</v>
      </c>
      <c r="C9" s="28" t="s">
        <v>258</v>
      </c>
    </row>
    <row r="11" spans="1:8" x14ac:dyDescent="0.25">
      <c r="A11" t="s">
        <v>256</v>
      </c>
      <c r="B11" s="117">
        <f>B8/B9</f>
        <v>0.12564102564102564</v>
      </c>
      <c r="C11" s="28" t="s">
        <v>259</v>
      </c>
    </row>
    <row r="14" spans="1:8" x14ac:dyDescent="0.25">
      <c r="A14" s="32" t="s">
        <v>401</v>
      </c>
      <c r="B14" s="2"/>
      <c r="C14" s="2"/>
    </row>
    <row r="15" spans="1:8" x14ac:dyDescent="0.25">
      <c r="A15" t="s">
        <v>396</v>
      </c>
      <c r="B15" s="39">
        <v>10000</v>
      </c>
    </row>
    <row r="16" spans="1:8" x14ac:dyDescent="0.25">
      <c r="A16" t="s">
        <v>397</v>
      </c>
      <c r="B16" s="11">
        <v>0.08</v>
      </c>
    </row>
    <row r="17" spans="1:2" x14ac:dyDescent="0.25">
      <c r="A17" t="s">
        <v>398</v>
      </c>
      <c r="B17">
        <v>60</v>
      </c>
    </row>
    <row r="18" spans="1:2" x14ac:dyDescent="0.25">
      <c r="A18" t="s">
        <v>399</v>
      </c>
      <c r="B18" s="116">
        <f>PMT(B16/12,B17,B15)</f>
        <v>-202.76394288413681</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6" tint="-0.249977111117893"/>
  </sheetPr>
  <dimension ref="A1:R321"/>
  <sheetViews>
    <sheetView showGridLines="0" workbookViewId="0"/>
  </sheetViews>
  <sheetFormatPr defaultColWidth="9" defaultRowHeight="15" x14ac:dyDescent="0.25"/>
  <cols>
    <col min="1" max="1" width="23.28515625" customWidth="1"/>
    <col min="2" max="2" width="14.85546875" customWidth="1"/>
    <col min="3" max="3" width="11.28515625" bestFit="1" customWidth="1"/>
    <col min="4" max="4" width="11.5703125" bestFit="1" customWidth="1"/>
    <col min="5" max="5" width="15" bestFit="1" customWidth="1"/>
    <col min="6" max="6" width="10.85546875" customWidth="1"/>
    <col min="7" max="7" width="11.5703125" customWidth="1"/>
    <col min="8" max="8" width="13.140625" customWidth="1"/>
    <col min="9" max="9" width="15.42578125" customWidth="1"/>
    <col min="10" max="10" width="13.140625" customWidth="1"/>
    <col min="11" max="11" width="15.42578125" customWidth="1"/>
    <col min="12" max="12" width="17.28515625" customWidth="1"/>
    <col min="13" max="13" width="9.140625" customWidth="1"/>
    <col min="14" max="14" width="11.28515625" customWidth="1"/>
    <col min="15" max="16" width="10.85546875" customWidth="1"/>
    <col min="17" max="18" width="10.85546875" hidden="1" customWidth="1"/>
    <col min="19" max="19" width="13.85546875" customWidth="1"/>
    <col min="20" max="20" width="13.7109375" customWidth="1"/>
    <col min="21" max="28" width="9.28515625" customWidth="1"/>
    <col min="29" max="29" width="13.85546875" customWidth="1"/>
    <col min="30" max="30" width="13.7109375" customWidth="1"/>
    <col min="31" max="37" width="15.42578125" customWidth="1"/>
    <col min="38" max="38" width="13.85546875" customWidth="1"/>
    <col min="39" max="39" width="13.7109375" customWidth="1"/>
    <col min="40" max="40" width="20" customWidth="1"/>
    <col min="41" max="53" width="4" customWidth="1"/>
    <col min="54" max="54" width="5" customWidth="1"/>
    <col min="55" max="87" width="4" customWidth="1"/>
    <col min="88" max="88" width="11.28515625" customWidth="1"/>
    <col min="89" max="89" width="4" customWidth="1"/>
    <col min="90" max="90" width="8.85546875" customWidth="1"/>
    <col min="91" max="91" width="5.85546875" customWidth="1"/>
    <col min="92" max="92" width="4" customWidth="1"/>
    <col min="93" max="93" width="8.85546875" customWidth="1"/>
    <col min="94" max="94" width="5.85546875" customWidth="1"/>
    <col min="95" max="95" width="4" customWidth="1"/>
    <col min="96" max="96" width="8.85546875" customWidth="1"/>
    <col min="97" max="97" width="5.85546875" customWidth="1"/>
    <col min="98" max="98" width="8.85546875" customWidth="1"/>
    <col min="99" max="99" width="5.85546875" customWidth="1"/>
    <col min="100" max="100" width="8.85546875" customWidth="1"/>
    <col min="101" max="101" width="5.85546875" customWidth="1"/>
    <col min="102" max="102" width="8.85546875" customWidth="1"/>
    <col min="103" max="103" width="5.85546875" customWidth="1"/>
    <col min="104" max="105" width="4" customWidth="1"/>
    <col min="106" max="106" width="8.85546875" customWidth="1"/>
    <col min="107" max="107" width="5.85546875" customWidth="1"/>
    <col min="108" max="108" width="8.85546875" customWidth="1"/>
    <col min="109" max="109" width="5.85546875" customWidth="1"/>
    <col min="110" max="110" width="8.85546875" customWidth="1"/>
    <col min="111" max="111" width="5.85546875" customWidth="1"/>
    <col min="112" max="112" width="8.85546875" customWidth="1"/>
    <col min="113" max="113" width="5.85546875" customWidth="1"/>
    <col min="114" max="114" width="8.85546875" customWidth="1"/>
    <col min="115" max="115" width="5.85546875" customWidth="1"/>
    <col min="116" max="116" width="8.85546875" customWidth="1"/>
    <col min="117" max="117" width="5.85546875" customWidth="1"/>
    <col min="118" max="118" width="8.85546875" customWidth="1"/>
    <col min="119" max="119" width="5.85546875" customWidth="1"/>
    <col min="120" max="120" width="8.85546875" customWidth="1"/>
    <col min="121" max="121" width="5.85546875" customWidth="1"/>
    <col min="122" max="122" width="8.85546875" customWidth="1"/>
    <col min="123" max="123" width="5.85546875" customWidth="1"/>
    <col min="124" max="124" width="8.85546875" customWidth="1"/>
    <col min="125" max="125" width="5.85546875" customWidth="1"/>
    <col min="126" max="126" width="8.85546875" customWidth="1"/>
    <col min="127" max="127" width="5.85546875" customWidth="1"/>
    <col min="128" max="128" width="8.85546875" customWidth="1"/>
    <col min="129" max="129" width="5.85546875" customWidth="1"/>
    <col min="130" max="130" width="4" customWidth="1"/>
    <col min="131" max="131" width="8.85546875" customWidth="1"/>
    <col min="132" max="132" width="5.85546875" customWidth="1"/>
    <col min="133" max="133" width="8.85546875" customWidth="1"/>
    <col min="134" max="134" width="5.85546875" customWidth="1"/>
    <col min="135" max="135" width="8.85546875" customWidth="1"/>
    <col min="136" max="136" width="5.85546875" customWidth="1"/>
    <col min="137" max="137" width="8.85546875" customWidth="1"/>
    <col min="138" max="138" width="5.85546875" customWidth="1"/>
    <col min="139" max="139" width="4" customWidth="1"/>
    <col min="140" max="140" width="8.85546875" customWidth="1"/>
    <col min="141" max="141" width="5.85546875" customWidth="1"/>
    <col min="142" max="142" width="8.85546875" customWidth="1"/>
    <col min="143" max="143" width="5.85546875" customWidth="1"/>
    <col min="144" max="144" width="8.85546875" customWidth="1"/>
    <col min="145" max="145" width="5.85546875" customWidth="1"/>
    <col min="146" max="146" width="8.85546875" customWidth="1"/>
    <col min="147" max="147" width="5.85546875" customWidth="1"/>
    <col min="148" max="148" width="8.85546875" customWidth="1"/>
    <col min="149" max="149" width="5.85546875" customWidth="1"/>
    <col min="150" max="150" width="8.85546875" customWidth="1"/>
    <col min="151" max="151" width="5.85546875" customWidth="1"/>
    <col min="152" max="152" width="8.85546875" customWidth="1"/>
    <col min="153" max="153" width="5.85546875" customWidth="1"/>
    <col min="154" max="154" width="8.85546875" customWidth="1"/>
    <col min="155" max="155" width="5.85546875" customWidth="1"/>
    <col min="156" max="156" width="8.85546875" customWidth="1"/>
    <col min="157" max="157" width="5.85546875" customWidth="1"/>
    <col min="158" max="158" width="8.85546875" customWidth="1"/>
    <col min="159" max="159" width="5.85546875" customWidth="1"/>
    <col min="160" max="160" width="8.85546875" customWidth="1"/>
    <col min="161" max="161" width="5.85546875" customWidth="1"/>
    <col min="162" max="162" width="8.85546875" customWidth="1"/>
    <col min="163" max="163" width="5.85546875" customWidth="1"/>
    <col min="164" max="164" width="8.85546875" customWidth="1"/>
    <col min="165" max="165" width="5.85546875" customWidth="1"/>
    <col min="166" max="166" width="8.85546875" customWidth="1"/>
    <col min="167" max="167" width="5.85546875" customWidth="1"/>
    <col min="168" max="168" width="8.85546875" customWidth="1"/>
    <col min="169" max="169" width="5.85546875" customWidth="1"/>
    <col min="170" max="170" width="8.85546875" customWidth="1"/>
    <col min="171" max="171" width="5.85546875" customWidth="1"/>
    <col min="172" max="172" width="4" customWidth="1"/>
    <col min="173" max="173" width="8.85546875" customWidth="1"/>
    <col min="174" max="174" width="5.85546875" customWidth="1"/>
    <col min="175" max="175" width="8.85546875" customWidth="1"/>
    <col min="176" max="176" width="11.28515625" bestFit="1" customWidth="1"/>
  </cols>
  <sheetData>
    <row r="1" spans="1:15" ht="17.25" x14ac:dyDescent="0.3">
      <c r="A1" s="1" t="s">
        <v>369</v>
      </c>
      <c r="B1" s="2"/>
      <c r="C1" s="2"/>
      <c r="D1" s="2"/>
      <c r="E1" s="2"/>
      <c r="F1" s="2"/>
    </row>
    <row r="2" spans="1:15" x14ac:dyDescent="0.25">
      <c r="J2" s="83" t="s">
        <v>19</v>
      </c>
      <c r="K2" t="s">
        <v>280</v>
      </c>
    </row>
    <row r="3" spans="1:15" ht="30" x14ac:dyDescent="0.25">
      <c r="A3" s="9" t="s">
        <v>170</v>
      </c>
      <c r="B3" s="9" t="s">
        <v>19</v>
      </c>
      <c r="C3" s="9" t="s">
        <v>40</v>
      </c>
      <c r="D3" s="9" t="s">
        <v>41</v>
      </c>
      <c r="E3" s="9" t="s">
        <v>284</v>
      </c>
      <c r="F3" s="9" t="s">
        <v>473</v>
      </c>
    </row>
    <row r="4" spans="1:15" x14ac:dyDescent="0.25">
      <c r="A4">
        <v>2016</v>
      </c>
      <c r="B4" t="s">
        <v>280</v>
      </c>
      <c r="C4" t="s">
        <v>33</v>
      </c>
      <c r="D4">
        <v>5</v>
      </c>
      <c r="E4">
        <v>200</v>
      </c>
      <c r="F4">
        <v>296</v>
      </c>
      <c r="J4" s="83" t="s">
        <v>285</v>
      </c>
      <c r="K4" t="s">
        <v>461</v>
      </c>
      <c r="L4" t="s">
        <v>474</v>
      </c>
      <c r="M4" t="s">
        <v>476</v>
      </c>
    </row>
    <row r="5" spans="1:15" x14ac:dyDescent="0.25">
      <c r="A5">
        <v>2016</v>
      </c>
      <c r="B5" t="s">
        <v>280</v>
      </c>
      <c r="C5" t="s">
        <v>33</v>
      </c>
      <c r="D5">
        <v>6</v>
      </c>
      <c r="E5">
        <v>300</v>
      </c>
      <c r="F5">
        <v>329</v>
      </c>
      <c r="J5" s="84" t="s">
        <v>33</v>
      </c>
      <c r="K5" s="39">
        <v>550</v>
      </c>
      <c r="L5" s="72">
        <v>911</v>
      </c>
      <c r="M5" s="138">
        <v>-0.39626783754116357</v>
      </c>
    </row>
    <row r="6" spans="1:15" x14ac:dyDescent="0.25">
      <c r="A6">
        <v>2016</v>
      </c>
      <c r="B6" t="s">
        <v>280</v>
      </c>
      <c r="C6" t="s">
        <v>33</v>
      </c>
      <c r="D6">
        <v>1</v>
      </c>
      <c r="E6">
        <v>50</v>
      </c>
      <c r="F6">
        <v>286</v>
      </c>
      <c r="J6" s="84" t="s">
        <v>34</v>
      </c>
      <c r="K6" s="39">
        <v>599</v>
      </c>
      <c r="L6" s="72">
        <v>704</v>
      </c>
      <c r="M6" s="138">
        <v>-0.14914772727272727</v>
      </c>
    </row>
    <row r="7" spans="1:15" x14ac:dyDescent="0.25">
      <c r="A7">
        <v>2016</v>
      </c>
      <c r="B7" t="s">
        <v>281</v>
      </c>
      <c r="C7" t="s">
        <v>33</v>
      </c>
      <c r="D7">
        <v>9</v>
      </c>
      <c r="E7">
        <v>350</v>
      </c>
      <c r="F7">
        <v>448</v>
      </c>
      <c r="J7" s="84" t="s">
        <v>35</v>
      </c>
      <c r="K7" s="39">
        <v>1443</v>
      </c>
      <c r="L7" s="72">
        <v>1795</v>
      </c>
      <c r="M7" s="138">
        <v>-0.19610027855153203</v>
      </c>
    </row>
    <row r="8" spans="1:15" x14ac:dyDescent="0.25">
      <c r="A8">
        <v>2016</v>
      </c>
      <c r="B8" t="s">
        <v>281</v>
      </c>
      <c r="C8" t="s">
        <v>33</v>
      </c>
      <c r="D8">
        <v>2</v>
      </c>
      <c r="E8">
        <v>90</v>
      </c>
      <c r="F8">
        <v>363</v>
      </c>
      <c r="J8" s="84" t="s">
        <v>36</v>
      </c>
      <c r="K8" s="39">
        <v>507</v>
      </c>
      <c r="L8" s="72">
        <v>487</v>
      </c>
      <c r="M8" s="138">
        <v>4.1067761806981518E-2</v>
      </c>
    </row>
    <row r="9" spans="1:15" x14ac:dyDescent="0.25">
      <c r="A9">
        <v>2016</v>
      </c>
      <c r="B9" t="s">
        <v>281</v>
      </c>
      <c r="C9" t="s">
        <v>33</v>
      </c>
      <c r="D9">
        <v>3</v>
      </c>
      <c r="E9">
        <v>200</v>
      </c>
      <c r="F9">
        <v>214</v>
      </c>
      <c r="J9" s="84" t="s">
        <v>167</v>
      </c>
      <c r="K9" s="39">
        <v>3099</v>
      </c>
      <c r="L9" s="72">
        <v>3897</v>
      </c>
      <c r="M9" s="138">
        <v>-0.20477290223248654</v>
      </c>
    </row>
    <row r="10" spans="1:15" x14ac:dyDescent="0.25">
      <c r="A10">
        <v>2016</v>
      </c>
      <c r="B10" t="s">
        <v>281</v>
      </c>
      <c r="C10" t="s">
        <v>33</v>
      </c>
      <c r="D10">
        <v>4</v>
      </c>
      <c r="E10">
        <v>350</v>
      </c>
      <c r="F10">
        <v>447</v>
      </c>
    </row>
    <row r="11" spans="1:15" x14ac:dyDescent="0.25">
      <c r="A11">
        <v>2016</v>
      </c>
      <c r="B11" t="s">
        <v>281</v>
      </c>
      <c r="C11" t="s">
        <v>33</v>
      </c>
      <c r="D11">
        <v>9</v>
      </c>
      <c r="E11">
        <v>333</v>
      </c>
      <c r="F11">
        <v>318</v>
      </c>
    </row>
    <row r="12" spans="1:15" x14ac:dyDescent="0.25">
      <c r="A12">
        <v>2016</v>
      </c>
      <c r="B12" t="s">
        <v>282</v>
      </c>
      <c r="C12" t="s">
        <v>33</v>
      </c>
      <c r="D12">
        <v>10</v>
      </c>
      <c r="E12">
        <v>410</v>
      </c>
      <c r="F12">
        <v>300</v>
      </c>
    </row>
    <row r="13" spans="1:15" x14ac:dyDescent="0.25">
      <c r="A13">
        <v>2016</v>
      </c>
      <c r="B13" t="s">
        <v>282</v>
      </c>
      <c r="C13" t="s">
        <v>33</v>
      </c>
      <c r="D13">
        <v>7</v>
      </c>
      <c r="E13">
        <v>280</v>
      </c>
      <c r="F13">
        <v>284</v>
      </c>
      <c r="J13" s="83" t="s">
        <v>40</v>
      </c>
      <c r="K13" t="s">
        <v>33</v>
      </c>
    </row>
    <row r="14" spans="1:15" x14ac:dyDescent="0.25">
      <c r="A14">
        <v>2016</v>
      </c>
      <c r="B14" t="s">
        <v>282</v>
      </c>
      <c r="C14" t="s">
        <v>33</v>
      </c>
      <c r="D14">
        <v>10</v>
      </c>
      <c r="E14">
        <v>320</v>
      </c>
      <c r="F14">
        <v>347</v>
      </c>
      <c r="K14" t="str">
        <f>"Revenue for "&amp;K13</f>
        <v>Revenue for Agent A</v>
      </c>
      <c r="M14" t="s">
        <v>463</v>
      </c>
    </row>
    <row r="15" spans="1:15" x14ac:dyDescent="0.25">
      <c r="A15">
        <v>2016</v>
      </c>
      <c r="B15" t="s">
        <v>283</v>
      </c>
      <c r="C15" t="s">
        <v>33</v>
      </c>
      <c r="D15">
        <v>8</v>
      </c>
      <c r="E15">
        <v>272</v>
      </c>
      <c r="F15">
        <v>338</v>
      </c>
      <c r="J15" s="83" t="s">
        <v>285</v>
      </c>
      <c r="K15" t="s">
        <v>461</v>
      </c>
      <c r="N15" t="s">
        <v>42</v>
      </c>
      <c r="O15" t="s">
        <v>470</v>
      </c>
    </row>
    <row r="16" spans="1:15" x14ac:dyDescent="0.25">
      <c r="A16">
        <v>2016</v>
      </c>
      <c r="B16" t="s">
        <v>283</v>
      </c>
      <c r="C16" t="s">
        <v>33</v>
      </c>
      <c r="D16">
        <v>10</v>
      </c>
      <c r="E16">
        <v>300</v>
      </c>
      <c r="F16">
        <v>306</v>
      </c>
      <c r="J16" s="84" t="s">
        <v>280</v>
      </c>
      <c r="K16" s="39">
        <v>550</v>
      </c>
      <c r="M16" s="137" t="s">
        <v>280</v>
      </c>
      <c r="N16">
        <f>IFERROR(GETPIVOTDATA("Actual Revenue",$J$15,"Month",M16),"")</f>
        <v>550</v>
      </c>
      <c r="O16" t="str">
        <f>IF(N16=MAX($N$16:$N$27),N16,"")</f>
        <v/>
      </c>
    </row>
    <row r="17" spans="1:15" x14ac:dyDescent="0.25">
      <c r="A17">
        <v>2016</v>
      </c>
      <c r="B17" t="s">
        <v>283</v>
      </c>
      <c r="C17" t="s">
        <v>33</v>
      </c>
      <c r="D17">
        <v>4</v>
      </c>
      <c r="E17">
        <v>168</v>
      </c>
      <c r="F17">
        <v>359</v>
      </c>
      <c r="J17" s="84" t="s">
        <v>281</v>
      </c>
      <c r="K17" s="39">
        <v>1323</v>
      </c>
      <c r="M17" s="137" t="s">
        <v>281</v>
      </c>
      <c r="N17">
        <f t="shared" ref="N17:N27" si="0">IFERROR(GETPIVOTDATA("Actual Revenue",$J$15,"Month",M17),"")</f>
        <v>1323</v>
      </c>
      <c r="O17">
        <f t="shared" ref="O17:O27" si="1">IF(N17=MAX($N$16:$N$27),N17,"")</f>
        <v>1323</v>
      </c>
    </row>
    <row r="18" spans="1:15" x14ac:dyDescent="0.25">
      <c r="A18">
        <v>2016</v>
      </c>
      <c r="B18" t="s">
        <v>26</v>
      </c>
      <c r="C18" t="s">
        <v>33</v>
      </c>
      <c r="D18">
        <v>4</v>
      </c>
      <c r="E18">
        <v>360</v>
      </c>
      <c r="F18">
        <v>400</v>
      </c>
      <c r="J18" s="84" t="s">
        <v>282</v>
      </c>
      <c r="K18" s="39">
        <v>1010</v>
      </c>
      <c r="M18" s="137" t="s">
        <v>282</v>
      </c>
      <c r="N18">
        <f t="shared" si="0"/>
        <v>1010</v>
      </c>
      <c r="O18" t="str">
        <f t="shared" si="1"/>
        <v/>
      </c>
    </row>
    <row r="19" spans="1:15" x14ac:dyDescent="0.25">
      <c r="A19">
        <v>2016</v>
      </c>
      <c r="B19" t="s">
        <v>26</v>
      </c>
      <c r="C19" t="s">
        <v>33</v>
      </c>
      <c r="D19">
        <v>9</v>
      </c>
      <c r="E19">
        <v>333</v>
      </c>
      <c r="F19">
        <v>320</v>
      </c>
      <c r="J19" s="84" t="s">
        <v>283</v>
      </c>
      <c r="K19" s="39">
        <v>740</v>
      </c>
      <c r="M19" s="137" t="s">
        <v>283</v>
      </c>
      <c r="N19">
        <f t="shared" si="0"/>
        <v>740</v>
      </c>
      <c r="O19" t="str">
        <f t="shared" si="1"/>
        <v/>
      </c>
    </row>
    <row r="20" spans="1:15" x14ac:dyDescent="0.25">
      <c r="A20">
        <v>2016</v>
      </c>
      <c r="B20" t="s">
        <v>26</v>
      </c>
      <c r="C20" t="s">
        <v>33</v>
      </c>
      <c r="D20">
        <v>10</v>
      </c>
      <c r="E20">
        <v>410</v>
      </c>
      <c r="F20">
        <v>320</v>
      </c>
      <c r="J20" s="84" t="s">
        <v>26</v>
      </c>
      <c r="K20" s="39">
        <v>1103</v>
      </c>
      <c r="M20" s="137" t="s">
        <v>26</v>
      </c>
      <c r="N20">
        <f t="shared" si="0"/>
        <v>1103</v>
      </c>
      <c r="O20" t="str">
        <f t="shared" si="1"/>
        <v/>
      </c>
    </row>
    <row r="21" spans="1:15" x14ac:dyDescent="0.25">
      <c r="A21">
        <v>2016</v>
      </c>
      <c r="B21" t="s">
        <v>404</v>
      </c>
      <c r="C21" t="s">
        <v>33</v>
      </c>
      <c r="D21">
        <v>7</v>
      </c>
      <c r="E21">
        <v>280</v>
      </c>
      <c r="F21">
        <v>280</v>
      </c>
      <c r="J21" s="84" t="s">
        <v>404</v>
      </c>
      <c r="K21" s="39">
        <v>600</v>
      </c>
      <c r="M21" s="137" t="s">
        <v>404</v>
      </c>
      <c r="N21">
        <f t="shared" si="0"/>
        <v>600</v>
      </c>
      <c r="O21" t="str">
        <f t="shared" si="1"/>
        <v/>
      </c>
    </row>
    <row r="22" spans="1:15" x14ac:dyDescent="0.25">
      <c r="A22">
        <v>2016</v>
      </c>
      <c r="B22" t="s">
        <v>404</v>
      </c>
      <c r="C22" t="s">
        <v>33</v>
      </c>
      <c r="D22">
        <v>10</v>
      </c>
      <c r="E22">
        <v>320</v>
      </c>
      <c r="F22">
        <v>340</v>
      </c>
      <c r="M22" s="137" t="s">
        <v>464</v>
      </c>
      <c r="N22" t="str">
        <f t="shared" si="0"/>
        <v/>
      </c>
      <c r="O22" t="str">
        <f t="shared" si="1"/>
        <v/>
      </c>
    </row>
    <row r="23" spans="1:15" x14ac:dyDescent="0.25">
      <c r="A23">
        <v>2016</v>
      </c>
      <c r="B23" t="s">
        <v>280</v>
      </c>
      <c r="C23" t="s">
        <v>34</v>
      </c>
      <c r="D23">
        <v>9</v>
      </c>
      <c r="E23">
        <v>279</v>
      </c>
      <c r="F23">
        <v>406</v>
      </c>
      <c r="M23" s="137" t="s">
        <v>465</v>
      </c>
      <c r="N23" t="str">
        <f t="shared" si="0"/>
        <v/>
      </c>
      <c r="O23" t="str">
        <f t="shared" si="1"/>
        <v/>
      </c>
    </row>
    <row r="24" spans="1:15" x14ac:dyDescent="0.25">
      <c r="A24">
        <v>2016</v>
      </c>
      <c r="B24" t="s">
        <v>280</v>
      </c>
      <c r="C24" t="s">
        <v>34</v>
      </c>
      <c r="D24">
        <v>8</v>
      </c>
      <c r="E24">
        <v>320</v>
      </c>
      <c r="F24">
        <v>298</v>
      </c>
      <c r="M24" s="137" t="s">
        <v>466</v>
      </c>
      <c r="N24" t="str">
        <f t="shared" si="0"/>
        <v/>
      </c>
      <c r="O24" t="str">
        <f t="shared" si="1"/>
        <v/>
      </c>
    </row>
    <row r="25" spans="1:15" x14ac:dyDescent="0.25">
      <c r="A25">
        <v>2016</v>
      </c>
      <c r="B25" t="s">
        <v>281</v>
      </c>
      <c r="C25" t="s">
        <v>34</v>
      </c>
      <c r="D25">
        <v>3</v>
      </c>
      <c r="E25">
        <v>144</v>
      </c>
      <c r="F25">
        <v>445</v>
      </c>
      <c r="M25" s="137" t="s">
        <v>467</v>
      </c>
      <c r="N25" t="str">
        <f t="shared" si="0"/>
        <v/>
      </c>
      <c r="O25" t="str">
        <f t="shared" si="1"/>
        <v/>
      </c>
    </row>
    <row r="26" spans="1:15" x14ac:dyDescent="0.25">
      <c r="A26">
        <v>2016</v>
      </c>
      <c r="B26" t="s">
        <v>281</v>
      </c>
      <c r="C26" t="s">
        <v>34</v>
      </c>
      <c r="D26">
        <v>10</v>
      </c>
      <c r="E26">
        <v>380</v>
      </c>
      <c r="F26">
        <v>368</v>
      </c>
      <c r="M26" s="137" t="s">
        <v>468</v>
      </c>
      <c r="N26" t="str">
        <f t="shared" si="0"/>
        <v/>
      </c>
      <c r="O26" t="str">
        <f t="shared" si="1"/>
        <v/>
      </c>
    </row>
    <row r="27" spans="1:15" x14ac:dyDescent="0.25">
      <c r="A27">
        <v>2016</v>
      </c>
      <c r="B27" t="s">
        <v>282</v>
      </c>
      <c r="C27" t="s">
        <v>34</v>
      </c>
      <c r="D27">
        <v>4</v>
      </c>
      <c r="E27">
        <v>192</v>
      </c>
      <c r="F27">
        <v>258</v>
      </c>
      <c r="M27" s="137" t="s">
        <v>469</v>
      </c>
      <c r="N27" t="str">
        <f t="shared" si="0"/>
        <v/>
      </c>
      <c r="O27" t="str">
        <f t="shared" si="1"/>
        <v/>
      </c>
    </row>
    <row r="28" spans="1:15" x14ac:dyDescent="0.25">
      <c r="A28">
        <v>2016</v>
      </c>
      <c r="B28" t="s">
        <v>283</v>
      </c>
      <c r="C28" t="s">
        <v>34</v>
      </c>
      <c r="D28">
        <v>4</v>
      </c>
      <c r="E28">
        <v>160</v>
      </c>
      <c r="F28">
        <v>218</v>
      </c>
    </row>
    <row r="29" spans="1:15" x14ac:dyDescent="0.25">
      <c r="A29">
        <v>2016</v>
      </c>
      <c r="B29" t="s">
        <v>283</v>
      </c>
      <c r="C29" t="s">
        <v>34</v>
      </c>
      <c r="D29">
        <v>5</v>
      </c>
      <c r="E29">
        <v>155</v>
      </c>
      <c r="F29">
        <v>234</v>
      </c>
    </row>
    <row r="30" spans="1:15" x14ac:dyDescent="0.25">
      <c r="A30">
        <v>2016</v>
      </c>
      <c r="B30" t="s">
        <v>283</v>
      </c>
      <c r="C30" t="s">
        <v>34</v>
      </c>
      <c r="D30">
        <v>8</v>
      </c>
      <c r="E30">
        <v>352</v>
      </c>
      <c r="F30">
        <v>201</v>
      </c>
    </row>
    <row r="31" spans="1:15" x14ac:dyDescent="0.25">
      <c r="A31">
        <v>2016</v>
      </c>
      <c r="B31" t="s">
        <v>283</v>
      </c>
      <c r="C31" t="s">
        <v>34</v>
      </c>
      <c r="D31">
        <v>8</v>
      </c>
      <c r="E31">
        <v>400</v>
      </c>
      <c r="F31">
        <v>275</v>
      </c>
    </row>
    <row r="32" spans="1:15" x14ac:dyDescent="0.25">
      <c r="A32">
        <v>2016</v>
      </c>
      <c r="B32" t="s">
        <v>26</v>
      </c>
      <c r="C32" t="s">
        <v>34</v>
      </c>
      <c r="D32">
        <v>9</v>
      </c>
      <c r="E32">
        <v>333</v>
      </c>
      <c r="F32">
        <v>320</v>
      </c>
    </row>
    <row r="33" spans="1:6" x14ac:dyDescent="0.25">
      <c r="A33">
        <v>2016</v>
      </c>
      <c r="B33" t="s">
        <v>26</v>
      </c>
      <c r="C33" t="s">
        <v>34</v>
      </c>
      <c r="D33">
        <v>10</v>
      </c>
      <c r="E33">
        <v>380</v>
      </c>
      <c r="F33">
        <v>320</v>
      </c>
    </row>
    <row r="34" spans="1:6" x14ac:dyDescent="0.25">
      <c r="A34">
        <v>2016</v>
      </c>
      <c r="B34" t="s">
        <v>404</v>
      </c>
      <c r="C34" t="s">
        <v>34</v>
      </c>
      <c r="D34">
        <v>7</v>
      </c>
      <c r="E34">
        <v>280</v>
      </c>
      <c r="F34">
        <v>290</v>
      </c>
    </row>
    <row r="35" spans="1:6" x14ac:dyDescent="0.25">
      <c r="A35">
        <v>2016</v>
      </c>
      <c r="B35" t="s">
        <v>404</v>
      </c>
      <c r="C35" t="s">
        <v>34</v>
      </c>
      <c r="D35">
        <v>10</v>
      </c>
      <c r="E35">
        <v>320</v>
      </c>
      <c r="F35">
        <v>330</v>
      </c>
    </row>
    <row r="36" spans="1:6" x14ac:dyDescent="0.25">
      <c r="A36">
        <v>2016</v>
      </c>
      <c r="B36" t="s">
        <v>280</v>
      </c>
      <c r="C36" t="s">
        <v>35</v>
      </c>
      <c r="D36">
        <v>8</v>
      </c>
      <c r="E36">
        <v>280</v>
      </c>
      <c r="F36">
        <v>422</v>
      </c>
    </row>
    <row r="37" spans="1:6" x14ac:dyDescent="0.25">
      <c r="A37">
        <v>2016</v>
      </c>
      <c r="B37" t="s">
        <v>280</v>
      </c>
      <c r="C37" t="s">
        <v>35</v>
      </c>
      <c r="D37">
        <v>10</v>
      </c>
      <c r="E37">
        <v>350</v>
      </c>
      <c r="F37">
        <v>340</v>
      </c>
    </row>
    <row r="38" spans="1:6" x14ac:dyDescent="0.25">
      <c r="A38">
        <v>2016</v>
      </c>
      <c r="B38" t="s">
        <v>280</v>
      </c>
      <c r="C38" t="s">
        <v>35</v>
      </c>
      <c r="D38">
        <v>3</v>
      </c>
      <c r="E38">
        <v>102</v>
      </c>
      <c r="F38">
        <v>302</v>
      </c>
    </row>
    <row r="39" spans="1:6" x14ac:dyDescent="0.25">
      <c r="A39">
        <v>2016</v>
      </c>
      <c r="B39" t="s">
        <v>280</v>
      </c>
      <c r="C39" t="s">
        <v>35</v>
      </c>
      <c r="D39">
        <v>8</v>
      </c>
      <c r="E39">
        <v>339</v>
      </c>
      <c r="F39">
        <v>302</v>
      </c>
    </row>
    <row r="40" spans="1:6" x14ac:dyDescent="0.25">
      <c r="A40">
        <v>2016</v>
      </c>
      <c r="B40" t="s">
        <v>280</v>
      </c>
      <c r="C40" t="s">
        <v>35</v>
      </c>
      <c r="D40">
        <v>11</v>
      </c>
      <c r="E40">
        <v>372</v>
      </c>
      <c r="F40">
        <v>429</v>
      </c>
    </row>
    <row r="41" spans="1:6" x14ac:dyDescent="0.25">
      <c r="A41">
        <v>2016</v>
      </c>
      <c r="B41" t="s">
        <v>281</v>
      </c>
      <c r="C41" t="s">
        <v>35</v>
      </c>
      <c r="D41">
        <v>10</v>
      </c>
      <c r="E41">
        <v>336</v>
      </c>
      <c r="F41">
        <v>322</v>
      </c>
    </row>
    <row r="42" spans="1:6" x14ac:dyDescent="0.25">
      <c r="A42">
        <v>2016</v>
      </c>
      <c r="B42" t="s">
        <v>281</v>
      </c>
      <c r="C42" t="s">
        <v>35</v>
      </c>
      <c r="D42">
        <v>9</v>
      </c>
      <c r="E42">
        <v>179</v>
      </c>
      <c r="F42">
        <v>219</v>
      </c>
    </row>
    <row r="43" spans="1:6" x14ac:dyDescent="0.25">
      <c r="A43">
        <v>2016</v>
      </c>
      <c r="B43" t="s">
        <v>281</v>
      </c>
      <c r="C43" t="s">
        <v>35</v>
      </c>
      <c r="D43">
        <v>11</v>
      </c>
      <c r="E43">
        <v>168</v>
      </c>
      <c r="F43">
        <v>304</v>
      </c>
    </row>
    <row r="44" spans="1:6" x14ac:dyDescent="0.25">
      <c r="A44">
        <v>2016</v>
      </c>
      <c r="B44" t="s">
        <v>282</v>
      </c>
      <c r="C44" t="s">
        <v>35</v>
      </c>
      <c r="D44">
        <v>8</v>
      </c>
      <c r="E44">
        <v>368</v>
      </c>
      <c r="F44">
        <v>402</v>
      </c>
    </row>
    <row r="45" spans="1:6" x14ac:dyDescent="0.25">
      <c r="A45">
        <v>2016</v>
      </c>
      <c r="B45" t="s">
        <v>282</v>
      </c>
      <c r="C45" t="s">
        <v>35</v>
      </c>
      <c r="D45">
        <v>7</v>
      </c>
      <c r="E45">
        <v>164</v>
      </c>
      <c r="F45">
        <v>289</v>
      </c>
    </row>
    <row r="46" spans="1:6" x14ac:dyDescent="0.25">
      <c r="A46">
        <v>2016</v>
      </c>
      <c r="B46" t="s">
        <v>282</v>
      </c>
      <c r="C46" t="s">
        <v>35</v>
      </c>
      <c r="D46">
        <v>8</v>
      </c>
      <c r="E46">
        <v>292</v>
      </c>
      <c r="F46">
        <v>247</v>
      </c>
    </row>
    <row r="47" spans="1:6" x14ac:dyDescent="0.25">
      <c r="A47">
        <v>2016</v>
      </c>
      <c r="B47" t="s">
        <v>283</v>
      </c>
      <c r="C47" t="s">
        <v>35</v>
      </c>
      <c r="D47">
        <v>7</v>
      </c>
      <c r="E47">
        <v>356</v>
      </c>
      <c r="F47">
        <v>449</v>
      </c>
    </row>
    <row r="48" spans="1:6" x14ac:dyDescent="0.25">
      <c r="A48">
        <v>2016</v>
      </c>
      <c r="B48" t="s">
        <v>26</v>
      </c>
      <c r="C48" t="s">
        <v>35</v>
      </c>
      <c r="D48">
        <v>8</v>
      </c>
      <c r="E48">
        <v>180</v>
      </c>
      <c r="F48">
        <v>200</v>
      </c>
    </row>
    <row r="49" spans="1:6" x14ac:dyDescent="0.25">
      <c r="A49">
        <v>2016</v>
      </c>
      <c r="B49" t="s">
        <v>26</v>
      </c>
      <c r="C49" t="s">
        <v>35</v>
      </c>
      <c r="D49">
        <v>7</v>
      </c>
      <c r="E49">
        <v>160</v>
      </c>
      <c r="F49">
        <v>190</v>
      </c>
    </row>
    <row r="50" spans="1:6" x14ac:dyDescent="0.25">
      <c r="A50">
        <v>2016</v>
      </c>
      <c r="B50" t="s">
        <v>404</v>
      </c>
      <c r="C50" t="s">
        <v>35</v>
      </c>
      <c r="D50">
        <v>8</v>
      </c>
      <c r="E50">
        <v>280</v>
      </c>
      <c r="F50">
        <v>240</v>
      </c>
    </row>
    <row r="51" spans="1:6" x14ac:dyDescent="0.25">
      <c r="A51">
        <v>2016</v>
      </c>
      <c r="B51" t="s">
        <v>404</v>
      </c>
      <c r="C51" t="s">
        <v>35</v>
      </c>
      <c r="D51">
        <v>10</v>
      </c>
      <c r="E51">
        <v>320</v>
      </c>
      <c r="F51">
        <v>310</v>
      </c>
    </row>
    <row r="52" spans="1:6" x14ac:dyDescent="0.25">
      <c r="A52">
        <v>2016</v>
      </c>
      <c r="B52" t="s">
        <v>280</v>
      </c>
      <c r="C52" t="s">
        <v>36</v>
      </c>
      <c r="D52">
        <v>6</v>
      </c>
      <c r="E52">
        <v>202</v>
      </c>
      <c r="F52">
        <v>233</v>
      </c>
    </row>
    <row r="53" spans="1:6" x14ac:dyDescent="0.25">
      <c r="A53">
        <v>2016</v>
      </c>
      <c r="B53" t="s">
        <v>280</v>
      </c>
      <c r="C53" t="s">
        <v>36</v>
      </c>
      <c r="D53">
        <v>9</v>
      </c>
      <c r="E53">
        <v>305</v>
      </c>
      <c r="F53">
        <v>254</v>
      </c>
    </row>
    <row r="54" spans="1:6" x14ac:dyDescent="0.25">
      <c r="A54">
        <v>2016</v>
      </c>
      <c r="B54" t="s">
        <v>281</v>
      </c>
      <c r="C54" t="s">
        <v>36</v>
      </c>
      <c r="D54">
        <v>9</v>
      </c>
      <c r="E54">
        <v>346</v>
      </c>
      <c r="F54">
        <v>316</v>
      </c>
    </row>
    <row r="55" spans="1:6" x14ac:dyDescent="0.25">
      <c r="A55">
        <v>2016</v>
      </c>
      <c r="B55" t="s">
        <v>281</v>
      </c>
      <c r="C55" t="s">
        <v>36</v>
      </c>
      <c r="D55">
        <v>8</v>
      </c>
      <c r="E55">
        <v>344</v>
      </c>
      <c r="F55">
        <v>235</v>
      </c>
    </row>
    <row r="56" spans="1:6" x14ac:dyDescent="0.25">
      <c r="A56">
        <v>2016</v>
      </c>
      <c r="B56" t="s">
        <v>281</v>
      </c>
      <c r="C56" t="s">
        <v>36</v>
      </c>
      <c r="D56">
        <v>11</v>
      </c>
      <c r="E56">
        <v>218</v>
      </c>
      <c r="F56">
        <v>370</v>
      </c>
    </row>
    <row r="57" spans="1:6" x14ac:dyDescent="0.25">
      <c r="A57">
        <v>2016</v>
      </c>
      <c r="B57" t="s">
        <v>282</v>
      </c>
      <c r="C57" t="s">
        <v>36</v>
      </c>
      <c r="D57">
        <v>5</v>
      </c>
      <c r="E57">
        <v>292</v>
      </c>
      <c r="F57">
        <v>348</v>
      </c>
    </row>
    <row r="58" spans="1:6" x14ac:dyDescent="0.25">
      <c r="A58">
        <v>2016</v>
      </c>
      <c r="B58" t="s">
        <v>282</v>
      </c>
      <c r="C58" t="s">
        <v>36</v>
      </c>
      <c r="D58">
        <v>6</v>
      </c>
      <c r="E58">
        <v>250</v>
      </c>
      <c r="F58">
        <v>406</v>
      </c>
    </row>
    <row r="59" spans="1:6" x14ac:dyDescent="0.25">
      <c r="A59">
        <v>2016</v>
      </c>
      <c r="B59" t="s">
        <v>282</v>
      </c>
      <c r="C59" t="s">
        <v>36</v>
      </c>
      <c r="D59">
        <v>8</v>
      </c>
      <c r="E59">
        <v>242</v>
      </c>
      <c r="F59">
        <v>209</v>
      </c>
    </row>
    <row r="60" spans="1:6" x14ac:dyDescent="0.25">
      <c r="A60">
        <v>2016</v>
      </c>
      <c r="B60" t="s">
        <v>282</v>
      </c>
      <c r="C60" t="s">
        <v>36</v>
      </c>
      <c r="D60">
        <v>8</v>
      </c>
      <c r="E60">
        <v>182</v>
      </c>
      <c r="F60">
        <v>409</v>
      </c>
    </row>
    <row r="61" spans="1:6" x14ac:dyDescent="0.25">
      <c r="A61">
        <v>2016</v>
      </c>
      <c r="B61" t="s">
        <v>282</v>
      </c>
      <c r="C61" t="s">
        <v>36</v>
      </c>
      <c r="D61">
        <v>9</v>
      </c>
      <c r="E61">
        <v>278</v>
      </c>
      <c r="F61">
        <v>200</v>
      </c>
    </row>
    <row r="62" spans="1:6" x14ac:dyDescent="0.25">
      <c r="A62">
        <v>2016</v>
      </c>
      <c r="B62" t="s">
        <v>282</v>
      </c>
      <c r="C62" t="s">
        <v>36</v>
      </c>
      <c r="D62">
        <v>7</v>
      </c>
      <c r="E62">
        <v>294</v>
      </c>
      <c r="F62">
        <v>212</v>
      </c>
    </row>
    <row r="63" spans="1:6" x14ac:dyDescent="0.25">
      <c r="A63">
        <v>2016</v>
      </c>
      <c r="B63" t="s">
        <v>282</v>
      </c>
      <c r="C63" t="s">
        <v>36</v>
      </c>
      <c r="D63">
        <v>3</v>
      </c>
      <c r="E63">
        <v>229</v>
      </c>
      <c r="F63">
        <v>247</v>
      </c>
    </row>
    <row r="64" spans="1:6" x14ac:dyDescent="0.25">
      <c r="A64">
        <v>2016</v>
      </c>
      <c r="B64" t="s">
        <v>283</v>
      </c>
      <c r="C64" t="s">
        <v>36</v>
      </c>
      <c r="D64">
        <v>8</v>
      </c>
      <c r="E64">
        <v>324</v>
      </c>
      <c r="F64">
        <v>444</v>
      </c>
    </row>
    <row r="65" spans="1:9" x14ac:dyDescent="0.25">
      <c r="A65">
        <v>2016</v>
      </c>
      <c r="B65" t="s">
        <v>283</v>
      </c>
      <c r="C65" t="s">
        <v>36</v>
      </c>
      <c r="D65">
        <v>10</v>
      </c>
      <c r="E65">
        <v>243</v>
      </c>
      <c r="F65">
        <v>414</v>
      </c>
    </row>
    <row r="66" spans="1:9" x14ac:dyDescent="0.25">
      <c r="A66">
        <v>2016</v>
      </c>
      <c r="B66" t="s">
        <v>26</v>
      </c>
      <c r="C66" t="s">
        <v>36</v>
      </c>
      <c r="D66">
        <v>9</v>
      </c>
      <c r="E66">
        <v>320</v>
      </c>
      <c r="F66">
        <v>400</v>
      </c>
    </row>
    <row r="67" spans="1:9" x14ac:dyDescent="0.25">
      <c r="A67">
        <v>2016</v>
      </c>
      <c r="B67" t="s">
        <v>26</v>
      </c>
      <c r="C67" t="s">
        <v>36</v>
      </c>
      <c r="D67">
        <v>7</v>
      </c>
      <c r="E67">
        <v>190</v>
      </c>
      <c r="F67">
        <v>170</v>
      </c>
    </row>
    <row r="68" spans="1:9" x14ac:dyDescent="0.25">
      <c r="A68">
        <v>2016</v>
      </c>
      <c r="B68" t="s">
        <v>404</v>
      </c>
      <c r="C68" t="s">
        <v>36</v>
      </c>
      <c r="D68">
        <v>5</v>
      </c>
      <c r="E68">
        <v>280</v>
      </c>
      <c r="F68">
        <v>230</v>
      </c>
    </row>
    <row r="69" spans="1:9" x14ac:dyDescent="0.25">
      <c r="A69">
        <v>2016</v>
      </c>
      <c r="B69" t="s">
        <v>404</v>
      </c>
      <c r="C69" t="s">
        <v>36</v>
      </c>
      <c r="D69">
        <v>8</v>
      </c>
      <c r="E69">
        <v>320</v>
      </c>
      <c r="F69">
        <v>350</v>
      </c>
    </row>
    <row r="74" spans="1:9" ht="30" x14ac:dyDescent="0.25">
      <c r="A74" s="9" t="s">
        <v>286</v>
      </c>
      <c r="B74" s="9" t="s">
        <v>40</v>
      </c>
      <c r="C74" s="9" t="s">
        <v>41</v>
      </c>
      <c r="D74" s="9" t="s">
        <v>284</v>
      </c>
      <c r="E74" s="9" t="s">
        <v>473</v>
      </c>
      <c r="H74" s="83" t="s">
        <v>462</v>
      </c>
      <c r="I74" t="s">
        <v>403</v>
      </c>
    </row>
    <row r="75" spans="1:9" x14ac:dyDescent="0.25">
      <c r="A75" s="85">
        <v>42005</v>
      </c>
      <c r="B75" t="s">
        <v>33</v>
      </c>
      <c r="C75">
        <v>5</v>
      </c>
      <c r="D75">
        <v>200</v>
      </c>
      <c r="E75">
        <v>296</v>
      </c>
    </row>
    <row r="76" spans="1:9" x14ac:dyDescent="0.25">
      <c r="A76" s="85">
        <v>42370</v>
      </c>
      <c r="B76" t="s">
        <v>33</v>
      </c>
      <c r="C76">
        <v>6</v>
      </c>
      <c r="D76">
        <v>300</v>
      </c>
      <c r="E76">
        <v>329</v>
      </c>
      <c r="H76" s="83" t="s">
        <v>285</v>
      </c>
      <c r="I76" t="s">
        <v>461</v>
      </c>
    </row>
    <row r="77" spans="1:9" x14ac:dyDescent="0.25">
      <c r="A77" s="85">
        <v>42370</v>
      </c>
      <c r="B77" t="s">
        <v>33</v>
      </c>
      <c r="C77">
        <v>1</v>
      </c>
      <c r="D77">
        <v>50</v>
      </c>
      <c r="E77">
        <v>286</v>
      </c>
      <c r="H77" s="139" t="s">
        <v>22</v>
      </c>
      <c r="I77" s="39">
        <v>1414</v>
      </c>
    </row>
    <row r="78" spans="1:9" x14ac:dyDescent="0.25">
      <c r="A78" s="85">
        <v>42036</v>
      </c>
      <c r="B78" t="s">
        <v>33</v>
      </c>
      <c r="C78">
        <v>9</v>
      </c>
      <c r="D78">
        <v>350</v>
      </c>
      <c r="E78">
        <v>448</v>
      </c>
      <c r="H78" s="139" t="s">
        <v>23</v>
      </c>
      <c r="I78" s="39">
        <v>1264</v>
      </c>
    </row>
    <row r="79" spans="1:9" x14ac:dyDescent="0.25">
      <c r="A79" s="85">
        <v>42036</v>
      </c>
      <c r="B79" t="s">
        <v>33</v>
      </c>
      <c r="C79">
        <v>2</v>
      </c>
      <c r="D79">
        <v>90</v>
      </c>
      <c r="E79">
        <v>363</v>
      </c>
      <c r="H79" s="139" t="s">
        <v>475</v>
      </c>
      <c r="I79" s="39">
        <v>1754</v>
      </c>
    </row>
    <row r="80" spans="1:9" x14ac:dyDescent="0.25">
      <c r="A80" s="85">
        <v>42401</v>
      </c>
      <c r="B80" t="s">
        <v>33</v>
      </c>
      <c r="C80">
        <v>3</v>
      </c>
      <c r="D80">
        <v>200</v>
      </c>
      <c r="E80">
        <v>214</v>
      </c>
      <c r="H80" s="139" t="s">
        <v>25</v>
      </c>
      <c r="I80" s="39">
        <v>1407</v>
      </c>
    </row>
    <row r="81" spans="1:9" x14ac:dyDescent="0.25">
      <c r="A81" s="85">
        <v>42401</v>
      </c>
      <c r="B81" t="s">
        <v>33</v>
      </c>
      <c r="C81">
        <v>4</v>
      </c>
      <c r="D81">
        <v>350</v>
      </c>
      <c r="E81">
        <v>447</v>
      </c>
      <c r="H81" s="139" t="s">
        <v>402</v>
      </c>
      <c r="I81" s="39">
        <v>5839</v>
      </c>
    </row>
    <row r="82" spans="1:9" x14ac:dyDescent="0.25">
      <c r="A82" s="85">
        <v>42401</v>
      </c>
      <c r="B82" t="s">
        <v>33</v>
      </c>
      <c r="C82">
        <v>9</v>
      </c>
      <c r="D82">
        <v>333</v>
      </c>
      <c r="E82">
        <v>318</v>
      </c>
    </row>
    <row r="83" spans="1:9" x14ac:dyDescent="0.25">
      <c r="A83" s="85">
        <v>42064</v>
      </c>
      <c r="B83" t="s">
        <v>33</v>
      </c>
      <c r="C83">
        <v>10</v>
      </c>
      <c r="D83">
        <v>410</v>
      </c>
      <c r="E83">
        <v>300</v>
      </c>
    </row>
    <row r="84" spans="1:9" x14ac:dyDescent="0.25">
      <c r="A84" s="85">
        <v>42430</v>
      </c>
      <c r="B84" t="s">
        <v>33</v>
      </c>
      <c r="C84">
        <v>7</v>
      </c>
      <c r="D84">
        <v>280</v>
      </c>
      <c r="E84">
        <v>284</v>
      </c>
    </row>
    <row r="85" spans="1:9" x14ac:dyDescent="0.25">
      <c r="A85" s="85">
        <v>42430</v>
      </c>
      <c r="B85" t="s">
        <v>33</v>
      </c>
      <c r="C85">
        <v>10</v>
      </c>
      <c r="D85">
        <v>320</v>
      </c>
      <c r="E85">
        <v>347</v>
      </c>
    </row>
    <row r="86" spans="1:9" x14ac:dyDescent="0.25">
      <c r="A86" s="85">
        <v>42095</v>
      </c>
      <c r="B86" t="s">
        <v>33</v>
      </c>
      <c r="C86">
        <v>8</v>
      </c>
      <c r="D86">
        <v>272</v>
      </c>
      <c r="E86">
        <v>338</v>
      </c>
    </row>
    <row r="87" spans="1:9" x14ac:dyDescent="0.25">
      <c r="A87" s="85">
        <v>42095</v>
      </c>
      <c r="B87" t="s">
        <v>33</v>
      </c>
      <c r="C87">
        <v>10</v>
      </c>
      <c r="D87">
        <v>300</v>
      </c>
      <c r="E87">
        <v>306</v>
      </c>
    </row>
    <row r="88" spans="1:9" x14ac:dyDescent="0.25">
      <c r="A88" s="85">
        <v>42461</v>
      </c>
      <c r="B88" t="s">
        <v>33</v>
      </c>
      <c r="C88">
        <v>4</v>
      </c>
      <c r="D88">
        <v>168</v>
      </c>
      <c r="E88">
        <v>359</v>
      </c>
    </row>
    <row r="89" spans="1:9" x14ac:dyDescent="0.25">
      <c r="A89" s="85">
        <v>42005</v>
      </c>
      <c r="B89" t="s">
        <v>34</v>
      </c>
      <c r="C89">
        <v>9</v>
      </c>
      <c r="D89">
        <v>279</v>
      </c>
      <c r="E89">
        <v>406</v>
      </c>
    </row>
    <row r="90" spans="1:9" x14ac:dyDescent="0.25">
      <c r="A90" s="85">
        <v>42370</v>
      </c>
      <c r="B90" t="s">
        <v>34</v>
      </c>
      <c r="C90">
        <v>8</v>
      </c>
      <c r="D90">
        <v>320</v>
      </c>
      <c r="E90">
        <v>298</v>
      </c>
    </row>
    <row r="91" spans="1:9" x14ac:dyDescent="0.25">
      <c r="A91" s="85">
        <v>42036</v>
      </c>
      <c r="B91" t="s">
        <v>34</v>
      </c>
      <c r="C91">
        <v>3</v>
      </c>
      <c r="D91">
        <v>144</v>
      </c>
      <c r="E91">
        <v>445</v>
      </c>
    </row>
    <row r="92" spans="1:9" x14ac:dyDescent="0.25">
      <c r="A92" s="85">
        <v>42401</v>
      </c>
      <c r="B92" t="s">
        <v>34</v>
      </c>
      <c r="C92">
        <v>10</v>
      </c>
      <c r="D92">
        <v>380</v>
      </c>
      <c r="E92">
        <v>368</v>
      </c>
    </row>
    <row r="93" spans="1:9" x14ac:dyDescent="0.25">
      <c r="A93" s="85">
        <v>42064</v>
      </c>
      <c r="B93" t="s">
        <v>34</v>
      </c>
      <c r="C93">
        <v>4</v>
      </c>
      <c r="D93">
        <v>192</v>
      </c>
      <c r="E93">
        <v>258</v>
      </c>
    </row>
    <row r="94" spans="1:9" x14ac:dyDescent="0.25">
      <c r="A94" s="85">
        <v>42430</v>
      </c>
      <c r="B94" t="s">
        <v>34</v>
      </c>
      <c r="C94">
        <v>4</v>
      </c>
      <c r="D94">
        <v>160</v>
      </c>
      <c r="E94">
        <v>218</v>
      </c>
    </row>
    <row r="95" spans="1:9" x14ac:dyDescent="0.25">
      <c r="A95" s="85">
        <v>42095</v>
      </c>
      <c r="B95" t="s">
        <v>34</v>
      </c>
      <c r="C95">
        <v>5</v>
      </c>
      <c r="D95">
        <v>155</v>
      </c>
      <c r="E95">
        <v>234</v>
      </c>
    </row>
    <row r="96" spans="1:9" x14ac:dyDescent="0.25">
      <c r="A96" s="85">
        <v>42461</v>
      </c>
      <c r="B96" t="s">
        <v>34</v>
      </c>
      <c r="C96">
        <v>8</v>
      </c>
      <c r="D96">
        <v>352</v>
      </c>
      <c r="E96">
        <v>201</v>
      </c>
    </row>
    <row r="97" spans="1:5" x14ac:dyDescent="0.25">
      <c r="A97" s="85">
        <v>42461</v>
      </c>
      <c r="B97" t="s">
        <v>34</v>
      </c>
      <c r="C97">
        <v>8</v>
      </c>
      <c r="D97">
        <v>400</v>
      </c>
      <c r="E97">
        <v>275</v>
      </c>
    </row>
    <row r="98" spans="1:5" x14ac:dyDescent="0.25">
      <c r="A98" s="85">
        <v>42005</v>
      </c>
      <c r="B98" t="s">
        <v>35</v>
      </c>
      <c r="C98">
        <v>8</v>
      </c>
      <c r="D98">
        <v>280</v>
      </c>
      <c r="E98">
        <v>422</v>
      </c>
    </row>
    <row r="99" spans="1:5" x14ac:dyDescent="0.25">
      <c r="A99" s="85">
        <v>42005</v>
      </c>
      <c r="B99" t="s">
        <v>35</v>
      </c>
      <c r="C99">
        <v>10</v>
      </c>
      <c r="D99">
        <v>350</v>
      </c>
      <c r="E99">
        <v>340</v>
      </c>
    </row>
    <row r="100" spans="1:5" x14ac:dyDescent="0.25">
      <c r="A100" s="85">
        <v>42370</v>
      </c>
      <c r="B100" t="s">
        <v>35</v>
      </c>
      <c r="C100">
        <v>3</v>
      </c>
      <c r="D100">
        <v>102</v>
      </c>
      <c r="E100">
        <v>302</v>
      </c>
    </row>
    <row r="101" spans="1:5" x14ac:dyDescent="0.25">
      <c r="A101" s="85">
        <v>42370</v>
      </c>
      <c r="B101" t="s">
        <v>35</v>
      </c>
      <c r="C101">
        <v>8</v>
      </c>
      <c r="D101">
        <v>339</v>
      </c>
      <c r="E101">
        <v>302</v>
      </c>
    </row>
    <row r="102" spans="1:5" x14ac:dyDescent="0.25">
      <c r="A102" s="85">
        <v>42370</v>
      </c>
      <c r="B102" t="s">
        <v>35</v>
      </c>
      <c r="C102">
        <v>11</v>
      </c>
      <c r="D102">
        <v>372</v>
      </c>
      <c r="E102">
        <v>429</v>
      </c>
    </row>
    <row r="103" spans="1:5" x14ac:dyDescent="0.25">
      <c r="A103" s="85">
        <v>42036</v>
      </c>
      <c r="B103" t="s">
        <v>35</v>
      </c>
      <c r="C103">
        <v>10</v>
      </c>
      <c r="D103">
        <v>336</v>
      </c>
      <c r="E103">
        <v>322</v>
      </c>
    </row>
    <row r="104" spans="1:5" x14ac:dyDescent="0.25">
      <c r="A104" s="85">
        <v>42401</v>
      </c>
      <c r="B104" t="s">
        <v>35</v>
      </c>
      <c r="C104">
        <v>9</v>
      </c>
      <c r="D104">
        <v>179</v>
      </c>
      <c r="E104">
        <v>219</v>
      </c>
    </row>
    <row r="105" spans="1:5" x14ac:dyDescent="0.25">
      <c r="A105" s="85">
        <v>42401</v>
      </c>
      <c r="B105" t="s">
        <v>35</v>
      </c>
      <c r="C105">
        <v>11</v>
      </c>
      <c r="D105">
        <v>168</v>
      </c>
      <c r="E105">
        <v>304</v>
      </c>
    </row>
    <row r="106" spans="1:5" x14ac:dyDescent="0.25">
      <c r="A106" s="85">
        <v>42064</v>
      </c>
      <c r="B106" t="s">
        <v>35</v>
      </c>
      <c r="C106">
        <v>8</v>
      </c>
      <c r="D106">
        <v>368</v>
      </c>
      <c r="E106">
        <v>402</v>
      </c>
    </row>
    <row r="107" spans="1:5" x14ac:dyDescent="0.25">
      <c r="A107" s="85">
        <v>42430</v>
      </c>
      <c r="B107" t="s">
        <v>35</v>
      </c>
      <c r="C107">
        <v>7</v>
      </c>
      <c r="D107">
        <v>164</v>
      </c>
      <c r="E107">
        <v>289</v>
      </c>
    </row>
    <row r="108" spans="1:5" x14ac:dyDescent="0.25">
      <c r="A108" s="85">
        <v>42430</v>
      </c>
      <c r="B108" t="s">
        <v>35</v>
      </c>
      <c r="C108">
        <v>8</v>
      </c>
      <c r="D108">
        <v>292</v>
      </c>
      <c r="E108">
        <v>247</v>
      </c>
    </row>
    <row r="109" spans="1:5" x14ac:dyDescent="0.25">
      <c r="A109" s="85">
        <v>42095</v>
      </c>
      <c r="B109" t="s">
        <v>35</v>
      </c>
      <c r="C109">
        <v>7</v>
      </c>
      <c r="D109">
        <v>356</v>
      </c>
      <c r="E109">
        <v>449</v>
      </c>
    </row>
    <row r="110" spans="1:5" x14ac:dyDescent="0.25">
      <c r="A110" s="85">
        <v>42461</v>
      </c>
      <c r="B110" t="s">
        <v>36</v>
      </c>
      <c r="C110">
        <v>6</v>
      </c>
      <c r="D110">
        <v>202</v>
      </c>
      <c r="E110">
        <v>233</v>
      </c>
    </row>
    <row r="111" spans="1:5" x14ac:dyDescent="0.25">
      <c r="A111" s="85">
        <v>42005</v>
      </c>
      <c r="B111" t="s">
        <v>36</v>
      </c>
      <c r="C111">
        <v>9</v>
      </c>
      <c r="D111">
        <v>305</v>
      </c>
      <c r="E111">
        <v>254</v>
      </c>
    </row>
    <row r="112" spans="1:5" x14ac:dyDescent="0.25">
      <c r="A112" s="85">
        <v>42370</v>
      </c>
      <c r="B112" t="s">
        <v>36</v>
      </c>
      <c r="C112">
        <v>9</v>
      </c>
      <c r="D112">
        <v>346</v>
      </c>
      <c r="E112">
        <v>316</v>
      </c>
    </row>
    <row r="113" spans="1:6" x14ac:dyDescent="0.25">
      <c r="A113" s="85">
        <v>42036</v>
      </c>
      <c r="B113" t="s">
        <v>36</v>
      </c>
      <c r="C113">
        <v>8</v>
      </c>
      <c r="D113">
        <v>344</v>
      </c>
      <c r="E113">
        <v>235</v>
      </c>
    </row>
    <row r="114" spans="1:6" x14ac:dyDescent="0.25">
      <c r="A114" s="85">
        <v>42401</v>
      </c>
      <c r="B114" t="s">
        <v>36</v>
      </c>
      <c r="C114">
        <v>11</v>
      </c>
      <c r="D114">
        <v>218</v>
      </c>
      <c r="E114">
        <v>370</v>
      </c>
    </row>
    <row r="115" spans="1:6" x14ac:dyDescent="0.25">
      <c r="A115" s="85">
        <v>42064</v>
      </c>
      <c r="B115" t="s">
        <v>36</v>
      </c>
      <c r="C115">
        <v>5</v>
      </c>
      <c r="D115">
        <v>292</v>
      </c>
      <c r="E115">
        <v>348</v>
      </c>
    </row>
    <row r="116" spans="1:6" x14ac:dyDescent="0.25">
      <c r="A116" s="85">
        <v>42064</v>
      </c>
      <c r="B116" t="s">
        <v>36</v>
      </c>
      <c r="C116">
        <v>6</v>
      </c>
      <c r="D116">
        <v>250</v>
      </c>
      <c r="E116">
        <v>406</v>
      </c>
    </row>
    <row r="117" spans="1:6" x14ac:dyDescent="0.25">
      <c r="A117" s="85">
        <v>42064</v>
      </c>
      <c r="B117" t="s">
        <v>36</v>
      </c>
      <c r="C117">
        <v>8</v>
      </c>
      <c r="D117">
        <v>242</v>
      </c>
      <c r="E117">
        <v>209</v>
      </c>
    </row>
    <row r="118" spans="1:6" x14ac:dyDescent="0.25">
      <c r="A118" s="85">
        <v>42430</v>
      </c>
      <c r="B118" t="s">
        <v>36</v>
      </c>
      <c r="C118">
        <v>8</v>
      </c>
      <c r="D118">
        <v>182</v>
      </c>
      <c r="E118">
        <v>409</v>
      </c>
    </row>
    <row r="119" spans="1:6" x14ac:dyDescent="0.25">
      <c r="A119" s="85">
        <v>42430</v>
      </c>
      <c r="B119" t="s">
        <v>36</v>
      </c>
      <c r="C119">
        <v>9</v>
      </c>
      <c r="D119">
        <v>278</v>
      </c>
      <c r="E119">
        <v>200</v>
      </c>
    </row>
    <row r="120" spans="1:6" x14ac:dyDescent="0.25">
      <c r="A120" s="85">
        <v>42430</v>
      </c>
      <c r="B120" t="s">
        <v>36</v>
      </c>
      <c r="C120">
        <v>7</v>
      </c>
      <c r="D120">
        <v>294</v>
      </c>
      <c r="E120">
        <v>212</v>
      </c>
    </row>
    <row r="121" spans="1:6" x14ac:dyDescent="0.25">
      <c r="A121" s="85">
        <v>42430</v>
      </c>
      <c r="B121" t="s">
        <v>36</v>
      </c>
      <c r="C121">
        <v>3</v>
      </c>
      <c r="D121">
        <v>229</v>
      </c>
      <c r="E121">
        <v>247</v>
      </c>
    </row>
    <row r="122" spans="1:6" x14ac:dyDescent="0.25">
      <c r="A122" s="85">
        <v>42095</v>
      </c>
      <c r="B122" t="s">
        <v>36</v>
      </c>
      <c r="C122">
        <v>8</v>
      </c>
      <c r="D122">
        <v>324</v>
      </c>
      <c r="E122">
        <v>444</v>
      </c>
    </row>
    <row r="123" spans="1:6" x14ac:dyDescent="0.25">
      <c r="A123" s="85">
        <v>42461</v>
      </c>
      <c r="B123" t="s">
        <v>36</v>
      </c>
      <c r="C123">
        <v>10</v>
      </c>
      <c r="D123">
        <v>243</v>
      </c>
      <c r="E123">
        <v>414</v>
      </c>
    </row>
    <row r="125" spans="1:6" x14ac:dyDescent="0.25">
      <c r="F125" s="7"/>
    </row>
    <row r="127" spans="1:6" ht="17.25" x14ac:dyDescent="0.3">
      <c r="A127" s="1" t="s">
        <v>460</v>
      </c>
      <c r="B127" s="2"/>
      <c r="C127" s="2"/>
      <c r="D127" s="2"/>
      <c r="E127" s="2"/>
      <c r="F127" s="2"/>
    </row>
    <row r="129" spans="1:6" x14ac:dyDescent="0.25">
      <c r="A129" s="9" t="s">
        <v>328</v>
      </c>
      <c r="B129" s="9" t="s">
        <v>20</v>
      </c>
      <c r="C129" s="9" t="s">
        <v>170</v>
      </c>
      <c r="D129" s="9" t="s">
        <v>19</v>
      </c>
      <c r="E129" s="9" t="s">
        <v>42</v>
      </c>
      <c r="F129" s="9" t="s">
        <v>41</v>
      </c>
    </row>
    <row r="130" spans="1:6" x14ac:dyDescent="0.25">
      <c r="A130" t="s">
        <v>329</v>
      </c>
      <c r="B130" t="s">
        <v>330</v>
      </c>
      <c r="C130">
        <v>2015</v>
      </c>
      <c r="D130" t="s">
        <v>22</v>
      </c>
      <c r="E130">
        <v>520</v>
      </c>
      <c r="F130">
        <v>247</v>
      </c>
    </row>
    <row r="131" spans="1:6" x14ac:dyDescent="0.25">
      <c r="A131" t="s">
        <v>329</v>
      </c>
      <c r="B131" t="s">
        <v>330</v>
      </c>
      <c r="C131">
        <v>2015</v>
      </c>
      <c r="D131" t="s">
        <v>23</v>
      </c>
      <c r="E131">
        <v>468</v>
      </c>
      <c r="F131">
        <v>234</v>
      </c>
    </row>
    <row r="132" spans="1:6" x14ac:dyDescent="0.25">
      <c r="A132" t="s">
        <v>329</v>
      </c>
      <c r="B132" t="s">
        <v>330</v>
      </c>
      <c r="C132">
        <v>2015</v>
      </c>
      <c r="D132" t="s">
        <v>24</v>
      </c>
      <c r="E132">
        <v>520</v>
      </c>
      <c r="F132">
        <v>260</v>
      </c>
    </row>
    <row r="133" spans="1:6" x14ac:dyDescent="0.25">
      <c r="A133" t="s">
        <v>329</v>
      </c>
      <c r="B133" t="s">
        <v>330</v>
      </c>
      <c r="C133">
        <v>2015</v>
      </c>
      <c r="D133" t="s">
        <v>25</v>
      </c>
      <c r="E133">
        <v>499</v>
      </c>
      <c r="F133">
        <v>250</v>
      </c>
    </row>
    <row r="134" spans="1:6" x14ac:dyDescent="0.25">
      <c r="A134" t="s">
        <v>329</v>
      </c>
      <c r="B134" t="s">
        <v>330</v>
      </c>
      <c r="C134">
        <v>2015</v>
      </c>
      <c r="D134" t="s">
        <v>26</v>
      </c>
      <c r="E134">
        <v>408</v>
      </c>
      <c r="F134">
        <v>204</v>
      </c>
    </row>
    <row r="135" spans="1:6" x14ac:dyDescent="0.25">
      <c r="A135" t="s">
        <v>329</v>
      </c>
      <c r="B135" t="s">
        <v>330</v>
      </c>
      <c r="C135">
        <v>2015</v>
      </c>
      <c r="D135" t="s">
        <v>152</v>
      </c>
      <c r="E135">
        <v>542</v>
      </c>
      <c r="F135">
        <v>271</v>
      </c>
    </row>
    <row r="136" spans="1:6" x14ac:dyDescent="0.25">
      <c r="A136" t="s">
        <v>329</v>
      </c>
      <c r="B136" t="s">
        <v>330</v>
      </c>
      <c r="C136">
        <v>2015</v>
      </c>
      <c r="D136" t="s">
        <v>153</v>
      </c>
      <c r="E136">
        <v>410</v>
      </c>
      <c r="F136">
        <v>205</v>
      </c>
    </row>
    <row r="137" spans="1:6" x14ac:dyDescent="0.25">
      <c r="A137" t="s">
        <v>329</v>
      </c>
      <c r="B137" t="s">
        <v>330</v>
      </c>
      <c r="C137">
        <v>2015</v>
      </c>
      <c r="D137" t="s">
        <v>185</v>
      </c>
      <c r="E137">
        <v>570</v>
      </c>
      <c r="F137">
        <v>285</v>
      </c>
    </row>
    <row r="138" spans="1:6" x14ac:dyDescent="0.25">
      <c r="A138" t="s">
        <v>329</v>
      </c>
      <c r="B138" t="s">
        <v>330</v>
      </c>
      <c r="C138">
        <v>2015</v>
      </c>
      <c r="D138" t="s">
        <v>186</v>
      </c>
      <c r="E138">
        <v>412</v>
      </c>
      <c r="F138">
        <v>206</v>
      </c>
    </row>
    <row r="139" spans="1:6" x14ac:dyDescent="0.25">
      <c r="A139" t="s">
        <v>329</v>
      </c>
      <c r="B139" t="s">
        <v>330</v>
      </c>
      <c r="C139">
        <v>2015</v>
      </c>
      <c r="D139" t="s">
        <v>187</v>
      </c>
      <c r="E139">
        <v>486</v>
      </c>
      <c r="F139">
        <v>243</v>
      </c>
    </row>
    <row r="140" spans="1:6" x14ac:dyDescent="0.25">
      <c r="A140" t="s">
        <v>329</v>
      </c>
      <c r="B140" t="s">
        <v>330</v>
      </c>
      <c r="C140">
        <v>2015</v>
      </c>
      <c r="D140" t="s">
        <v>188</v>
      </c>
      <c r="E140">
        <v>512</v>
      </c>
      <c r="F140">
        <v>256</v>
      </c>
    </row>
    <row r="141" spans="1:6" x14ac:dyDescent="0.25">
      <c r="A141" t="s">
        <v>329</v>
      </c>
      <c r="B141" t="s">
        <v>330</v>
      </c>
      <c r="C141">
        <v>2015</v>
      </c>
      <c r="D141" t="s">
        <v>189</v>
      </c>
      <c r="E141">
        <v>523</v>
      </c>
      <c r="F141">
        <v>262</v>
      </c>
    </row>
    <row r="142" spans="1:6" x14ac:dyDescent="0.25">
      <c r="A142" t="s">
        <v>329</v>
      </c>
      <c r="B142" t="s">
        <v>331</v>
      </c>
      <c r="C142">
        <v>2015</v>
      </c>
      <c r="D142" t="s">
        <v>22</v>
      </c>
      <c r="E142">
        <v>675</v>
      </c>
      <c r="F142">
        <v>225</v>
      </c>
    </row>
    <row r="143" spans="1:6" x14ac:dyDescent="0.25">
      <c r="A143" t="s">
        <v>329</v>
      </c>
      <c r="B143" t="s">
        <v>331</v>
      </c>
      <c r="C143">
        <v>2015</v>
      </c>
      <c r="D143" t="s">
        <v>23</v>
      </c>
      <c r="E143">
        <v>597</v>
      </c>
      <c r="F143">
        <v>199</v>
      </c>
    </row>
    <row r="144" spans="1:6" x14ac:dyDescent="0.25">
      <c r="A144" t="s">
        <v>329</v>
      </c>
      <c r="B144" t="s">
        <v>331</v>
      </c>
      <c r="C144">
        <v>2015</v>
      </c>
      <c r="D144" t="s">
        <v>24</v>
      </c>
      <c r="E144">
        <v>625</v>
      </c>
      <c r="F144">
        <v>208</v>
      </c>
    </row>
    <row r="145" spans="1:6" x14ac:dyDescent="0.25">
      <c r="A145" t="s">
        <v>329</v>
      </c>
      <c r="B145" t="s">
        <v>331</v>
      </c>
      <c r="C145">
        <v>2015</v>
      </c>
      <c r="D145" t="s">
        <v>25</v>
      </c>
      <c r="E145">
        <v>555</v>
      </c>
      <c r="F145">
        <v>185</v>
      </c>
    </row>
    <row r="146" spans="1:6" x14ac:dyDescent="0.25">
      <c r="A146" t="s">
        <v>329</v>
      </c>
      <c r="B146" t="s">
        <v>331</v>
      </c>
      <c r="C146">
        <v>2015</v>
      </c>
      <c r="D146" t="s">
        <v>26</v>
      </c>
      <c r="E146">
        <v>543</v>
      </c>
      <c r="F146">
        <v>181</v>
      </c>
    </row>
    <row r="147" spans="1:6" x14ac:dyDescent="0.25">
      <c r="A147" t="s">
        <v>329</v>
      </c>
      <c r="B147" t="s">
        <v>331</v>
      </c>
      <c r="C147">
        <v>2015</v>
      </c>
      <c r="D147" t="s">
        <v>152</v>
      </c>
      <c r="E147">
        <v>528</v>
      </c>
      <c r="F147">
        <v>176</v>
      </c>
    </row>
    <row r="148" spans="1:6" x14ac:dyDescent="0.25">
      <c r="A148" t="s">
        <v>329</v>
      </c>
      <c r="B148" t="s">
        <v>331</v>
      </c>
      <c r="C148">
        <v>2015</v>
      </c>
      <c r="D148" t="s">
        <v>153</v>
      </c>
      <c r="E148">
        <v>687</v>
      </c>
      <c r="F148">
        <v>229</v>
      </c>
    </row>
    <row r="149" spans="1:6" x14ac:dyDescent="0.25">
      <c r="A149" t="s">
        <v>329</v>
      </c>
      <c r="B149" t="s">
        <v>331</v>
      </c>
      <c r="C149">
        <v>2015</v>
      </c>
      <c r="D149" t="s">
        <v>185</v>
      </c>
      <c r="E149">
        <v>588</v>
      </c>
      <c r="F149">
        <v>196</v>
      </c>
    </row>
    <row r="150" spans="1:6" x14ac:dyDescent="0.25">
      <c r="A150" t="s">
        <v>329</v>
      </c>
      <c r="B150" t="s">
        <v>331</v>
      </c>
      <c r="C150">
        <v>2015</v>
      </c>
      <c r="D150" t="s">
        <v>186</v>
      </c>
      <c r="E150">
        <v>576</v>
      </c>
      <c r="F150">
        <v>192</v>
      </c>
    </row>
    <row r="151" spans="1:6" x14ac:dyDescent="0.25">
      <c r="A151" t="s">
        <v>329</v>
      </c>
      <c r="B151" t="s">
        <v>331</v>
      </c>
      <c r="C151">
        <v>2015</v>
      </c>
      <c r="D151" t="s">
        <v>187</v>
      </c>
      <c r="E151">
        <v>530</v>
      </c>
      <c r="F151">
        <v>177</v>
      </c>
    </row>
    <row r="152" spans="1:6" x14ac:dyDescent="0.25">
      <c r="A152" t="s">
        <v>329</v>
      </c>
      <c r="B152" t="s">
        <v>331</v>
      </c>
      <c r="C152">
        <v>2015</v>
      </c>
      <c r="D152" t="s">
        <v>188</v>
      </c>
      <c r="E152">
        <v>578</v>
      </c>
      <c r="F152">
        <v>193</v>
      </c>
    </row>
    <row r="153" spans="1:6" x14ac:dyDescent="0.25">
      <c r="A153" t="s">
        <v>329</v>
      </c>
      <c r="B153" t="s">
        <v>331</v>
      </c>
      <c r="C153">
        <v>2015</v>
      </c>
      <c r="D153" t="s">
        <v>189</v>
      </c>
      <c r="E153">
        <v>532</v>
      </c>
      <c r="F153">
        <v>177</v>
      </c>
    </row>
    <row r="154" spans="1:6" x14ac:dyDescent="0.25">
      <c r="A154" t="s">
        <v>329</v>
      </c>
      <c r="B154" t="s">
        <v>332</v>
      </c>
      <c r="C154">
        <v>2015</v>
      </c>
      <c r="D154" t="s">
        <v>22</v>
      </c>
      <c r="E154">
        <v>694</v>
      </c>
      <c r="F154">
        <v>204</v>
      </c>
    </row>
    <row r="155" spans="1:6" x14ac:dyDescent="0.25">
      <c r="A155" t="s">
        <v>329</v>
      </c>
      <c r="B155" t="s">
        <v>332</v>
      </c>
      <c r="C155">
        <v>2015</v>
      </c>
      <c r="D155" t="s">
        <v>23</v>
      </c>
      <c r="E155">
        <v>687</v>
      </c>
      <c r="F155">
        <v>202</v>
      </c>
    </row>
    <row r="156" spans="1:6" x14ac:dyDescent="0.25">
      <c r="A156" t="s">
        <v>329</v>
      </c>
      <c r="B156" t="s">
        <v>332</v>
      </c>
      <c r="C156">
        <v>2015</v>
      </c>
      <c r="D156" t="s">
        <v>24</v>
      </c>
      <c r="E156">
        <v>500</v>
      </c>
      <c r="F156">
        <v>147</v>
      </c>
    </row>
    <row r="157" spans="1:6" x14ac:dyDescent="0.25">
      <c r="A157" t="s">
        <v>329</v>
      </c>
      <c r="B157" t="s">
        <v>332</v>
      </c>
      <c r="C157">
        <v>2015</v>
      </c>
      <c r="D157" t="s">
        <v>25</v>
      </c>
      <c r="E157">
        <v>534</v>
      </c>
      <c r="F157">
        <v>157</v>
      </c>
    </row>
    <row r="158" spans="1:6" x14ac:dyDescent="0.25">
      <c r="A158" t="s">
        <v>329</v>
      </c>
      <c r="B158" t="s">
        <v>332</v>
      </c>
      <c r="C158">
        <v>2015</v>
      </c>
      <c r="D158" t="s">
        <v>26</v>
      </c>
      <c r="E158">
        <v>615</v>
      </c>
      <c r="F158">
        <v>181</v>
      </c>
    </row>
    <row r="159" spans="1:6" x14ac:dyDescent="0.25">
      <c r="A159" t="s">
        <v>329</v>
      </c>
      <c r="B159" t="s">
        <v>332</v>
      </c>
      <c r="C159">
        <v>2015</v>
      </c>
      <c r="D159" t="s">
        <v>152</v>
      </c>
      <c r="E159">
        <v>555</v>
      </c>
      <c r="F159">
        <v>163</v>
      </c>
    </row>
    <row r="160" spans="1:6" x14ac:dyDescent="0.25">
      <c r="A160" t="s">
        <v>329</v>
      </c>
      <c r="B160" t="s">
        <v>332</v>
      </c>
      <c r="C160">
        <v>2015</v>
      </c>
      <c r="D160" t="s">
        <v>153</v>
      </c>
      <c r="E160">
        <v>535</v>
      </c>
      <c r="F160">
        <v>157</v>
      </c>
    </row>
    <row r="161" spans="1:6" x14ac:dyDescent="0.25">
      <c r="A161" t="s">
        <v>329</v>
      </c>
      <c r="B161" t="s">
        <v>332</v>
      </c>
      <c r="C161">
        <v>2015</v>
      </c>
      <c r="D161" t="s">
        <v>185</v>
      </c>
      <c r="E161">
        <v>636</v>
      </c>
      <c r="F161">
        <v>187</v>
      </c>
    </row>
    <row r="162" spans="1:6" x14ac:dyDescent="0.25">
      <c r="A162" t="s">
        <v>329</v>
      </c>
      <c r="B162" t="s">
        <v>332</v>
      </c>
      <c r="C162">
        <v>2015</v>
      </c>
      <c r="D162" t="s">
        <v>186</v>
      </c>
      <c r="E162">
        <v>694</v>
      </c>
      <c r="F162">
        <v>204</v>
      </c>
    </row>
    <row r="163" spans="1:6" x14ac:dyDescent="0.25">
      <c r="A163" t="s">
        <v>329</v>
      </c>
      <c r="B163" t="s">
        <v>332</v>
      </c>
      <c r="C163">
        <v>2015</v>
      </c>
      <c r="D163" t="s">
        <v>187</v>
      </c>
      <c r="E163">
        <v>540</v>
      </c>
      <c r="F163">
        <v>159</v>
      </c>
    </row>
    <row r="164" spans="1:6" x14ac:dyDescent="0.25">
      <c r="A164" t="s">
        <v>329</v>
      </c>
      <c r="B164" t="s">
        <v>332</v>
      </c>
      <c r="C164">
        <v>2015</v>
      </c>
      <c r="D164" t="s">
        <v>188</v>
      </c>
      <c r="E164">
        <v>606</v>
      </c>
      <c r="F164">
        <v>178</v>
      </c>
    </row>
    <row r="165" spans="1:6" x14ac:dyDescent="0.25">
      <c r="A165" t="s">
        <v>329</v>
      </c>
      <c r="B165" t="s">
        <v>332</v>
      </c>
      <c r="C165">
        <v>2015</v>
      </c>
      <c r="D165" t="s">
        <v>189</v>
      </c>
      <c r="E165">
        <v>560</v>
      </c>
      <c r="F165">
        <v>165</v>
      </c>
    </row>
    <row r="166" spans="1:6" x14ac:dyDescent="0.25">
      <c r="A166" t="s">
        <v>329</v>
      </c>
      <c r="B166" t="s">
        <v>333</v>
      </c>
      <c r="C166">
        <v>2015</v>
      </c>
      <c r="D166" t="s">
        <v>22</v>
      </c>
      <c r="E166">
        <v>185</v>
      </c>
      <c r="F166">
        <v>123</v>
      </c>
    </row>
    <row r="167" spans="1:6" x14ac:dyDescent="0.25">
      <c r="A167" t="s">
        <v>329</v>
      </c>
      <c r="B167" t="s">
        <v>333</v>
      </c>
      <c r="C167">
        <v>2015</v>
      </c>
      <c r="D167" t="s">
        <v>23</v>
      </c>
      <c r="E167">
        <v>125</v>
      </c>
      <c r="F167">
        <v>83</v>
      </c>
    </row>
    <row r="168" spans="1:6" x14ac:dyDescent="0.25">
      <c r="A168" t="s">
        <v>329</v>
      </c>
      <c r="B168" t="s">
        <v>333</v>
      </c>
      <c r="C168">
        <v>2015</v>
      </c>
      <c r="D168" t="s">
        <v>24</v>
      </c>
      <c r="E168">
        <v>194</v>
      </c>
      <c r="F168">
        <v>129</v>
      </c>
    </row>
    <row r="169" spans="1:6" x14ac:dyDescent="0.25">
      <c r="A169" t="s">
        <v>329</v>
      </c>
      <c r="B169" t="s">
        <v>333</v>
      </c>
      <c r="C169">
        <v>2015</v>
      </c>
      <c r="D169" t="s">
        <v>25</v>
      </c>
      <c r="E169">
        <v>125</v>
      </c>
      <c r="F169">
        <v>83</v>
      </c>
    </row>
    <row r="170" spans="1:6" x14ac:dyDescent="0.25">
      <c r="A170" t="s">
        <v>329</v>
      </c>
      <c r="B170" t="s">
        <v>333</v>
      </c>
      <c r="C170">
        <v>2015</v>
      </c>
      <c r="D170" t="s">
        <v>26</v>
      </c>
      <c r="E170">
        <v>129</v>
      </c>
      <c r="F170">
        <v>86</v>
      </c>
    </row>
    <row r="171" spans="1:6" x14ac:dyDescent="0.25">
      <c r="A171" t="s">
        <v>329</v>
      </c>
      <c r="B171" t="s">
        <v>333</v>
      </c>
      <c r="C171">
        <v>2015</v>
      </c>
      <c r="D171" t="s">
        <v>152</v>
      </c>
      <c r="E171">
        <v>192</v>
      </c>
      <c r="F171">
        <v>128</v>
      </c>
    </row>
    <row r="172" spans="1:6" x14ac:dyDescent="0.25">
      <c r="A172" t="s">
        <v>329</v>
      </c>
      <c r="B172" t="s">
        <v>333</v>
      </c>
      <c r="C172">
        <v>2015</v>
      </c>
      <c r="D172" t="s">
        <v>153</v>
      </c>
      <c r="E172">
        <v>109</v>
      </c>
      <c r="F172">
        <v>73</v>
      </c>
    </row>
    <row r="173" spans="1:6" x14ac:dyDescent="0.25">
      <c r="A173" t="s">
        <v>329</v>
      </c>
      <c r="B173" t="s">
        <v>333</v>
      </c>
      <c r="C173">
        <v>2015</v>
      </c>
      <c r="D173" t="s">
        <v>185</v>
      </c>
      <c r="E173">
        <v>147</v>
      </c>
      <c r="F173">
        <v>98</v>
      </c>
    </row>
    <row r="174" spans="1:6" x14ac:dyDescent="0.25">
      <c r="A174" t="s">
        <v>329</v>
      </c>
      <c r="B174" t="s">
        <v>333</v>
      </c>
      <c r="C174">
        <v>2015</v>
      </c>
      <c r="D174" t="s">
        <v>186</v>
      </c>
      <c r="E174">
        <v>112</v>
      </c>
      <c r="F174">
        <v>75</v>
      </c>
    </row>
    <row r="175" spans="1:6" x14ac:dyDescent="0.25">
      <c r="A175" t="s">
        <v>329</v>
      </c>
      <c r="B175" t="s">
        <v>333</v>
      </c>
      <c r="C175">
        <v>2015</v>
      </c>
      <c r="D175" t="s">
        <v>187</v>
      </c>
      <c r="E175">
        <v>196</v>
      </c>
      <c r="F175">
        <v>131</v>
      </c>
    </row>
    <row r="176" spans="1:6" x14ac:dyDescent="0.25">
      <c r="A176" t="s">
        <v>329</v>
      </c>
      <c r="B176" t="s">
        <v>333</v>
      </c>
      <c r="C176">
        <v>2015</v>
      </c>
      <c r="D176" t="s">
        <v>188</v>
      </c>
      <c r="E176">
        <v>109</v>
      </c>
      <c r="F176">
        <v>73</v>
      </c>
    </row>
    <row r="177" spans="1:6" x14ac:dyDescent="0.25">
      <c r="A177" t="s">
        <v>329</v>
      </c>
      <c r="B177" t="s">
        <v>333</v>
      </c>
      <c r="C177">
        <v>2015</v>
      </c>
      <c r="D177" t="s">
        <v>189</v>
      </c>
      <c r="E177">
        <v>147</v>
      </c>
      <c r="F177">
        <v>98</v>
      </c>
    </row>
    <row r="178" spans="1:6" x14ac:dyDescent="0.25">
      <c r="A178" t="s">
        <v>334</v>
      </c>
      <c r="B178" t="s">
        <v>336</v>
      </c>
      <c r="C178">
        <v>2015</v>
      </c>
      <c r="D178" t="s">
        <v>22</v>
      </c>
      <c r="E178">
        <v>494</v>
      </c>
      <c r="F178">
        <v>247</v>
      </c>
    </row>
    <row r="179" spans="1:6" x14ac:dyDescent="0.25">
      <c r="A179" t="s">
        <v>334</v>
      </c>
      <c r="B179" t="s">
        <v>336</v>
      </c>
      <c r="C179">
        <v>2015</v>
      </c>
      <c r="D179" t="s">
        <v>23</v>
      </c>
      <c r="E179">
        <v>468</v>
      </c>
      <c r="F179">
        <v>234</v>
      </c>
    </row>
    <row r="180" spans="1:6" x14ac:dyDescent="0.25">
      <c r="A180" t="s">
        <v>334</v>
      </c>
      <c r="B180" t="s">
        <v>336</v>
      </c>
      <c r="C180">
        <v>2015</v>
      </c>
      <c r="D180" t="s">
        <v>24</v>
      </c>
      <c r="E180">
        <v>520</v>
      </c>
      <c r="F180">
        <v>260</v>
      </c>
    </row>
    <row r="181" spans="1:6" x14ac:dyDescent="0.25">
      <c r="A181" t="s">
        <v>334</v>
      </c>
      <c r="B181" t="s">
        <v>336</v>
      </c>
      <c r="C181">
        <v>2015</v>
      </c>
      <c r="D181" t="s">
        <v>25</v>
      </c>
      <c r="E181">
        <v>499</v>
      </c>
      <c r="F181">
        <v>250</v>
      </c>
    </row>
    <row r="182" spans="1:6" x14ac:dyDescent="0.25">
      <c r="A182" t="s">
        <v>334</v>
      </c>
      <c r="B182" t="s">
        <v>336</v>
      </c>
      <c r="C182">
        <v>2015</v>
      </c>
      <c r="D182" t="s">
        <v>26</v>
      </c>
      <c r="E182">
        <v>408</v>
      </c>
      <c r="F182">
        <v>204</v>
      </c>
    </row>
    <row r="183" spans="1:6" x14ac:dyDescent="0.25">
      <c r="A183" t="s">
        <v>334</v>
      </c>
      <c r="B183" t="s">
        <v>336</v>
      </c>
      <c r="C183">
        <v>2015</v>
      </c>
      <c r="D183" t="s">
        <v>152</v>
      </c>
      <c r="E183">
        <v>542</v>
      </c>
      <c r="F183">
        <v>271</v>
      </c>
    </row>
    <row r="184" spans="1:6" x14ac:dyDescent="0.25">
      <c r="A184" t="s">
        <v>334</v>
      </c>
      <c r="B184" t="s">
        <v>336</v>
      </c>
      <c r="C184">
        <v>2015</v>
      </c>
      <c r="D184" t="s">
        <v>153</v>
      </c>
      <c r="E184">
        <v>410</v>
      </c>
      <c r="F184">
        <v>205</v>
      </c>
    </row>
    <row r="185" spans="1:6" x14ac:dyDescent="0.25">
      <c r="A185" t="s">
        <v>334</v>
      </c>
      <c r="B185" t="s">
        <v>336</v>
      </c>
      <c r="C185">
        <v>2015</v>
      </c>
      <c r="D185" t="s">
        <v>185</v>
      </c>
      <c r="E185">
        <v>570</v>
      </c>
      <c r="F185">
        <v>285</v>
      </c>
    </row>
    <row r="186" spans="1:6" x14ac:dyDescent="0.25">
      <c r="A186" t="s">
        <v>334</v>
      </c>
      <c r="B186" t="s">
        <v>336</v>
      </c>
      <c r="C186">
        <v>2015</v>
      </c>
      <c r="D186" t="s">
        <v>186</v>
      </c>
      <c r="E186">
        <v>412</v>
      </c>
      <c r="F186">
        <v>206</v>
      </c>
    </row>
    <row r="187" spans="1:6" x14ac:dyDescent="0.25">
      <c r="A187" t="s">
        <v>334</v>
      </c>
      <c r="B187" t="s">
        <v>336</v>
      </c>
      <c r="C187">
        <v>2015</v>
      </c>
      <c r="D187" t="s">
        <v>187</v>
      </c>
      <c r="E187">
        <v>486</v>
      </c>
      <c r="F187">
        <v>243</v>
      </c>
    </row>
    <row r="188" spans="1:6" x14ac:dyDescent="0.25">
      <c r="A188" t="s">
        <v>334</v>
      </c>
      <c r="B188" t="s">
        <v>336</v>
      </c>
      <c r="C188">
        <v>2015</v>
      </c>
      <c r="D188" t="s">
        <v>188</v>
      </c>
      <c r="E188">
        <v>512</v>
      </c>
      <c r="F188">
        <v>256</v>
      </c>
    </row>
    <row r="189" spans="1:6" x14ac:dyDescent="0.25">
      <c r="A189" t="s">
        <v>334</v>
      </c>
      <c r="B189" t="s">
        <v>336</v>
      </c>
      <c r="C189">
        <v>2015</v>
      </c>
      <c r="D189" t="s">
        <v>189</v>
      </c>
      <c r="E189">
        <v>523</v>
      </c>
      <c r="F189">
        <v>262</v>
      </c>
    </row>
    <row r="190" spans="1:6" x14ac:dyDescent="0.25">
      <c r="A190" t="s">
        <v>334</v>
      </c>
      <c r="B190" t="s">
        <v>338</v>
      </c>
      <c r="C190">
        <v>2015</v>
      </c>
      <c r="D190" t="s">
        <v>22</v>
      </c>
      <c r="E190">
        <v>675</v>
      </c>
      <c r="F190">
        <v>225</v>
      </c>
    </row>
    <row r="191" spans="1:6" x14ac:dyDescent="0.25">
      <c r="A191" t="s">
        <v>334</v>
      </c>
      <c r="B191" t="s">
        <v>338</v>
      </c>
      <c r="C191">
        <v>2015</v>
      </c>
      <c r="D191" t="s">
        <v>23</v>
      </c>
      <c r="E191">
        <v>597</v>
      </c>
      <c r="F191">
        <v>199</v>
      </c>
    </row>
    <row r="192" spans="1:6" x14ac:dyDescent="0.25">
      <c r="A192" t="s">
        <v>334</v>
      </c>
      <c r="B192" t="s">
        <v>338</v>
      </c>
      <c r="C192">
        <v>2015</v>
      </c>
      <c r="D192" t="s">
        <v>24</v>
      </c>
      <c r="E192">
        <v>625</v>
      </c>
      <c r="F192">
        <v>208</v>
      </c>
    </row>
    <row r="193" spans="1:6" x14ac:dyDescent="0.25">
      <c r="A193" t="s">
        <v>334</v>
      </c>
      <c r="B193" t="s">
        <v>338</v>
      </c>
      <c r="C193">
        <v>2015</v>
      </c>
      <c r="D193" t="s">
        <v>25</v>
      </c>
      <c r="E193">
        <v>555</v>
      </c>
      <c r="F193">
        <v>185</v>
      </c>
    </row>
    <row r="194" spans="1:6" x14ac:dyDescent="0.25">
      <c r="A194" t="s">
        <v>334</v>
      </c>
      <c r="B194" t="s">
        <v>338</v>
      </c>
      <c r="C194">
        <v>2015</v>
      </c>
      <c r="D194" t="s">
        <v>26</v>
      </c>
      <c r="E194">
        <v>543</v>
      </c>
      <c r="F194">
        <v>181</v>
      </c>
    </row>
    <row r="195" spans="1:6" x14ac:dyDescent="0.25">
      <c r="A195" t="s">
        <v>334</v>
      </c>
      <c r="B195" t="s">
        <v>338</v>
      </c>
      <c r="C195">
        <v>2015</v>
      </c>
      <c r="D195" t="s">
        <v>152</v>
      </c>
      <c r="E195">
        <v>528</v>
      </c>
      <c r="F195">
        <v>176</v>
      </c>
    </row>
    <row r="196" spans="1:6" x14ac:dyDescent="0.25">
      <c r="A196" t="s">
        <v>334</v>
      </c>
      <c r="B196" t="s">
        <v>338</v>
      </c>
      <c r="C196">
        <v>2015</v>
      </c>
      <c r="D196" t="s">
        <v>153</v>
      </c>
      <c r="E196">
        <v>687</v>
      </c>
      <c r="F196">
        <v>229</v>
      </c>
    </row>
    <row r="197" spans="1:6" x14ac:dyDescent="0.25">
      <c r="A197" t="s">
        <v>334</v>
      </c>
      <c r="B197" t="s">
        <v>338</v>
      </c>
      <c r="C197">
        <v>2015</v>
      </c>
      <c r="D197" t="s">
        <v>185</v>
      </c>
      <c r="E197">
        <v>588</v>
      </c>
      <c r="F197">
        <v>196</v>
      </c>
    </row>
    <row r="198" spans="1:6" x14ac:dyDescent="0.25">
      <c r="A198" t="s">
        <v>334</v>
      </c>
      <c r="B198" t="s">
        <v>338</v>
      </c>
      <c r="C198">
        <v>2015</v>
      </c>
      <c r="D198" t="s">
        <v>186</v>
      </c>
      <c r="E198">
        <v>576</v>
      </c>
      <c r="F198">
        <v>192</v>
      </c>
    </row>
    <row r="199" spans="1:6" x14ac:dyDescent="0.25">
      <c r="A199" t="s">
        <v>334</v>
      </c>
      <c r="B199" t="s">
        <v>338</v>
      </c>
      <c r="C199">
        <v>2015</v>
      </c>
      <c r="D199" t="s">
        <v>187</v>
      </c>
      <c r="E199">
        <v>530</v>
      </c>
      <c r="F199">
        <v>177</v>
      </c>
    </row>
    <row r="200" spans="1:6" x14ac:dyDescent="0.25">
      <c r="A200" t="s">
        <v>334</v>
      </c>
      <c r="B200" t="s">
        <v>338</v>
      </c>
      <c r="C200">
        <v>2015</v>
      </c>
      <c r="D200" t="s">
        <v>188</v>
      </c>
      <c r="E200">
        <v>578</v>
      </c>
      <c r="F200">
        <v>193</v>
      </c>
    </row>
    <row r="201" spans="1:6" x14ac:dyDescent="0.25">
      <c r="A201" t="s">
        <v>334</v>
      </c>
      <c r="B201" t="s">
        <v>338</v>
      </c>
      <c r="C201">
        <v>2015</v>
      </c>
      <c r="D201" t="s">
        <v>189</v>
      </c>
      <c r="E201">
        <v>532</v>
      </c>
      <c r="F201">
        <v>177</v>
      </c>
    </row>
    <row r="202" spans="1:6" x14ac:dyDescent="0.25">
      <c r="A202" t="s">
        <v>334</v>
      </c>
      <c r="B202" t="s">
        <v>337</v>
      </c>
      <c r="C202">
        <v>2015</v>
      </c>
      <c r="D202" t="s">
        <v>22</v>
      </c>
      <c r="E202">
        <v>694</v>
      </c>
      <c r="F202">
        <v>204</v>
      </c>
    </row>
    <row r="203" spans="1:6" x14ac:dyDescent="0.25">
      <c r="A203" t="s">
        <v>334</v>
      </c>
      <c r="B203" t="s">
        <v>337</v>
      </c>
      <c r="C203">
        <v>2015</v>
      </c>
      <c r="D203" t="s">
        <v>23</v>
      </c>
      <c r="E203">
        <v>687</v>
      </c>
      <c r="F203">
        <v>202</v>
      </c>
    </row>
    <row r="204" spans="1:6" x14ac:dyDescent="0.25">
      <c r="A204" t="s">
        <v>334</v>
      </c>
      <c r="B204" t="s">
        <v>337</v>
      </c>
      <c r="C204">
        <v>2015</v>
      </c>
      <c r="D204" t="s">
        <v>24</v>
      </c>
      <c r="E204">
        <v>500</v>
      </c>
      <c r="F204">
        <v>147</v>
      </c>
    </row>
    <row r="205" spans="1:6" x14ac:dyDescent="0.25">
      <c r="A205" t="s">
        <v>334</v>
      </c>
      <c r="B205" t="s">
        <v>337</v>
      </c>
      <c r="C205">
        <v>2015</v>
      </c>
      <c r="D205" t="s">
        <v>25</v>
      </c>
      <c r="E205">
        <v>534</v>
      </c>
      <c r="F205">
        <v>157</v>
      </c>
    </row>
    <row r="206" spans="1:6" x14ac:dyDescent="0.25">
      <c r="A206" t="s">
        <v>334</v>
      </c>
      <c r="B206" t="s">
        <v>337</v>
      </c>
      <c r="C206">
        <v>2015</v>
      </c>
      <c r="D206" t="s">
        <v>26</v>
      </c>
      <c r="E206">
        <v>615</v>
      </c>
      <c r="F206">
        <v>181</v>
      </c>
    </row>
    <row r="207" spans="1:6" x14ac:dyDescent="0.25">
      <c r="A207" t="s">
        <v>334</v>
      </c>
      <c r="B207" t="s">
        <v>337</v>
      </c>
      <c r="C207">
        <v>2015</v>
      </c>
      <c r="D207" t="s">
        <v>152</v>
      </c>
      <c r="E207">
        <v>555</v>
      </c>
      <c r="F207">
        <v>163</v>
      </c>
    </row>
    <row r="208" spans="1:6" x14ac:dyDescent="0.25">
      <c r="A208" t="s">
        <v>334</v>
      </c>
      <c r="B208" t="s">
        <v>337</v>
      </c>
      <c r="C208">
        <v>2015</v>
      </c>
      <c r="D208" t="s">
        <v>153</v>
      </c>
      <c r="E208">
        <v>535</v>
      </c>
      <c r="F208">
        <v>157</v>
      </c>
    </row>
    <row r="209" spans="1:6" x14ac:dyDescent="0.25">
      <c r="A209" t="s">
        <v>334</v>
      </c>
      <c r="B209" t="s">
        <v>337</v>
      </c>
      <c r="C209">
        <v>2015</v>
      </c>
      <c r="D209" t="s">
        <v>185</v>
      </c>
      <c r="E209">
        <v>636</v>
      </c>
      <c r="F209">
        <v>187</v>
      </c>
    </row>
    <row r="210" spans="1:6" x14ac:dyDescent="0.25">
      <c r="A210" t="s">
        <v>334</v>
      </c>
      <c r="B210" t="s">
        <v>337</v>
      </c>
      <c r="C210">
        <v>2015</v>
      </c>
      <c r="D210" t="s">
        <v>186</v>
      </c>
      <c r="E210">
        <v>694</v>
      </c>
      <c r="F210">
        <v>204</v>
      </c>
    </row>
    <row r="211" spans="1:6" x14ac:dyDescent="0.25">
      <c r="A211" t="s">
        <v>334</v>
      </c>
      <c r="B211" t="s">
        <v>337</v>
      </c>
      <c r="C211">
        <v>2015</v>
      </c>
      <c r="D211" t="s">
        <v>187</v>
      </c>
      <c r="E211">
        <v>540</v>
      </c>
      <c r="F211">
        <v>159</v>
      </c>
    </row>
    <row r="212" spans="1:6" x14ac:dyDescent="0.25">
      <c r="A212" t="s">
        <v>334</v>
      </c>
      <c r="B212" t="s">
        <v>337</v>
      </c>
      <c r="C212">
        <v>2015</v>
      </c>
      <c r="D212" t="s">
        <v>188</v>
      </c>
      <c r="E212">
        <v>606</v>
      </c>
      <c r="F212">
        <v>178</v>
      </c>
    </row>
    <row r="213" spans="1:6" x14ac:dyDescent="0.25">
      <c r="A213" t="s">
        <v>334</v>
      </c>
      <c r="B213" t="s">
        <v>337</v>
      </c>
      <c r="C213">
        <v>2015</v>
      </c>
      <c r="D213" t="s">
        <v>189</v>
      </c>
      <c r="E213">
        <v>560</v>
      </c>
      <c r="F213">
        <v>165</v>
      </c>
    </row>
    <row r="214" spans="1:6" x14ac:dyDescent="0.25">
      <c r="A214" t="s">
        <v>334</v>
      </c>
      <c r="B214" t="s">
        <v>335</v>
      </c>
      <c r="C214">
        <v>2015</v>
      </c>
      <c r="D214" t="s">
        <v>22</v>
      </c>
      <c r="E214">
        <v>204</v>
      </c>
      <c r="F214">
        <v>135</v>
      </c>
    </row>
    <row r="215" spans="1:6" x14ac:dyDescent="0.25">
      <c r="A215" t="s">
        <v>334</v>
      </c>
      <c r="B215" t="s">
        <v>335</v>
      </c>
      <c r="C215">
        <v>2015</v>
      </c>
      <c r="D215" t="s">
        <v>23</v>
      </c>
      <c r="E215">
        <v>138</v>
      </c>
      <c r="F215">
        <v>91</v>
      </c>
    </row>
    <row r="216" spans="1:6" x14ac:dyDescent="0.25">
      <c r="A216" t="s">
        <v>334</v>
      </c>
      <c r="B216" t="s">
        <v>335</v>
      </c>
      <c r="C216">
        <v>2015</v>
      </c>
      <c r="D216" t="s">
        <v>24</v>
      </c>
      <c r="E216">
        <v>213</v>
      </c>
      <c r="F216">
        <v>142</v>
      </c>
    </row>
    <row r="217" spans="1:6" x14ac:dyDescent="0.25">
      <c r="A217" t="s">
        <v>334</v>
      </c>
      <c r="B217" t="s">
        <v>335</v>
      </c>
      <c r="C217">
        <v>2015</v>
      </c>
      <c r="D217" t="s">
        <v>25</v>
      </c>
      <c r="E217">
        <v>138</v>
      </c>
      <c r="F217">
        <v>91</v>
      </c>
    </row>
    <row r="218" spans="1:6" x14ac:dyDescent="0.25">
      <c r="A218" t="s">
        <v>334</v>
      </c>
      <c r="B218" t="s">
        <v>335</v>
      </c>
      <c r="C218">
        <v>2015</v>
      </c>
      <c r="D218" t="s">
        <v>26</v>
      </c>
      <c r="E218">
        <v>142</v>
      </c>
      <c r="F218">
        <v>95</v>
      </c>
    </row>
    <row r="219" spans="1:6" x14ac:dyDescent="0.25">
      <c r="A219" t="s">
        <v>334</v>
      </c>
      <c r="B219" t="s">
        <v>335</v>
      </c>
      <c r="C219">
        <v>2015</v>
      </c>
      <c r="D219" t="s">
        <v>152</v>
      </c>
      <c r="E219">
        <v>211</v>
      </c>
      <c r="F219">
        <v>141</v>
      </c>
    </row>
    <row r="220" spans="1:6" x14ac:dyDescent="0.25">
      <c r="A220" t="s">
        <v>334</v>
      </c>
      <c r="B220" t="s">
        <v>335</v>
      </c>
      <c r="C220">
        <v>2015</v>
      </c>
      <c r="D220" t="s">
        <v>153</v>
      </c>
      <c r="E220">
        <v>120</v>
      </c>
      <c r="F220">
        <v>80</v>
      </c>
    </row>
    <row r="221" spans="1:6" x14ac:dyDescent="0.25">
      <c r="A221" t="s">
        <v>334</v>
      </c>
      <c r="B221" t="s">
        <v>335</v>
      </c>
      <c r="C221">
        <v>2015</v>
      </c>
      <c r="D221" t="s">
        <v>185</v>
      </c>
      <c r="E221">
        <v>162</v>
      </c>
      <c r="F221">
        <v>108</v>
      </c>
    </row>
    <row r="222" spans="1:6" x14ac:dyDescent="0.25">
      <c r="A222" t="s">
        <v>334</v>
      </c>
      <c r="B222" t="s">
        <v>335</v>
      </c>
      <c r="C222">
        <v>2015</v>
      </c>
      <c r="D222" t="s">
        <v>186</v>
      </c>
      <c r="E222">
        <v>123</v>
      </c>
      <c r="F222">
        <v>83</v>
      </c>
    </row>
    <row r="223" spans="1:6" x14ac:dyDescent="0.25">
      <c r="A223" t="s">
        <v>334</v>
      </c>
      <c r="B223" t="s">
        <v>335</v>
      </c>
      <c r="C223">
        <v>2015</v>
      </c>
      <c r="D223" t="s">
        <v>187</v>
      </c>
      <c r="E223">
        <v>216</v>
      </c>
      <c r="F223">
        <v>144</v>
      </c>
    </row>
    <row r="224" spans="1:6" x14ac:dyDescent="0.25">
      <c r="A224" t="s">
        <v>334</v>
      </c>
      <c r="B224" t="s">
        <v>335</v>
      </c>
      <c r="C224">
        <v>2015</v>
      </c>
      <c r="D224" t="s">
        <v>188</v>
      </c>
      <c r="E224">
        <v>120</v>
      </c>
      <c r="F224">
        <v>80</v>
      </c>
    </row>
    <row r="225" spans="1:6" x14ac:dyDescent="0.25">
      <c r="A225" t="s">
        <v>334</v>
      </c>
      <c r="B225" t="s">
        <v>335</v>
      </c>
      <c r="C225">
        <v>2015</v>
      </c>
      <c r="D225" t="s">
        <v>189</v>
      </c>
      <c r="E225">
        <v>162</v>
      </c>
      <c r="F225">
        <v>108</v>
      </c>
    </row>
    <row r="226" spans="1:6" x14ac:dyDescent="0.25">
      <c r="A226" t="s">
        <v>329</v>
      </c>
      <c r="B226" t="s">
        <v>330</v>
      </c>
      <c r="C226">
        <v>2016</v>
      </c>
      <c r="D226" t="s">
        <v>22</v>
      </c>
      <c r="E226">
        <v>499</v>
      </c>
      <c r="F226">
        <v>247</v>
      </c>
    </row>
    <row r="227" spans="1:6" x14ac:dyDescent="0.25">
      <c r="A227" t="s">
        <v>329</v>
      </c>
      <c r="B227" t="s">
        <v>331</v>
      </c>
      <c r="C227">
        <v>2016</v>
      </c>
      <c r="D227" t="s">
        <v>22</v>
      </c>
      <c r="E227">
        <v>670</v>
      </c>
      <c r="F227">
        <v>203</v>
      </c>
    </row>
    <row r="228" spans="1:6" x14ac:dyDescent="0.25">
      <c r="A228" t="s">
        <v>329</v>
      </c>
      <c r="B228" t="s">
        <v>332</v>
      </c>
      <c r="C228">
        <v>2016</v>
      </c>
      <c r="D228" t="s">
        <v>22</v>
      </c>
      <c r="E228">
        <v>680</v>
      </c>
      <c r="F228">
        <v>184</v>
      </c>
    </row>
    <row r="229" spans="1:6" x14ac:dyDescent="0.25">
      <c r="A229" t="s">
        <v>329</v>
      </c>
      <c r="B229" t="s">
        <v>333</v>
      </c>
      <c r="C229">
        <v>2016</v>
      </c>
      <c r="D229" t="s">
        <v>22</v>
      </c>
      <c r="E229">
        <v>204</v>
      </c>
      <c r="F229">
        <v>111</v>
      </c>
    </row>
    <row r="230" spans="1:6" x14ac:dyDescent="0.25">
      <c r="A230" t="s">
        <v>334</v>
      </c>
      <c r="B230" t="s">
        <v>336</v>
      </c>
      <c r="C230">
        <v>2016</v>
      </c>
      <c r="D230" t="s">
        <v>22</v>
      </c>
      <c r="E230">
        <v>499</v>
      </c>
      <c r="F230">
        <v>247</v>
      </c>
    </row>
    <row r="231" spans="1:6" x14ac:dyDescent="0.25">
      <c r="A231" t="s">
        <v>334</v>
      </c>
      <c r="B231" t="s">
        <v>338</v>
      </c>
      <c r="C231">
        <v>2016</v>
      </c>
      <c r="D231" t="s">
        <v>22</v>
      </c>
      <c r="E231">
        <v>608</v>
      </c>
      <c r="F231">
        <v>203</v>
      </c>
    </row>
    <row r="232" spans="1:6" x14ac:dyDescent="0.25">
      <c r="A232" t="s">
        <v>334</v>
      </c>
      <c r="B232" t="s">
        <v>337</v>
      </c>
      <c r="C232">
        <v>2016</v>
      </c>
      <c r="D232" t="s">
        <v>22</v>
      </c>
      <c r="E232">
        <v>680</v>
      </c>
      <c r="F232">
        <v>184</v>
      </c>
    </row>
    <row r="233" spans="1:6" x14ac:dyDescent="0.25">
      <c r="A233" t="s">
        <v>334</v>
      </c>
      <c r="B233" t="s">
        <v>335</v>
      </c>
      <c r="C233">
        <v>2016</v>
      </c>
      <c r="D233" t="s">
        <v>22</v>
      </c>
      <c r="E233">
        <v>210</v>
      </c>
      <c r="F233">
        <v>136</v>
      </c>
    </row>
    <row r="234" spans="1:6" x14ac:dyDescent="0.25">
      <c r="A234" t="s">
        <v>329</v>
      </c>
      <c r="B234" t="s">
        <v>330</v>
      </c>
      <c r="C234">
        <v>2016</v>
      </c>
      <c r="D234" t="s">
        <v>23</v>
      </c>
      <c r="E234">
        <v>473</v>
      </c>
      <c r="F234">
        <v>234</v>
      </c>
    </row>
    <row r="235" spans="1:6" x14ac:dyDescent="0.25">
      <c r="A235" t="s">
        <v>329</v>
      </c>
      <c r="B235" t="s">
        <v>331</v>
      </c>
      <c r="C235">
        <v>2016</v>
      </c>
      <c r="D235" t="s">
        <v>23</v>
      </c>
      <c r="E235">
        <v>600</v>
      </c>
      <c r="F235">
        <v>179</v>
      </c>
    </row>
    <row r="236" spans="1:6" x14ac:dyDescent="0.25">
      <c r="A236" t="s">
        <v>329</v>
      </c>
      <c r="B236" t="s">
        <v>332</v>
      </c>
      <c r="C236">
        <v>2016</v>
      </c>
      <c r="D236" t="s">
        <v>23</v>
      </c>
      <c r="E236">
        <v>673</v>
      </c>
      <c r="F236">
        <v>182</v>
      </c>
    </row>
    <row r="237" spans="1:6" x14ac:dyDescent="0.25">
      <c r="A237" t="s">
        <v>329</v>
      </c>
      <c r="B237" t="s">
        <v>333</v>
      </c>
      <c r="C237">
        <v>2016</v>
      </c>
      <c r="D237" t="s">
        <v>23</v>
      </c>
      <c r="E237">
        <v>138</v>
      </c>
      <c r="F237">
        <v>75</v>
      </c>
    </row>
    <row r="238" spans="1:6" x14ac:dyDescent="0.25">
      <c r="A238" t="s">
        <v>334</v>
      </c>
      <c r="B238" t="s">
        <v>336</v>
      </c>
      <c r="C238">
        <v>2016</v>
      </c>
      <c r="D238" t="s">
        <v>23</v>
      </c>
      <c r="E238">
        <v>473</v>
      </c>
      <c r="F238">
        <v>234</v>
      </c>
    </row>
    <row r="239" spans="1:6" x14ac:dyDescent="0.25">
      <c r="A239" t="s">
        <v>334</v>
      </c>
      <c r="B239" t="s">
        <v>338</v>
      </c>
      <c r="C239">
        <v>2016</v>
      </c>
      <c r="D239" t="s">
        <v>23</v>
      </c>
      <c r="E239">
        <v>537</v>
      </c>
      <c r="F239">
        <v>179</v>
      </c>
    </row>
    <row r="240" spans="1:6" x14ac:dyDescent="0.25">
      <c r="A240" t="s">
        <v>334</v>
      </c>
      <c r="B240" t="s">
        <v>337</v>
      </c>
      <c r="C240">
        <v>2016</v>
      </c>
      <c r="D240" t="s">
        <v>23</v>
      </c>
      <c r="E240">
        <v>673</v>
      </c>
      <c r="F240">
        <v>182</v>
      </c>
    </row>
    <row r="241" spans="1:6" x14ac:dyDescent="0.25">
      <c r="A241" t="s">
        <v>334</v>
      </c>
      <c r="B241" t="s">
        <v>335</v>
      </c>
      <c r="C241">
        <v>2016</v>
      </c>
      <c r="D241" t="s">
        <v>23</v>
      </c>
      <c r="E241">
        <v>148</v>
      </c>
      <c r="F241">
        <v>92</v>
      </c>
    </row>
    <row r="242" spans="1:6" x14ac:dyDescent="0.25">
      <c r="A242" t="s">
        <v>329</v>
      </c>
      <c r="B242" t="s">
        <v>330</v>
      </c>
      <c r="C242">
        <v>2016</v>
      </c>
      <c r="D242" t="s">
        <v>24</v>
      </c>
      <c r="E242">
        <v>526</v>
      </c>
      <c r="F242">
        <v>260</v>
      </c>
    </row>
    <row r="243" spans="1:6" x14ac:dyDescent="0.25">
      <c r="A243" t="s">
        <v>329</v>
      </c>
      <c r="B243" t="s">
        <v>331</v>
      </c>
      <c r="C243">
        <v>2016</v>
      </c>
      <c r="D243" t="s">
        <v>24</v>
      </c>
      <c r="E243">
        <v>629</v>
      </c>
      <c r="F243">
        <v>187</v>
      </c>
    </row>
    <row r="244" spans="1:6" x14ac:dyDescent="0.25">
      <c r="A244" t="s">
        <v>329</v>
      </c>
      <c r="B244" t="s">
        <v>332</v>
      </c>
      <c r="C244">
        <v>2016</v>
      </c>
      <c r="D244" t="s">
        <v>24</v>
      </c>
      <c r="E244">
        <v>490</v>
      </c>
      <c r="F244">
        <v>132</v>
      </c>
    </row>
    <row r="245" spans="1:6" x14ac:dyDescent="0.25">
      <c r="A245" t="s">
        <v>329</v>
      </c>
      <c r="B245" t="s">
        <v>333</v>
      </c>
      <c r="C245">
        <v>2016</v>
      </c>
      <c r="D245" t="s">
        <v>24</v>
      </c>
      <c r="E245">
        <v>214</v>
      </c>
      <c r="F245">
        <v>116</v>
      </c>
    </row>
    <row r="246" spans="1:6" x14ac:dyDescent="0.25">
      <c r="A246" t="s">
        <v>334</v>
      </c>
      <c r="B246" t="s">
        <v>336</v>
      </c>
      <c r="C246">
        <v>2016</v>
      </c>
      <c r="D246" t="s">
        <v>24</v>
      </c>
      <c r="E246">
        <v>526</v>
      </c>
      <c r="F246">
        <v>260</v>
      </c>
    </row>
    <row r="247" spans="1:6" x14ac:dyDescent="0.25">
      <c r="A247" t="s">
        <v>334</v>
      </c>
      <c r="B247" t="s">
        <v>338</v>
      </c>
      <c r="C247">
        <v>2016</v>
      </c>
      <c r="D247" t="s">
        <v>24</v>
      </c>
      <c r="E247">
        <v>563</v>
      </c>
      <c r="F247">
        <v>187</v>
      </c>
    </row>
    <row r="248" spans="1:6" x14ac:dyDescent="0.25">
      <c r="A248" t="s">
        <v>334</v>
      </c>
      <c r="B248" t="s">
        <v>337</v>
      </c>
      <c r="C248">
        <v>2016</v>
      </c>
      <c r="D248" t="s">
        <v>24</v>
      </c>
      <c r="E248">
        <v>490</v>
      </c>
      <c r="F248">
        <v>132</v>
      </c>
    </row>
    <row r="249" spans="1:6" x14ac:dyDescent="0.25">
      <c r="A249" t="s">
        <v>334</v>
      </c>
      <c r="B249" t="s">
        <v>335</v>
      </c>
      <c r="C249">
        <v>2016</v>
      </c>
      <c r="D249" t="s">
        <v>24</v>
      </c>
      <c r="E249">
        <v>200</v>
      </c>
      <c r="F249">
        <v>143</v>
      </c>
    </row>
    <row r="250" spans="1:6" x14ac:dyDescent="0.25">
      <c r="A250" t="s">
        <v>329</v>
      </c>
      <c r="B250" t="s">
        <v>330</v>
      </c>
      <c r="C250">
        <v>2016</v>
      </c>
      <c r="D250" t="s">
        <v>25</v>
      </c>
      <c r="E250">
        <v>505</v>
      </c>
      <c r="F250">
        <v>253</v>
      </c>
    </row>
    <row r="251" spans="1:6" x14ac:dyDescent="0.25">
      <c r="A251" t="s">
        <v>329</v>
      </c>
      <c r="B251" t="s">
        <v>331</v>
      </c>
      <c r="C251">
        <v>2016</v>
      </c>
      <c r="D251" t="s">
        <v>25</v>
      </c>
      <c r="E251">
        <v>540</v>
      </c>
      <c r="F251">
        <v>167</v>
      </c>
    </row>
    <row r="252" spans="1:6" x14ac:dyDescent="0.25">
      <c r="A252" t="s">
        <v>329</v>
      </c>
      <c r="B252" t="s">
        <v>332</v>
      </c>
      <c r="C252">
        <v>2016</v>
      </c>
      <c r="D252" t="s">
        <v>25</v>
      </c>
      <c r="E252">
        <v>523</v>
      </c>
      <c r="F252">
        <v>141</v>
      </c>
    </row>
    <row r="253" spans="1:6" x14ac:dyDescent="0.25">
      <c r="A253" t="s">
        <v>329</v>
      </c>
      <c r="B253" t="s">
        <v>333</v>
      </c>
      <c r="C253">
        <v>2016</v>
      </c>
      <c r="D253" t="s">
        <v>25</v>
      </c>
      <c r="E253">
        <v>138</v>
      </c>
      <c r="F253">
        <v>75</v>
      </c>
    </row>
    <row r="254" spans="1:6" x14ac:dyDescent="0.25">
      <c r="A254" t="s">
        <v>334</v>
      </c>
      <c r="B254" t="s">
        <v>336</v>
      </c>
      <c r="C254">
        <v>2016</v>
      </c>
      <c r="D254" t="s">
        <v>25</v>
      </c>
      <c r="E254">
        <v>505</v>
      </c>
      <c r="F254">
        <v>253</v>
      </c>
    </row>
    <row r="255" spans="1:6" x14ac:dyDescent="0.25">
      <c r="A255" t="s">
        <v>334</v>
      </c>
      <c r="B255" t="s">
        <v>338</v>
      </c>
      <c r="C255">
        <v>2016</v>
      </c>
      <c r="D255" t="s">
        <v>25</v>
      </c>
      <c r="E255">
        <v>500</v>
      </c>
      <c r="F255">
        <v>167</v>
      </c>
    </row>
    <row r="256" spans="1:6" x14ac:dyDescent="0.25">
      <c r="A256" t="s">
        <v>334</v>
      </c>
      <c r="B256" t="s">
        <v>337</v>
      </c>
      <c r="C256">
        <v>2016</v>
      </c>
      <c r="D256" t="s">
        <v>25</v>
      </c>
      <c r="E256">
        <v>523</v>
      </c>
      <c r="F256">
        <v>141</v>
      </c>
    </row>
    <row r="257" spans="1:6" x14ac:dyDescent="0.25">
      <c r="A257" t="s">
        <v>334</v>
      </c>
      <c r="B257" t="s">
        <v>335</v>
      </c>
      <c r="C257">
        <v>2016</v>
      </c>
      <c r="D257" t="s">
        <v>25</v>
      </c>
      <c r="E257">
        <v>130</v>
      </c>
      <c r="F257">
        <v>92</v>
      </c>
    </row>
    <row r="258" spans="1:6" x14ac:dyDescent="0.25">
      <c r="A258" t="s">
        <v>329</v>
      </c>
      <c r="B258" t="s">
        <v>330</v>
      </c>
      <c r="C258">
        <v>2016</v>
      </c>
      <c r="D258" t="s">
        <v>26</v>
      </c>
      <c r="E258">
        <v>413</v>
      </c>
      <c r="F258">
        <v>206</v>
      </c>
    </row>
    <row r="259" spans="1:6" x14ac:dyDescent="0.25">
      <c r="A259" t="s">
        <v>329</v>
      </c>
      <c r="B259" t="s">
        <v>331</v>
      </c>
      <c r="C259">
        <v>2016</v>
      </c>
      <c r="D259" t="s">
        <v>26</v>
      </c>
      <c r="E259">
        <v>530</v>
      </c>
      <c r="F259">
        <v>163</v>
      </c>
    </row>
    <row r="260" spans="1:6" x14ac:dyDescent="0.25">
      <c r="A260" t="s">
        <v>329</v>
      </c>
      <c r="B260" t="s">
        <v>332</v>
      </c>
      <c r="C260">
        <v>2016</v>
      </c>
      <c r="D260" t="s">
        <v>26</v>
      </c>
      <c r="E260">
        <v>603</v>
      </c>
      <c r="F260">
        <v>163</v>
      </c>
    </row>
    <row r="261" spans="1:6" x14ac:dyDescent="0.25">
      <c r="A261" t="s">
        <v>329</v>
      </c>
      <c r="B261" t="s">
        <v>333</v>
      </c>
      <c r="C261">
        <v>2016</v>
      </c>
      <c r="D261" t="s">
        <v>26</v>
      </c>
      <c r="E261">
        <v>142</v>
      </c>
      <c r="F261">
        <v>77</v>
      </c>
    </row>
    <row r="262" spans="1:6" x14ac:dyDescent="0.25">
      <c r="A262" t="s">
        <v>334</v>
      </c>
      <c r="B262" t="s">
        <v>336</v>
      </c>
      <c r="C262">
        <v>2016</v>
      </c>
      <c r="D262" t="s">
        <v>26</v>
      </c>
      <c r="E262">
        <v>413</v>
      </c>
      <c r="F262">
        <v>206</v>
      </c>
    </row>
    <row r="263" spans="1:6" x14ac:dyDescent="0.25">
      <c r="A263" t="s">
        <v>334</v>
      </c>
      <c r="B263" t="s">
        <v>338</v>
      </c>
      <c r="C263">
        <v>2016</v>
      </c>
      <c r="D263" t="s">
        <v>26</v>
      </c>
      <c r="E263">
        <v>489</v>
      </c>
      <c r="F263">
        <v>163</v>
      </c>
    </row>
    <row r="264" spans="1:6" x14ac:dyDescent="0.25">
      <c r="A264" t="s">
        <v>334</v>
      </c>
      <c r="B264" t="s">
        <v>337</v>
      </c>
      <c r="C264">
        <v>2016</v>
      </c>
      <c r="D264" t="s">
        <v>26</v>
      </c>
      <c r="E264">
        <v>603</v>
      </c>
      <c r="F264">
        <v>163</v>
      </c>
    </row>
    <row r="265" spans="1:6" x14ac:dyDescent="0.25">
      <c r="A265" t="s">
        <v>334</v>
      </c>
      <c r="B265" t="s">
        <v>335</v>
      </c>
      <c r="C265">
        <v>2016</v>
      </c>
      <c r="D265" t="s">
        <v>26</v>
      </c>
      <c r="E265">
        <v>149</v>
      </c>
      <c r="F265">
        <v>96</v>
      </c>
    </row>
    <row r="266" spans="1:6" x14ac:dyDescent="0.25">
      <c r="A266" t="s">
        <v>329</v>
      </c>
      <c r="B266" t="s">
        <v>330</v>
      </c>
      <c r="C266">
        <v>2016</v>
      </c>
      <c r="D266" t="s">
        <v>152</v>
      </c>
      <c r="E266">
        <v>548</v>
      </c>
      <c r="F266">
        <v>274</v>
      </c>
    </row>
    <row r="267" spans="1:6" x14ac:dyDescent="0.25">
      <c r="A267" t="s">
        <v>329</v>
      </c>
      <c r="B267" t="s">
        <v>331</v>
      </c>
      <c r="C267">
        <v>2016</v>
      </c>
      <c r="D267" t="s">
        <v>152</v>
      </c>
      <c r="E267">
        <v>500</v>
      </c>
      <c r="F267">
        <v>158</v>
      </c>
    </row>
    <row r="268" spans="1:6" x14ac:dyDescent="0.25">
      <c r="A268" t="s">
        <v>329</v>
      </c>
      <c r="B268" t="s">
        <v>332</v>
      </c>
      <c r="C268">
        <v>2016</v>
      </c>
      <c r="D268" t="s">
        <v>152</v>
      </c>
      <c r="E268">
        <v>544</v>
      </c>
      <c r="F268">
        <v>147</v>
      </c>
    </row>
    <row r="269" spans="1:6" x14ac:dyDescent="0.25">
      <c r="A269" t="s">
        <v>329</v>
      </c>
      <c r="B269" t="s">
        <v>333</v>
      </c>
      <c r="C269">
        <v>2016</v>
      </c>
      <c r="D269" t="s">
        <v>152</v>
      </c>
      <c r="E269">
        <v>212</v>
      </c>
      <c r="F269">
        <v>115</v>
      </c>
    </row>
    <row r="270" spans="1:6" x14ac:dyDescent="0.25">
      <c r="A270" t="s">
        <v>334</v>
      </c>
      <c r="B270" t="s">
        <v>336</v>
      </c>
      <c r="C270">
        <v>2016</v>
      </c>
      <c r="D270" t="s">
        <v>152</v>
      </c>
      <c r="E270">
        <v>548</v>
      </c>
      <c r="F270">
        <v>274</v>
      </c>
    </row>
    <row r="271" spans="1:6" x14ac:dyDescent="0.25">
      <c r="A271" t="s">
        <v>334</v>
      </c>
      <c r="B271" t="s">
        <v>338</v>
      </c>
      <c r="C271">
        <v>2016</v>
      </c>
      <c r="D271" t="s">
        <v>152</v>
      </c>
      <c r="E271">
        <v>475</v>
      </c>
      <c r="F271">
        <v>158</v>
      </c>
    </row>
    <row r="272" spans="1:6" x14ac:dyDescent="0.25">
      <c r="A272" t="s">
        <v>334</v>
      </c>
      <c r="B272" t="s">
        <v>337</v>
      </c>
      <c r="C272">
        <v>2016</v>
      </c>
      <c r="D272" t="s">
        <v>152</v>
      </c>
      <c r="E272">
        <v>544</v>
      </c>
      <c r="F272">
        <v>147</v>
      </c>
    </row>
    <row r="273" spans="1:6" x14ac:dyDescent="0.25">
      <c r="A273" t="s">
        <v>334</v>
      </c>
      <c r="B273" t="s">
        <v>335</v>
      </c>
      <c r="C273">
        <v>2016</v>
      </c>
      <c r="D273" t="s">
        <v>152</v>
      </c>
      <c r="E273">
        <v>200</v>
      </c>
      <c r="F273">
        <v>142</v>
      </c>
    </row>
    <row r="274" spans="1:6" x14ac:dyDescent="0.25">
      <c r="A274" t="s">
        <v>329</v>
      </c>
      <c r="B274" t="s">
        <v>330</v>
      </c>
      <c r="C274">
        <v>2016</v>
      </c>
      <c r="D274" t="s">
        <v>153</v>
      </c>
      <c r="E274">
        <v>415</v>
      </c>
      <c r="F274">
        <v>207</v>
      </c>
    </row>
    <row r="275" spans="1:6" x14ac:dyDescent="0.25">
      <c r="A275" t="s">
        <v>329</v>
      </c>
      <c r="B275" t="s">
        <v>331</v>
      </c>
      <c r="C275">
        <v>2016</v>
      </c>
      <c r="D275" t="s">
        <v>153</v>
      </c>
      <c r="E275">
        <v>680</v>
      </c>
      <c r="F275">
        <v>206</v>
      </c>
    </row>
    <row r="276" spans="1:6" x14ac:dyDescent="0.25">
      <c r="A276" t="s">
        <v>329</v>
      </c>
      <c r="B276" t="s">
        <v>332</v>
      </c>
      <c r="C276">
        <v>2016</v>
      </c>
      <c r="D276" t="s">
        <v>153</v>
      </c>
      <c r="E276">
        <v>524</v>
      </c>
      <c r="F276">
        <v>141</v>
      </c>
    </row>
    <row r="277" spans="1:6" x14ac:dyDescent="0.25">
      <c r="A277" t="s">
        <v>329</v>
      </c>
      <c r="B277" t="s">
        <v>333</v>
      </c>
      <c r="C277">
        <v>2016</v>
      </c>
      <c r="D277" t="s">
        <v>153</v>
      </c>
      <c r="E277">
        <v>120</v>
      </c>
      <c r="F277">
        <v>66</v>
      </c>
    </row>
    <row r="278" spans="1:6" x14ac:dyDescent="0.25">
      <c r="A278" t="s">
        <v>334</v>
      </c>
      <c r="B278" t="s">
        <v>336</v>
      </c>
      <c r="C278">
        <v>2016</v>
      </c>
      <c r="D278" t="s">
        <v>153</v>
      </c>
      <c r="E278">
        <v>415</v>
      </c>
      <c r="F278">
        <v>207</v>
      </c>
    </row>
    <row r="279" spans="1:6" x14ac:dyDescent="0.25">
      <c r="A279" t="s">
        <v>334</v>
      </c>
      <c r="B279" t="s">
        <v>338</v>
      </c>
      <c r="C279">
        <v>2016</v>
      </c>
      <c r="D279" t="s">
        <v>153</v>
      </c>
      <c r="E279">
        <v>618</v>
      </c>
      <c r="F279">
        <v>206</v>
      </c>
    </row>
    <row r="280" spans="1:6" x14ac:dyDescent="0.25">
      <c r="A280" t="s">
        <v>334</v>
      </c>
      <c r="B280" t="s">
        <v>337</v>
      </c>
      <c r="C280">
        <v>2016</v>
      </c>
      <c r="D280" t="s">
        <v>153</v>
      </c>
      <c r="E280">
        <v>524</v>
      </c>
      <c r="F280">
        <v>141</v>
      </c>
    </row>
    <row r="281" spans="1:6" x14ac:dyDescent="0.25">
      <c r="A281" t="s">
        <v>334</v>
      </c>
      <c r="B281" t="s">
        <v>335</v>
      </c>
      <c r="C281">
        <v>2016</v>
      </c>
      <c r="D281" t="s">
        <v>153</v>
      </c>
      <c r="E281">
        <v>130</v>
      </c>
      <c r="F281">
        <v>81</v>
      </c>
    </row>
    <row r="282" spans="1:6" x14ac:dyDescent="0.25">
      <c r="A282" t="s">
        <v>329</v>
      </c>
      <c r="B282" t="s">
        <v>330</v>
      </c>
      <c r="C282">
        <v>2016</v>
      </c>
      <c r="D282" t="s">
        <v>185</v>
      </c>
      <c r="E282">
        <v>576</v>
      </c>
      <c r="F282">
        <v>288</v>
      </c>
    </row>
    <row r="283" spans="1:6" x14ac:dyDescent="0.25">
      <c r="A283" t="s">
        <v>329</v>
      </c>
      <c r="B283" t="s">
        <v>331</v>
      </c>
      <c r="C283">
        <v>2016</v>
      </c>
      <c r="D283" t="s">
        <v>185</v>
      </c>
      <c r="E283">
        <v>570</v>
      </c>
      <c r="F283">
        <v>176</v>
      </c>
    </row>
    <row r="284" spans="1:6" x14ac:dyDescent="0.25">
      <c r="A284" t="s">
        <v>329</v>
      </c>
      <c r="B284" t="s">
        <v>332</v>
      </c>
      <c r="C284">
        <v>2016</v>
      </c>
      <c r="D284" t="s">
        <v>185</v>
      </c>
      <c r="E284">
        <v>623</v>
      </c>
      <c r="F284">
        <v>168</v>
      </c>
    </row>
    <row r="285" spans="1:6" x14ac:dyDescent="0.25">
      <c r="A285" t="s">
        <v>329</v>
      </c>
      <c r="B285" t="s">
        <v>333</v>
      </c>
      <c r="C285">
        <v>2016</v>
      </c>
      <c r="D285" t="s">
        <v>185</v>
      </c>
      <c r="E285">
        <v>162</v>
      </c>
      <c r="F285">
        <v>88</v>
      </c>
    </row>
    <row r="286" spans="1:6" x14ac:dyDescent="0.25">
      <c r="A286" t="s">
        <v>334</v>
      </c>
      <c r="B286" t="s">
        <v>336</v>
      </c>
      <c r="C286">
        <v>2016</v>
      </c>
      <c r="D286" t="s">
        <v>185</v>
      </c>
      <c r="E286">
        <v>576</v>
      </c>
      <c r="F286">
        <v>288</v>
      </c>
    </row>
    <row r="287" spans="1:6" x14ac:dyDescent="0.25">
      <c r="A287" t="s">
        <v>334</v>
      </c>
      <c r="B287" t="s">
        <v>338</v>
      </c>
      <c r="C287">
        <v>2016</v>
      </c>
      <c r="D287" t="s">
        <v>185</v>
      </c>
      <c r="E287">
        <v>529</v>
      </c>
      <c r="F287">
        <v>176</v>
      </c>
    </row>
    <row r="288" spans="1:6" x14ac:dyDescent="0.25">
      <c r="A288" t="s">
        <v>334</v>
      </c>
      <c r="B288" t="s">
        <v>337</v>
      </c>
      <c r="C288">
        <v>2016</v>
      </c>
      <c r="D288" t="s">
        <v>185</v>
      </c>
      <c r="E288">
        <v>623</v>
      </c>
      <c r="F288">
        <v>168</v>
      </c>
    </row>
    <row r="289" spans="1:6" x14ac:dyDescent="0.25">
      <c r="A289" t="s">
        <v>334</v>
      </c>
      <c r="B289" t="s">
        <v>335</v>
      </c>
      <c r="C289">
        <v>2016</v>
      </c>
      <c r="D289" t="s">
        <v>185</v>
      </c>
      <c r="E289">
        <v>180</v>
      </c>
      <c r="F289">
        <v>109</v>
      </c>
    </row>
    <row r="290" spans="1:6" x14ac:dyDescent="0.25">
      <c r="A290" t="s">
        <v>329</v>
      </c>
      <c r="B290" t="s">
        <v>330</v>
      </c>
      <c r="C290">
        <v>2016</v>
      </c>
      <c r="D290" t="s">
        <v>186</v>
      </c>
      <c r="E290">
        <v>417</v>
      </c>
      <c r="F290">
        <v>208</v>
      </c>
    </row>
    <row r="291" spans="1:6" x14ac:dyDescent="0.25">
      <c r="A291" t="s">
        <v>329</v>
      </c>
      <c r="B291" t="s">
        <v>331</v>
      </c>
      <c r="C291">
        <v>2016</v>
      </c>
      <c r="D291" t="s">
        <v>186</v>
      </c>
      <c r="E291">
        <v>590</v>
      </c>
      <c r="F291">
        <v>173</v>
      </c>
    </row>
    <row r="292" spans="1:6" x14ac:dyDescent="0.25">
      <c r="A292" t="s">
        <v>329</v>
      </c>
      <c r="B292" t="s">
        <v>332</v>
      </c>
      <c r="C292">
        <v>2016</v>
      </c>
      <c r="D292" t="s">
        <v>186</v>
      </c>
      <c r="E292">
        <v>680</v>
      </c>
      <c r="F292">
        <v>184</v>
      </c>
    </row>
    <row r="293" spans="1:6" x14ac:dyDescent="0.25">
      <c r="A293" t="s">
        <v>329</v>
      </c>
      <c r="B293" t="s">
        <v>333</v>
      </c>
      <c r="C293">
        <v>2016</v>
      </c>
      <c r="D293" t="s">
        <v>186</v>
      </c>
      <c r="E293">
        <v>123</v>
      </c>
      <c r="F293">
        <v>68</v>
      </c>
    </row>
    <row r="294" spans="1:6" x14ac:dyDescent="0.25">
      <c r="A294" t="s">
        <v>334</v>
      </c>
      <c r="B294" t="s">
        <v>336</v>
      </c>
      <c r="C294">
        <v>2016</v>
      </c>
      <c r="D294" t="s">
        <v>186</v>
      </c>
      <c r="E294">
        <v>417</v>
      </c>
      <c r="F294">
        <v>208</v>
      </c>
    </row>
    <row r="295" spans="1:6" x14ac:dyDescent="0.25">
      <c r="A295" t="s">
        <v>334</v>
      </c>
      <c r="B295" t="s">
        <v>338</v>
      </c>
      <c r="C295">
        <v>2016</v>
      </c>
      <c r="D295" t="s">
        <v>186</v>
      </c>
      <c r="E295">
        <v>518</v>
      </c>
      <c r="F295">
        <v>173</v>
      </c>
    </row>
    <row r="296" spans="1:6" x14ac:dyDescent="0.25">
      <c r="A296" t="s">
        <v>334</v>
      </c>
      <c r="B296" t="s">
        <v>337</v>
      </c>
      <c r="C296">
        <v>2016</v>
      </c>
      <c r="D296" t="s">
        <v>186</v>
      </c>
      <c r="E296">
        <v>680</v>
      </c>
      <c r="F296">
        <v>184</v>
      </c>
    </row>
    <row r="297" spans="1:6" x14ac:dyDescent="0.25">
      <c r="A297" t="s">
        <v>334</v>
      </c>
      <c r="B297" t="s">
        <v>335</v>
      </c>
      <c r="C297">
        <v>2016</v>
      </c>
      <c r="D297" t="s">
        <v>186</v>
      </c>
      <c r="E297">
        <v>100</v>
      </c>
      <c r="F297">
        <v>84</v>
      </c>
    </row>
    <row r="298" spans="1:6" x14ac:dyDescent="0.25">
      <c r="A298" t="s">
        <v>329</v>
      </c>
      <c r="B298" t="s">
        <v>330</v>
      </c>
      <c r="C298">
        <v>2016</v>
      </c>
      <c r="D298" t="s">
        <v>187</v>
      </c>
      <c r="E298">
        <v>491</v>
      </c>
      <c r="F298">
        <v>245</v>
      </c>
    </row>
    <row r="299" spans="1:6" x14ac:dyDescent="0.25">
      <c r="A299" t="s">
        <v>329</v>
      </c>
      <c r="B299" t="s">
        <v>331</v>
      </c>
      <c r="C299">
        <v>2016</v>
      </c>
      <c r="D299" t="s">
        <v>187</v>
      </c>
      <c r="E299">
        <v>477</v>
      </c>
      <c r="F299">
        <v>159</v>
      </c>
    </row>
    <row r="300" spans="1:6" x14ac:dyDescent="0.25">
      <c r="A300" t="s">
        <v>329</v>
      </c>
      <c r="B300" t="s">
        <v>332</v>
      </c>
      <c r="C300">
        <v>2016</v>
      </c>
      <c r="D300" t="s">
        <v>187</v>
      </c>
      <c r="E300">
        <v>529</v>
      </c>
      <c r="F300">
        <v>143</v>
      </c>
    </row>
    <row r="301" spans="1:6" x14ac:dyDescent="0.25">
      <c r="A301" t="s">
        <v>329</v>
      </c>
      <c r="B301" t="s">
        <v>333</v>
      </c>
      <c r="C301">
        <v>2016</v>
      </c>
      <c r="D301" t="s">
        <v>187</v>
      </c>
      <c r="E301">
        <v>216</v>
      </c>
      <c r="F301">
        <v>118</v>
      </c>
    </row>
    <row r="302" spans="1:6" x14ac:dyDescent="0.25">
      <c r="A302" t="s">
        <v>334</v>
      </c>
      <c r="B302" t="s">
        <v>336</v>
      </c>
      <c r="C302">
        <v>2016</v>
      </c>
      <c r="D302" t="s">
        <v>187</v>
      </c>
      <c r="E302">
        <v>491</v>
      </c>
      <c r="F302">
        <v>245</v>
      </c>
    </row>
    <row r="303" spans="1:6" x14ac:dyDescent="0.25">
      <c r="A303" t="s">
        <v>334</v>
      </c>
      <c r="B303" t="s">
        <v>338</v>
      </c>
      <c r="C303">
        <v>2016</v>
      </c>
      <c r="D303" t="s">
        <v>187</v>
      </c>
      <c r="E303">
        <v>477</v>
      </c>
      <c r="F303">
        <v>159</v>
      </c>
    </row>
    <row r="304" spans="1:6" x14ac:dyDescent="0.25">
      <c r="A304" t="s">
        <v>334</v>
      </c>
      <c r="B304" t="s">
        <v>337</v>
      </c>
      <c r="C304">
        <v>2016</v>
      </c>
      <c r="D304" t="s">
        <v>187</v>
      </c>
      <c r="E304">
        <v>529</v>
      </c>
      <c r="F304">
        <v>143</v>
      </c>
    </row>
    <row r="305" spans="1:6" x14ac:dyDescent="0.25">
      <c r="A305" t="s">
        <v>334</v>
      </c>
      <c r="B305" t="s">
        <v>335</v>
      </c>
      <c r="C305">
        <v>2016</v>
      </c>
      <c r="D305" t="s">
        <v>187</v>
      </c>
      <c r="E305">
        <v>200</v>
      </c>
      <c r="F305">
        <v>145</v>
      </c>
    </row>
    <row r="306" spans="1:6" x14ac:dyDescent="0.25">
      <c r="A306" t="s">
        <v>329</v>
      </c>
      <c r="B306" t="s">
        <v>330</v>
      </c>
      <c r="C306">
        <v>2016</v>
      </c>
      <c r="D306" t="s">
        <v>188</v>
      </c>
      <c r="E306">
        <v>518</v>
      </c>
      <c r="F306">
        <v>259</v>
      </c>
    </row>
    <row r="307" spans="1:6" x14ac:dyDescent="0.25">
      <c r="A307" t="s">
        <v>329</v>
      </c>
      <c r="B307" t="s">
        <v>331</v>
      </c>
      <c r="C307">
        <v>2016</v>
      </c>
      <c r="D307" t="s">
        <v>188</v>
      </c>
      <c r="E307">
        <v>520</v>
      </c>
      <c r="F307">
        <v>174</v>
      </c>
    </row>
    <row r="308" spans="1:6" x14ac:dyDescent="0.25">
      <c r="A308" t="s">
        <v>329</v>
      </c>
      <c r="B308" t="s">
        <v>332</v>
      </c>
      <c r="C308">
        <v>2016</v>
      </c>
      <c r="D308" t="s">
        <v>188</v>
      </c>
      <c r="E308">
        <v>594</v>
      </c>
      <c r="F308">
        <v>160</v>
      </c>
    </row>
    <row r="309" spans="1:6" x14ac:dyDescent="0.25">
      <c r="A309" t="s">
        <v>329</v>
      </c>
      <c r="B309" t="s">
        <v>333</v>
      </c>
      <c r="C309">
        <v>2016</v>
      </c>
      <c r="D309" t="s">
        <v>188</v>
      </c>
      <c r="E309">
        <v>120</v>
      </c>
      <c r="F309">
        <v>66</v>
      </c>
    </row>
    <row r="310" spans="1:6" x14ac:dyDescent="0.25">
      <c r="A310" t="s">
        <v>334</v>
      </c>
      <c r="B310" t="s">
        <v>336</v>
      </c>
      <c r="C310">
        <v>2016</v>
      </c>
      <c r="D310" t="s">
        <v>188</v>
      </c>
      <c r="E310">
        <v>518</v>
      </c>
      <c r="F310">
        <v>259</v>
      </c>
    </row>
    <row r="311" spans="1:6" x14ac:dyDescent="0.25">
      <c r="A311" t="s">
        <v>334</v>
      </c>
      <c r="B311" t="s">
        <v>338</v>
      </c>
      <c r="C311">
        <v>2016</v>
      </c>
      <c r="D311" t="s">
        <v>188</v>
      </c>
      <c r="E311">
        <v>520</v>
      </c>
      <c r="F311">
        <v>174</v>
      </c>
    </row>
    <row r="312" spans="1:6" x14ac:dyDescent="0.25">
      <c r="A312" t="s">
        <v>334</v>
      </c>
      <c r="B312" t="s">
        <v>337</v>
      </c>
      <c r="C312">
        <v>2016</v>
      </c>
      <c r="D312" t="s">
        <v>188</v>
      </c>
      <c r="E312">
        <v>594</v>
      </c>
      <c r="F312">
        <v>160</v>
      </c>
    </row>
    <row r="313" spans="1:6" x14ac:dyDescent="0.25">
      <c r="A313" t="s">
        <v>334</v>
      </c>
      <c r="B313" t="s">
        <v>335</v>
      </c>
      <c r="C313">
        <v>2016</v>
      </c>
      <c r="D313" t="s">
        <v>188</v>
      </c>
      <c r="E313">
        <v>140</v>
      </c>
      <c r="F313">
        <v>81</v>
      </c>
    </row>
    <row r="314" spans="1:6" x14ac:dyDescent="0.25">
      <c r="A314" t="s">
        <v>329</v>
      </c>
      <c r="B314" t="s">
        <v>330</v>
      </c>
      <c r="C314">
        <v>2016</v>
      </c>
      <c r="D314" t="s">
        <v>189</v>
      </c>
      <c r="E314">
        <v>529</v>
      </c>
      <c r="F314">
        <v>265</v>
      </c>
    </row>
    <row r="315" spans="1:6" x14ac:dyDescent="0.25">
      <c r="A315" t="s">
        <v>329</v>
      </c>
      <c r="B315" t="s">
        <v>331</v>
      </c>
      <c r="C315">
        <v>2016</v>
      </c>
      <c r="D315" t="s">
        <v>189</v>
      </c>
      <c r="E315">
        <v>540</v>
      </c>
      <c r="F315">
        <v>159</v>
      </c>
    </row>
    <row r="316" spans="1:6" x14ac:dyDescent="0.25">
      <c r="A316" t="s">
        <v>329</v>
      </c>
      <c r="B316" t="s">
        <v>332</v>
      </c>
      <c r="C316">
        <v>2016</v>
      </c>
      <c r="D316" t="s">
        <v>189</v>
      </c>
      <c r="E316">
        <v>549</v>
      </c>
      <c r="F316">
        <v>149</v>
      </c>
    </row>
    <row r="317" spans="1:6" x14ac:dyDescent="0.25">
      <c r="A317" t="s">
        <v>329</v>
      </c>
      <c r="B317" t="s">
        <v>333</v>
      </c>
      <c r="C317">
        <v>2016</v>
      </c>
      <c r="D317" t="s">
        <v>189</v>
      </c>
      <c r="E317">
        <v>162</v>
      </c>
      <c r="F317">
        <v>88</v>
      </c>
    </row>
    <row r="318" spans="1:6" x14ac:dyDescent="0.25">
      <c r="A318" t="s">
        <v>334</v>
      </c>
      <c r="B318" t="s">
        <v>336</v>
      </c>
      <c r="C318">
        <v>2016</v>
      </c>
      <c r="D318" t="s">
        <v>189</v>
      </c>
      <c r="E318">
        <v>529</v>
      </c>
      <c r="F318">
        <v>265</v>
      </c>
    </row>
    <row r="319" spans="1:6" x14ac:dyDescent="0.25">
      <c r="A319" t="s">
        <v>334</v>
      </c>
      <c r="B319" t="s">
        <v>338</v>
      </c>
      <c r="C319">
        <v>2016</v>
      </c>
      <c r="D319" t="s">
        <v>189</v>
      </c>
      <c r="E319">
        <v>479</v>
      </c>
      <c r="F319">
        <v>159</v>
      </c>
    </row>
    <row r="320" spans="1:6" x14ac:dyDescent="0.25">
      <c r="A320" t="s">
        <v>334</v>
      </c>
      <c r="B320" t="s">
        <v>337</v>
      </c>
      <c r="C320">
        <v>2016</v>
      </c>
      <c r="D320" t="s">
        <v>189</v>
      </c>
      <c r="E320">
        <v>549</v>
      </c>
      <c r="F320">
        <v>149</v>
      </c>
    </row>
    <row r="321" spans="1:6" x14ac:dyDescent="0.25">
      <c r="A321" t="s">
        <v>334</v>
      </c>
      <c r="B321" t="s">
        <v>335</v>
      </c>
      <c r="C321">
        <v>2016</v>
      </c>
      <c r="D321" t="s">
        <v>189</v>
      </c>
      <c r="E321">
        <v>150</v>
      </c>
      <c r="F321">
        <v>109</v>
      </c>
    </row>
  </sheetData>
  <pageMargins left="0.7" right="0.7" top="0.75" bottom="0.75" header="0.3" footer="0.3"/>
  <pageSetup paperSize="9" orientation="portrait" r:id="rId4"/>
  <drawing r:id="rId5"/>
  <tableParts count="1">
    <tablePart r:id="rId6"/>
  </tableParts>
  <extLst>
    <ext xmlns:x14="http://schemas.microsoft.com/office/spreadsheetml/2009/9/main" uri="{A8765BA9-456A-4dab-B4F3-ACF838C121DE}">
      <x14:slicerList>
        <x14:slicer r:id="rId7"/>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theme="6" tint="-0.249977111117893"/>
    <pageSetUpPr autoPageBreaks="0"/>
  </sheetPr>
  <dimension ref="A1:K24"/>
  <sheetViews>
    <sheetView showGridLines="0" zoomScaleNormal="100" workbookViewId="0"/>
  </sheetViews>
  <sheetFormatPr defaultColWidth="9" defaultRowHeight="15" outlineLevelCol="1" x14ac:dyDescent="0.25"/>
  <cols>
    <col min="1" max="1" width="16.42578125" customWidth="1"/>
    <col min="2" max="2" width="15.140625" customWidth="1"/>
    <col min="3" max="5" width="9.28515625" customWidth="1"/>
    <col min="6" max="6" width="0.85546875" customWidth="1"/>
    <col min="7" max="8" width="9.28515625" customWidth="1"/>
    <col min="9" max="10" width="15.5703125" hidden="1" customWidth="1" outlineLevel="1"/>
    <col min="11" max="11" width="9.140625" collapsed="1"/>
  </cols>
  <sheetData>
    <row r="1" spans="1:10" x14ac:dyDescent="0.25">
      <c r="A1" s="83" t="s">
        <v>19</v>
      </c>
      <c r="B1" t="s">
        <v>447</v>
      </c>
    </row>
    <row r="2" spans="1:10" x14ac:dyDescent="0.25">
      <c r="C2" s="140">
        <f>C3</f>
        <v>2016</v>
      </c>
      <c r="D2" s="140"/>
      <c r="E2" s="140"/>
      <c r="F2" s="7"/>
      <c r="G2" s="140">
        <f>G3</f>
        <v>2015</v>
      </c>
      <c r="H2" s="140"/>
    </row>
    <row r="3" spans="1:10" hidden="1" x14ac:dyDescent="0.25">
      <c r="C3">
        <v>2016</v>
      </c>
      <c r="G3">
        <v>2015</v>
      </c>
    </row>
    <row r="4" spans="1:10" x14ac:dyDescent="0.25">
      <c r="C4" t="s">
        <v>340</v>
      </c>
      <c r="D4" t="s">
        <v>339</v>
      </c>
      <c r="E4" t="s">
        <v>427</v>
      </c>
      <c r="F4" t="s">
        <v>341</v>
      </c>
      <c r="G4" t="s">
        <v>340</v>
      </c>
      <c r="H4" t="s">
        <v>339</v>
      </c>
      <c r="I4" t="s">
        <v>427</v>
      </c>
      <c r="J4" t="s">
        <v>341</v>
      </c>
    </row>
    <row r="5" spans="1:10" x14ac:dyDescent="0.25">
      <c r="A5" t="s">
        <v>329</v>
      </c>
      <c r="B5" t="s">
        <v>332</v>
      </c>
      <c r="C5" s="39">
        <v>1894</v>
      </c>
      <c r="D5" s="39">
        <v>7012</v>
      </c>
      <c r="E5" s="123">
        <v>-2.0122973728339856E-2</v>
      </c>
      <c r="F5" s="122">
        <v>-2.0122973728339856E-2</v>
      </c>
      <c r="G5" s="39">
        <v>2104</v>
      </c>
      <c r="H5" s="39">
        <v>7156</v>
      </c>
      <c r="I5" s="123"/>
      <c r="J5" s="122"/>
    </row>
    <row r="6" spans="1:10" x14ac:dyDescent="0.25">
      <c r="B6" t="s">
        <v>330</v>
      </c>
      <c r="C6" s="39">
        <v>2946</v>
      </c>
      <c r="D6" s="39">
        <v>5910</v>
      </c>
      <c r="E6" s="123">
        <v>6.8143100511073255E-3</v>
      </c>
      <c r="F6" s="122">
        <v>6.8143100511073255E-3</v>
      </c>
      <c r="G6" s="39">
        <v>2923</v>
      </c>
      <c r="H6" s="39">
        <v>5870</v>
      </c>
      <c r="I6" s="123"/>
      <c r="J6" s="122"/>
    </row>
    <row r="7" spans="1:10" x14ac:dyDescent="0.25">
      <c r="B7" t="s">
        <v>331</v>
      </c>
      <c r="C7" s="39">
        <v>2104</v>
      </c>
      <c r="D7" s="39">
        <v>6846</v>
      </c>
      <c r="E7" s="123">
        <v>-2.3952095808383235E-2</v>
      </c>
      <c r="F7" s="122">
        <v>-2.3952095808383235E-2</v>
      </c>
      <c r="G7" s="39">
        <v>2338</v>
      </c>
      <c r="H7" s="39">
        <v>7014</v>
      </c>
      <c r="I7" s="123"/>
      <c r="J7" s="122"/>
    </row>
    <row r="8" spans="1:10" x14ac:dyDescent="0.25">
      <c r="B8" t="s">
        <v>333</v>
      </c>
      <c r="C8" s="39">
        <v>1063</v>
      </c>
      <c r="D8" s="39">
        <v>1951</v>
      </c>
      <c r="E8" s="123">
        <v>0.10225988700564972</v>
      </c>
      <c r="F8" s="122">
        <v>0.10225988700564972</v>
      </c>
      <c r="G8" s="39">
        <v>1180</v>
      </c>
      <c r="H8" s="39">
        <v>1770</v>
      </c>
      <c r="I8" s="123"/>
      <c r="J8" s="122"/>
    </row>
    <row r="9" spans="1:10" x14ac:dyDescent="0.25">
      <c r="A9" t="s">
        <v>425</v>
      </c>
      <c r="C9" s="39">
        <v>8007</v>
      </c>
      <c r="D9" s="39">
        <v>21719</v>
      </c>
      <c r="E9" s="123">
        <v>-4.1723979825767999E-3</v>
      </c>
      <c r="F9" s="122">
        <v>-4.1723979825767999E-3</v>
      </c>
      <c r="G9" s="39">
        <v>8545</v>
      </c>
      <c r="H9" s="39">
        <v>21810</v>
      </c>
      <c r="I9" s="123"/>
      <c r="J9" s="122"/>
    </row>
    <row r="10" spans="1:10" x14ac:dyDescent="0.25">
      <c r="A10" t="s">
        <v>334</v>
      </c>
      <c r="B10" t="s">
        <v>335</v>
      </c>
      <c r="C10" s="39">
        <v>1310</v>
      </c>
      <c r="D10" s="39">
        <v>1937</v>
      </c>
      <c r="E10" s="123">
        <v>-6.1570035915854285E-3</v>
      </c>
      <c r="F10" s="122">
        <v>-6.1570035915854285E-3</v>
      </c>
      <c r="G10" s="39">
        <v>1298</v>
      </c>
      <c r="H10" s="39">
        <v>1949</v>
      </c>
      <c r="I10" s="123"/>
      <c r="J10" s="122"/>
    </row>
    <row r="11" spans="1:10" x14ac:dyDescent="0.25">
      <c r="B11" t="s">
        <v>337</v>
      </c>
      <c r="C11" s="39">
        <v>1894</v>
      </c>
      <c r="D11" s="39">
        <v>7012</v>
      </c>
      <c r="E11" s="123">
        <v>-2.0122973728339856E-2</v>
      </c>
      <c r="F11" s="122">
        <v>-2.0122973728339856E-2</v>
      </c>
      <c r="G11" s="39">
        <v>2104</v>
      </c>
      <c r="H11" s="39">
        <v>7156</v>
      </c>
      <c r="I11" s="123"/>
      <c r="J11" s="122"/>
    </row>
    <row r="12" spans="1:10" x14ac:dyDescent="0.25">
      <c r="B12" t="s">
        <v>336</v>
      </c>
      <c r="C12" s="39">
        <v>2946</v>
      </c>
      <c r="D12" s="39">
        <v>5910</v>
      </c>
      <c r="E12" s="123">
        <v>1.1293634496919919E-2</v>
      </c>
      <c r="F12" s="122">
        <v>1.1293634496919919E-2</v>
      </c>
      <c r="G12" s="39">
        <v>2923</v>
      </c>
      <c r="H12" s="39">
        <v>5844</v>
      </c>
      <c r="I12" s="123"/>
      <c r="J12" s="122"/>
    </row>
    <row r="13" spans="1:10" x14ac:dyDescent="0.25">
      <c r="B13" t="s">
        <v>338</v>
      </c>
      <c r="C13" s="39">
        <v>2104</v>
      </c>
      <c r="D13" s="39">
        <v>6313</v>
      </c>
      <c r="E13" s="123">
        <v>-9.9942971200456227E-2</v>
      </c>
      <c r="F13" s="122">
        <v>-9.9942971200456227E-2</v>
      </c>
      <c r="G13" s="39">
        <v>2338</v>
      </c>
      <c r="H13" s="39">
        <v>7014</v>
      </c>
      <c r="I13" s="123"/>
      <c r="J13" s="122"/>
    </row>
    <row r="14" spans="1:10" x14ac:dyDescent="0.25">
      <c r="A14" t="s">
        <v>426</v>
      </c>
      <c r="C14" s="39">
        <v>8254</v>
      </c>
      <c r="D14" s="39">
        <v>21172</v>
      </c>
      <c r="E14" s="123">
        <v>-3.6015116332012931E-2</v>
      </c>
      <c r="F14" s="122">
        <v>-3.6015116332012931E-2</v>
      </c>
      <c r="G14" s="39">
        <v>8663</v>
      </c>
      <c r="H14" s="39">
        <v>21963</v>
      </c>
      <c r="I14" s="123"/>
      <c r="J14" s="122"/>
    </row>
    <row r="15" spans="1:10" x14ac:dyDescent="0.25">
      <c r="A15" t="s">
        <v>424</v>
      </c>
      <c r="C15" s="39">
        <v>16261</v>
      </c>
      <c r="D15" s="39">
        <v>42891</v>
      </c>
      <c r="E15" s="123">
        <v>-2.0149407168802688E-2</v>
      </c>
      <c r="F15" s="122">
        <v>-2.0149407168802688E-2</v>
      </c>
      <c r="G15" s="39">
        <v>17208</v>
      </c>
      <c r="H15" s="39">
        <v>43773</v>
      </c>
      <c r="I15" s="123"/>
      <c r="J15" s="122"/>
    </row>
    <row r="23" spans="1:11" ht="16.5" thickBot="1" x14ac:dyDescent="0.3">
      <c r="A23" s="68" t="s">
        <v>446</v>
      </c>
      <c r="B23" s="68"/>
      <c r="C23" s="68"/>
      <c r="D23" s="68"/>
      <c r="E23" s="68"/>
      <c r="F23" s="68"/>
      <c r="G23" s="68"/>
      <c r="H23" s="68"/>
      <c r="I23" s="68"/>
      <c r="J23" s="68"/>
      <c r="K23" s="68"/>
    </row>
    <row r="24" spans="1:11" x14ac:dyDescent="0.25">
      <c r="A24" s="84"/>
    </row>
  </sheetData>
  <conditionalFormatting pivot="1" sqref="F5:F15 J5:J15">
    <cfRule type="cellIs" dxfId="6" priority="2" operator="lessThan">
      <formula>0</formula>
    </cfRule>
  </conditionalFormatting>
  <conditionalFormatting pivot="1" sqref="F5:F15 J5:J15">
    <cfRule type="cellIs" dxfId="5" priority="1" operator="greaterThanOrEqual">
      <formula>0</formula>
    </cfRule>
  </conditionalFormatting>
  <pageMargins left="0.7" right="0.7" top="0.75" bottom="0.75" header="0.3" footer="0.3"/>
  <pageSetup paperSize="9" scale="97" orientation="portrait" r:id="rId2"/>
  <rowBreaks count="1" manualBreakCount="1">
    <brk id="21" max="10" man="1"/>
  </rowBreaks>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theme="6" tint="-0.249977111117893"/>
  </sheetPr>
  <dimension ref="A1:H1"/>
  <sheetViews>
    <sheetView showGridLines="0" workbookViewId="0">
      <selection activeCell="A4" sqref="A4"/>
    </sheetView>
  </sheetViews>
  <sheetFormatPr defaultColWidth="9" defaultRowHeight="15" x14ac:dyDescent="0.25"/>
  <cols>
    <col min="3" max="3" width="34.42578125" customWidth="1"/>
    <col min="4" max="4" width="63.28515625" customWidth="1"/>
    <col min="5" max="5" width="10.85546875" customWidth="1"/>
  </cols>
  <sheetData>
    <row r="1" spans="1:8" ht="17.25" x14ac:dyDescent="0.3">
      <c r="A1" s="1" t="s">
        <v>455</v>
      </c>
      <c r="B1" s="2"/>
      <c r="C1" s="2"/>
      <c r="D1" s="2"/>
      <c r="E1" s="2"/>
      <c r="F1" s="2"/>
      <c r="G1" s="2"/>
      <c r="H1" s="2"/>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theme="3" tint="0.39997558519241921"/>
  </sheetPr>
  <dimension ref="A1:J22"/>
  <sheetViews>
    <sheetView topLeftCell="A3" zoomScale="110" zoomScaleNormal="110" workbookViewId="0">
      <selection activeCell="A3" sqref="A3"/>
    </sheetView>
  </sheetViews>
  <sheetFormatPr defaultColWidth="9" defaultRowHeight="15" x14ac:dyDescent="0.25"/>
  <cols>
    <col min="2" max="2" width="11.5703125" bestFit="1" customWidth="1"/>
    <col min="4" max="4" width="14" bestFit="1" customWidth="1"/>
    <col min="7" max="7" width="6.42578125" customWidth="1"/>
    <col min="8" max="8" width="10.7109375" bestFit="1" customWidth="1"/>
  </cols>
  <sheetData>
    <row r="1" spans="1:10" ht="16.5" customHeight="1" x14ac:dyDescent="0.3">
      <c r="A1" s="1" t="s">
        <v>17</v>
      </c>
      <c r="B1" s="2"/>
      <c r="C1" s="2"/>
      <c r="D1" s="2"/>
      <c r="E1" s="2"/>
      <c r="F1" s="2"/>
      <c r="G1" s="2"/>
    </row>
    <row r="3" spans="1:10" x14ac:dyDescent="0.25">
      <c r="A3" s="5" t="s">
        <v>19</v>
      </c>
      <c r="B3" s="5" t="s">
        <v>20</v>
      </c>
      <c r="C3" s="5" t="s">
        <v>21</v>
      </c>
      <c r="D3" s="5" t="s">
        <v>18</v>
      </c>
    </row>
    <row r="4" spans="1:10" x14ac:dyDescent="0.25">
      <c r="A4" t="s">
        <v>22</v>
      </c>
      <c r="B4" t="s">
        <v>27</v>
      </c>
      <c r="C4" t="s">
        <v>16</v>
      </c>
      <c r="D4">
        <v>546</v>
      </c>
      <c r="G4" s="7" t="s">
        <v>30</v>
      </c>
    </row>
    <row r="5" spans="1:10" x14ac:dyDescent="0.25">
      <c r="A5" t="s">
        <v>22</v>
      </c>
      <c r="B5" t="s">
        <v>28</v>
      </c>
      <c r="C5" t="s">
        <v>16</v>
      </c>
      <c r="D5">
        <v>519</v>
      </c>
      <c r="G5" t="s">
        <v>23</v>
      </c>
      <c r="J5" s="101">
        <f>SUMIF(A4:A22,G5,D4:D22)</f>
        <v>4103</v>
      </c>
    </row>
    <row r="6" spans="1:10" x14ac:dyDescent="0.25">
      <c r="A6" t="s">
        <v>23</v>
      </c>
      <c r="B6" t="s">
        <v>27</v>
      </c>
      <c r="C6" t="s">
        <v>16</v>
      </c>
      <c r="D6">
        <v>492</v>
      </c>
      <c r="G6" t="s">
        <v>23</v>
      </c>
      <c r="H6" t="s">
        <v>27</v>
      </c>
      <c r="J6" s="101">
        <f>SUMIFS(D4:D22,A4:A22,G6,B4:B22,H6)</f>
        <v>2028</v>
      </c>
    </row>
    <row r="7" spans="1:10" x14ac:dyDescent="0.25">
      <c r="A7" t="s">
        <v>23</v>
      </c>
      <c r="B7" t="s">
        <v>28</v>
      </c>
      <c r="C7" t="s">
        <v>16</v>
      </c>
      <c r="D7">
        <v>559</v>
      </c>
      <c r="G7" t="s">
        <v>23</v>
      </c>
      <c r="H7" t="s">
        <v>27</v>
      </c>
      <c r="I7" t="s">
        <v>16</v>
      </c>
      <c r="J7" s="101">
        <f>SUMIFS(D4:D22,A4:A22,G7,B4:B22,H7,C4:C22,I7)</f>
        <v>1618</v>
      </c>
    </row>
    <row r="8" spans="1:10" x14ac:dyDescent="0.25">
      <c r="A8" t="s">
        <v>23</v>
      </c>
      <c r="B8" t="s">
        <v>27</v>
      </c>
      <c r="C8" t="s">
        <v>16</v>
      </c>
      <c r="D8">
        <v>591</v>
      </c>
    </row>
    <row r="9" spans="1:10" x14ac:dyDescent="0.25">
      <c r="A9" t="s">
        <v>23</v>
      </c>
      <c r="B9" t="s">
        <v>27</v>
      </c>
      <c r="C9" t="s">
        <v>16</v>
      </c>
      <c r="D9">
        <v>535</v>
      </c>
    </row>
    <row r="10" spans="1:10" x14ac:dyDescent="0.25">
      <c r="A10" t="s">
        <v>23</v>
      </c>
      <c r="B10" t="s">
        <v>28</v>
      </c>
      <c r="C10" t="s">
        <v>16</v>
      </c>
      <c r="D10">
        <v>550</v>
      </c>
      <c r="G10" s="7" t="s">
        <v>31</v>
      </c>
    </row>
    <row r="11" spans="1:10" x14ac:dyDescent="0.25">
      <c r="A11" t="s">
        <v>23</v>
      </c>
      <c r="B11" t="s">
        <v>29</v>
      </c>
      <c r="C11" t="s">
        <v>16</v>
      </c>
      <c r="D11">
        <v>517</v>
      </c>
      <c r="G11" t="s">
        <v>23</v>
      </c>
      <c r="J11" s="101">
        <f>COUNTIF(A4:A22,G11)</f>
        <v>8</v>
      </c>
    </row>
    <row r="12" spans="1:10" x14ac:dyDescent="0.25">
      <c r="A12" t="s">
        <v>23</v>
      </c>
      <c r="B12" t="s">
        <v>28</v>
      </c>
      <c r="C12" t="s">
        <v>15</v>
      </c>
      <c r="D12">
        <v>449</v>
      </c>
      <c r="G12" t="s">
        <v>23</v>
      </c>
      <c r="H12" t="s">
        <v>27</v>
      </c>
      <c r="J12" s="101">
        <f>COUNTIFS(A4:A22,G12,B4:B22,H12)</f>
        <v>4</v>
      </c>
    </row>
    <row r="13" spans="1:10" x14ac:dyDescent="0.25">
      <c r="A13" t="s">
        <v>23</v>
      </c>
      <c r="B13" t="s">
        <v>27</v>
      </c>
      <c r="C13" t="s">
        <v>15</v>
      </c>
      <c r="D13">
        <v>410</v>
      </c>
      <c r="G13" t="s">
        <v>23</v>
      </c>
      <c r="H13" t="s">
        <v>27</v>
      </c>
      <c r="I13" t="s">
        <v>16</v>
      </c>
      <c r="J13" s="101">
        <f>COUNTIFS(A4:A22,G13,B4:B22,H13,C4:C22,I13)</f>
        <v>3</v>
      </c>
    </row>
    <row r="14" spans="1:10" x14ac:dyDescent="0.25">
      <c r="A14" t="s">
        <v>24</v>
      </c>
      <c r="B14" t="s">
        <v>27</v>
      </c>
      <c r="C14" t="s">
        <v>15</v>
      </c>
      <c r="D14">
        <v>435</v>
      </c>
    </row>
    <row r="15" spans="1:10" x14ac:dyDescent="0.25">
      <c r="A15" t="s">
        <v>24</v>
      </c>
      <c r="B15" t="s">
        <v>29</v>
      </c>
      <c r="C15" t="s">
        <v>16</v>
      </c>
      <c r="D15">
        <v>468</v>
      </c>
    </row>
    <row r="16" spans="1:10" x14ac:dyDescent="0.25">
      <c r="A16" t="s">
        <v>25</v>
      </c>
      <c r="B16" t="s">
        <v>28</v>
      </c>
      <c r="C16" t="s">
        <v>16</v>
      </c>
      <c r="D16">
        <v>568</v>
      </c>
    </row>
    <row r="17" spans="1:4" x14ac:dyDescent="0.25">
      <c r="A17" t="s">
        <v>25</v>
      </c>
      <c r="B17" t="s">
        <v>27</v>
      </c>
      <c r="C17" t="s">
        <v>16</v>
      </c>
      <c r="D17">
        <v>432</v>
      </c>
    </row>
    <row r="18" spans="1:4" x14ac:dyDescent="0.25">
      <c r="A18" t="s">
        <v>25</v>
      </c>
      <c r="B18" t="s">
        <v>27</v>
      </c>
      <c r="C18" t="s">
        <v>16</v>
      </c>
      <c r="D18">
        <v>431</v>
      </c>
    </row>
    <row r="19" spans="1:4" x14ac:dyDescent="0.25">
      <c r="A19" t="s">
        <v>25</v>
      </c>
      <c r="B19" t="s">
        <v>28</v>
      </c>
      <c r="C19" t="s">
        <v>15</v>
      </c>
      <c r="D19">
        <v>479</v>
      </c>
    </row>
    <row r="20" spans="1:4" x14ac:dyDescent="0.25">
      <c r="A20" t="s">
        <v>25</v>
      </c>
      <c r="B20" t="s">
        <v>29</v>
      </c>
      <c r="C20" t="s">
        <v>15</v>
      </c>
      <c r="D20">
        <v>471</v>
      </c>
    </row>
    <row r="21" spans="1:4" x14ac:dyDescent="0.25">
      <c r="A21" t="s">
        <v>26</v>
      </c>
      <c r="B21" t="s">
        <v>29</v>
      </c>
      <c r="C21" t="s">
        <v>16</v>
      </c>
      <c r="D21">
        <v>534</v>
      </c>
    </row>
    <row r="22" spans="1:4" x14ac:dyDescent="0.25">
      <c r="A22" t="s">
        <v>26</v>
      </c>
      <c r="B22" t="s">
        <v>27</v>
      </c>
      <c r="C22" t="s">
        <v>15</v>
      </c>
      <c r="D22">
        <v>409</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theme="3" tint="0.39997558519241921"/>
  </sheetPr>
  <dimension ref="A1:G18"/>
  <sheetViews>
    <sheetView workbookViewId="0"/>
  </sheetViews>
  <sheetFormatPr defaultColWidth="9" defaultRowHeight="15" x14ac:dyDescent="0.25"/>
  <cols>
    <col min="1" max="1" width="11.85546875" customWidth="1"/>
    <col min="3" max="3" width="13.85546875" customWidth="1"/>
    <col min="4" max="4" width="19.7109375" customWidth="1"/>
    <col min="5" max="5" width="22.140625" bestFit="1" customWidth="1"/>
    <col min="6" max="6" width="38" bestFit="1" customWidth="1"/>
  </cols>
  <sheetData>
    <row r="1" spans="1:7" ht="16.5" customHeight="1" x14ac:dyDescent="0.3">
      <c r="A1" s="1" t="s">
        <v>32</v>
      </c>
      <c r="B1" s="2"/>
      <c r="C1" s="2"/>
      <c r="D1" s="2"/>
      <c r="E1" s="2"/>
      <c r="F1" s="2"/>
      <c r="G1" s="2"/>
    </row>
    <row r="3" spans="1:7" s="8" customFormat="1" ht="45.75" customHeight="1" x14ac:dyDescent="0.25">
      <c r="A3" s="9" t="s">
        <v>40</v>
      </c>
      <c r="B3" s="9" t="s">
        <v>41</v>
      </c>
      <c r="C3" s="9" t="s">
        <v>42</v>
      </c>
      <c r="D3" s="10" t="s">
        <v>43</v>
      </c>
      <c r="E3" s="10" t="s">
        <v>44</v>
      </c>
      <c r="F3" s="10" t="s">
        <v>274</v>
      </c>
    </row>
    <row r="4" spans="1:7" x14ac:dyDescent="0.25">
      <c r="A4" t="s">
        <v>33</v>
      </c>
      <c r="B4">
        <v>5</v>
      </c>
      <c r="C4">
        <v>280</v>
      </c>
      <c r="D4" t="str">
        <f>IF(B4&lt;=3,"Flag","")</f>
        <v/>
      </c>
      <c r="E4" t="str">
        <f>IF(AND(B4&lt;=3,C4&lt;200),"Flag","")</f>
        <v/>
      </c>
      <c r="F4" t="str">
        <f>IF(AND(C4&gt;=300,B4&gt;=4),"Gift",IF(C4&gt;=250,"Praise",""))</f>
        <v>Praise</v>
      </c>
    </row>
    <row r="5" spans="1:7" x14ac:dyDescent="0.25">
      <c r="A5" t="s">
        <v>34</v>
      </c>
      <c r="B5">
        <v>6</v>
      </c>
      <c r="C5">
        <v>300</v>
      </c>
      <c r="D5" t="str">
        <f>IF(B5&lt;=3,"Flag","")</f>
        <v/>
      </c>
      <c r="E5" t="str">
        <f t="shared" ref="E5:E10" si="0">IF(AND(B5&lt;=3,C5&lt;200),"Flag","")</f>
        <v/>
      </c>
      <c r="F5" t="str">
        <f t="shared" ref="F5:F10" si="1">IF(AND(C5&gt;=300,B5&gt;=4),"Gift",IF(C5&gt;=250,"Praise",""))</f>
        <v>Gift</v>
      </c>
    </row>
    <row r="6" spans="1:7" x14ac:dyDescent="0.25">
      <c r="A6" t="s">
        <v>35</v>
      </c>
      <c r="B6">
        <v>1</v>
      </c>
      <c r="C6">
        <v>50</v>
      </c>
      <c r="D6" t="str">
        <f>IF(B6&lt;=3,"Flag","")</f>
        <v>Flag</v>
      </c>
      <c r="E6" t="str">
        <f t="shared" si="0"/>
        <v>Flag</v>
      </c>
      <c r="F6" t="str">
        <f t="shared" si="1"/>
        <v/>
      </c>
    </row>
    <row r="7" spans="1:7" x14ac:dyDescent="0.25">
      <c r="A7" t="s">
        <v>36</v>
      </c>
      <c r="B7">
        <v>5</v>
      </c>
      <c r="C7">
        <v>350</v>
      </c>
      <c r="D7" t="str">
        <f t="shared" ref="D7:D10" si="2">IF(B7&lt;=3,"Flag","")</f>
        <v/>
      </c>
      <c r="E7" t="str">
        <f t="shared" si="0"/>
        <v/>
      </c>
      <c r="F7" t="str">
        <f t="shared" si="1"/>
        <v>Gift</v>
      </c>
    </row>
    <row r="8" spans="1:7" x14ac:dyDescent="0.25">
      <c r="A8" t="s">
        <v>37</v>
      </c>
      <c r="B8">
        <v>2</v>
      </c>
      <c r="C8">
        <v>210</v>
      </c>
      <c r="D8" t="str">
        <f t="shared" si="2"/>
        <v>Flag</v>
      </c>
      <c r="E8" t="str">
        <f t="shared" si="0"/>
        <v/>
      </c>
      <c r="F8" t="str">
        <f t="shared" si="1"/>
        <v/>
      </c>
    </row>
    <row r="9" spans="1:7" x14ac:dyDescent="0.25">
      <c r="A9" t="s">
        <v>38</v>
      </c>
      <c r="B9">
        <v>3</v>
      </c>
      <c r="C9">
        <v>180</v>
      </c>
      <c r="D9" t="str">
        <f t="shared" si="2"/>
        <v>Flag</v>
      </c>
      <c r="E9" t="str">
        <f t="shared" si="0"/>
        <v>Flag</v>
      </c>
      <c r="F9" t="str">
        <f t="shared" si="1"/>
        <v/>
      </c>
    </row>
    <row r="10" spans="1:7" x14ac:dyDescent="0.25">
      <c r="A10" t="s">
        <v>39</v>
      </c>
      <c r="B10">
        <v>4</v>
      </c>
      <c r="C10">
        <v>350</v>
      </c>
      <c r="D10" t="str">
        <f t="shared" si="2"/>
        <v/>
      </c>
      <c r="E10" t="str">
        <f t="shared" si="0"/>
        <v/>
      </c>
      <c r="F10" t="str">
        <f t="shared" si="1"/>
        <v>Gift</v>
      </c>
    </row>
    <row r="15" spans="1:7" x14ac:dyDescent="0.25">
      <c r="A15" s="9" t="s">
        <v>260</v>
      </c>
      <c r="B15" s="9" t="s">
        <v>261</v>
      </c>
      <c r="C15" s="9" t="s">
        <v>262</v>
      </c>
      <c r="D15" s="9" t="s">
        <v>263</v>
      </c>
      <c r="E15" s="10" t="s">
        <v>264</v>
      </c>
    </row>
    <row r="16" spans="1:7" x14ac:dyDescent="0.25">
      <c r="A16" t="s">
        <v>266</v>
      </c>
      <c r="B16" t="s">
        <v>265</v>
      </c>
      <c r="C16" t="s">
        <v>267</v>
      </c>
      <c r="D16" t="s">
        <v>270</v>
      </c>
      <c r="E16" t="str">
        <f>CONCATENATE(A16,IF(A16="","","/"),B16,IF(B16="","","/"),C16,"/",D16)</f>
        <v>Reporting/Excel/Completed/KPI_development</v>
      </c>
    </row>
    <row r="17" spans="2:5" x14ac:dyDescent="0.25">
      <c r="B17" t="s">
        <v>268</v>
      </c>
      <c r="C17" t="s">
        <v>269</v>
      </c>
      <c r="D17" t="s">
        <v>273</v>
      </c>
      <c r="E17" t="str">
        <f t="shared" ref="E17:E18" si="3">CONCATENATE(A17,IF(A17="","","/"),B17,IF(B17="","","/"),C17,"/",D17)</f>
        <v>Costs/Open/Red_flag_Followup</v>
      </c>
    </row>
    <row r="18" spans="2:5" x14ac:dyDescent="0.25">
      <c r="C18" t="s">
        <v>271</v>
      </c>
      <c r="D18" t="s">
        <v>272</v>
      </c>
      <c r="E18" t="str">
        <f t="shared" si="3"/>
        <v>Documents/Profit_development</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theme="3" tint="0.39997558519241921"/>
  </sheetPr>
  <dimension ref="A1:H35"/>
  <sheetViews>
    <sheetView showGridLines="0" topLeftCell="A7" workbookViewId="0"/>
  </sheetViews>
  <sheetFormatPr defaultColWidth="9" defaultRowHeight="15" x14ac:dyDescent="0.25"/>
  <cols>
    <col min="1" max="1" width="15.28515625" customWidth="1"/>
    <col min="2" max="3" width="13.28515625" bestFit="1" customWidth="1"/>
    <col min="4" max="4" width="10.28515625" customWidth="1"/>
    <col min="6" max="6" width="22" customWidth="1"/>
  </cols>
  <sheetData>
    <row r="1" spans="1:7" ht="16.5" customHeight="1" x14ac:dyDescent="0.3">
      <c r="A1" s="1" t="s">
        <v>60</v>
      </c>
      <c r="B1" s="2"/>
      <c r="C1" s="2"/>
      <c r="D1" s="2"/>
      <c r="E1" s="2"/>
      <c r="F1" s="2"/>
      <c r="G1" s="2"/>
    </row>
    <row r="3" spans="1:7" x14ac:dyDescent="0.25">
      <c r="A3" s="12" t="s">
        <v>45</v>
      </c>
      <c r="B3" s="13" t="s">
        <v>46</v>
      </c>
      <c r="C3" s="13" t="s">
        <v>47</v>
      </c>
      <c r="D3" s="14" t="s">
        <v>48</v>
      </c>
    </row>
    <row r="4" spans="1:7" x14ac:dyDescent="0.25">
      <c r="A4" s="103" t="s">
        <v>49</v>
      </c>
      <c r="B4" s="104">
        <v>2739</v>
      </c>
      <c r="C4" s="104">
        <v>4465</v>
      </c>
      <c r="D4" s="105">
        <f>IFERROR(B4/C4-1,"")</f>
        <v>-0.38656215005599104</v>
      </c>
    </row>
    <row r="5" spans="1:7" x14ac:dyDescent="0.25">
      <c r="A5" s="106" t="s">
        <v>50</v>
      </c>
      <c r="B5" s="107">
        <v>2667</v>
      </c>
      <c r="C5" s="108" t="s">
        <v>61</v>
      </c>
      <c r="D5" s="105" t="str">
        <f t="shared" ref="D5:D14" si="0">IFERROR(B5/C5-1,"")</f>
        <v/>
      </c>
    </row>
    <row r="6" spans="1:7" x14ac:dyDescent="0.25">
      <c r="A6" s="106" t="s">
        <v>51</v>
      </c>
      <c r="B6" s="107">
        <v>2447</v>
      </c>
      <c r="C6" s="107">
        <v>1468</v>
      </c>
      <c r="D6" s="105">
        <f t="shared" si="0"/>
        <v>0.6668937329700273</v>
      </c>
    </row>
    <row r="7" spans="1:7" x14ac:dyDescent="0.25">
      <c r="A7" s="106" t="s">
        <v>52</v>
      </c>
      <c r="B7" s="107">
        <v>2324</v>
      </c>
      <c r="C7" s="107"/>
      <c r="D7" s="105" t="str">
        <f t="shared" si="0"/>
        <v/>
      </c>
    </row>
    <row r="8" spans="1:7" x14ac:dyDescent="0.25">
      <c r="A8" s="106" t="s">
        <v>53</v>
      </c>
      <c r="B8" s="107">
        <v>2274</v>
      </c>
      <c r="C8" s="107">
        <v>3664</v>
      </c>
      <c r="D8" s="105">
        <f t="shared" si="0"/>
        <v>-0.37936681222707425</v>
      </c>
    </row>
    <row r="9" spans="1:7" x14ac:dyDescent="0.25">
      <c r="A9" s="106" t="s">
        <v>54</v>
      </c>
      <c r="B9" s="107">
        <v>2273</v>
      </c>
      <c r="C9" s="108"/>
      <c r="D9" s="105" t="str">
        <f t="shared" si="0"/>
        <v/>
      </c>
    </row>
    <row r="10" spans="1:7" x14ac:dyDescent="0.25">
      <c r="A10" s="106" t="s">
        <v>55</v>
      </c>
      <c r="B10" s="107">
        <v>1915</v>
      </c>
      <c r="C10" s="107">
        <v>3043</v>
      </c>
      <c r="D10" s="105">
        <f t="shared" si="0"/>
        <v>-0.37068682221491944</v>
      </c>
    </row>
    <row r="11" spans="1:7" x14ac:dyDescent="0.25">
      <c r="A11" s="106" t="s">
        <v>56</v>
      </c>
      <c r="B11" s="107">
        <v>1883</v>
      </c>
      <c r="C11" s="107">
        <v>2874</v>
      </c>
      <c r="D11" s="105">
        <f t="shared" si="0"/>
        <v>-0.34481558803061929</v>
      </c>
    </row>
    <row r="12" spans="1:7" x14ac:dyDescent="0.25">
      <c r="A12" s="106" t="s">
        <v>57</v>
      </c>
      <c r="B12" s="107">
        <v>1814</v>
      </c>
      <c r="C12" s="107">
        <v>1600</v>
      </c>
      <c r="D12" s="105">
        <f t="shared" si="0"/>
        <v>0.13375000000000004</v>
      </c>
    </row>
    <row r="13" spans="1:7" x14ac:dyDescent="0.25">
      <c r="A13" s="106" t="s">
        <v>58</v>
      </c>
      <c r="B13" s="107">
        <v>2130</v>
      </c>
      <c r="C13" s="107"/>
      <c r="D13" s="105" t="str">
        <f t="shared" si="0"/>
        <v/>
      </c>
    </row>
    <row r="14" spans="1:7" x14ac:dyDescent="0.25">
      <c r="A14" s="106" t="s">
        <v>59</v>
      </c>
      <c r="B14" s="107">
        <v>2360</v>
      </c>
      <c r="C14" s="107">
        <v>1950</v>
      </c>
      <c r="D14" s="105">
        <f t="shared" si="0"/>
        <v>0.21025641025641018</v>
      </c>
    </row>
    <row r="16" spans="1:7" x14ac:dyDescent="0.25">
      <c r="D16" s="39"/>
    </row>
    <row r="19" spans="1:8" x14ac:dyDescent="0.25">
      <c r="A19" s="12" t="s">
        <v>350</v>
      </c>
      <c r="B19" s="12" t="s">
        <v>211</v>
      </c>
      <c r="C19" s="12"/>
      <c r="D19" s="12"/>
      <c r="E19" s="12"/>
      <c r="F19" s="12"/>
    </row>
    <row r="20" spans="1:8" ht="29.25" customHeight="1" x14ac:dyDescent="0.25">
      <c r="A20" s="109" t="e">
        <v>#DIV/0!</v>
      </c>
      <c r="B20" s="161" t="s">
        <v>351</v>
      </c>
      <c r="C20" s="162"/>
      <c r="D20" s="162"/>
      <c r="E20" s="162"/>
      <c r="F20" s="162"/>
    </row>
    <row r="21" spans="1:8" ht="30" customHeight="1" x14ac:dyDescent="0.25">
      <c r="A21" s="109" t="e">
        <v>#VALUE!</v>
      </c>
      <c r="B21" s="161" t="s">
        <v>355</v>
      </c>
      <c r="C21" s="162"/>
      <c r="D21" s="162"/>
      <c r="E21" s="162"/>
      <c r="F21" s="162"/>
    </row>
    <row r="22" spans="1:8" ht="45.75" customHeight="1" x14ac:dyDescent="0.25">
      <c r="A22" s="109" t="e">
        <v>#REF!</v>
      </c>
      <c r="B22" s="161" t="s">
        <v>353</v>
      </c>
      <c r="C22" s="162"/>
      <c r="D22" s="162"/>
      <c r="E22" s="162"/>
      <c r="F22" s="162"/>
    </row>
    <row r="23" spans="1:8" ht="33" customHeight="1" x14ac:dyDescent="0.25">
      <c r="A23" s="109" t="e">
        <v>#NAME?</v>
      </c>
      <c r="B23" s="161" t="s">
        <v>354</v>
      </c>
      <c r="C23" s="162"/>
      <c r="D23" s="162"/>
      <c r="E23" s="162"/>
      <c r="F23" s="162"/>
    </row>
    <row r="24" spans="1:8" ht="36" customHeight="1" x14ac:dyDescent="0.25">
      <c r="A24" s="109" t="s">
        <v>352</v>
      </c>
      <c r="B24" s="161" t="s">
        <v>356</v>
      </c>
      <c r="C24" s="162"/>
      <c r="D24" s="162"/>
      <c r="E24" s="162"/>
      <c r="F24" s="162"/>
    </row>
    <row r="25" spans="1:8" ht="45" customHeight="1" x14ac:dyDescent="0.25">
      <c r="A25" s="109" t="e">
        <v>#NULL!</v>
      </c>
      <c r="B25" s="161" t="s">
        <v>358</v>
      </c>
      <c r="C25" s="162"/>
      <c r="D25" s="162"/>
      <c r="E25" s="162"/>
      <c r="F25" s="162"/>
      <c r="H25" s="110"/>
    </row>
    <row r="26" spans="1:8" ht="45" customHeight="1" x14ac:dyDescent="0.25">
      <c r="A26" s="109" t="e">
        <v>#NUM!</v>
      </c>
      <c r="B26" s="161" t="s">
        <v>357</v>
      </c>
      <c r="C26" s="162"/>
      <c r="D26" s="162"/>
      <c r="E26" s="162"/>
      <c r="F26" s="162"/>
    </row>
    <row r="27" spans="1:8" ht="14.25" customHeight="1" x14ac:dyDescent="0.25"/>
    <row r="28" spans="1:8" ht="14.25" customHeight="1" x14ac:dyDescent="0.25"/>
    <row r="29" spans="1:8" ht="14.25" customHeight="1" x14ac:dyDescent="0.25"/>
    <row r="30" spans="1:8" ht="14.25" customHeight="1" x14ac:dyDescent="0.25"/>
    <row r="31" spans="1:8" ht="14.25" customHeight="1" x14ac:dyDescent="0.25"/>
    <row r="32" spans="1:8" ht="14.25" customHeight="1" x14ac:dyDescent="0.25"/>
    <row r="33" ht="14.25" customHeight="1" x14ac:dyDescent="0.25"/>
    <row r="34" ht="14.25" customHeight="1" x14ac:dyDescent="0.25"/>
    <row r="35" ht="14.25" customHeight="1" x14ac:dyDescent="0.25"/>
  </sheetData>
  <mergeCells count="7">
    <mergeCell ref="B26:F26"/>
    <mergeCell ref="B24:F24"/>
    <mergeCell ref="B25:F25"/>
    <mergeCell ref="B20:F20"/>
    <mergeCell ref="B21:F21"/>
    <mergeCell ref="B22:F22"/>
    <mergeCell ref="B23:F23"/>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theme="3" tint="0.39997558519241921"/>
  </sheetPr>
  <dimension ref="A1:AA40"/>
  <sheetViews>
    <sheetView zoomScale="110" zoomScaleNormal="110" workbookViewId="0"/>
  </sheetViews>
  <sheetFormatPr defaultColWidth="9" defaultRowHeight="15" x14ac:dyDescent="0.25"/>
  <cols>
    <col min="1" max="1" width="10.85546875" customWidth="1"/>
    <col min="4" max="4" width="12.5703125" customWidth="1"/>
    <col min="5" max="5" width="11" customWidth="1"/>
    <col min="6" max="6" width="10.140625" customWidth="1"/>
    <col min="7" max="7" width="5.7109375" customWidth="1"/>
    <col min="9" max="9" width="15.85546875" bestFit="1" customWidth="1"/>
    <col min="10" max="10" width="12.7109375" bestFit="1" customWidth="1"/>
  </cols>
  <sheetData>
    <row r="1" spans="1:10" ht="16.5" customHeight="1" x14ac:dyDescent="0.3">
      <c r="A1" s="1" t="s">
        <v>62</v>
      </c>
      <c r="B1" s="2"/>
      <c r="C1" s="2"/>
      <c r="D1" s="2"/>
      <c r="E1" s="2"/>
      <c r="F1" s="2"/>
      <c r="G1" s="2"/>
      <c r="H1" s="2"/>
    </row>
    <row r="3" spans="1:10" ht="30" x14ac:dyDescent="0.25">
      <c r="A3" s="9" t="s">
        <v>40</v>
      </c>
      <c r="B3" s="9" t="s">
        <v>41</v>
      </c>
      <c r="C3" s="9" t="s">
        <v>42</v>
      </c>
      <c r="D3" s="9" t="s">
        <v>8</v>
      </c>
      <c r="E3" s="9" t="s">
        <v>82</v>
      </c>
      <c r="I3" s="163" t="s">
        <v>98</v>
      </c>
      <c r="J3" s="163"/>
    </row>
    <row r="4" spans="1:10" x14ac:dyDescent="0.25">
      <c r="A4" t="s">
        <v>33</v>
      </c>
      <c r="B4">
        <v>5</v>
      </c>
      <c r="C4">
        <v>200</v>
      </c>
      <c r="D4" s="16">
        <f>C4/B4</f>
        <v>40</v>
      </c>
      <c r="E4" s="16" t="s">
        <v>49</v>
      </c>
      <c r="I4" s="18" t="s">
        <v>99</v>
      </c>
      <c r="J4" s="19" t="s">
        <v>33</v>
      </c>
    </row>
    <row r="5" spans="1:10" x14ac:dyDescent="0.25">
      <c r="A5" t="s">
        <v>34</v>
      </c>
      <c r="B5">
        <v>6</v>
      </c>
      <c r="C5">
        <v>300</v>
      </c>
      <c r="D5" s="16">
        <f t="shared" ref="D5:D10" si="0">C5/B5</f>
        <v>50</v>
      </c>
      <c r="E5" s="16" t="s">
        <v>50</v>
      </c>
      <c r="I5" t="s">
        <v>100</v>
      </c>
      <c r="J5" s="6">
        <f>VLOOKUP(J4,A4:E29,4,FALSE)</f>
        <v>40</v>
      </c>
    </row>
    <row r="6" spans="1:10" x14ac:dyDescent="0.25">
      <c r="A6" t="s">
        <v>35</v>
      </c>
      <c r="B6">
        <v>1</v>
      </c>
      <c r="C6">
        <v>50</v>
      </c>
      <c r="D6" s="16">
        <f t="shared" si="0"/>
        <v>50</v>
      </c>
      <c r="E6" s="16" t="s">
        <v>51</v>
      </c>
      <c r="I6" t="s">
        <v>101</v>
      </c>
      <c r="J6" s="6" t="str">
        <f>VLOOKUP(J4,A4:E29,5,FALSE)</f>
        <v>Customer A</v>
      </c>
    </row>
    <row r="7" spans="1:10" x14ac:dyDescent="0.25">
      <c r="A7" t="s">
        <v>36</v>
      </c>
      <c r="B7">
        <v>9</v>
      </c>
      <c r="C7">
        <v>350</v>
      </c>
      <c r="D7" s="16">
        <f t="shared" si="0"/>
        <v>38.888888888888886</v>
      </c>
      <c r="E7" s="16" t="s">
        <v>52</v>
      </c>
    </row>
    <row r="8" spans="1:10" x14ac:dyDescent="0.25">
      <c r="A8" t="s">
        <v>37</v>
      </c>
      <c r="B8">
        <v>2</v>
      </c>
      <c r="C8">
        <v>90</v>
      </c>
      <c r="D8" s="16">
        <f t="shared" si="0"/>
        <v>45</v>
      </c>
      <c r="E8" s="16" t="s">
        <v>53</v>
      </c>
      <c r="I8" t="s">
        <v>276</v>
      </c>
      <c r="J8" s="6">
        <f>VLOOKUP(J4,A4:E29,3,FALSE)/VLOOKUP(J4,A4:E29,2,FALSE)</f>
        <v>40</v>
      </c>
    </row>
    <row r="9" spans="1:10" x14ac:dyDescent="0.25">
      <c r="A9" t="s">
        <v>38</v>
      </c>
      <c r="B9">
        <v>3</v>
      </c>
      <c r="C9">
        <v>200</v>
      </c>
      <c r="D9" s="16">
        <f t="shared" si="0"/>
        <v>66.666666666666671</v>
      </c>
      <c r="E9" s="16" t="s">
        <v>54</v>
      </c>
    </row>
    <row r="10" spans="1:10" x14ac:dyDescent="0.25">
      <c r="A10" t="s">
        <v>39</v>
      </c>
      <c r="B10">
        <v>4</v>
      </c>
      <c r="C10">
        <v>350</v>
      </c>
      <c r="D10" s="16">
        <f t="shared" si="0"/>
        <v>87.5</v>
      </c>
      <c r="E10" s="16" t="s">
        <v>55</v>
      </c>
    </row>
    <row r="11" spans="1:10" x14ac:dyDescent="0.25">
      <c r="A11" t="s">
        <v>279</v>
      </c>
      <c r="B11">
        <v>9</v>
      </c>
      <c r="C11">
        <v>333</v>
      </c>
      <c r="D11">
        <v>37</v>
      </c>
      <c r="E11" s="16" t="s">
        <v>56</v>
      </c>
    </row>
    <row r="12" spans="1:10" x14ac:dyDescent="0.25">
      <c r="A12" t="s">
        <v>64</v>
      </c>
      <c r="B12">
        <v>10</v>
      </c>
      <c r="C12">
        <v>410</v>
      </c>
      <c r="D12">
        <v>41</v>
      </c>
      <c r="E12" s="16" t="s">
        <v>57</v>
      </c>
    </row>
    <row r="13" spans="1:10" x14ac:dyDescent="0.25">
      <c r="A13" t="s">
        <v>65</v>
      </c>
      <c r="B13">
        <v>7</v>
      </c>
      <c r="C13">
        <v>280</v>
      </c>
      <c r="D13">
        <v>40</v>
      </c>
      <c r="E13" s="16" t="s">
        <v>58</v>
      </c>
    </row>
    <row r="14" spans="1:10" x14ac:dyDescent="0.25">
      <c r="A14" t="s">
        <v>66</v>
      </c>
      <c r="B14">
        <v>10</v>
      </c>
      <c r="C14">
        <v>320</v>
      </c>
      <c r="D14">
        <v>32</v>
      </c>
      <c r="E14" s="16" t="s">
        <v>59</v>
      </c>
    </row>
    <row r="15" spans="1:10" x14ac:dyDescent="0.25">
      <c r="A15" t="s">
        <v>67</v>
      </c>
      <c r="B15">
        <v>8</v>
      </c>
      <c r="C15">
        <v>272</v>
      </c>
      <c r="D15">
        <v>34</v>
      </c>
      <c r="E15" s="16" t="s">
        <v>83</v>
      </c>
    </row>
    <row r="16" spans="1:10" x14ac:dyDescent="0.25">
      <c r="A16" t="s">
        <v>68</v>
      </c>
      <c r="B16">
        <v>10</v>
      </c>
      <c r="C16">
        <v>300</v>
      </c>
      <c r="D16">
        <v>30</v>
      </c>
      <c r="E16" s="16" t="s">
        <v>84</v>
      </c>
    </row>
    <row r="17" spans="1:27" x14ac:dyDescent="0.25">
      <c r="A17" t="s">
        <v>69</v>
      </c>
      <c r="B17">
        <v>4</v>
      </c>
      <c r="C17">
        <v>168</v>
      </c>
      <c r="D17">
        <v>42</v>
      </c>
      <c r="E17" s="16" t="s">
        <v>85</v>
      </c>
    </row>
    <row r="18" spans="1:27" x14ac:dyDescent="0.25">
      <c r="A18" t="s">
        <v>70</v>
      </c>
      <c r="B18">
        <v>9</v>
      </c>
      <c r="C18">
        <v>279</v>
      </c>
      <c r="D18">
        <v>31</v>
      </c>
      <c r="E18" s="16" t="s">
        <v>86</v>
      </c>
    </row>
    <row r="19" spans="1:27" x14ac:dyDescent="0.25">
      <c r="A19" t="s">
        <v>71</v>
      </c>
      <c r="B19">
        <v>8</v>
      </c>
      <c r="C19">
        <v>320</v>
      </c>
      <c r="D19">
        <v>40</v>
      </c>
      <c r="E19" s="16" t="s">
        <v>87</v>
      </c>
    </row>
    <row r="20" spans="1:27" x14ac:dyDescent="0.25">
      <c r="A20" t="s">
        <v>72</v>
      </c>
      <c r="B20">
        <v>3</v>
      </c>
      <c r="C20">
        <v>144</v>
      </c>
      <c r="D20">
        <v>48</v>
      </c>
      <c r="E20" s="16" t="s">
        <v>88</v>
      </c>
    </row>
    <row r="21" spans="1:27" x14ac:dyDescent="0.25">
      <c r="A21" t="s">
        <v>73</v>
      </c>
      <c r="B21">
        <v>10</v>
      </c>
      <c r="C21">
        <v>380</v>
      </c>
      <c r="D21">
        <v>38</v>
      </c>
      <c r="E21" s="16" t="s">
        <v>89</v>
      </c>
    </row>
    <row r="22" spans="1:27" x14ac:dyDescent="0.25">
      <c r="A22" t="s">
        <v>74</v>
      </c>
      <c r="B22">
        <v>4</v>
      </c>
      <c r="C22">
        <v>192</v>
      </c>
      <c r="D22">
        <v>48</v>
      </c>
      <c r="E22" s="16" t="s">
        <v>90</v>
      </c>
    </row>
    <row r="23" spans="1:27" x14ac:dyDescent="0.25">
      <c r="A23" t="s">
        <v>75</v>
      </c>
      <c r="B23">
        <v>4</v>
      </c>
      <c r="C23">
        <v>160</v>
      </c>
      <c r="D23">
        <v>40</v>
      </c>
      <c r="E23" s="16" t="s">
        <v>91</v>
      </c>
    </row>
    <row r="24" spans="1:27" x14ac:dyDescent="0.25">
      <c r="A24" t="s">
        <v>76</v>
      </c>
      <c r="B24">
        <v>5</v>
      </c>
      <c r="C24">
        <v>155</v>
      </c>
      <c r="D24">
        <v>31</v>
      </c>
      <c r="E24" s="16" t="s">
        <v>92</v>
      </c>
    </row>
    <row r="25" spans="1:27" x14ac:dyDescent="0.25">
      <c r="A25" t="s">
        <v>77</v>
      </c>
      <c r="B25">
        <v>8</v>
      </c>
      <c r="C25">
        <v>352</v>
      </c>
      <c r="D25">
        <v>44</v>
      </c>
      <c r="E25" s="16" t="s">
        <v>93</v>
      </c>
    </row>
    <row r="26" spans="1:27" x14ac:dyDescent="0.25">
      <c r="A26" t="s">
        <v>78</v>
      </c>
      <c r="B26">
        <v>8</v>
      </c>
      <c r="C26">
        <v>400</v>
      </c>
      <c r="D26">
        <v>50</v>
      </c>
      <c r="E26" s="16" t="s">
        <v>94</v>
      </c>
    </row>
    <row r="27" spans="1:27" x14ac:dyDescent="0.25">
      <c r="A27" t="s">
        <v>79</v>
      </c>
      <c r="B27">
        <v>8</v>
      </c>
      <c r="C27">
        <v>280</v>
      </c>
      <c r="D27">
        <v>35</v>
      </c>
      <c r="E27" s="16" t="s">
        <v>95</v>
      </c>
    </row>
    <row r="28" spans="1:27" x14ac:dyDescent="0.25">
      <c r="A28" t="s">
        <v>80</v>
      </c>
      <c r="B28">
        <v>10</v>
      </c>
      <c r="C28">
        <v>350</v>
      </c>
      <c r="D28">
        <v>35</v>
      </c>
      <c r="E28" s="16" t="s">
        <v>96</v>
      </c>
    </row>
    <row r="29" spans="1:27" x14ac:dyDescent="0.25">
      <c r="A29" t="s">
        <v>81</v>
      </c>
      <c r="B29">
        <v>3</v>
      </c>
      <c r="C29">
        <v>102</v>
      </c>
      <c r="D29">
        <v>34</v>
      </c>
      <c r="E29" s="16" t="s">
        <v>97</v>
      </c>
    </row>
    <row r="32" spans="1:27" ht="30" x14ac:dyDescent="0.25">
      <c r="A32" s="9" t="s">
        <v>40</v>
      </c>
      <c r="B32" t="s">
        <v>33</v>
      </c>
      <c r="C32" t="s">
        <v>34</v>
      </c>
      <c r="D32" t="s">
        <v>35</v>
      </c>
      <c r="E32" t="s">
        <v>36</v>
      </c>
      <c r="F32" t="s">
        <v>37</v>
      </c>
      <c r="G32" t="s">
        <v>38</v>
      </c>
      <c r="H32" t="s">
        <v>39</v>
      </c>
      <c r="I32" t="s">
        <v>279</v>
      </c>
      <c r="J32" t="s">
        <v>64</v>
      </c>
      <c r="K32" t="s">
        <v>65</v>
      </c>
      <c r="L32" t="s">
        <v>66</v>
      </c>
      <c r="M32" t="s">
        <v>67</v>
      </c>
      <c r="N32" t="s">
        <v>68</v>
      </c>
      <c r="O32" t="s">
        <v>69</v>
      </c>
      <c r="P32" t="s">
        <v>70</v>
      </c>
      <c r="Q32" t="s">
        <v>71</v>
      </c>
      <c r="R32" t="s">
        <v>72</v>
      </c>
      <c r="S32" t="s">
        <v>73</v>
      </c>
      <c r="T32" t="s">
        <v>74</v>
      </c>
      <c r="U32" t="s">
        <v>75</v>
      </c>
      <c r="V32" t="s">
        <v>76</v>
      </c>
      <c r="W32" t="s">
        <v>77</v>
      </c>
      <c r="X32" t="s">
        <v>78</v>
      </c>
      <c r="Y32" t="s">
        <v>79</v>
      </c>
      <c r="Z32" t="s">
        <v>80</v>
      </c>
      <c r="AA32" t="s">
        <v>81</v>
      </c>
    </row>
    <row r="33" spans="1:27" x14ac:dyDescent="0.25">
      <c r="A33" s="9" t="s">
        <v>41</v>
      </c>
      <c r="B33">
        <v>5</v>
      </c>
      <c r="C33">
        <v>6</v>
      </c>
      <c r="D33">
        <v>1</v>
      </c>
      <c r="E33">
        <v>9</v>
      </c>
      <c r="F33">
        <v>2</v>
      </c>
      <c r="G33">
        <v>3</v>
      </c>
      <c r="H33">
        <v>4</v>
      </c>
      <c r="I33">
        <v>9</v>
      </c>
      <c r="J33">
        <v>10</v>
      </c>
      <c r="K33">
        <v>7</v>
      </c>
      <c r="L33">
        <v>10</v>
      </c>
      <c r="M33">
        <v>8</v>
      </c>
      <c r="N33">
        <v>10</v>
      </c>
      <c r="O33">
        <v>4</v>
      </c>
      <c r="P33">
        <v>9</v>
      </c>
      <c r="Q33">
        <v>8</v>
      </c>
      <c r="R33">
        <v>3</v>
      </c>
      <c r="S33">
        <v>10</v>
      </c>
      <c r="T33">
        <v>4</v>
      </c>
      <c r="U33">
        <v>4</v>
      </c>
      <c r="V33">
        <v>5</v>
      </c>
      <c r="W33">
        <v>8</v>
      </c>
      <c r="X33">
        <v>8</v>
      </c>
      <c r="Y33">
        <v>8</v>
      </c>
      <c r="Z33">
        <v>10</v>
      </c>
      <c r="AA33">
        <v>3</v>
      </c>
    </row>
    <row r="34" spans="1:27" x14ac:dyDescent="0.25">
      <c r="A34" s="9" t="s">
        <v>42</v>
      </c>
      <c r="B34">
        <v>200</v>
      </c>
      <c r="C34">
        <v>300</v>
      </c>
      <c r="D34">
        <v>50</v>
      </c>
      <c r="E34">
        <v>350</v>
      </c>
      <c r="F34">
        <v>90</v>
      </c>
      <c r="G34">
        <v>200</v>
      </c>
      <c r="H34">
        <v>350</v>
      </c>
      <c r="I34">
        <v>333</v>
      </c>
      <c r="J34">
        <v>410</v>
      </c>
      <c r="K34">
        <v>280</v>
      </c>
      <c r="L34">
        <v>320</v>
      </c>
      <c r="M34">
        <v>272</v>
      </c>
      <c r="N34">
        <v>300</v>
      </c>
      <c r="O34">
        <v>168</v>
      </c>
      <c r="P34">
        <v>279</v>
      </c>
      <c r="Q34">
        <v>320</v>
      </c>
      <c r="R34">
        <v>144</v>
      </c>
      <c r="S34">
        <v>380</v>
      </c>
      <c r="T34">
        <v>192</v>
      </c>
      <c r="U34">
        <v>160</v>
      </c>
      <c r="V34">
        <v>155</v>
      </c>
      <c r="W34">
        <v>352</v>
      </c>
      <c r="X34">
        <v>400</v>
      </c>
      <c r="Y34">
        <v>280</v>
      </c>
      <c r="Z34">
        <v>350</v>
      </c>
      <c r="AA34">
        <v>102</v>
      </c>
    </row>
    <row r="35" spans="1:27" x14ac:dyDescent="0.25">
      <c r="A35" s="9" t="s">
        <v>8</v>
      </c>
      <c r="B35" s="16">
        <f t="shared" ref="B35:H35" si="1">B34/B33</f>
        <v>40</v>
      </c>
      <c r="C35" s="16">
        <f t="shared" si="1"/>
        <v>50</v>
      </c>
      <c r="D35" s="16">
        <f t="shared" si="1"/>
        <v>50</v>
      </c>
      <c r="E35" s="16">
        <f t="shared" si="1"/>
        <v>38.888888888888886</v>
      </c>
      <c r="F35" s="16">
        <f t="shared" si="1"/>
        <v>45</v>
      </c>
      <c r="G35" s="16">
        <f t="shared" si="1"/>
        <v>66.666666666666671</v>
      </c>
      <c r="H35" s="16">
        <f t="shared" si="1"/>
        <v>87.5</v>
      </c>
      <c r="I35">
        <v>37</v>
      </c>
      <c r="J35">
        <v>41</v>
      </c>
      <c r="K35">
        <v>40</v>
      </c>
      <c r="L35">
        <v>32</v>
      </c>
      <c r="M35">
        <v>34</v>
      </c>
      <c r="N35">
        <v>30</v>
      </c>
      <c r="O35">
        <v>42</v>
      </c>
      <c r="P35">
        <v>31</v>
      </c>
      <c r="Q35">
        <v>40</v>
      </c>
      <c r="R35">
        <v>48</v>
      </c>
      <c r="S35">
        <v>38</v>
      </c>
      <c r="T35">
        <v>48</v>
      </c>
      <c r="U35">
        <v>40</v>
      </c>
      <c r="V35">
        <v>31</v>
      </c>
      <c r="W35">
        <v>44</v>
      </c>
      <c r="X35">
        <v>50</v>
      </c>
      <c r="Y35">
        <v>35</v>
      </c>
      <c r="Z35">
        <v>35</v>
      </c>
      <c r="AA35">
        <v>34</v>
      </c>
    </row>
    <row r="36" spans="1:27" x14ac:dyDescent="0.25">
      <c r="A36" s="9" t="s">
        <v>82</v>
      </c>
      <c r="B36" s="16" t="s">
        <v>49</v>
      </c>
      <c r="C36" s="16" t="s">
        <v>50</v>
      </c>
      <c r="D36" s="16" t="s">
        <v>51</v>
      </c>
      <c r="E36" s="16" t="s">
        <v>52</v>
      </c>
      <c r="F36" s="16" t="s">
        <v>53</v>
      </c>
      <c r="G36" s="16" t="s">
        <v>54</v>
      </c>
      <c r="H36" s="16" t="s">
        <v>55</v>
      </c>
      <c r="I36" s="16" t="s">
        <v>56</v>
      </c>
      <c r="J36" s="16" t="s">
        <v>57</v>
      </c>
      <c r="K36" s="16" t="s">
        <v>58</v>
      </c>
      <c r="L36" s="16" t="s">
        <v>59</v>
      </c>
      <c r="M36" s="16" t="s">
        <v>83</v>
      </c>
      <c r="N36" s="16" t="s">
        <v>84</v>
      </c>
      <c r="O36" s="16" t="s">
        <v>85</v>
      </c>
      <c r="P36" s="16" t="s">
        <v>86</v>
      </c>
      <c r="Q36" s="16" t="s">
        <v>87</v>
      </c>
      <c r="R36" s="16" t="s">
        <v>88</v>
      </c>
      <c r="S36" s="16" t="s">
        <v>89</v>
      </c>
      <c r="T36" s="16" t="s">
        <v>90</v>
      </c>
      <c r="U36" s="16" t="s">
        <v>91</v>
      </c>
      <c r="V36" s="16" t="s">
        <v>92</v>
      </c>
      <c r="W36" s="16" t="s">
        <v>93</v>
      </c>
      <c r="X36" s="16" t="s">
        <v>94</v>
      </c>
      <c r="Y36" s="16" t="s">
        <v>95</v>
      </c>
      <c r="Z36" s="16" t="s">
        <v>96</v>
      </c>
      <c r="AA36" s="16" t="s">
        <v>97</v>
      </c>
    </row>
    <row r="38" spans="1:27" x14ac:dyDescent="0.25">
      <c r="D38" s="18" t="s">
        <v>99</v>
      </c>
      <c r="E38" s="19" t="s">
        <v>34</v>
      </c>
    </row>
    <row r="39" spans="1:27" x14ac:dyDescent="0.25">
      <c r="D39" t="s">
        <v>100</v>
      </c>
      <c r="E39" s="38">
        <f>HLOOKUP(E38,B32:AA36,4,FALSE)</f>
        <v>50</v>
      </c>
    </row>
    <row r="40" spans="1:27" x14ac:dyDescent="0.25">
      <c r="D40" t="s">
        <v>101</v>
      </c>
      <c r="E40" s="6" t="str">
        <f>HLOOKUP(E38,B32:AA36,5,FALSE)</f>
        <v>Customer B</v>
      </c>
    </row>
  </sheetData>
  <mergeCells count="1">
    <mergeCell ref="I3:J3"/>
  </mergeCells>
  <dataValidations count="1">
    <dataValidation type="list" allowBlank="1" showInputMessage="1" showErrorMessage="1" sqref="J4 E38" xr:uid="{00000000-0002-0000-1000-000000000000}">
      <formula1>$A$4:$A$29</formula1>
    </dataValidation>
  </dataValidation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theme="3" tint="0.39997558519241921"/>
  </sheetPr>
  <dimension ref="A1:O84"/>
  <sheetViews>
    <sheetView topLeftCell="A73" zoomScale="110" zoomScaleNormal="110" workbookViewId="0"/>
  </sheetViews>
  <sheetFormatPr defaultColWidth="9" defaultRowHeight="15" outlineLevelRow="1" x14ac:dyDescent="0.25"/>
  <cols>
    <col min="1" max="1" width="15.85546875" customWidth="1"/>
    <col min="2" max="2" width="12.28515625" customWidth="1"/>
    <col min="3" max="3" width="14.5703125" bestFit="1" customWidth="1"/>
    <col min="4" max="4" width="11" bestFit="1" customWidth="1"/>
    <col min="5" max="5" width="11.140625" customWidth="1"/>
    <col min="6" max="6" width="15.140625" bestFit="1" customWidth="1"/>
    <col min="7" max="7" width="10.28515625" customWidth="1"/>
    <col min="8" max="8" width="16.28515625" customWidth="1"/>
    <col min="9" max="9" width="11.85546875" bestFit="1" customWidth="1"/>
    <col min="10" max="10" width="4" customWidth="1"/>
    <col min="11" max="11" width="3.140625" customWidth="1"/>
    <col min="12" max="12" width="3" customWidth="1"/>
    <col min="13" max="13" width="9.5703125" bestFit="1" customWidth="1"/>
    <col min="14" max="14" width="12" bestFit="1" customWidth="1"/>
    <col min="15" max="15" width="13.140625" customWidth="1"/>
  </cols>
  <sheetData>
    <row r="1" spans="1:9" ht="16.5" customHeight="1" x14ac:dyDescent="0.3">
      <c r="A1" s="1" t="s">
        <v>108</v>
      </c>
      <c r="B1" s="2"/>
      <c r="C1" s="2"/>
      <c r="D1" s="2"/>
      <c r="E1" s="2"/>
      <c r="F1" s="2"/>
      <c r="G1" s="2"/>
      <c r="H1" s="2"/>
    </row>
    <row r="4" spans="1:9" x14ac:dyDescent="0.25">
      <c r="A4" s="9" t="s">
        <v>40</v>
      </c>
      <c r="B4" s="9" t="s">
        <v>41</v>
      </c>
      <c r="C4" s="9" t="s">
        <v>42</v>
      </c>
      <c r="D4" s="9" t="s">
        <v>8</v>
      </c>
      <c r="E4" s="9" t="s">
        <v>82</v>
      </c>
      <c r="H4" s="163" t="s">
        <v>98</v>
      </c>
      <c r="I4" s="163"/>
    </row>
    <row r="5" spans="1:9" x14ac:dyDescent="0.25">
      <c r="A5" t="s">
        <v>33</v>
      </c>
      <c r="B5">
        <v>5</v>
      </c>
      <c r="C5">
        <v>200</v>
      </c>
      <c r="D5" s="16">
        <f>C5/B5</f>
        <v>40</v>
      </c>
      <c r="E5" s="16" t="s">
        <v>49</v>
      </c>
      <c r="H5" s="18" t="s">
        <v>99</v>
      </c>
      <c r="I5" s="19" t="s">
        <v>65</v>
      </c>
    </row>
    <row r="6" spans="1:9" x14ac:dyDescent="0.25">
      <c r="A6" t="s">
        <v>34</v>
      </c>
      <c r="B6">
        <v>6</v>
      </c>
      <c r="C6">
        <v>300</v>
      </c>
      <c r="D6" s="16">
        <f t="shared" ref="D6:D11" si="0">C6/B6</f>
        <v>50</v>
      </c>
      <c r="E6" s="16" t="s">
        <v>50</v>
      </c>
      <c r="H6" t="s">
        <v>100</v>
      </c>
      <c r="I6" s="38">
        <f>INDEX(D5:D30,MATCH(I5,A5:A30,0),1)</f>
        <v>40</v>
      </c>
    </row>
    <row r="7" spans="1:9" x14ac:dyDescent="0.25">
      <c r="A7" t="s">
        <v>35</v>
      </c>
      <c r="B7">
        <v>1</v>
      </c>
      <c r="C7">
        <v>50</v>
      </c>
      <c r="D7" s="16">
        <f t="shared" si="0"/>
        <v>50</v>
      </c>
      <c r="E7" s="16" t="s">
        <v>51</v>
      </c>
      <c r="H7" t="s">
        <v>101</v>
      </c>
      <c r="I7" s="6" t="str">
        <f>INDEX(E5:E30,MATCH(I5,A5:A30,0))</f>
        <v>Customer J</v>
      </c>
    </row>
    <row r="8" spans="1:9" x14ac:dyDescent="0.25">
      <c r="A8" t="s">
        <v>36</v>
      </c>
      <c r="B8">
        <v>9</v>
      </c>
      <c r="C8">
        <v>350</v>
      </c>
      <c r="D8" s="16">
        <f t="shared" si="0"/>
        <v>38.888888888888886</v>
      </c>
      <c r="E8" s="16" t="s">
        <v>52</v>
      </c>
    </row>
    <row r="9" spans="1:9" x14ac:dyDescent="0.25">
      <c r="A9" t="s">
        <v>37</v>
      </c>
      <c r="B9">
        <v>2</v>
      </c>
      <c r="C9">
        <v>90</v>
      </c>
      <c r="D9" s="16">
        <f t="shared" si="0"/>
        <v>45</v>
      </c>
      <c r="E9" s="16" t="s">
        <v>53</v>
      </c>
    </row>
    <row r="10" spans="1:9" x14ac:dyDescent="0.25">
      <c r="A10" t="s">
        <v>38</v>
      </c>
      <c r="B10">
        <v>3</v>
      </c>
      <c r="C10">
        <v>200</v>
      </c>
      <c r="D10" s="16">
        <f t="shared" si="0"/>
        <v>66.666666666666671</v>
      </c>
      <c r="E10" s="16" t="s">
        <v>54</v>
      </c>
      <c r="H10" t="s">
        <v>104</v>
      </c>
      <c r="I10" s="19" t="s">
        <v>59</v>
      </c>
    </row>
    <row r="11" spans="1:9" x14ac:dyDescent="0.25">
      <c r="A11" t="s">
        <v>39</v>
      </c>
      <c r="B11">
        <v>4</v>
      </c>
      <c r="C11">
        <v>350</v>
      </c>
      <c r="D11" s="16">
        <f t="shared" si="0"/>
        <v>87.5</v>
      </c>
      <c r="E11" s="16" t="s">
        <v>55</v>
      </c>
      <c r="H11" t="s">
        <v>105</v>
      </c>
      <c r="I11" s="6" t="str">
        <f>INDEX(A5:A30,MATCH(I10,E5:E30,0))</f>
        <v>Agent K</v>
      </c>
    </row>
    <row r="12" spans="1:9" x14ac:dyDescent="0.25">
      <c r="A12" t="s">
        <v>63</v>
      </c>
      <c r="B12">
        <v>9</v>
      </c>
      <c r="C12">
        <v>333</v>
      </c>
      <c r="D12">
        <v>37</v>
      </c>
      <c r="E12" s="16" t="s">
        <v>56</v>
      </c>
    </row>
    <row r="13" spans="1:9" x14ac:dyDescent="0.25">
      <c r="A13" t="s">
        <v>64</v>
      </c>
      <c r="B13">
        <v>10</v>
      </c>
      <c r="C13">
        <v>410</v>
      </c>
      <c r="D13">
        <v>41</v>
      </c>
      <c r="E13" s="16" t="s">
        <v>57</v>
      </c>
    </row>
    <row r="14" spans="1:9" x14ac:dyDescent="0.25">
      <c r="A14" t="s">
        <v>65</v>
      </c>
      <c r="B14">
        <v>7</v>
      </c>
      <c r="C14">
        <v>280</v>
      </c>
      <c r="D14">
        <v>40</v>
      </c>
      <c r="E14" s="16" t="s">
        <v>58</v>
      </c>
      <c r="H14" t="s">
        <v>99</v>
      </c>
      <c r="I14" s="19" t="s">
        <v>37</v>
      </c>
    </row>
    <row r="15" spans="1:9" x14ac:dyDescent="0.25">
      <c r="A15" t="s">
        <v>66</v>
      </c>
      <c r="B15">
        <v>10</v>
      </c>
      <c r="C15">
        <v>320</v>
      </c>
      <c r="D15">
        <v>32</v>
      </c>
      <c r="E15" s="16" t="s">
        <v>59</v>
      </c>
      <c r="H15" t="s">
        <v>275</v>
      </c>
      <c r="I15" s="19" t="s">
        <v>8</v>
      </c>
    </row>
    <row r="16" spans="1:9" x14ac:dyDescent="0.25">
      <c r="A16" t="s">
        <v>67</v>
      </c>
      <c r="B16">
        <v>8</v>
      </c>
      <c r="C16">
        <v>272</v>
      </c>
      <c r="D16">
        <v>34</v>
      </c>
      <c r="E16" s="16" t="s">
        <v>83</v>
      </c>
      <c r="H16" t="s">
        <v>106</v>
      </c>
      <c r="I16" s="6">
        <f>INDEX(B5:E30,MATCH(I14,A5:A30,0),MATCH(I15,B4:E4,0))</f>
        <v>45</v>
      </c>
    </row>
    <row r="17" spans="1:5" x14ac:dyDescent="0.25">
      <c r="A17" t="s">
        <v>68</v>
      </c>
      <c r="B17">
        <v>10</v>
      </c>
      <c r="C17">
        <v>300</v>
      </c>
      <c r="D17">
        <v>30</v>
      </c>
      <c r="E17" s="16" t="s">
        <v>84</v>
      </c>
    </row>
    <row r="18" spans="1:5" x14ac:dyDescent="0.25">
      <c r="A18" t="s">
        <v>69</v>
      </c>
      <c r="B18">
        <v>4</v>
      </c>
      <c r="C18">
        <v>168</v>
      </c>
      <c r="D18">
        <v>42</v>
      </c>
      <c r="E18" s="16" t="s">
        <v>85</v>
      </c>
    </row>
    <row r="19" spans="1:5" x14ac:dyDescent="0.25">
      <c r="A19" t="s">
        <v>70</v>
      </c>
      <c r="B19">
        <v>9</v>
      </c>
      <c r="C19">
        <v>279</v>
      </c>
      <c r="D19">
        <v>31</v>
      </c>
      <c r="E19" s="16" t="s">
        <v>86</v>
      </c>
    </row>
    <row r="20" spans="1:5" x14ac:dyDescent="0.25">
      <c r="A20" t="s">
        <v>71</v>
      </c>
      <c r="B20">
        <v>8</v>
      </c>
      <c r="C20">
        <v>320</v>
      </c>
      <c r="D20">
        <v>40</v>
      </c>
      <c r="E20" s="16" t="s">
        <v>87</v>
      </c>
    </row>
    <row r="21" spans="1:5" x14ac:dyDescent="0.25">
      <c r="A21" t="s">
        <v>72</v>
      </c>
      <c r="B21">
        <v>3</v>
      </c>
      <c r="C21">
        <v>144</v>
      </c>
      <c r="D21">
        <v>48</v>
      </c>
      <c r="E21" s="16" t="s">
        <v>88</v>
      </c>
    </row>
    <row r="22" spans="1:5" x14ac:dyDescent="0.25">
      <c r="A22" t="s">
        <v>73</v>
      </c>
      <c r="B22">
        <v>10</v>
      </c>
      <c r="C22">
        <v>380</v>
      </c>
      <c r="D22">
        <v>38</v>
      </c>
      <c r="E22" s="16" t="s">
        <v>89</v>
      </c>
    </row>
    <row r="23" spans="1:5" x14ac:dyDescent="0.25">
      <c r="A23" t="s">
        <v>74</v>
      </c>
      <c r="B23">
        <v>4</v>
      </c>
      <c r="C23">
        <v>192</v>
      </c>
      <c r="D23">
        <v>48</v>
      </c>
      <c r="E23" s="16" t="s">
        <v>90</v>
      </c>
    </row>
    <row r="24" spans="1:5" x14ac:dyDescent="0.25">
      <c r="A24" t="s">
        <v>75</v>
      </c>
      <c r="B24">
        <v>4</v>
      </c>
      <c r="C24">
        <v>160</v>
      </c>
      <c r="D24">
        <v>40</v>
      </c>
      <c r="E24" s="16" t="s">
        <v>91</v>
      </c>
    </row>
    <row r="25" spans="1:5" x14ac:dyDescent="0.25">
      <c r="A25" t="s">
        <v>76</v>
      </c>
      <c r="B25">
        <v>5</v>
      </c>
      <c r="C25">
        <v>155</v>
      </c>
      <c r="D25">
        <v>31</v>
      </c>
      <c r="E25" s="16" t="s">
        <v>92</v>
      </c>
    </row>
    <row r="26" spans="1:5" x14ac:dyDescent="0.25">
      <c r="A26" t="s">
        <v>77</v>
      </c>
      <c r="B26">
        <v>8</v>
      </c>
      <c r="C26">
        <v>352</v>
      </c>
      <c r="D26">
        <v>44</v>
      </c>
      <c r="E26" s="16" t="s">
        <v>93</v>
      </c>
    </row>
    <row r="27" spans="1:5" x14ac:dyDescent="0.25">
      <c r="A27" t="s">
        <v>78</v>
      </c>
      <c r="B27">
        <v>8</v>
      </c>
      <c r="C27">
        <v>400</v>
      </c>
      <c r="D27">
        <v>50</v>
      </c>
      <c r="E27" s="16" t="s">
        <v>94</v>
      </c>
    </row>
    <row r="28" spans="1:5" x14ac:dyDescent="0.25">
      <c r="A28" t="s">
        <v>79</v>
      </c>
      <c r="B28">
        <v>8</v>
      </c>
      <c r="C28">
        <v>280</v>
      </c>
      <c r="D28">
        <v>35</v>
      </c>
      <c r="E28" s="16" t="s">
        <v>95</v>
      </c>
    </row>
    <row r="29" spans="1:5" x14ac:dyDescent="0.25">
      <c r="A29" t="s">
        <v>80</v>
      </c>
      <c r="B29">
        <v>10</v>
      </c>
      <c r="C29">
        <v>350</v>
      </c>
      <c r="D29">
        <v>35</v>
      </c>
      <c r="E29" s="16" t="s">
        <v>96</v>
      </c>
    </row>
    <row r="30" spans="1:5" x14ac:dyDescent="0.25">
      <c r="A30" t="s">
        <v>81</v>
      </c>
      <c r="B30">
        <v>3</v>
      </c>
      <c r="C30">
        <v>102</v>
      </c>
      <c r="D30">
        <v>34</v>
      </c>
      <c r="E30" s="16" t="s">
        <v>97</v>
      </c>
    </row>
    <row r="40" spans="1:15" ht="16.5" customHeight="1" x14ac:dyDescent="0.3">
      <c r="A40" s="1" t="s">
        <v>107</v>
      </c>
      <c r="B40" s="2"/>
      <c r="C40" s="2"/>
      <c r="D40" s="2"/>
      <c r="E40" s="2"/>
      <c r="F40" s="2"/>
      <c r="G40" s="2"/>
      <c r="H40" s="2"/>
    </row>
    <row r="42" spans="1:15" outlineLevel="1" x14ac:dyDescent="0.25">
      <c r="B42" t="str">
        <f>B43&amp;B44</f>
        <v>ActualQuantity</v>
      </c>
      <c r="C42" t="str">
        <f t="shared" ref="C42:I42" si="1">C43&amp;C44</f>
        <v>ActualRevenue</v>
      </c>
      <c r="D42" t="str">
        <f t="shared" si="1"/>
        <v>ActualPrice</v>
      </c>
      <c r="E42" t="str">
        <f t="shared" si="1"/>
        <v>ActualCustomer</v>
      </c>
      <c r="F42" t="str">
        <f t="shared" si="1"/>
        <v>BudgetQuantity</v>
      </c>
      <c r="G42" t="str">
        <f t="shared" si="1"/>
        <v>BudgetRevenue</v>
      </c>
      <c r="H42" t="str">
        <f t="shared" si="1"/>
        <v>BudgetPrice</v>
      </c>
      <c r="I42" t="str">
        <f t="shared" si="1"/>
        <v>BudgetCustomer</v>
      </c>
    </row>
    <row r="43" spans="1:15" ht="15.75" thickBot="1" x14ac:dyDescent="0.3">
      <c r="B43" s="86" t="s">
        <v>102</v>
      </c>
      <c r="C43" s="86" t="s">
        <v>102</v>
      </c>
      <c r="D43" s="86" t="s">
        <v>102</v>
      </c>
      <c r="E43" s="86" t="s">
        <v>102</v>
      </c>
      <c r="F43" s="87" t="s">
        <v>103</v>
      </c>
      <c r="G43" s="87" t="s">
        <v>103</v>
      </c>
      <c r="H43" s="87" t="s">
        <v>103</v>
      </c>
      <c r="I43" s="87" t="s">
        <v>103</v>
      </c>
      <c r="M43" s="170" t="s">
        <v>322</v>
      </c>
      <c r="N43" s="170"/>
      <c r="O43" s="170"/>
    </row>
    <row r="44" spans="1:15" x14ac:dyDescent="0.25">
      <c r="A44" s="9" t="s">
        <v>40</v>
      </c>
      <c r="B44" s="9" t="s">
        <v>41</v>
      </c>
      <c r="C44" s="9" t="s">
        <v>42</v>
      </c>
      <c r="D44" s="9" t="s">
        <v>8</v>
      </c>
      <c r="E44" s="9" t="s">
        <v>45</v>
      </c>
      <c r="F44" s="9" t="s">
        <v>41</v>
      </c>
      <c r="G44" s="9" t="s">
        <v>42</v>
      </c>
      <c r="H44" s="9" t="s">
        <v>8</v>
      </c>
      <c r="I44" s="9" t="s">
        <v>45</v>
      </c>
      <c r="M44" s="167" t="s">
        <v>99</v>
      </c>
      <c r="N44" s="168"/>
      <c r="O44" s="169"/>
    </row>
    <row r="45" spans="1:15" x14ac:dyDescent="0.25">
      <c r="A45" t="s">
        <v>33</v>
      </c>
      <c r="B45">
        <v>5</v>
      </c>
      <c r="C45">
        <v>200</v>
      </c>
      <c r="D45" s="16">
        <f>C45/B45</f>
        <v>40</v>
      </c>
      <c r="E45" s="16" t="s">
        <v>49</v>
      </c>
      <c r="F45">
        <v>6</v>
      </c>
      <c r="G45">
        <v>220</v>
      </c>
      <c r="H45" s="16">
        <f>G45/F45</f>
        <v>36.666666666666664</v>
      </c>
      <c r="I45" s="16" t="s">
        <v>49</v>
      </c>
      <c r="M45" s="164" t="s">
        <v>38</v>
      </c>
      <c r="N45" s="165"/>
      <c r="O45" s="166"/>
    </row>
    <row r="46" spans="1:15" x14ac:dyDescent="0.25">
      <c r="A46" t="s">
        <v>34</v>
      </c>
      <c r="B46">
        <v>6</v>
      </c>
      <c r="C46">
        <v>300</v>
      </c>
      <c r="D46" s="16">
        <f t="shared" ref="D46:D51" si="2">C46/B46</f>
        <v>50</v>
      </c>
      <c r="E46" s="16" t="s">
        <v>50</v>
      </c>
      <c r="F46">
        <v>7</v>
      </c>
      <c r="G46">
        <v>330</v>
      </c>
      <c r="H46" s="16">
        <f t="shared" ref="H46:H70" si="3">G46/F46</f>
        <v>47.142857142857146</v>
      </c>
      <c r="I46" s="16" t="s">
        <v>50</v>
      </c>
      <c r="M46" s="20"/>
      <c r="N46" s="21" t="s">
        <v>102</v>
      </c>
      <c r="O46" s="23" t="s">
        <v>103</v>
      </c>
    </row>
    <row r="47" spans="1:15" x14ac:dyDescent="0.25">
      <c r="A47" t="s">
        <v>35</v>
      </c>
      <c r="B47">
        <v>1</v>
      </c>
      <c r="C47">
        <v>50</v>
      </c>
      <c r="D47" s="16">
        <f t="shared" si="2"/>
        <v>50</v>
      </c>
      <c r="E47" s="16" t="s">
        <v>51</v>
      </c>
      <c r="F47">
        <v>2</v>
      </c>
      <c r="G47">
        <v>55</v>
      </c>
      <c r="H47" s="16">
        <f t="shared" si="3"/>
        <v>27.5</v>
      </c>
      <c r="I47" s="16" t="s">
        <v>51</v>
      </c>
      <c r="M47" s="24" t="s">
        <v>41</v>
      </c>
      <c r="N47" s="77">
        <f>INDEX($B$45:$I$70,MATCH($M$45,$A$45:$A$70,0),MATCH(N$46&amp;$M47,$B$42:$I$42,0))</f>
        <v>3</v>
      </c>
      <c r="O47" s="78">
        <f>INDEX($B$45:$I$70,MATCH($M$45,$A$45:$A$70,0),MATCH(O$46&amp;$M47,$B$42:$I$42,0))</f>
        <v>4</v>
      </c>
    </row>
    <row r="48" spans="1:15" x14ac:dyDescent="0.25">
      <c r="A48" t="s">
        <v>36</v>
      </c>
      <c r="B48">
        <v>9</v>
      </c>
      <c r="C48">
        <v>350</v>
      </c>
      <c r="D48" s="16">
        <f t="shared" si="2"/>
        <v>38.888888888888886</v>
      </c>
      <c r="E48" s="16" t="s">
        <v>52</v>
      </c>
      <c r="F48">
        <v>10</v>
      </c>
      <c r="G48">
        <v>385</v>
      </c>
      <c r="H48" s="16">
        <f t="shared" si="3"/>
        <v>38.5</v>
      </c>
      <c r="I48" s="16" t="s">
        <v>52</v>
      </c>
      <c r="M48" s="24" t="s">
        <v>42</v>
      </c>
      <c r="N48" s="22">
        <f t="shared" ref="N48:O50" si="4">INDEX($B$45:$I$70,MATCH($M$45,$A$45:$A$70,0),MATCH(N$46&amp;$M48,$B$42:$I$42,0))</f>
        <v>200</v>
      </c>
      <c r="O48" s="79">
        <f t="shared" si="4"/>
        <v>220</v>
      </c>
    </row>
    <row r="49" spans="1:15" x14ac:dyDescent="0.25">
      <c r="A49" t="s">
        <v>37</v>
      </c>
      <c r="B49">
        <v>2</v>
      </c>
      <c r="C49">
        <v>90</v>
      </c>
      <c r="D49" s="16">
        <f t="shared" si="2"/>
        <v>45</v>
      </c>
      <c r="E49" s="16" t="s">
        <v>53</v>
      </c>
      <c r="F49">
        <v>3</v>
      </c>
      <c r="G49">
        <v>99</v>
      </c>
      <c r="H49" s="16">
        <f t="shared" si="3"/>
        <v>33</v>
      </c>
      <c r="I49" s="16" t="s">
        <v>53</v>
      </c>
      <c r="M49" s="24" t="s">
        <v>8</v>
      </c>
      <c r="N49" s="76">
        <f t="shared" si="4"/>
        <v>66.666666666666671</v>
      </c>
      <c r="O49" s="80">
        <f t="shared" si="4"/>
        <v>55</v>
      </c>
    </row>
    <row r="50" spans="1:15" ht="15.75" thickBot="1" x14ac:dyDescent="0.3">
      <c r="A50" t="s">
        <v>38</v>
      </c>
      <c r="B50">
        <v>3</v>
      </c>
      <c r="C50">
        <v>200</v>
      </c>
      <c r="D50" s="16">
        <f t="shared" si="2"/>
        <v>66.666666666666671</v>
      </c>
      <c r="E50" s="16" t="s">
        <v>54</v>
      </c>
      <c r="F50">
        <v>4</v>
      </c>
      <c r="G50">
        <v>220</v>
      </c>
      <c r="H50" s="16">
        <f t="shared" si="3"/>
        <v>55</v>
      </c>
      <c r="I50" s="16" t="s">
        <v>54</v>
      </c>
      <c r="M50" s="25" t="s">
        <v>45</v>
      </c>
      <c r="N50" s="81" t="str">
        <f t="shared" si="4"/>
        <v>Customer F</v>
      </c>
      <c r="O50" s="82" t="str">
        <f t="shared" si="4"/>
        <v>Customer F</v>
      </c>
    </row>
    <row r="51" spans="1:15" x14ac:dyDescent="0.25">
      <c r="A51" t="s">
        <v>39</v>
      </c>
      <c r="B51">
        <v>4</v>
      </c>
      <c r="C51">
        <v>350</v>
      </c>
      <c r="D51" s="16">
        <f t="shared" si="2"/>
        <v>87.5</v>
      </c>
      <c r="E51" s="16" t="s">
        <v>55</v>
      </c>
      <c r="F51">
        <v>5</v>
      </c>
      <c r="G51">
        <v>385</v>
      </c>
      <c r="H51" s="16">
        <f t="shared" si="3"/>
        <v>77</v>
      </c>
      <c r="I51" s="16" t="s">
        <v>55</v>
      </c>
    </row>
    <row r="52" spans="1:15" ht="15.75" thickBot="1" x14ac:dyDescent="0.3">
      <c r="A52" t="s">
        <v>63</v>
      </c>
      <c r="B52">
        <v>9</v>
      </c>
      <c r="C52">
        <v>333</v>
      </c>
      <c r="D52">
        <v>37</v>
      </c>
      <c r="E52" s="16" t="s">
        <v>56</v>
      </c>
      <c r="F52">
        <v>10</v>
      </c>
      <c r="G52">
        <v>366</v>
      </c>
      <c r="H52" s="16">
        <f t="shared" si="3"/>
        <v>36.6</v>
      </c>
      <c r="I52" s="16" t="s">
        <v>56</v>
      </c>
      <c r="M52" s="170" t="s">
        <v>323</v>
      </c>
      <c r="N52" s="170"/>
      <c r="O52" s="170"/>
    </row>
    <row r="53" spans="1:15" x14ac:dyDescent="0.25">
      <c r="A53" t="s">
        <v>64</v>
      </c>
      <c r="B53">
        <v>10</v>
      </c>
      <c r="C53">
        <v>410</v>
      </c>
      <c r="D53">
        <v>41</v>
      </c>
      <c r="E53" s="16" t="s">
        <v>57</v>
      </c>
      <c r="F53">
        <v>11</v>
      </c>
      <c r="G53">
        <v>451</v>
      </c>
      <c r="H53" s="16">
        <f t="shared" si="3"/>
        <v>41</v>
      </c>
      <c r="I53" s="16" t="s">
        <v>57</v>
      </c>
      <c r="M53" s="167" t="s">
        <v>99</v>
      </c>
      <c r="N53" s="168"/>
      <c r="O53" s="169"/>
    </row>
    <row r="54" spans="1:15" x14ac:dyDescent="0.25">
      <c r="A54" t="s">
        <v>65</v>
      </c>
      <c r="B54">
        <v>7</v>
      </c>
      <c r="C54">
        <v>280</v>
      </c>
      <c r="D54">
        <v>40</v>
      </c>
      <c r="E54" s="16" t="s">
        <v>58</v>
      </c>
      <c r="F54">
        <v>8</v>
      </c>
      <c r="G54">
        <v>308</v>
      </c>
      <c r="H54" s="16">
        <f t="shared" si="3"/>
        <v>38.5</v>
      </c>
      <c r="I54" s="16" t="s">
        <v>58</v>
      </c>
      <c r="M54" s="164" t="s">
        <v>38</v>
      </c>
      <c r="N54" s="165"/>
      <c r="O54" s="166"/>
    </row>
    <row r="55" spans="1:15" x14ac:dyDescent="0.25">
      <c r="A55" t="s">
        <v>66</v>
      </c>
      <c r="B55">
        <v>10</v>
      </c>
      <c r="C55">
        <v>320</v>
      </c>
      <c r="D55">
        <v>32</v>
      </c>
      <c r="E55" s="16" t="s">
        <v>59</v>
      </c>
      <c r="F55">
        <v>11</v>
      </c>
      <c r="G55">
        <v>352</v>
      </c>
      <c r="H55" s="16">
        <f t="shared" si="3"/>
        <v>32</v>
      </c>
      <c r="I55" s="16" t="s">
        <v>59</v>
      </c>
      <c r="M55" s="20"/>
      <c r="N55" s="21" t="s">
        <v>102</v>
      </c>
      <c r="O55" s="23" t="s">
        <v>103</v>
      </c>
    </row>
    <row r="56" spans="1:15" x14ac:dyDescent="0.25">
      <c r="A56" t="s">
        <v>67</v>
      </c>
      <c r="B56">
        <v>8</v>
      </c>
      <c r="C56">
        <v>272</v>
      </c>
      <c r="D56">
        <v>34</v>
      </c>
      <c r="E56" s="16" t="s">
        <v>83</v>
      </c>
      <c r="F56">
        <v>9</v>
      </c>
      <c r="G56">
        <v>299</v>
      </c>
      <c r="H56" s="16">
        <f t="shared" si="3"/>
        <v>33.222222222222221</v>
      </c>
      <c r="I56" s="16" t="s">
        <v>83</v>
      </c>
      <c r="M56" s="24" t="s">
        <v>41</v>
      </c>
      <c r="N56" s="77">
        <f>INDEX($B$45:$I$70,MATCH($M$54,$A$45:$A$70,0),MATCH(N$55&amp;$M56,INDEX(($B$43:$I$43&amp;$B$44:$I$44),,),0))</f>
        <v>3</v>
      </c>
      <c r="O56" s="78">
        <f>INDEX($B$45:$I$70,MATCH($M$54,$A$45:$A$70,0),MATCH(O$55&amp;$M56,INDEX(($B$43:$I$43&amp;$B$44:$I$44),,),0))</f>
        <v>4</v>
      </c>
    </row>
    <row r="57" spans="1:15" x14ac:dyDescent="0.25">
      <c r="A57" t="s">
        <v>68</v>
      </c>
      <c r="B57">
        <v>10</v>
      </c>
      <c r="C57">
        <v>300</v>
      </c>
      <c r="D57">
        <v>30</v>
      </c>
      <c r="E57" s="16" t="s">
        <v>84</v>
      </c>
      <c r="F57">
        <v>11</v>
      </c>
      <c r="G57">
        <v>330</v>
      </c>
      <c r="H57" s="16">
        <f t="shared" si="3"/>
        <v>30</v>
      </c>
      <c r="I57" s="16" t="s">
        <v>84</v>
      </c>
      <c r="M57" s="24" t="s">
        <v>42</v>
      </c>
      <c r="N57" s="22">
        <f t="shared" ref="N57:O59" si="5">INDEX($B$45:$I$70,MATCH($M$54,$A$45:$A$70,0),MATCH(N$55&amp;$M57,INDEX(($B$43:$I$43&amp;$B$44:$I$44),,),0))</f>
        <v>200</v>
      </c>
      <c r="O57" s="79">
        <f t="shared" si="5"/>
        <v>220</v>
      </c>
    </row>
    <row r="58" spans="1:15" x14ac:dyDescent="0.25">
      <c r="A58" t="s">
        <v>69</v>
      </c>
      <c r="B58">
        <v>4</v>
      </c>
      <c r="C58">
        <v>168</v>
      </c>
      <c r="D58">
        <v>42</v>
      </c>
      <c r="E58" s="16" t="s">
        <v>85</v>
      </c>
      <c r="F58">
        <v>5</v>
      </c>
      <c r="G58">
        <v>185</v>
      </c>
      <c r="H58" s="16">
        <f t="shared" si="3"/>
        <v>37</v>
      </c>
      <c r="I58" s="16" t="s">
        <v>85</v>
      </c>
      <c r="M58" s="24" t="s">
        <v>8</v>
      </c>
      <c r="N58" s="76">
        <f t="shared" si="5"/>
        <v>66.666666666666671</v>
      </c>
      <c r="O58" s="80">
        <f t="shared" si="5"/>
        <v>55</v>
      </c>
    </row>
    <row r="59" spans="1:15" ht="15.75" thickBot="1" x14ac:dyDescent="0.3">
      <c r="A59" t="s">
        <v>70</v>
      </c>
      <c r="B59">
        <v>9</v>
      </c>
      <c r="C59">
        <v>279</v>
      </c>
      <c r="D59">
        <v>31</v>
      </c>
      <c r="E59" s="16" t="s">
        <v>86</v>
      </c>
      <c r="F59">
        <v>10</v>
      </c>
      <c r="G59">
        <v>307</v>
      </c>
      <c r="H59" s="16">
        <f t="shared" si="3"/>
        <v>30.7</v>
      </c>
      <c r="I59" s="16" t="s">
        <v>86</v>
      </c>
      <c r="M59" s="25" t="s">
        <v>45</v>
      </c>
      <c r="N59" s="81" t="str">
        <f t="shared" si="5"/>
        <v>Customer F</v>
      </c>
      <c r="O59" s="82" t="str">
        <f t="shared" si="5"/>
        <v>Customer F</v>
      </c>
    </row>
    <row r="60" spans="1:15" x14ac:dyDescent="0.25">
      <c r="A60" t="s">
        <v>71</v>
      </c>
      <c r="B60">
        <v>8</v>
      </c>
      <c r="C60">
        <v>320</v>
      </c>
      <c r="D60">
        <v>40</v>
      </c>
      <c r="E60" s="16" t="s">
        <v>87</v>
      </c>
      <c r="F60">
        <v>9</v>
      </c>
      <c r="G60">
        <v>352</v>
      </c>
      <c r="H60" s="16">
        <f t="shared" si="3"/>
        <v>39.111111111111114</v>
      </c>
      <c r="I60" s="16" t="s">
        <v>87</v>
      </c>
    </row>
    <row r="61" spans="1:15" x14ac:dyDescent="0.25">
      <c r="A61" t="s">
        <v>72</v>
      </c>
      <c r="B61">
        <v>3</v>
      </c>
      <c r="C61">
        <v>144</v>
      </c>
      <c r="D61">
        <v>48</v>
      </c>
      <c r="E61" s="16" t="s">
        <v>88</v>
      </c>
      <c r="F61">
        <v>4</v>
      </c>
      <c r="G61">
        <v>158</v>
      </c>
      <c r="H61" s="16">
        <f t="shared" si="3"/>
        <v>39.5</v>
      </c>
      <c r="I61" s="16" t="s">
        <v>88</v>
      </c>
    </row>
    <row r="62" spans="1:15" ht="15.75" thickBot="1" x14ac:dyDescent="0.3">
      <c r="A62" t="s">
        <v>73</v>
      </c>
      <c r="B62">
        <v>10</v>
      </c>
      <c r="C62">
        <v>380</v>
      </c>
      <c r="D62">
        <v>38</v>
      </c>
      <c r="E62" s="16" t="s">
        <v>89</v>
      </c>
      <c r="F62">
        <v>11</v>
      </c>
      <c r="G62">
        <v>418</v>
      </c>
      <c r="H62" s="16">
        <f t="shared" si="3"/>
        <v>38</v>
      </c>
      <c r="I62" s="16" t="s">
        <v>89</v>
      </c>
      <c r="M62" s="170" t="s">
        <v>324</v>
      </c>
      <c r="N62" s="170"/>
      <c r="O62" s="170"/>
    </row>
    <row r="63" spans="1:15" x14ac:dyDescent="0.25">
      <c r="A63" t="s">
        <v>74</v>
      </c>
      <c r="B63">
        <v>4</v>
      </c>
      <c r="C63">
        <v>192</v>
      </c>
      <c r="D63">
        <v>48</v>
      </c>
      <c r="E63" s="16" t="s">
        <v>90</v>
      </c>
      <c r="F63">
        <v>5</v>
      </c>
      <c r="G63">
        <v>211</v>
      </c>
      <c r="H63" s="16">
        <f t="shared" si="3"/>
        <v>42.2</v>
      </c>
      <c r="I63" s="16" t="s">
        <v>90</v>
      </c>
      <c r="M63" s="167" t="s">
        <v>99</v>
      </c>
      <c r="N63" s="168"/>
      <c r="O63" s="169"/>
    </row>
    <row r="64" spans="1:15" x14ac:dyDescent="0.25">
      <c r="A64" t="s">
        <v>75</v>
      </c>
      <c r="B64">
        <v>4</v>
      </c>
      <c r="C64">
        <v>160</v>
      </c>
      <c r="D64">
        <v>40</v>
      </c>
      <c r="E64" s="16" t="s">
        <v>91</v>
      </c>
      <c r="F64">
        <v>5</v>
      </c>
      <c r="G64">
        <v>176</v>
      </c>
      <c r="H64" s="16">
        <f t="shared" si="3"/>
        <v>35.200000000000003</v>
      </c>
      <c r="I64" s="16" t="s">
        <v>91</v>
      </c>
      <c r="M64" s="164" t="s">
        <v>38</v>
      </c>
      <c r="N64" s="165"/>
      <c r="O64" s="166"/>
    </row>
    <row r="65" spans="1:15" x14ac:dyDescent="0.25">
      <c r="A65" t="s">
        <v>76</v>
      </c>
      <c r="B65">
        <v>5</v>
      </c>
      <c r="C65">
        <v>155</v>
      </c>
      <c r="D65">
        <v>31</v>
      </c>
      <c r="E65" s="16" t="s">
        <v>92</v>
      </c>
      <c r="F65">
        <v>6</v>
      </c>
      <c r="G65">
        <v>171</v>
      </c>
      <c r="H65" s="16">
        <f t="shared" si="3"/>
        <v>28.5</v>
      </c>
      <c r="I65" s="16" t="s">
        <v>92</v>
      </c>
      <c r="M65" s="20"/>
      <c r="N65" s="21" t="s">
        <v>102</v>
      </c>
      <c r="O65" s="23" t="s">
        <v>103</v>
      </c>
    </row>
    <row r="66" spans="1:15" x14ac:dyDescent="0.25">
      <c r="A66" t="s">
        <v>77</v>
      </c>
      <c r="B66">
        <v>8</v>
      </c>
      <c r="C66">
        <v>352</v>
      </c>
      <c r="D66">
        <v>44</v>
      </c>
      <c r="E66" s="16" t="s">
        <v>93</v>
      </c>
      <c r="F66">
        <v>9</v>
      </c>
      <c r="G66">
        <v>387</v>
      </c>
      <c r="H66" s="16">
        <f t="shared" si="3"/>
        <v>43</v>
      </c>
      <c r="I66" s="16" t="s">
        <v>93</v>
      </c>
      <c r="M66" s="24" t="s">
        <v>41</v>
      </c>
      <c r="N66" s="77">
        <f t="array" ref="N66">INDEX($B$45:$I$70,MATCH($M$64,$A$45:$A$70,0),MATCH(N$65&amp;$M66,$B$43:$I$43&amp;$B$44:$I$44,0))</f>
        <v>3</v>
      </c>
      <c r="O66" s="78">
        <f t="array" ref="O66">INDEX($B$45:$I$70,MATCH($M$64,$A$45:$A$70,0),MATCH(O$65&amp;$M66,$B$43:$I$43&amp;$B$44:$I$44,0))</f>
        <v>4</v>
      </c>
    </row>
    <row r="67" spans="1:15" x14ac:dyDescent="0.25">
      <c r="A67" t="s">
        <v>78</v>
      </c>
      <c r="B67">
        <v>8</v>
      </c>
      <c r="C67">
        <v>400</v>
      </c>
      <c r="D67">
        <v>50</v>
      </c>
      <c r="E67" s="16" t="s">
        <v>94</v>
      </c>
      <c r="F67">
        <v>9</v>
      </c>
      <c r="G67">
        <v>440</v>
      </c>
      <c r="H67" s="16">
        <f t="shared" si="3"/>
        <v>48.888888888888886</v>
      </c>
      <c r="I67" s="16" t="s">
        <v>94</v>
      </c>
      <c r="M67" s="24" t="s">
        <v>42</v>
      </c>
      <c r="N67" s="22">
        <f t="array" ref="N67">INDEX($B$45:$I$70,MATCH($M$64,$A$45:$A$70,0),MATCH(N$65&amp;$M67,$B$43:$I$43&amp;$B$44:$I$44,0))</f>
        <v>200</v>
      </c>
      <c r="O67" s="79">
        <f t="array" ref="O67">INDEX($B$45:$I$70,MATCH($M$64,$A$45:$A$70,0),MATCH(O$65&amp;$M67,$B$43:$I$43&amp;$B$44:$I$44,0))</f>
        <v>220</v>
      </c>
    </row>
    <row r="68" spans="1:15" x14ac:dyDescent="0.25">
      <c r="A68" t="s">
        <v>79</v>
      </c>
      <c r="B68">
        <v>8</v>
      </c>
      <c r="C68">
        <v>280</v>
      </c>
      <c r="D68">
        <v>35</v>
      </c>
      <c r="E68" s="16" t="s">
        <v>95</v>
      </c>
      <c r="F68">
        <v>9</v>
      </c>
      <c r="G68">
        <v>308</v>
      </c>
      <c r="H68" s="16">
        <f t="shared" si="3"/>
        <v>34.222222222222221</v>
      </c>
      <c r="I68" s="16" t="s">
        <v>95</v>
      </c>
      <c r="M68" s="24" t="s">
        <v>8</v>
      </c>
      <c r="N68" s="76">
        <f t="array" ref="N68">INDEX($B$45:$I$70,MATCH($M$64,$A$45:$A$70,0),MATCH(N$65&amp;$M68,$B$43:$I$43&amp;$B$44:$I$44,0))</f>
        <v>66.666666666666671</v>
      </c>
      <c r="O68" s="80">
        <f t="array" ref="O68">INDEX($B$45:$I$70,MATCH($M$64,$A$45:$A$70,0),MATCH(O$65&amp;$M68,$B$43:$I$43&amp;$B$44:$I$44,0))</f>
        <v>55</v>
      </c>
    </row>
    <row r="69" spans="1:15" ht="15.75" thickBot="1" x14ac:dyDescent="0.3">
      <c r="A69" t="s">
        <v>80</v>
      </c>
      <c r="B69">
        <v>10</v>
      </c>
      <c r="C69">
        <v>350</v>
      </c>
      <c r="D69">
        <v>35</v>
      </c>
      <c r="E69" s="16" t="s">
        <v>96</v>
      </c>
      <c r="F69">
        <v>11</v>
      </c>
      <c r="G69">
        <v>385</v>
      </c>
      <c r="H69" s="16">
        <f t="shared" si="3"/>
        <v>35</v>
      </c>
      <c r="I69" s="16" t="s">
        <v>96</v>
      </c>
      <c r="M69" s="25" t="s">
        <v>45</v>
      </c>
      <c r="N69" s="81" t="str">
        <f t="array" ref="N69">INDEX($B$45:$I$70,MATCH($M$64,$A$45:$A$70,0),MATCH(N$65&amp;$M69,$B$43:$I$43&amp;$B$44:$I$44,0))</f>
        <v>Customer F</v>
      </c>
      <c r="O69" s="82" t="str">
        <f t="array" ref="O69">INDEX($B$45:$I$70,MATCH($M$64,$A$45:$A$70,0),MATCH(O$65&amp;$M69,$B$43:$I$43&amp;$B$44:$I$44,0))</f>
        <v>Customer F</v>
      </c>
    </row>
    <row r="70" spans="1:15" x14ac:dyDescent="0.25">
      <c r="A70" t="s">
        <v>81</v>
      </c>
      <c r="B70">
        <v>3</v>
      </c>
      <c r="C70">
        <v>102</v>
      </c>
      <c r="D70">
        <v>34</v>
      </c>
      <c r="E70" s="16" t="s">
        <v>97</v>
      </c>
      <c r="F70">
        <v>4</v>
      </c>
      <c r="G70">
        <v>112</v>
      </c>
      <c r="H70" s="16">
        <f t="shared" si="3"/>
        <v>28</v>
      </c>
      <c r="I70" s="16" t="s">
        <v>97</v>
      </c>
    </row>
    <row r="76" spans="1:15" x14ac:dyDescent="0.25">
      <c r="B76" s="9" t="s">
        <v>287</v>
      </c>
      <c r="C76" s="9" t="s">
        <v>288</v>
      </c>
      <c r="D76" s="9" t="s">
        <v>289</v>
      </c>
      <c r="E76" s="9" t="s">
        <v>290</v>
      </c>
      <c r="F76" s="9" t="s">
        <v>291</v>
      </c>
      <c r="G76" s="9" t="s">
        <v>292</v>
      </c>
    </row>
    <row r="77" spans="1:15" x14ac:dyDescent="0.25">
      <c r="A77" s="18" t="s">
        <v>293</v>
      </c>
      <c r="B77" s="88" t="s">
        <v>294</v>
      </c>
      <c r="C77" s="88" t="s">
        <v>295</v>
      </c>
      <c r="D77" s="88" t="s">
        <v>296</v>
      </c>
      <c r="E77" s="88" t="s">
        <v>297</v>
      </c>
      <c r="F77" s="88" t="s">
        <v>298</v>
      </c>
      <c r="G77" s="88" t="s">
        <v>299</v>
      </c>
    </row>
    <row r="78" spans="1:15" x14ac:dyDescent="0.25">
      <c r="A78" s="18" t="s">
        <v>300</v>
      </c>
      <c r="B78" s="88" t="s">
        <v>296</v>
      </c>
      <c r="C78" s="88" t="s">
        <v>297</v>
      </c>
      <c r="D78" s="88" t="s">
        <v>295</v>
      </c>
      <c r="E78" s="88" t="s">
        <v>294</v>
      </c>
      <c r="F78" s="88" t="s">
        <v>298</v>
      </c>
      <c r="G78" s="88" t="s">
        <v>299</v>
      </c>
    </row>
    <row r="79" spans="1:15" x14ac:dyDescent="0.25">
      <c r="A79" s="18" t="s">
        <v>301</v>
      </c>
      <c r="B79" s="88" t="s">
        <v>295</v>
      </c>
      <c r="C79" s="88" t="s">
        <v>296</v>
      </c>
      <c r="D79" s="88" t="s">
        <v>297</v>
      </c>
      <c r="E79" s="88" t="s">
        <v>299</v>
      </c>
      <c r="F79" s="88" t="s">
        <v>294</v>
      </c>
      <c r="G79" s="88" t="s">
        <v>298</v>
      </c>
    </row>
    <row r="82" spans="1:2" x14ac:dyDescent="0.25">
      <c r="A82" s="93" t="s">
        <v>302</v>
      </c>
      <c r="B82" s="19" t="s">
        <v>300</v>
      </c>
    </row>
    <row r="83" spans="1:2" x14ac:dyDescent="0.25">
      <c r="A83" s="93" t="s">
        <v>303</v>
      </c>
      <c r="B83" s="92" t="s">
        <v>297</v>
      </c>
    </row>
    <row r="84" spans="1:2" x14ac:dyDescent="0.25">
      <c r="A84" t="s">
        <v>478</v>
      </c>
      <c r="B84" s="91" t="str">
        <f>INDEX(B76:G76,,MATCH(B83,INDEX(B77:G79,MATCH(B82,A77:A79,0),0),0))</f>
        <v>Category 2</v>
      </c>
    </row>
  </sheetData>
  <mergeCells count="10">
    <mergeCell ref="M53:O53"/>
    <mergeCell ref="M54:O54"/>
    <mergeCell ref="M62:O62"/>
    <mergeCell ref="M63:O63"/>
    <mergeCell ref="M64:O64"/>
    <mergeCell ref="H4:I4"/>
    <mergeCell ref="M45:O45"/>
    <mergeCell ref="M44:O44"/>
    <mergeCell ref="M43:O43"/>
    <mergeCell ref="M52:O52"/>
  </mergeCells>
  <dataValidations count="6">
    <dataValidation type="list" allowBlank="1" showInputMessage="1" showErrorMessage="1" sqref="I5 I14" xr:uid="{00000000-0002-0000-1100-000000000000}">
      <formula1>$A$5:$A$30</formula1>
    </dataValidation>
    <dataValidation type="list" allowBlank="1" showInputMessage="1" showErrorMessage="1" sqref="I10" xr:uid="{00000000-0002-0000-1100-000001000000}">
      <formula1>$E$5:$E$30</formula1>
    </dataValidation>
    <dataValidation type="list" allowBlank="1" showInputMessage="1" showErrorMessage="1" sqref="M45:O45 M54:O54 M64:O64" xr:uid="{00000000-0002-0000-1100-000002000000}">
      <formula1>$A$45:$A$70</formula1>
    </dataValidation>
    <dataValidation type="list" allowBlank="1" showInputMessage="1" showErrorMessage="1" sqref="I15" xr:uid="{00000000-0002-0000-1100-000003000000}">
      <formula1>$B$4:$E$4</formula1>
    </dataValidation>
    <dataValidation type="list" allowBlank="1" showInputMessage="1" showErrorMessage="1" sqref="B82" xr:uid="{00000000-0002-0000-1100-000004000000}">
      <formula1>$A$77:$A$79</formula1>
    </dataValidation>
    <dataValidation type="list" allowBlank="1" showInputMessage="1" showErrorMessage="1" sqref="B83" xr:uid="{00000000-0002-0000-1100-000005000000}">
      <formula1>$B$77:$G$77</formula1>
    </dataValidation>
  </dataValidation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theme="3" tint="0.39997558519241921"/>
  </sheetPr>
  <dimension ref="A1:H40"/>
  <sheetViews>
    <sheetView topLeftCell="A14" zoomScale="110" zoomScaleNormal="110" workbookViewId="0"/>
  </sheetViews>
  <sheetFormatPr defaultColWidth="9" defaultRowHeight="15" x14ac:dyDescent="0.25"/>
  <cols>
    <col min="1" max="1" width="18.42578125" bestFit="1" customWidth="1"/>
    <col min="2" max="2" width="18.5703125" customWidth="1"/>
    <col min="3" max="3" width="17" customWidth="1"/>
    <col min="4" max="4" width="17.85546875" customWidth="1"/>
    <col min="5" max="5" width="18.140625" customWidth="1"/>
    <col min="7" max="7" width="12.7109375" bestFit="1" customWidth="1"/>
  </cols>
  <sheetData>
    <row r="1" spans="1:8" ht="16.5" customHeight="1" x14ac:dyDescent="0.3">
      <c r="A1" s="1" t="s">
        <v>109</v>
      </c>
      <c r="B1" s="2"/>
      <c r="C1" s="2"/>
      <c r="D1" s="2"/>
      <c r="E1" s="2"/>
      <c r="F1" s="2"/>
      <c r="G1" s="2"/>
      <c r="H1" s="2"/>
    </row>
    <row r="3" spans="1:8" ht="30" customHeight="1" x14ac:dyDescent="0.25">
      <c r="A3" s="5" t="s">
        <v>110</v>
      </c>
      <c r="B3" s="29" t="s">
        <v>111</v>
      </c>
      <c r="C3" s="29" t="s">
        <v>112</v>
      </c>
      <c r="D3" s="29" t="s">
        <v>113</v>
      </c>
      <c r="E3" s="29" t="s">
        <v>114</v>
      </c>
    </row>
    <row r="4" spans="1:8" x14ac:dyDescent="0.25">
      <c r="A4" s="27" t="s">
        <v>277</v>
      </c>
      <c r="B4" t="str">
        <f>UPPER(A4)</f>
        <v>JOHN ANDERSON</v>
      </c>
      <c r="C4" t="str">
        <f>LOWER(A4)</f>
        <v>john anderson</v>
      </c>
      <c r="D4" t="str">
        <f>PROPER(A4)</f>
        <v>John Anderson</v>
      </c>
      <c r="E4">
        <f>LEN(A4)</f>
        <v>13</v>
      </c>
    </row>
    <row r="5" spans="1:8" x14ac:dyDescent="0.25">
      <c r="A5" s="27" t="s">
        <v>115</v>
      </c>
      <c r="B5" t="str">
        <f t="shared" ref="B5:B6" si="0">UPPER(A5)</f>
        <v>VALERY MONG</v>
      </c>
      <c r="C5" t="str">
        <f t="shared" ref="C5:C6" si="1">LOWER(A5)</f>
        <v>valery mong</v>
      </c>
      <c r="D5" t="str">
        <f t="shared" ref="D5:D6" si="2">PROPER(A5)</f>
        <v>Valery Mong</v>
      </c>
      <c r="E5">
        <f t="shared" ref="E5:E6" si="3">LEN(A5)</f>
        <v>11</v>
      </c>
    </row>
    <row r="6" spans="1:8" x14ac:dyDescent="0.25">
      <c r="A6" s="27" t="s">
        <v>116</v>
      </c>
      <c r="B6" t="str">
        <f t="shared" si="0"/>
        <v>TOBY CARTER</v>
      </c>
      <c r="C6" t="str">
        <f t="shared" si="1"/>
        <v>toby carter</v>
      </c>
      <c r="D6" t="str">
        <f t="shared" si="2"/>
        <v>Toby Carter</v>
      </c>
      <c r="E6">
        <f t="shared" si="3"/>
        <v>11</v>
      </c>
    </row>
    <row r="9" spans="1:8" ht="30" x14ac:dyDescent="0.25">
      <c r="A9" s="5" t="s">
        <v>110</v>
      </c>
      <c r="B9" s="29" t="s">
        <v>117</v>
      </c>
      <c r="C9" s="29" t="s">
        <v>118</v>
      </c>
      <c r="D9" s="29" t="s">
        <v>119</v>
      </c>
    </row>
    <row r="10" spans="1:8" x14ac:dyDescent="0.25">
      <c r="A10" s="27" t="s">
        <v>278</v>
      </c>
      <c r="B10">
        <f>LEN(A10)</f>
        <v>17</v>
      </c>
      <c r="C10" t="str">
        <f>TRIM(A10)</f>
        <v>john anderson</v>
      </c>
      <c r="D10">
        <f>LEN(C10)</f>
        <v>13</v>
      </c>
    </row>
    <row r="11" spans="1:8" x14ac:dyDescent="0.25">
      <c r="A11" s="27" t="s">
        <v>120</v>
      </c>
      <c r="B11">
        <f t="shared" ref="B11:B12" si="4">LEN(A11)</f>
        <v>12</v>
      </c>
      <c r="C11" t="str">
        <f t="shared" ref="C11:C12" si="5">TRIM(A11)</f>
        <v>Valery Mong</v>
      </c>
      <c r="D11">
        <f t="shared" ref="D11:D12" si="6">LEN(C11)</f>
        <v>11</v>
      </c>
    </row>
    <row r="12" spans="1:8" x14ac:dyDescent="0.25">
      <c r="A12" s="27" t="s">
        <v>121</v>
      </c>
      <c r="B12">
        <f t="shared" si="4"/>
        <v>12</v>
      </c>
      <c r="C12" t="str">
        <f t="shared" si="5"/>
        <v>toby cartER</v>
      </c>
      <c r="D12">
        <f t="shared" si="6"/>
        <v>11</v>
      </c>
    </row>
    <row r="15" spans="1:8" x14ac:dyDescent="0.25">
      <c r="A15" s="5" t="s">
        <v>110</v>
      </c>
      <c r="B15" s="29" t="s">
        <v>122</v>
      </c>
      <c r="C15" s="29" t="s">
        <v>123</v>
      </c>
      <c r="D15" s="29" t="s">
        <v>124</v>
      </c>
    </row>
    <row r="16" spans="1:8" x14ac:dyDescent="0.25">
      <c r="A16" s="27" t="s">
        <v>125</v>
      </c>
      <c r="B16" t="str">
        <f>LEFT(A16,4)</f>
        <v>Toby</v>
      </c>
      <c r="C16" t="str">
        <f>MID(A16,6,4)</f>
        <v>Jane</v>
      </c>
      <c r="D16" t="str">
        <f>RIGHT(A16,6)</f>
        <v>Carter</v>
      </c>
    </row>
    <row r="17" spans="1:4" x14ac:dyDescent="0.25">
      <c r="B17" s="28"/>
      <c r="D17" s="28"/>
    </row>
    <row r="19" spans="1:4" x14ac:dyDescent="0.25">
      <c r="A19" s="5" t="s">
        <v>110</v>
      </c>
      <c r="B19" s="29" t="s">
        <v>126</v>
      </c>
      <c r="C19" s="29" t="s">
        <v>127</v>
      </c>
    </row>
    <row r="20" spans="1:4" x14ac:dyDescent="0.25">
      <c r="A20" s="27" t="s">
        <v>125</v>
      </c>
      <c r="B20" s="30">
        <f>FIND("t",A20)</f>
        <v>14</v>
      </c>
      <c r="C20">
        <f>SEARCH("t",A20)</f>
        <v>1</v>
      </c>
    </row>
    <row r="21" spans="1:4" x14ac:dyDescent="0.25">
      <c r="B21" s="28"/>
      <c r="C21" s="28"/>
      <c r="D21" s="28"/>
    </row>
    <row r="22" spans="1:4" x14ac:dyDescent="0.25">
      <c r="A22" s="96"/>
      <c r="B22" s="97"/>
      <c r="C22" s="97"/>
    </row>
    <row r="23" spans="1:4" x14ac:dyDescent="0.25">
      <c r="A23" s="5" t="s">
        <v>110</v>
      </c>
      <c r="B23" s="29" t="s">
        <v>122</v>
      </c>
      <c r="C23" s="29" t="s">
        <v>124</v>
      </c>
    </row>
    <row r="24" spans="1:4" x14ac:dyDescent="0.25">
      <c r="A24" s="27" t="s">
        <v>277</v>
      </c>
      <c r="B24" t="str">
        <f>TRIM(LEFT(PROPER(A24),SEARCH(" ",A24)))</f>
        <v>John</v>
      </c>
      <c r="C24" t="str">
        <f>RIGHT(PROPER(A24),LEN(A24)-SEARCH(" ",A24))</f>
        <v>Anderson</v>
      </c>
    </row>
    <row r="25" spans="1:4" x14ac:dyDescent="0.25">
      <c r="A25" s="27" t="s">
        <v>115</v>
      </c>
      <c r="B25" t="str">
        <f t="shared" ref="B25:B26" si="7">TRIM(LEFT(PROPER(A25),SEARCH(" ",A25)))</f>
        <v>Valery</v>
      </c>
      <c r="C25" t="str">
        <f t="shared" ref="C25:C26" si="8">RIGHT(PROPER(A25),LEN(A25)-SEARCH(" ",A25))</f>
        <v>Mong</v>
      </c>
    </row>
    <row r="26" spans="1:4" x14ac:dyDescent="0.25">
      <c r="A26" s="27" t="s">
        <v>116</v>
      </c>
      <c r="B26" t="str">
        <f t="shared" si="7"/>
        <v>Toby</v>
      </c>
      <c r="C26" t="str">
        <f t="shared" si="8"/>
        <v>Carter</v>
      </c>
    </row>
    <row r="27" spans="1:4" x14ac:dyDescent="0.25">
      <c r="A27" s="27"/>
    </row>
    <row r="28" spans="1:4" x14ac:dyDescent="0.25">
      <c r="A28" s="27"/>
    </row>
    <row r="29" spans="1:4" ht="15.75" thickBot="1" x14ac:dyDescent="0.3">
      <c r="A29" s="94" t="s">
        <v>326</v>
      </c>
      <c r="B29" s="95"/>
      <c r="C29" s="95"/>
      <c r="D29" s="95"/>
    </row>
    <row r="30" spans="1:4" x14ac:dyDescent="0.25">
      <c r="A30" s="5" t="s">
        <v>110</v>
      </c>
      <c r="B30" s="29" t="s">
        <v>122</v>
      </c>
      <c r="C30" s="29" t="s">
        <v>123</v>
      </c>
      <c r="D30" s="29" t="s">
        <v>124</v>
      </c>
    </row>
    <row r="31" spans="1:4" x14ac:dyDescent="0.25">
      <c r="A31" s="27" t="s">
        <v>125</v>
      </c>
      <c r="B31" t="str">
        <f t="shared" ref="B31:B33" si="9">TRIM(LEFT(PROPER(A31),SEARCH(" ",A31)))</f>
        <v>Toby</v>
      </c>
      <c r="C31" t="str">
        <f>IFERROR(MID(A31,LEN(B31)+2,SEARCH(" ",A31,LEN(B31)+2)-LEN(B31)-2),"")</f>
        <v>Jane</v>
      </c>
      <c r="D31" t="str">
        <f>TRIM(RIGHT(A31,LEN(A31)-LEN(B31)-LEN(C31)-1))</f>
        <v>Carter</v>
      </c>
    </row>
    <row r="32" spans="1:4" x14ac:dyDescent="0.25">
      <c r="A32" s="27" t="s">
        <v>325</v>
      </c>
      <c r="B32" t="str">
        <f t="shared" si="9"/>
        <v>John</v>
      </c>
      <c r="C32" t="str">
        <f t="shared" ref="C32:C33" si="10">IFERROR(MID(A32,LEN(B32)+2,SEARCH(" ",A32,LEN(B32)+2)-LEN(B32)-2),"")</f>
        <v/>
      </c>
      <c r="D32" t="str">
        <f t="shared" ref="D32:D33" si="11">TRIM(RIGHT(A32,LEN(A32)-LEN(B32)-LEN(C32)-1))</f>
        <v>Anderson</v>
      </c>
    </row>
    <row r="33" spans="1:5" x14ac:dyDescent="0.25">
      <c r="A33" s="27" t="s">
        <v>115</v>
      </c>
      <c r="B33" t="str">
        <f t="shared" si="9"/>
        <v>Valery</v>
      </c>
      <c r="C33" t="str">
        <f t="shared" si="10"/>
        <v/>
      </c>
      <c r="D33" t="str">
        <f t="shared" si="11"/>
        <v>Mong</v>
      </c>
    </row>
    <row r="36" spans="1:5" ht="45" x14ac:dyDescent="0.25">
      <c r="B36" s="29" t="s">
        <v>132</v>
      </c>
      <c r="C36" s="29" t="s">
        <v>327</v>
      </c>
      <c r="D36" s="29" t="s">
        <v>133</v>
      </c>
      <c r="E36" s="29" t="s">
        <v>134</v>
      </c>
    </row>
    <row r="37" spans="1:5" x14ac:dyDescent="0.25">
      <c r="A37" t="s">
        <v>131</v>
      </c>
      <c r="B37" t="str">
        <f>SUBSTITUTE(A37,"AT","DE")</f>
        <v>DE25092</v>
      </c>
      <c r="C37" t="str">
        <f>REPLACE(A37,1,2,"DE")</f>
        <v>DE25092</v>
      </c>
      <c r="D37" t="str">
        <f>REPLACE(A37,6,2,"0")</f>
        <v>AT2500</v>
      </c>
      <c r="E37" t="str">
        <f>REPLACE(A37,6,2,"00")</f>
        <v>AT25000</v>
      </c>
    </row>
    <row r="38" spans="1:5" x14ac:dyDescent="0.25">
      <c r="A38" t="s">
        <v>128</v>
      </c>
      <c r="B38" t="str">
        <f t="shared" ref="B38:B40" si="12">SUBSTITUTE(A38,"AT","DE")</f>
        <v>DE58963</v>
      </c>
      <c r="C38" t="str">
        <f t="shared" ref="C38:C40" si="13">REPLACE(A38,1,2,"DE")</f>
        <v>DE58963</v>
      </c>
      <c r="D38" t="str">
        <f t="shared" ref="D38:D40" si="14">REPLACE(A38,6,2,"0")</f>
        <v>DE5890</v>
      </c>
      <c r="E38" t="str">
        <f t="shared" ref="E38:E40" si="15">REPLACE(A38,6,2,"00")</f>
        <v>DE58900</v>
      </c>
    </row>
    <row r="39" spans="1:5" x14ac:dyDescent="0.25">
      <c r="A39" t="s">
        <v>129</v>
      </c>
      <c r="B39" t="str">
        <f t="shared" si="12"/>
        <v>US85975</v>
      </c>
      <c r="C39" t="str">
        <f t="shared" si="13"/>
        <v>DE85975</v>
      </c>
      <c r="D39" t="str">
        <f t="shared" si="14"/>
        <v>US8590</v>
      </c>
      <c r="E39" t="str">
        <f t="shared" si="15"/>
        <v>US85900</v>
      </c>
    </row>
    <row r="40" spans="1:5" x14ac:dyDescent="0.25">
      <c r="A40" t="s">
        <v>130</v>
      </c>
      <c r="B40" t="str">
        <f t="shared" si="12"/>
        <v>DE98672</v>
      </c>
      <c r="C40" t="str">
        <f t="shared" si="13"/>
        <v>DE98672</v>
      </c>
      <c r="D40" t="str">
        <f t="shared" si="14"/>
        <v>AT9860</v>
      </c>
      <c r="E40" t="str">
        <f t="shared" si="15"/>
        <v>AT98600</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theme="3" tint="0.39997558519241921"/>
  </sheetPr>
  <dimension ref="A1:H49"/>
  <sheetViews>
    <sheetView workbookViewId="0"/>
  </sheetViews>
  <sheetFormatPr defaultColWidth="9" defaultRowHeight="15" x14ac:dyDescent="0.25"/>
  <cols>
    <col min="1" max="1" width="24.140625" bestFit="1" customWidth="1"/>
    <col min="2" max="2" width="16" bestFit="1" customWidth="1"/>
    <col min="3" max="3" width="16.7109375" bestFit="1" customWidth="1"/>
    <col min="4" max="4" width="16" bestFit="1" customWidth="1"/>
  </cols>
  <sheetData>
    <row r="1" spans="1:8" ht="16.5" customHeight="1" x14ac:dyDescent="0.3">
      <c r="A1" s="1" t="s">
        <v>135</v>
      </c>
      <c r="B1" s="2"/>
      <c r="C1" s="2"/>
      <c r="D1" s="2"/>
      <c r="E1" s="2"/>
      <c r="F1" s="2"/>
      <c r="G1" s="2"/>
      <c r="H1" s="2"/>
    </row>
    <row r="3" spans="1:8" x14ac:dyDescent="0.25">
      <c r="A3" s="5" t="s">
        <v>136</v>
      </c>
      <c r="B3" s="5" t="s">
        <v>137</v>
      </c>
      <c r="C3" s="5" t="s">
        <v>138</v>
      </c>
      <c r="D3" s="29" t="s">
        <v>139</v>
      </c>
    </row>
    <row r="4" spans="1:8" x14ac:dyDescent="0.25">
      <c r="A4">
        <v>2016</v>
      </c>
      <c r="B4">
        <v>3</v>
      </c>
      <c r="C4">
        <v>21</v>
      </c>
      <c r="D4" s="31">
        <f>DATE(A4,B4,C4)</f>
        <v>42450</v>
      </c>
      <c r="E4" s="28"/>
    </row>
    <row r="6" spans="1:8" x14ac:dyDescent="0.25">
      <c r="A6" s="5" t="s">
        <v>139</v>
      </c>
      <c r="B6" s="29" t="s">
        <v>136</v>
      </c>
      <c r="C6" s="29" t="s">
        <v>137</v>
      </c>
      <c r="D6" s="29" t="s">
        <v>138</v>
      </c>
    </row>
    <row r="7" spans="1:8" x14ac:dyDescent="0.25">
      <c r="A7" s="33">
        <v>42450</v>
      </c>
      <c r="B7">
        <f>YEAR(A7)</f>
        <v>2016</v>
      </c>
      <c r="C7">
        <f>MONTH(A7)</f>
        <v>3</v>
      </c>
      <c r="D7">
        <f>DAY(A7)</f>
        <v>21</v>
      </c>
    </row>
    <row r="9" spans="1:8" x14ac:dyDescent="0.25">
      <c r="A9" s="32" t="s">
        <v>140</v>
      </c>
    </row>
    <row r="10" spans="1:8" x14ac:dyDescent="0.25">
      <c r="A10" s="5" t="s">
        <v>139</v>
      </c>
      <c r="B10" s="29" t="s">
        <v>138</v>
      </c>
    </row>
    <row r="11" spans="1:8" x14ac:dyDescent="0.25">
      <c r="A11" s="33">
        <v>42450</v>
      </c>
      <c r="B11" s="72">
        <f>WEEKDAY(A11,1)</f>
        <v>2</v>
      </c>
    </row>
    <row r="14" spans="1:8" x14ac:dyDescent="0.25">
      <c r="A14" s="32" t="s">
        <v>304</v>
      </c>
    </row>
    <row r="15" spans="1:8" x14ac:dyDescent="0.25">
      <c r="A15" s="5" t="s">
        <v>139</v>
      </c>
      <c r="B15" s="29" t="s">
        <v>305</v>
      </c>
    </row>
    <row r="16" spans="1:8" x14ac:dyDescent="0.25">
      <c r="A16" s="33">
        <v>42450</v>
      </c>
      <c r="B16">
        <f>WEEKNUM(A16,1)</f>
        <v>13</v>
      </c>
    </row>
    <row r="19" spans="1:7" x14ac:dyDescent="0.25">
      <c r="A19" s="32" t="s">
        <v>141</v>
      </c>
    </row>
    <row r="20" spans="1:7" x14ac:dyDescent="0.25">
      <c r="A20" s="5" t="s">
        <v>142</v>
      </c>
      <c r="B20" s="5" t="s">
        <v>143</v>
      </c>
      <c r="C20" s="5" t="s">
        <v>147</v>
      </c>
      <c r="D20" s="29" t="s">
        <v>144</v>
      </c>
      <c r="F20" s="98" t="s">
        <v>145</v>
      </c>
      <c r="G20" s="26"/>
    </row>
    <row r="21" spans="1:7" x14ac:dyDescent="0.25">
      <c r="A21" s="31">
        <v>42369</v>
      </c>
      <c r="B21">
        <v>3</v>
      </c>
      <c r="C21" t="s">
        <v>306</v>
      </c>
      <c r="D21" s="31">
        <f>WORKDAY(A21,B21)</f>
        <v>42374</v>
      </c>
      <c r="F21" t="s">
        <v>308</v>
      </c>
    </row>
    <row r="22" spans="1:7" x14ac:dyDescent="0.25">
      <c r="A22" s="31">
        <v>42369</v>
      </c>
      <c r="B22">
        <v>3</v>
      </c>
      <c r="C22" t="s">
        <v>307</v>
      </c>
      <c r="D22" s="31">
        <f>WORKDAY(A22,B22,B24:B25)</f>
        <v>42376</v>
      </c>
      <c r="F22" t="s">
        <v>309</v>
      </c>
      <c r="G22" t="s">
        <v>146</v>
      </c>
    </row>
    <row r="23" spans="1:7" x14ac:dyDescent="0.25">
      <c r="A23" s="31">
        <v>42376</v>
      </c>
      <c r="B23">
        <v>-3</v>
      </c>
      <c r="C23" t="s">
        <v>307</v>
      </c>
      <c r="D23" s="31">
        <f>WORKDAY(A23,B23,B24:B25)</f>
        <v>42369</v>
      </c>
      <c r="F23" t="s">
        <v>310</v>
      </c>
      <c r="G23" t="s">
        <v>148</v>
      </c>
    </row>
    <row r="24" spans="1:7" x14ac:dyDescent="0.25">
      <c r="A24" s="18" t="s">
        <v>147</v>
      </c>
      <c r="B24" s="34">
        <v>42370</v>
      </c>
      <c r="F24" t="s">
        <v>311</v>
      </c>
      <c r="G24" t="s">
        <v>148</v>
      </c>
    </row>
    <row r="25" spans="1:7" x14ac:dyDescent="0.25">
      <c r="A25" s="18"/>
      <c r="B25" s="34">
        <v>42375</v>
      </c>
      <c r="F25" t="s">
        <v>312</v>
      </c>
    </row>
    <row r="26" spans="1:7" x14ac:dyDescent="0.25">
      <c r="F26" t="s">
        <v>313</v>
      </c>
    </row>
    <row r="27" spans="1:7" x14ac:dyDescent="0.25">
      <c r="F27" t="s">
        <v>314</v>
      </c>
      <c r="G27" t="s">
        <v>146</v>
      </c>
    </row>
    <row r="28" spans="1:7" x14ac:dyDescent="0.25">
      <c r="F28" t="s">
        <v>315</v>
      </c>
    </row>
    <row r="30" spans="1:7" x14ac:dyDescent="0.25">
      <c r="A30" s="32" t="s">
        <v>149</v>
      </c>
    </row>
    <row r="31" spans="1:7" x14ac:dyDescent="0.25">
      <c r="A31" s="5" t="s">
        <v>142</v>
      </c>
      <c r="B31" s="5" t="s">
        <v>150</v>
      </c>
      <c r="C31" s="5" t="s">
        <v>147</v>
      </c>
      <c r="D31" s="29" t="s">
        <v>144</v>
      </c>
      <c r="F31" s="98" t="s">
        <v>145</v>
      </c>
      <c r="G31" s="26"/>
    </row>
    <row r="32" spans="1:7" x14ac:dyDescent="0.25">
      <c r="A32" s="31">
        <v>42369</v>
      </c>
      <c r="B32" s="31">
        <v>42374</v>
      </c>
      <c r="C32" t="s">
        <v>306</v>
      </c>
      <c r="D32">
        <f>NETWORKDAYS(A32,B32)</f>
        <v>4</v>
      </c>
      <c r="F32" t="s">
        <v>308</v>
      </c>
    </row>
    <row r="33" spans="1:7" x14ac:dyDescent="0.25">
      <c r="A33" s="31">
        <v>42369</v>
      </c>
      <c r="B33" s="31">
        <v>42374</v>
      </c>
      <c r="C33" t="s">
        <v>307</v>
      </c>
      <c r="D33">
        <f>NETWORKDAYS(A33,B33,A36)</f>
        <v>3</v>
      </c>
      <c r="F33" t="s">
        <v>309</v>
      </c>
      <c r="G33" t="s">
        <v>146</v>
      </c>
    </row>
    <row r="34" spans="1:7" x14ac:dyDescent="0.25">
      <c r="A34" s="31">
        <v>42374</v>
      </c>
      <c r="B34" s="31">
        <v>42369</v>
      </c>
      <c r="C34" t="s">
        <v>307</v>
      </c>
      <c r="D34">
        <f>NETWORKDAYS(A34,B34,A36:A37)</f>
        <v>-3</v>
      </c>
      <c r="F34" t="s">
        <v>310</v>
      </c>
      <c r="G34" t="s">
        <v>148</v>
      </c>
    </row>
    <row r="35" spans="1:7" x14ac:dyDescent="0.25">
      <c r="A35" s="5" t="s">
        <v>147</v>
      </c>
      <c r="F35" t="s">
        <v>311</v>
      </c>
      <c r="G35" t="s">
        <v>148</v>
      </c>
    </row>
    <row r="36" spans="1:7" x14ac:dyDescent="0.25">
      <c r="A36" s="90">
        <v>42370</v>
      </c>
      <c r="F36" t="s">
        <v>312</v>
      </c>
    </row>
    <row r="37" spans="1:7" x14ac:dyDescent="0.25">
      <c r="A37" s="90">
        <v>42375</v>
      </c>
      <c r="F37" t="s">
        <v>313</v>
      </c>
    </row>
    <row r="38" spans="1:7" x14ac:dyDescent="0.25">
      <c r="F38" t="s">
        <v>314</v>
      </c>
      <c r="G38" t="s">
        <v>146</v>
      </c>
    </row>
    <row r="39" spans="1:7" x14ac:dyDescent="0.25">
      <c r="F39" t="s">
        <v>315</v>
      </c>
    </row>
    <row r="41" spans="1:7" x14ac:dyDescent="0.25">
      <c r="C41" s="29" t="s">
        <v>318</v>
      </c>
      <c r="D41" s="29" t="s">
        <v>319</v>
      </c>
      <c r="F41" s="98" t="s">
        <v>145</v>
      </c>
      <c r="G41" s="26"/>
    </row>
    <row r="42" spans="1:7" x14ac:dyDescent="0.25">
      <c r="A42" s="5" t="s">
        <v>142</v>
      </c>
      <c r="B42" s="5" t="s">
        <v>150</v>
      </c>
      <c r="C42" s="29" t="s">
        <v>317</v>
      </c>
      <c r="D42" s="29" t="s">
        <v>317</v>
      </c>
      <c r="F42" t="s">
        <v>308</v>
      </c>
    </row>
    <row r="43" spans="1:7" x14ac:dyDescent="0.25">
      <c r="A43" s="31">
        <v>42369</v>
      </c>
      <c r="B43" s="31">
        <v>42376</v>
      </c>
      <c r="C43">
        <f>NETWORKDAYS($A43,$B43,INDEX(($A$47:$A$48,$B$47:$B$48),,,MATCH(C$41,$A$46:$B$46,0)))</f>
        <v>4</v>
      </c>
      <c r="D43">
        <f>NETWORKDAYS($A43,$B43,INDEX(($A$47:$A$48,$B$47:$B$48),,,MATCH(D$41,$A$46:$B$46,0)))</f>
        <v>5</v>
      </c>
      <c r="F43" t="s">
        <v>309</v>
      </c>
      <c r="G43" t="s">
        <v>321</v>
      </c>
    </row>
    <row r="44" spans="1:7" x14ac:dyDescent="0.25">
      <c r="A44" s="31"/>
      <c r="B44" s="31"/>
      <c r="F44" t="s">
        <v>310</v>
      </c>
      <c r="G44" t="s">
        <v>148</v>
      </c>
    </row>
    <row r="45" spans="1:7" x14ac:dyDescent="0.25">
      <c r="A45" s="5" t="s">
        <v>147</v>
      </c>
      <c r="F45" t="s">
        <v>311</v>
      </c>
      <c r="G45" t="s">
        <v>148</v>
      </c>
    </row>
    <row r="46" spans="1:7" x14ac:dyDescent="0.25">
      <c r="A46" s="5" t="s">
        <v>318</v>
      </c>
      <c r="B46" s="5" t="s">
        <v>319</v>
      </c>
      <c r="F46" t="s">
        <v>312</v>
      </c>
    </row>
    <row r="47" spans="1:7" x14ac:dyDescent="0.25">
      <c r="A47" s="34">
        <v>42370</v>
      </c>
      <c r="B47" s="34">
        <v>42370</v>
      </c>
      <c r="F47" t="s">
        <v>313</v>
      </c>
    </row>
    <row r="48" spans="1:7" x14ac:dyDescent="0.25">
      <c r="A48" s="34">
        <v>42375</v>
      </c>
      <c r="F48" t="s">
        <v>314</v>
      </c>
      <c r="G48" t="s">
        <v>320</v>
      </c>
    </row>
    <row r="49" spans="6:6" x14ac:dyDescent="0.25">
      <c r="F49" t="s">
        <v>315</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theme="3" tint="0.39997558519241921"/>
  </sheetPr>
  <dimension ref="A1:I51"/>
  <sheetViews>
    <sheetView workbookViewId="0"/>
  </sheetViews>
  <sheetFormatPr defaultColWidth="9" defaultRowHeight="15" x14ac:dyDescent="0.25"/>
  <cols>
    <col min="5" max="5" width="17.140625" customWidth="1"/>
    <col min="11" max="11" width="9.42578125" customWidth="1"/>
    <col min="12" max="12" width="13.28515625" customWidth="1"/>
  </cols>
  <sheetData>
    <row r="1" spans="1:8" ht="16.5" customHeight="1" x14ac:dyDescent="0.3">
      <c r="A1" s="1" t="s">
        <v>151</v>
      </c>
      <c r="B1" s="2"/>
      <c r="C1" s="2"/>
      <c r="D1" s="2"/>
      <c r="E1" s="2"/>
      <c r="F1" s="2"/>
      <c r="G1" s="2"/>
      <c r="H1" s="2"/>
    </row>
    <row r="3" spans="1:8" ht="30" x14ac:dyDescent="0.25">
      <c r="A3" s="5" t="s">
        <v>19</v>
      </c>
      <c r="B3" s="5" t="s">
        <v>9</v>
      </c>
      <c r="E3" s="29" t="s">
        <v>154</v>
      </c>
    </row>
    <row r="4" spans="1:8" x14ac:dyDescent="0.25">
      <c r="A4" s="35">
        <v>41640</v>
      </c>
      <c r="B4">
        <v>100</v>
      </c>
      <c r="D4" s="36"/>
      <c r="E4" s="38">
        <f ca="1">AVERAGE(OFFSET(B4,COUNTA(B4:B15)-6,0,6,1))</f>
        <v>113.33333333333333</v>
      </c>
    </row>
    <row r="5" spans="1:8" x14ac:dyDescent="0.25">
      <c r="A5" s="35">
        <v>41671</v>
      </c>
      <c r="B5">
        <v>120</v>
      </c>
    </row>
    <row r="6" spans="1:8" x14ac:dyDescent="0.25">
      <c r="A6" s="35">
        <v>41699</v>
      </c>
      <c r="B6">
        <v>130</v>
      </c>
      <c r="E6" s="38">
        <f ca="1">AVERAGE(OFFSET(B3,COUNTA(B4:B14),0,-6,1))</f>
        <v>113.33333333333333</v>
      </c>
    </row>
    <row r="7" spans="1:8" x14ac:dyDescent="0.25">
      <c r="A7" s="35">
        <v>41730</v>
      </c>
      <c r="B7">
        <v>90</v>
      </c>
    </row>
    <row r="8" spans="1:8" x14ac:dyDescent="0.25">
      <c r="A8" s="35">
        <v>41760</v>
      </c>
      <c r="B8">
        <v>105</v>
      </c>
    </row>
    <row r="9" spans="1:8" x14ac:dyDescent="0.25">
      <c r="A9" s="35">
        <v>41791</v>
      </c>
      <c r="B9">
        <v>110</v>
      </c>
    </row>
    <row r="10" spans="1:8" x14ac:dyDescent="0.25">
      <c r="A10" s="35">
        <v>41821</v>
      </c>
      <c r="B10">
        <v>125</v>
      </c>
    </row>
    <row r="16" spans="1:8" x14ac:dyDescent="0.25">
      <c r="A16" s="5" t="s">
        <v>19</v>
      </c>
      <c r="B16" s="37" t="s">
        <v>22</v>
      </c>
      <c r="C16" s="37" t="s">
        <v>23</v>
      </c>
      <c r="D16" s="37" t="s">
        <v>24</v>
      </c>
      <c r="E16" s="37" t="s">
        <v>25</v>
      </c>
      <c r="F16" s="37" t="s">
        <v>26</v>
      </c>
      <c r="G16" s="37" t="s">
        <v>152</v>
      </c>
      <c r="H16" s="37" t="s">
        <v>153</v>
      </c>
    </row>
    <row r="17" spans="1:9" x14ac:dyDescent="0.25">
      <c r="A17" s="5" t="s">
        <v>9</v>
      </c>
      <c r="B17" s="57">
        <v>100</v>
      </c>
      <c r="C17" s="57">
        <v>120</v>
      </c>
      <c r="D17" s="57">
        <v>130</v>
      </c>
      <c r="E17" s="57">
        <v>90</v>
      </c>
      <c r="F17" s="57">
        <v>105</v>
      </c>
      <c r="G17" s="57">
        <v>110</v>
      </c>
      <c r="H17" s="57">
        <v>125</v>
      </c>
      <c r="I17" s="57"/>
    </row>
    <row r="19" spans="1:9" ht="30" x14ac:dyDescent="0.25">
      <c r="E19" s="29" t="s">
        <v>154</v>
      </c>
    </row>
    <row r="20" spans="1:9" x14ac:dyDescent="0.25">
      <c r="E20" s="38">
        <f ca="1">AVERAGE(OFFSET(A17,0,COUNTA(B17:P17),1,-6))</f>
        <v>113.33333333333333</v>
      </c>
    </row>
    <row r="25" spans="1:9" ht="45" x14ac:dyDescent="0.25">
      <c r="A25" s="5" t="s">
        <v>19</v>
      </c>
      <c r="B25" s="5" t="s">
        <v>9</v>
      </c>
      <c r="E25" s="29" t="s">
        <v>155</v>
      </c>
      <c r="F25" s="99">
        <v>41730</v>
      </c>
    </row>
    <row r="26" spans="1:9" x14ac:dyDescent="0.25">
      <c r="A26" s="35">
        <v>41640</v>
      </c>
      <c r="B26">
        <v>100</v>
      </c>
      <c r="E26" s="38">
        <f ca="1">AVERAGE(OFFSET(B25,MATCH(F25,A26:A51,0),0,3,1))</f>
        <v>101.66666666666667</v>
      </c>
    </row>
    <row r="27" spans="1:9" x14ac:dyDescent="0.25">
      <c r="A27" s="35">
        <v>41671</v>
      </c>
      <c r="B27">
        <v>120</v>
      </c>
    </row>
    <row r="28" spans="1:9" x14ac:dyDescent="0.25">
      <c r="A28" s="35">
        <v>41699</v>
      </c>
      <c r="B28">
        <v>130</v>
      </c>
    </row>
    <row r="29" spans="1:9" x14ac:dyDescent="0.25">
      <c r="A29" s="35">
        <v>41730</v>
      </c>
      <c r="B29">
        <v>90</v>
      </c>
    </row>
    <row r="30" spans="1:9" x14ac:dyDescent="0.25">
      <c r="A30" s="35">
        <v>41760</v>
      </c>
      <c r="B30">
        <v>105</v>
      </c>
    </row>
    <row r="31" spans="1:9" x14ac:dyDescent="0.25">
      <c r="A31" s="35">
        <v>41791</v>
      </c>
      <c r="B31">
        <v>110</v>
      </c>
    </row>
    <row r="32" spans="1:9" x14ac:dyDescent="0.25">
      <c r="A32" s="35">
        <v>41821</v>
      </c>
      <c r="B32">
        <v>125</v>
      </c>
    </row>
    <row r="33" spans="1:2" x14ac:dyDescent="0.25">
      <c r="A33" s="35">
        <v>41852</v>
      </c>
      <c r="B33">
        <v>297</v>
      </c>
    </row>
    <row r="34" spans="1:2" x14ac:dyDescent="0.25">
      <c r="A34" s="35">
        <v>41883</v>
      </c>
      <c r="B34">
        <v>262</v>
      </c>
    </row>
    <row r="35" spans="1:2" x14ac:dyDescent="0.25">
      <c r="A35" s="35">
        <v>41913</v>
      </c>
      <c r="B35">
        <v>175</v>
      </c>
    </row>
    <row r="36" spans="1:2" x14ac:dyDescent="0.25">
      <c r="A36" s="35">
        <v>41944</v>
      </c>
      <c r="B36">
        <v>180</v>
      </c>
    </row>
    <row r="37" spans="1:2" x14ac:dyDescent="0.25">
      <c r="A37" s="35">
        <v>41974</v>
      </c>
      <c r="B37">
        <v>210</v>
      </c>
    </row>
    <row r="38" spans="1:2" x14ac:dyDescent="0.25">
      <c r="A38" s="35">
        <v>42005</v>
      </c>
      <c r="B38">
        <v>226</v>
      </c>
    </row>
    <row r="39" spans="1:2" x14ac:dyDescent="0.25">
      <c r="A39" s="35">
        <v>42036</v>
      </c>
      <c r="B39">
        <v>294</v>
      </c>
    </row>
    <row r="40" spans="1:2" x14ac:dyDescent="0.25">
      <c r="A40" s="35">
        <v>42064</v>
      </c>
      <c r="B40">
        <v>177</v>
      </c>
    </row>
    <row r="41" spans="1:2" x14ac:dyDescent="0.25">
      <c r="A41" s="35">
        <v>42095</v>
      </c>
      <c r="B41">
        <v>205</v>
      </c>
    </row>
    <row r="42" spans="1:2" x14ac:dyDescent="0.25">
      <c r="A42" s="35">
        <v>42125</v>
      </c>
      <c r="B42">
        <v>226</v>
      </c>
    </row>
    <row r="43" spans="1:2" x14ac:dyDescent="0.25">
      <c r="A43" s="35">
        <v>42156</v>
      </c>
      <c r="B43">
        <v>280</v>
      </c>
    </row>
    <row r="44" spans="1:2" x14ac:dyDescent="0.25">
      <c r="A44" s="35">
        <v>42186</v>
      </c>
      <c r="B44">
        <v>299</v>
      </c>
    </row>
    <row r="45" spans="1:2" x14ac:dyDescent="0.25">
      <c r="A45" s="35">
        <v>42217</v>
      </c>
      <c r="B45">
        <v>294</v>
      </c>
    </row>
    <row r="46" spans="1:2" x14ac:dyDescent="0.25">
      <c r="A46" s="35">
        <v>42248</v>
      </c>
      <c r="B46">
        <v>189</v>
      </c>
    </row>
    <row r="47" spans="1:2" x14ac:dyDescent="0.25">
      <c r="A47" s="35">
        <v>42278</v>
      </c>
      <c r="B47">
        <v>200</v>
      </c>
    </row>
    <row r="48" spans="1:2" x14ac:dyDescent="0.25">
      <c r="A48" s="35">
        <v>42309</v>
      </c>
      <c r="B48">
        <v>234</v>
      </c>
    </row>
    <row r="49" spans="1:2" x14ac:dyDescent="0.25">
      <c r="A49" s="35">
        <v>42339</v>
      </c>
      <c r="B49">
        <v>292</v>
      </c>
    </row>
    <row r="50" spans="1:2" x14ac:dyDescent="0.25">
      <c r="A50" s="35">
        <v>42370</v>
      </c>
      <c r="B50">
        <v>174</v>
      </c>
    </row>
    <row r="51" spans="1:2" x14ac:dyDescent="0.25">
      <c r="A51" s="35">
        <v>42401</v>
      </c>
      <c r="B51">
        <v>294</v>
      </c>
    </row>
  </sheetData>
  <dataValidations count="1">
    <dataValidation type="list" allowBlank="1" showInputMessage="1" showErrorMessage="1" sqref="F25" xr:uid="{00000000-0002-0000-1400-000000000000}">
      <formula1>$A$26:$A$48</formula1>
    </dataValidation>
  </dataValidations>
  <pageMargins left="0.7" right="0.7" top="0.75" bottom="0.75" header="0.3" footer="0.3"/>
  <pageSetup paperSize="9" orientation="portrait"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theme="3" tint="0.39997558519241921"/>
  </sheetPr>
  <dimension ref="A1:I59"/>
  <sheetViews>
    <sheetView workbookViewId="0"/>
  </sheetViews>
  <sheetFormatPr defaultColWidth="9" defaultRowHeight="15" x14ac:dyDescent="0.25"/>
  <cols>
    <col min="1" max="1" width="13" customWidth="1"/>
    <col min="2" max="2" width="12.7109375" customWidth="1"/>
    <col min="3" max="3" width="14.7109375" customWidth="1"/>
    <col min="4" max="4" width="14.28515625" customWidth="1"/>
    <col min="5" max="5" width="27.140625" customWidth="1"/>
    <col min="6" max="6" width="10.85546875" bestFit="1" customWidth="1"/>
    <col min="7" max="7" width="15.28515625" customWidth="1"/>
    <col min="8" max="8" width="13.28515625" customWidth="1"/>
  </cols>
  <sheetData>
    <row r="1" spans="1:9" ht="16.5" customHeight="1" x14ac:dyDescent="0.3">
      <c r="A1" s="1" t="s">
        <v>477</v>
      </c>
      <c r="B1" s="2"/>
      <c r="C1" s="2"/>
      <c r="D1" s="2"/>
      <c r="E1" s="2"/>
      <c r="F1" s="2"/>
      <c r="G1" s="2" t="s">
        <v>316</v>
      </c>
      <c r="H1" s="2"/>
      <c r="I1" s="2"/>
    </row>
    <row r="3" spans="1:9" ht="30" x14ac:dyDescent="0.25">
      <c r="A3" s="5" t="s">
        <v>156</v>
      </c>
      <c r="B3" s="5" t="s">
        <v>157</v>
      </c>
      <c r="C3" s="5"/>
      <c r="D3" s="29" t="s">
        <v>158</v>
      </c>
      <c r="E3" s="29" t="s">
        <v>181</v>
      </c>
    </row>
    <row r="4" spans="1:9" x14ac:dyDescent="0.25">
      <c r="A4">
        <v>17</v>
      </c>
      <c r="B4">
        <v>20</v>
      </c>
      <c r="D4">
        <f t="array" ref="D4:D9">FREQUENCY(A4:A44,B4:B9)</f>
        <v>3</v>
      </c>
      <c r="E4" t="s">
        <v>159</v>
      </c>
    </row>
    <row r="5" spans="1:9" x14ac:dyDescent="0.25">
      <c r="A5">
        <v>18</v>
      </c>
      <c r="B5">
        <v>30</v>
      </c>
      <c r="D5">
        <v>8</v>
      </c>
      <c r="E5" t="s">
        <v>160</v>
      </c>
    </row>
    <row r="6" spans="1:9" x14ac:dyDescent="0.25">
      <c r="A6">
        <v>20</v>
      </c>
      <c r="B6">
        <v>40</v>
      </c>
      <c r="D6">
        <v>4</v>
      </c>
      <c r="E6" t="s">
        <v>161</v>
      </c>
    </row>
    <row r="7" spans="1:9" x14ac:dyDescent="0.25">
      <c r="A7">
        <v>21</v>
      </c>
      <c r="B7">
        <v>50</v>
      </c>
      <c r="D7">
        <v>10</v>
      </c>
      <c r="E7" t="s">
        <v>162</v>
      </c>
    </row>
    <row r="8" spans="1:9" x14ac:dyDescent="0.25">
      <c r="A8">
        <v>26</v>
      </c>
      <c r="B8">
        <v>60</v>
      </c>
      <c r="D8">
        <v>12</v>
      </c>
      <c r="E8" t="s">
        <v>163</v>
      </c>
    </row>
    <row r="9" spans="1:9" x14ac:dyDescent="0.25">
      <c r="A9">
        <v>27</v>
      </c>
      <c r="B9">
        <v>100</v>
      </c>
      <c r="D9">
        <v>4</v>
      </c>
      <c r="E9" t="s">
        <v>164</v>
      </c>
    </row>
    <row r="10" spans="1:9" x14ac:dyDescent="0.25">
      <c r="A10">
        <v>27</v>
      </c>
    </row>
    <row r="11" spans="1:9" x14ac:dyDescent="0.25">
      <c r="A11">
        <v>28</v>
      </c>
    </row>
    <row r="12" spans="1:9" x14ac:dyDescent="0.25">
      <c r="A12">
        <v>30</v>
      </c>
    </row>
    <row r="13" spans="1:9" x14ac:dyDescent="0.25">
      <c r="A13">
        <v>32</v>
      </c>
    </row>
    <row r="14" spans="1:9" x14ac:dyDescent="0.25">
      <c r="A14">
        <v>33</v>
      </c>
    </row>
    <row r="15" spans="1:9" x14ac:dyDescent="0.25">
      <c r="A15">
        <v>40</v>
      </c>
    </row>
    <row r="16" spans="1:9" x14ac:dyDescent="0.25">
      <c r="A16">
        <v>46</v>
      </c>
    </row>
    <row r="17" spans="1:1" x14ac:dyDescent="0.25">
      <c r="A17">
        <v>50</v>
      </c>
    </row>
    <row r="18" spans="1:1" x14ac:dyDescent="0.25">
      <c r="A18">
        <v>57</v>
      </c>
    </row>
    <row r="19" spans="1:1" x14ac:dyDescent="0.25">
      <c r="A19">
        <v>66</v>
      </c>
    </row>
    <row r="20" spans="1:1" x14ac:dyDescent="0.25">
      <c r="A20">
        <v>64</v>
      </c>
    </row>
    <row r="21" spans="1:1" x14ac:dyDescent="0.25">
      <c r="A21">
        <v>35</v>
      </c>
    </row>
    <row r="22" spans="1:1" x14ac:dyDescent="0.25">
      <c r="A22">
        <v>30</v>
      </c>
    </row>
    <row r="23" spans="1:1" x14ac:dyDescent="0.25">
      <c r="A23">
        <v>30</v>
      </c>
    </row>
    <row r="24" spans="1:1" x14ac:dyDescent="0.25">
      <c r="A24">
        <v>56</v>
      </c>
    </row>
    <row r="25" spans="1:1" x14ac:dyDescent="0.25">
      <c r="A25">
        <v>53</v>
      </c>
    </row>
    <row r="26" spans="1:1" x14ac:dyDescent="0.25">
      <c r="A26">
        <v>51</v>
      </c>
    </row>
    <row r="27" spans="1:1" x14ac:dyDescent="0.25">
      <c r="A27">
        <v>41</v>
      </c>
    </row>
    <row r="28" spans="1:1" x14ac:dyDescent="0.25">
      <c r="A28">
        <v>44</v>
      </c>
    </row>
    <row r="29" spans="1:1" x14ac:dyDescent="0.25">
      <c r="A29">
        <v>54</v>
      </c>
    </row>
    <row r="30" spans="1:1" x14ac:dyDescent="0.25">
      <c r="A30">
        <v>56</v>
      </c>
    </row>
    <row r="31" spans="1:1" x14ac:dyDescent="0.25">
      <c r="A31">
        <v>50</v>
      </c>
    </row>
    <row r="32" spans="1:1" x14ac:dyDescent="0.25">
      <c r="A32">
        <v>49</v>
      </c>
    </row>
    <row r="33" spans="1:8" x14ac:dyDescent="0.25">
      <c r="A33">
        <v>56</v>
      </c>
    </row>
    <row r="34" spans="1:8" x14ac:dyDescent="0.25">
      <c r="A34">
        <v>55</v>
      </c>
    </row>
    <row r="35" spans="1:8" x14ac:dyDescent="0.25">
      <c r="A35">
        <v>61</v>
      </c>
    </row>
    <row r="36" spans="1:8" x14ac:dyDescent="0.25">
      <c r="A36">
        <v>43</v>
      </c>
    </row>
    <row r="37" spans="1:8" x14ac:dyDescent="0.25">
      <c r="A37">
        <v>45</v>
      </c>
    </row>
    <row r="38" spans="1:8" x14ac:dyDescent="0.25">
      <c r="A38">
        <v>55</v>
      </c>
    </row>
    <row r="39" spans="1:8" x14ac:dyDescent="0.25">
      <c r="A39">
        <v>61</v>
      </c>
    </row>
    <row r="40" spans="1:8" x14ac:dyDescent="0.25">
      <c r="A40">
        <v>55</v>
      </c>
    </row>
    <row r="41" spans="1:8" x14ac:dyDescent="0.25">
      <c r="A41">
        <v>52</v>
      </c>
    </row>
    <row r="42" spans="1:8" x14ac:dyDescent="0.25">
      <c r="A42">
        <v>42</v>
      </c>
    </row>
    <row r="43" spans="1:8" x14ac:dyDescent="0.25">
      <c r="A43">
        <v>52</v>
      </c>
    </row>
    <row r="44" spans="1:8" x14ac:dyDescent="0.25">
      <c r="A44">
        <v>44</v>
      </c>
    </row>
    <row r="48" spans="1:8" x14ac:dyDescent="0.25">
      <c r="A48" s="5" t="s">
        <v>6</v>
      </c>
      <c r="B48" s="5" t="s">
        <v>42</v>
      </c>
      <c r="C48" s="47" t="s">
        <v>395</v>
      </c>
      <c r="E48" s="29" t="s">
        <v>386</v>
      </c>
      <c r="F48" s="29" t="s">
        <v>387</v>
      </c>
      <c r="G48" s="29" t="s">
        <v>388</v>
      </c>
      <c r="H48" s="29" t="s">
        <v>389</v>
      </c>
    </row>
    <row r="49" spans="1:8" x14ac:dyDescent="0.25">
      <c r="A49" t="s">
        <v>5</v>
      </c>
      <c r="B49" s="39">
        <v>20500</v>
      </c>
      <c r="C49" s="115">
        <f>B49+ROW()/1000000</f>
        <v>20500.000048999998</v>
      </c>
      <c r="E49" s="114">
        <f>MAX(B49:B59)</f>
        <v>44400</v>
      </c>
      <c r="F49" s="114">
        <f>MIN(B49:B59)</f>
        <v>8000</v>
      </c>
      <c r="G49" s="114">
        <f>INDEX(B49:B59,MATCH(LARGE(C49:C59,3),C49:C59,0))</f>
        <v>20500</v>
      </c>
      <c r="H49" s="114">
        <f>INDEX(B49:B59,MATCH(SMALL(C49:C59,3),C49:C59,0))</f>
        <v>11000</v>
      </c>
    </row>
    <row r="50" spans="1:8" x14ac:dyDescent="0.25">
      <c r="A50" t="s">
        <v>10</v>
      </c>
      <c r="B50" s="39">
        <v>13200</v>
      </c>
      <c r="C50" s="115">
        <f>B50+ROW()/1000000</f>
        <v>13200.000050000001</v>
      </c>
      <c r="E50" s="89" t="str">
        <f>INDEX($A$49:$A$59,MATCH(E49,$B$49:$B$59,0))</f>
        <v>Company J</v>
      </c>
      <c r="F50" s="89" t="str">
        <f>INDEX($A$49:$A$59,MATCH(F49,$B$49:$B$59,0))</f>
        <v>Company K</v>
      </c>
      <c r="G50" s="89" t="str">
        <f>INDEX(A49:A59,MATCH(LARGE(C49:C59,3),C49:C59,0))</f>
        <v>Company A</v>
      </c>
      <c r="H50" s="89" t="str">
        <f>INDEX(A49:A59,MATCH(SMALL(C49:C59,3),C49:C59,0))</f>
        <v>Company E</v>
      </c>
    </row>
    <row r="51" spans="1:8" x14ac:dyDescent="0.25">
      <c r="A51" t="s">
        <v>11</v>
      </c>
      <c r="B51" s="39">
        <v>19000</v>
      </c>
      <c r="C51" s="115">
        <f t="shared" ref="C51:C59" si="0">B51+ROW()/1000000</f>
        <v>19000.000050999999</v>
      </c>
    </row>
    <row r="52" spans="1:8" x14ac:dyDescent="0.25">
      <c r="A52" t="s">
        <v>174</v>
      </c>
      <c r="B52" s="39">
        <v>9000</v>
      </c>
      <c r="C52" s="115">
        <f t="shared" si="0"/>
        <v>9000.0000519999994</v>
      </c>
    </row>
    <row r="53" spans="1:8" x14ac:dyDescent="0.25">
      <c r="A53" t="s">
        <v>384</v>
      </c>
      <c r="B53" s="39">
        <v>11000</v>
      </c>
      <c r="C53" s="115">
        <f t="shared" si="0"/>
        <v>11000.000053</v>
      </c>
    </row>
    <row r="54" spans="1:8" x14ac:dyDescent="0.25">
      <c r="A54" t="s">
        <v>385</v>
      </c>
      <c r="B54" s="39">
        <v>20000</v>
      </c>
      <c r="C54" s="115">
        <f t="shared" si="0"/>
        <v>20000.000054</v>
      </c>
    </row>
    <row r="55" spans="1:8" x14ac:dyDescent="0.25">
      <c r="A55" t="s">
        <v>390</v>
      </c>
      <c r="B55" s="39">
        <v>20500</v>
      </c>
      <c r="C55" s="115">
        <f t="shared" si="0"/>
        <v>20500.000055</v>
      </c>
    </row>
    <row r="56" spans="1:8" x14ac:dyDescent="0.25">
      <c r="A56" t="s">
        <v>391</v>
      </c>
      <c r="B56" s="39">
        <v>15000</v>
      </c>
      <c r="C56" s="115">
        <f t="shared" si="0"/>
        <v>15000.000056000001</v>
      </c>
    </row>
    <row r="57" spans="1:8" x14ac:dyDescent="0.25">
      <c r="A57" t="s">
        <v>392</v>
      </c>
      <c r="B57" s="39">
        <v>14000</v>
      </c>
      <c r="C57" s="115">
        <f t="shared" si="0"/>
        <v>14000.000056999999</v>
      </c>
    </row>
    <row r="58" spans="1:8" x14ac:dyDescent="0.25">
      <c r="A58" t="s">
        <v>393</v>
      </c>
      <c r="B58" s="39">
        <v>44400</v>
      </c>
      <c r="C58" s="115">
        <f t="shared" si="0"/>
        <v>44400.000057999998</v>
      </c>
    </row>
    <row r="59" spans="1:8" x14ac:dyDescent="0.25">
      <c r="A59" t="s">
        <v>394</v>
      </c>
      <c r="B59" s="39">
        <v>8000</v>
      </c>
      <c r="C59" s="115">
        <f t="shared" si="0"/>
        <v>8000.000059</v>
      </c>
    </row>
  </sheetData>
  <pageMargins left="0.7" right="0.7" top="0.75" bottom="0.75" header="0.3" footer="0.3"/>
  <pageSetup paperSize="9" orientation="portrait"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tabColor theme="3" tint="0.39997558519241921"/>
  </sheetPr>
  <dimension ref="A1:K55"/>
  <sheetViews>
    <sheetView zoomScale="110" zoomScaleNormal="110" workbookViewId="0">
      <selection activeCell="E5" sqref="E5"/>
    </sheetView>
  </sheetViews>
  <sheetFormatPr defaultColWidth="9" defaultRowHeight="15" x14ac:dyDescent="0.25"/>
  <cols>
    <col min="1" max="5" width="12.5703125" customWidth="1"/>
    <col min="6" max="6" width="13.5703125" customWidth="1"/>
    <col min="8" max="8" width="16.42578125" customWidth="1"/>
    <col min="9" max="9" width="13.42578125" customWidth="1"/>
    <col min="10" max="10" width="2.85546875" customWidth="1"/>
    <col min="11" max="11" width="10.85546875" bestFit="1" customWidth="1"/>
  </cols>
  <sheetData>
    <row r="1" spans="1:9" ht="16.5" customHeight="1" x14ac:dyDescent="0.3">
      <c r="A1" s="1" t="s">
        <v>169</v>
      </c>
      <c r="B1" s="2"/>
      <c r="C1" s="2"/>
      <c r="D1" s="2"/>
      <c r="E1" s="2"/>
      <c r="F1" s="2"/>
      <c r="G1" s="2"/>
      <c r="H1" s="2"/>
    </row>
    <row r="3" spans="1:9" x14ac:dyDescent="0.25">
      <c r="A3" s="7" t="s">
        <v>342</v>
      </c>
    </row>
    <row r="4" spans="1:9" x14ac:dyDescent="0.25">
      <c r="A4" s="7"/>
    </row>
    <row r="5" spans="1:9" x14ac:dyDescent="0.25">
      <c r="A5" s="5" t="s">
        <v>6</v>
      </c>
      <c r="B5" s="5" t="s">
        <v>20</v>
      </c>
      <c r="C5" s="5" t="s">
        <v>8</v>
      </c>
      <c r="D5" s="5" t="s">
        <v>41</v>
      </c>
      <c r="E5" s="29" t="s">
        <v>42</v>
      </c>
      <c r="F5" s="39"/>
    </row>
    <row r="6" spans="1:9" x14ac:dyDescent="0.25">
      <c r="A6" s="15" t="s">
        <v>49</v>
      </c>
      <c r="B6" t="s">
        <v>165</v>
      </c>
      <c r="C6" s="39">
        <v>222</v>
      </c>
      <c r="D6" s="39">
        <v>200</v>
      </c>
      <c r="E6" s="39">
        <f>C6*D6</f>
        <v>44400</v>
      </c>
      <c r="F6" s="39"/>
      <c r="H6" s="56" t="s">
        <v>175</v>
      </c>
      <c r="I6" s="18" t="s">
        <v>165</v>
      </c>
    </row>
    <row r="7" spans="1:9" x14ac:dyDescent="0.25">
      <c r="A7" s="15" t="s">
        <v>50</v>
      </c>
      <c r="B7" t="s">
        <v>165</v>
      </c>
      <c r="C7" s="39">
        <v>400</v>
      </c>
      <c r="D7" s="39">
        <v>33</v>
      </c>
      <c r="E7" s="39">
        <f t="shared" ref="E7:E11" si="0">C7*D7</f>
        <v>13200</v>
      </c>
      <c r="F7" s="39"/>
      <c r="H7" s="29" t="s">
        <v>41</v>
      </c>
      <c r="I7" s="6">
        <f>SUMPRODUCT((B6:B11=I6)*D6:D11)</f>
        <v>443</v>
      </c>
    </row>
    <row r="8" spans="1:9" x14ac:dyDescent="0.25">
      <c r="A8" s="15" t="s">
        <v>51</v>
      </c>
      <c r="B8" t="s">
        <v>165</v>
      </c>
      <c r="C8" s="39">
        <v>200</v>
      </c>
      <c r="D8" s="39">
        <v>100</v>
      </c>
      <c r="E8" s="39">
        <f t="shared" si="0"/>
        <v>20000</v>
      </c>
      <c r="F8" s="39"/>
      <c r="H8" s="29" t="s">
        <v>42</v>
      </c>
      <c r="I8" s="101">
        <f>SUMPRODUCT((B6:B11=I6)*C6:C11*D6:D11)</f>
        <v>88600</v>
      </c>
    </row>
    <row r="9" spans="1:9" x14ac:dyDescent="0.25">
      <c r="A9" s="15" t="s">
        <v>52</v>
      </c>
      <c r="B9" t="s">
        <v>166</v>
      </c>
      <c r="C9" s="39">
        <v>2</v>
      </c>
      <c r="D9" s="40">
        <v>90</v>
      </c>
      <c r="E9" s="39">
        <f t="shared" si="0"/>
        <v>180</v>
      </c>
      <c r="F9" s="39"/>
    </row>
    <row r="10" spans="1:9" x14ac:dyDescent="0.25">
      <c r="A10" s="15" t="s">
        <v>53</v>
      </c>
      <c r="B10" t="s">
        <v>166</v>
      </c>
      <c r="C10" s="39">
        <v>200</v>
      </c>
      <c r="D10" s="39">
        <v>100</v>
      </c>
      <c r="E10" s="39">
        <f t="shared" si="0"/>
        <v>20000</v>
      </c>
      <c r="F10" s="39"/>
    </row>
    <row r="11" spans="1:9" x14ac:dyDescent="0.25">
      <c r="A11" s="15" t="s">
        <v>54</v>
      </c>
      <c r="B11" t="s">
        <v>165</v>
      </c>
      <c r="C11" s="39">
        <v>100</v>
      </c>
      <c r="D11" s="39">
        <v>110</v>
      </c>
      <c r="E11" s="41">
        <f t="shared" si="0"/>
        <v>11000</v>
      </c>
      <c r="F11" s="39"/>
    </row>
    <row r="12" spans="1:9" x14ac:dyDescent="0.25">
      <c r="C12" s="39"/>
      <c r="D12" s="100" t="s">
        <v>167</v>
      </c>
      <c r="E12" s="42">
        <f>SUM(E6:E11)</f>
        <v>108780</v>
      </c>
      <c r="F12" s="39"/>
    </row>
    <row r="13" spans="1:9" ht="15.75" thickBot="1" x14ac:dyDescent="0.3">
      <c r="C13" s="39"/>
      <c r="D13" s="29" t="s">
        <v>168</v>
      </c>
      <c r="E13" s="43">
        <f>SUMPRODUCT(C6:C11,D6:D11)</f>
        <v>108780</v>
      </c>
      <c r="F13" s="39"/>
    </row>
    <row r="14" spans="1:9" ht="15.75" thickTop="1" x14ac:dyDescent="0.25">
      <c r="C14" s="39"/>
      <c r="D14" s="39"/>
      <c r="E14" s="39"/>
      <c r="F14" s="39"/>
    </row>
    <row r="15" spans="1:9" x14ac:dyDescent="0.25">
      <c r="C15" s="39"/>
      <c r="D15" s="39"/>
      <c r="E15" s="39"/>
      <c r="F15" s="39"/>
    </row>
    <row r="16" spans="1:9" x14ac:dyDescent="0.25">
      <c r="A16" s="7" t="s">
        <v>343</v>
      </c>
    </row>
    <row r="18" spans="1:11" x14ac:dyDescent="0.25">
      <c r="A18" s="5" t="s">
        <v>6</v>
      </c>
      <c r="B18" s="5" t="s">
        <v>170</v>
      </c>
      <c r="C18" s="5" t="s">
        <v>19</v>
      </c>
      <c r="D18" s="5" t="s">
        <v>8</v>
      </c>
      <c r="E18" s="5" t="s">
        <v>41</v>
      </c>
      <c r="F18" s="29" t="s">
        <v>42</v>
      </c>
      <c r="G18" s="39"/>
      <c r="H18" s="56" t="s">
        <v>171</v>
      </c>
      <c r="I18" s="56"/>
      <c r="J18" s="56"/>
      <c r="K18" s="56"/>
    </row>
    <row r="19" spans="1:11" x14ac:dyDescent="0.25">
      <c r="A19" t="s">
        <v>5</v>
      </c>
      <c r="B19">
        <v>2014</v>
      </c>
      <c r="C19" t="s">
        <v>23</v>
      </c>
      <c r="D19">
        <v>300</v>
      </c>
      <c r="E19" s="39">
        <v>200</v>
      </c>
      <c r="F19" s="39">
        <f t="shared" ref="F19:F27" si="1">D19*E19</f>
        <v>60000</v>
      </c>
      <c r="G19" s="39"/>
      <c r="H19" s="29" t="s">
        <v>6</v>
      </c>
      <c r="I19" s="102" t="s">
        <v>5</v>
      </c>
      <c r="J19" s="18" t="s">
        <v>172</v>
      </c>
      <c r="K19" s="102" t="s">
        <v>11</v>
      </c>
    </row>
    <row r="20" spans="1:11" x14ac:dyDescent="0.25">
      <c r="A20" t="s">
        <v>10</v>
      </c>
      <c r="B20">
        <v>2014</v>
      </c>
      <c r="C20" t="s">
        <v>22</v>
      </c>
      <c r="D20">
        <v>400</v>
      </c>
      <c r="E20" s="39">
        <v>33</v>
      </c>
      <c r="F20" s="39">
        <f t="shared" si="1"/>
        <v>13200</v>
      </c>
      <c r="G20" s="39"/>
      <c r="H20" s="29" t="s">
        <v>170</v>
      </c>
      <c r="I20" s="102">
        <v>2014</v>
      </c>
      <c r="J20" s="102"/>
      <c r="K20" s="18"/>
    </row>
    <row r="21" spans="1:11" x14ac:dyDescent="0.25">
      <c r="A21" t="s">
        <v>5</v>
      </c>
      <c r="B21">
        <v>2014</v>
      </c>
      <c r="C21" t="s">
        <v>22</v>
      </c>
      <c r="D21">
        <v>100</v>
      </c>
      <c r="E21" s="39">
        <v>100</v>
      </c>
      <c r="F21" s="39">
        <f t="shared" si="1"/>
        <v>10000</v>
      </c>
      <c r="G21" s="39"/>
      <c r="H21" s="29" t="s">
        <v>19</v>
      </c>
      <c r="I21" s="102" t="s">
        <v>22</v>
      </c>
      <c r="J21" s="102"/>
      <c r="K21" s="18"/>
    </row>
    <row r="22" spans="1:11" ht="30" x14ac:dyDescent="0.25">
      <c r="A22" t="s">
        <v>5</v>
      </c>
      <c r="B22">
        <v>2014</v>
      </c>
      <c r="C22" t="s">
        <v>22</v>
      </c>
      <c r="D22">
        <v>200</v>
      </c>
      <c r="E22" s="39">
        <v>90</v>
      </c>
      <c r="F22" s="39">
        <f t="shared" si="1"/>
        <v>18000</v>
      </c>
      <c r="G22" s="39"/>
      <c r="H22" s="29" t="s">
        <v>178</v>
      </c>
      <c r="I22" s="54">
        <f>SUMPRODUCT(((A19:A27=I19)+(A19:A27=K19))*(B19:B27=I20)*(C19:C27=I21))</f>
        <v>5</v>
      </c>
      <c r="J22" s="171"/>
      <c r="K22" s="171"/>
    </row>
    <row r="23" spans="1:11" ht="30" x14ac:dyDescent="0.25">
      <c r="A23" t="s">
        <v>11</v>
      </c>
      <c r="B23">
        <v>2014</v>
      </c>
      <c r="C23" t="s">
        <v>22</v>
      </c>
      <c r="D23">
        <v>320</v>
      </c>
      <c r="E23" s="39">
        <v>100</v>
      </c>
      <c r="F23" s="39">
        <f t="shared" si="1"/>
        <v>32000</v>
      </c>
      <c r="G23" s="39"/>
      <c r="H23" s="29" t="s">
        <v>179</v>
      </c>
      <c r="I23" s="55">
        <f>SUMPRODUCT(((A19:A27=I19)+(A19:A27=K19))*(B19:B27=I20)*(C19:C27=I21)*E19:E27)</f>
        <v>470</v>
      </c>
      <c r="J23" s="171"/>
      <c r="K23" s="171"/>
    </row>
    <row r="24" spans="1:11" ht="30" x14ac:dyDescent="0.25">
      <c r="A24" t="s">
        <v>174</v>
      </c>
      <c r="B24">
        <v>2014</v>
      </c>
      <c r="C24" t="s">
        <v>23</v>
      </c>
      <c r="D24">
        <v>350</v>
      </c>
      <c r="E24" s="39">
        <v>110</v>
      </c>
      <c r="F24" s="39">
        <f t="shared" si="1"/>
        <v>38500</v>
      </c>
      <c r="G24" s="39"/>
      <c r="H24" s="29" t="s">
        <v>180</v>
      </c>
      <c r="I24" s="55">
        <f>SUMPRODUCT(((A19:A27=I19)+(A19:A27=K19))*(B19:B27=I20)*(C19:C27=I21)*E19:E27*D19:D27)</f>
        <v>98200</v>
      </c>
      <c r="J24" s="171"/>
      <c r="K24" s="171"/>
    </row>
    <row r="25" spans="1:11" ht="30" x14ac:dyDescent="0.25">
      <c r="A25" t="s">
        <v>5</v>
      </c>
      <c r="B25">
        <v>2014</v>
      </c>
      <c r="C25" t="s">
        <v>22</v>
      </c>
      <c r="D25">
        <v>222</v>
      </c>
      <c r="E25">
        <v>100</v>
      </c>
      <c r="F25">
        <f t="shared" si="1"/>
        <v>22200</v>
      </c>
      <c r="G25" s="39"/>
      <c r="H25" s="29" t="s">
        <v>344</v>
      </c>
      <c r="I25" s="55">
        <f>SUMPRODUCT(((A19:A27=I19)+(A19:A27=K19))*(B19:B27=I20)*(C19:C27=I21)*D19:D27)/I22</f>
        <v>208.4</v>
      </c>
    </row>
    <row r="26" spans="1:11" x14ac:dyDescent="0.25">
      <c r="A26" t="s">
        <v>5</v>
      </c>
      <c r="B26">
        <v>2014</v>
      </c>
      <c r="C26" t="s">
        <v>23</v>
      </c>
      <c r="D26">
        <v>400</v>
      </c>
      <c r="E26">
        <v>90</v>
      </c>
      <c r="F26">
        <f t="shared" si="1"/>
        <v>36000</v>
      </c>
      <c r="G26" s="39"/>
    </row>
    <row r="27" spans="1:11" x14ac:dyDescent="0.25">
      <c r="A27" t="s">
        <v>5</v>
      </c>
      <c r="B27">
        <v>2014</v>
      </c>
      <c r="C27" t="s">
        <v>22</v>
      </c>
      <c r="D27">
        <v>200</v>
      </c>
      <c r="E27">
        <v>80</v>
      </c>
      <c r="F27">
        <f t="shared" si="1"/>
        <v>16000</v>
      </c>
      <c r="G27" s="39"/>
    </row>
    <row r="28" spans="1:11" x14ac:dyDescent="0.25">
      <c r="G28" s="39"/>
    </row>
    <row r="30" spans="1:11" x14ac:dyDescent="0.25">
      <c r="A30" s="53" t="s">
        <v>173</v>
      </c>
    </row>
    <row r="31" spans="1:11" x14ac:dyDescent="0.25">
      <c r="A31" s="53" t="s">
        <v>176</v>
      </c>
    </row>
    <row r="32" spans="1:11" x14ac:dyDescent="0.25">
      <c r="A32" s="5" t="s">
        <v>6</v>
      </c>
      <c r="B32" s="5" t="s">
        <v>170</v>
      </c>
      <c r="C32" s="5" t="s">
        <v>19</v>
      </c>
      <c r="D32" s="5" t="s">
        <v>8</v>
      </c>
      <c r="E32" s="5" t="s">
        <v>41</v>
      </c>
      <c r="F32" s="29" t="s">
        <v>42</v>
      </c>
      <c r="G32" s="39"/>
    </row>
    <row r="33" spans="1:7" x14ac:dyDescent="0.25">
      <c r="A33" s="17" t="b">
        <v>1</v>
      </c>
      <c r="B33" s="17" t="b">
        <v>1</v>
      </c>
      <c r="C33" s="17" t="b">
        <v>0</v>
      </c>
      <c r="D33">
        <v>300</v>
      </c>
      <c r="E33" s="39">
        <v>200</v>
      </c>
      <c r="F33" s="39">
        <f t="shared" ref="F33:F41" si="2">D33*E33</f>
        <v>60000</v>
      </c>
      <c r="G33" s="39"/>
    </row>
    <row r="34" spans="1:7" x14ac:dyDescent="0.25">
      <c r="A34" s="17" t="b">
        <v>0</v>
      </c>
      <c r="B34" s="17" t="b">
        <v>1</v>
      </c>
      <c r="C34" s="17" t="b">
        <v>1</v>
      </c>
      <c r="D34">
        <v>400</v>
      </c>
      <c r="E34" s="39">
        <v>33</v>
      </c>
      <c r="F34" s="39">
        <f t="shared" si="2"/>
        <v>13200</v>
      </c>
      <c r="G34" s="39"/>
    </row>
    <row r="35" spans="1:7" x14ac:dyDescent="0.25">
      <c r="A35" s="49" t="b">
        <v>1</v>
      </c>
      <c r="B35" s="49" t="b">
        <v>1</v>
      </c>
      <c r="C35" s="49" t="b">
        <v>1</v>
      </c>
      <c r="D35" s="44">
        <v>100</v>
      </c>
      <c r="E35" s="45">
        <v>100</v>
      </c>
      <c r="F35" s="45">
        <f t="shared" si="2"/>
        <v>10000</v>
      </c>
      <c r="G35" s="39"/>
    </row>
    <row r="36" spans="1:7" x14ac:dyDescent="0.25">
      <c r="A36" s="49" t="b">
        <v>1</v>
      </c>
      <c r="B36" s="49" t="b">
        <v>1</v>
      </c>
      <c r="C36" s="49" t="b">
        <v>1</v>
      </c>
      <c r="D36" s="44">
        <v>200</v>
      </c>
      <c r="E36" s="46">
        <v>90</v>
      </c>
      <c r="F36" s="45">
        <f t="shared" si="2"/>
        <v>18000</v>
      </c>
      <c r="G36" s="39"/>
    </row>
    <row r="37" spans="1:7" x14ac:dyDescent="0.25">
      <c r="A37" s="50" t="b">
        <v>1</v>
      </c>
      <c r="B37" s="50" t="b">
        <v>1</v>
      </c>
      <c r="C37" s="50" t="b">
        <v>1</v>
      </c>
      <c r="D37" s="47">
        <v>320</v>
      </c>
      <c r="E37" s="48">
        <v>100</v>
      </c>
      <c r="F37" s="48">
        <f t="shared" si="2"/>
        <v>32000</v>
      </c>
      <c r="G37" s="39"/>
    </row>
    <row r="38" spans="1:7" x14ac:dyDescent="0.25">
      <c r="A38" s="17" t="b">
        <v>0</v>
      </c>
      <c r="B38" s="17" t="b">
        <v>1</v>
      </c>
      <c r="C38" s="17" t="b">
        <v>0</v>
      </c>
      <c r="D38">
        <v>350</v>
      </c>
      <c r="E38" s="39">
        <v>110</v>
      </c>
      <c r="F38" s="39">
        <f t="shared" si="2"/>
        <v>38500</v>
      </c>
      <c r="G38" s="39"/>
    </row>
    <row r="39" spans="1:7" x14ac:dyDescent="0.25">
      <c r="A39" s="49" t="b">
        <v>1</v>
      </c>
      <c r="B39" s="49" t="b">
        <v>1</v>
      </c>
      <c r="C39" s="49" t="b">
        <v>1</v>
      </c>
      <c r="D39" s="45">
        <v>222</v>
      </c>
      <c r="E39" s="45">
        <v>100</v>
      </c>
      <c r="F39" s="45">
        <f t="shared" si="2"/>
        <v>22200</v>
      </c>
      <c r="G39" s="39"/>
    </row>
    <row r="40" spans="1:7" x14ac:dyDescent="0.25">
      <c r="A40" s="17" t="b">
        <v>1</v>
      </c>
      <c r="B40" s="17" t="b">
        <v>1</v>
      </c>
      <c r="C40" s="17" t="b">
        <v>0</v>
      </c>
      <c r="D40" s="39">
        <v>400</v>
      </c>
      <c r="E40" s="40">
        <v>90</v>
      </c>
      <c r="F40" s="39">
        <f t="shared" si="2"/>
        <v>36000</v>
      </c>
      <c r="G40" s="39"/>
    </row>
    <row r="41" spans="1:7" x14ac:dyDescent="0.25">
      <c r="A41" s="49" t="b">
        <v>1</v>
      </c>
      <c r="B41" s="49" t="b">
        <v>1</v>
      </c>
      <c r="C41" s="49" t="b">
        <v>1</v>
      </c>
      <c r="D41" s="45">
        <v>200</v>
      </c>
      <c r="E41" s="45">
        <v>80</v>
      </c>
      <c r="F41" s="45">
        <f t="shared" si="2"/>
        <v>16000</v>
      </c>
      <c r="G41" s="39"/>
    </row>
    <row r="42" spans="1:7" x14ac:dyDescent="0.25">
      <c r="A42" s="53" t="s">
        <v>177</v>
      </c>
      <c r="F42" s="39"/>
      <c r="G42" s="39"/>
    </row>
    <row r="43" spans="1:7" ht="25.5" customHeight="1" x14ac:dyDescent="0.25">
      <c r="A43" s="5" t="s">
        <v>6</v>
      </c>
      <c r="B43" s="5" t="s">
        <v>170</v>
      </c>
      <c r="C43" s="5" t="s">
        <v>19</v>
      </c>
      <c r="D43" s="5" t="s">
        <v>8</v>
      </c>
      <c r="E43" s="5" t="s">
        <v>41</v>
      </c>
      <c r="F43" s="29" t="s">
        <v>42</v>
      </c>
      <c r="G43" s="39"/>
    </row>
    <row r="44" spans="1:7" x14ac:dyDescent="0.25">
      <c r="A44" s="17">
        <v>1</v>
      </c>
      <c r="B44" s="17">
        <v>1</v>
      </c>
      <c r="C44" s="17">
        <v>0</v>
      </c>
      <c r="D44">
        <v>300</v>
      </c>
      <c r="E44" s="39">
        <v>200</v>
      </c>
      <c r="F44" s="39">
        <f t="shared" ref="F44:F52" si="3">A44*B44*C44*D44*E44</f>
        <v>0</v>
      </c>
      <c r="G44" s="39"/>
    </row>
    <row r="45" spans="1:7" x14ac:dyDescent="0.25">
      <c r="A45" s="17">
        <v>0</v>
      </c>
      <c r="B45" s="17">
        <v>1</v>
      </c>
      <c r="C45" s="17">
        <v>1</v>
      </c>
      <c r="D45">
        <v>400</v>
      </c>
      <c r="E45" s="39">
        <v>33</v>
      </c>
      <c r="F45" s="39">
        <f t="shared" si="3"/>
        <v>0</v>
      </c>
      <c r="G45" s="39"/>
    </row>
    <row r="46" spans="1:7" x14ac:dyDescent="0.25">
      <c r="A46" s="49">
        <v>1</v>
      </c>
      <c r="B46" s="49">
        <v>1</v>
      </c>
      <c r="C46" s="49">
        <v>1</v>
      </c>
      <c r="D46" s="44">
        <v>100</v>
      </c>
      <c r="E46" s="45">
        <v>100</v>
      </c>
      <c r="F46" s="45">
        <f t="shared" si="3"/>
        <v>10000</v>
      </c>
      <c r="G46" s="39"/>
    </row>
    <row r="47" spans="1:7" x14ac:dyDescent="0.25">
      <c r="A47" s="49">
        <v>1</v>
      </c>
      <c r="B47" s="49">
        <v>1</v>
      </c>
      <c r="C47" s="49">
        <v>1</v>
      </c>
      <c r="D47" s="44">
        <v>200</v>
      </c>
      <c r="E47" s="46">
        <v>90</v>
      </c>
      <c r="F47" s="46">
        <f t="shared" si="3"/>
        <v>18000</v>
      </c>
      <c r="G47" s="39"/>
    </row>
    <row r="48" spans="1:7" x14ac:dyDescent="0.25">
      <c r="A48" s="49">
        <v>1</v>
      </c>
      <c r="B48" s="49">
        <v>1</v>
      </c>
      <c r="C48" s="49">
        <v>1</v>
      </c>
      <c r="D48" s="44">
        <v>320</v>
      </c>
      <c r="E48" s="46">
        <v>100</v>
      </c>
      <c r="F48" s="46">
        <f t="shared" si="3"/>
        <v>32000</v>
      </c>
      <c r="G48" s="39"/>
    </row>
    <row r="49" spans="1:7" x14ac:dyDescent="0.25">
      <c r="A49" s="17">
        <v>0</v>
      </c>
      <c r="B49" s="17">
        <v>1</v>
      </c>
      <c r="C49" s="17">
        <v>0</v>
      </c>
      <c r="D49">
        <v>350</v>
      </c>
      <c r="E49" s="39">
        <v>110</v>
      </c>
      <c r="F49" s="39">
        <f t="shared" si="3"/>
        <v>0</v>
      </c>
      <c r="G49" s="39"/>
    </row>
    <row r="50" spans="1:7" x14ac:dyDescent="0.25">
      <c r="A50" s="49">
        <v>1</v>
      </c>
      <c r="B50" s="49">
        <v>1</v>
      </c>
      <c r="C50" s="49">
        <v>1</v>
      </c>
      <c r="D50" s="45">
        <v>222</v>
      </c>
      <c r="E50" s="45">
        <v>100</v>
      </c>
      <c r="F50" s="45">
        <f t="shared" si="3"/>
        <v>22200</v>
      </c>
      <c r="G50" s="39"/>
    </row>
    <row r="51" spans="1:7" x14ac:dyDescent="0.25">
      <c r="A51" s="17">
        <v>1</v>
      </c>
      <c r="B51" s="17">
        <v>1</v>
      </c>
      <c r="C51" s="17">
        <v>0</v>
      </c>
      <c r="D51" s="39">
        <v>400</v>
      </c>
      <c r="E51" s="40">
        <v>90</v>
      </c>
      <c r="F51" s="40">
        <f t="shared" si="3"/>
        <v>0</v>
      </c>
      <c r="G51" s="39"/>
    </row>
    <row r="52" spans="1:7" x14ac:dyDescent="0.25">
      <c r="A52" s="49">
        <v>1</v>
      </c>
      <c r="B52" s="49">
        <v>1</v>
      </c>
      <c r="C52" s="49">
        <v>1</v>
      </c>
      <c r="D52" s="45">
        <v>200</v>
      </c>
      <c r="E52" s="45">
        <v>80</v>
      </c>
      <c r="F52" s="45">
        <f t="shared" si="3"/>
        <v>16000</v>
      </c>
      <c r="G52" s="39"/>
    </row>
    <row r="53" spans="1:7" ht="15.75" thickBot="1" x14ac:dyDescent="0.3">
      <c r="A53" s="39"/>
      <c r="B53" s="39"/>
      <c r="C53" s="39"/>
      <c r="D53" s="39"/>
      <c r="E53" s="39"/>
      <c r="F53" s="51">
        <f>SUM(F44:F52)</f>
        <v>98200</v>
      </c>
      <c r="G53" s="39"/>
    </row>
    <row r="54" spans="1:7" ht="15.75" thickTop="1" x14ac:dyDescent="0.25">
      <c r="A54" s="39"/>
      <c r="B54" s="39"/>
      <c r="C54" s="39"/>
      <c r="D54" s="39"/>
      <c r="E54" s="39"/>
      <c r="F54" s="52"/>
      <c r="G54" s="39"/>
    </row>
    <row r="55" spans="1:7" x14ac:dyDescent="0.25">
      <c r="C55" s="39"/>
      <c r="D55" s="39"/>
      <c r="E55" s="39"/>
      <c r="F55" s="39"/>
      <c r="G55" s="39"/>
    </row>
  </sheetData>
  <mergeCells count="3">
    <mergeCell ref="J22:K22"/>
    <mergeCell ref="J23:K23"/>
    <mergeCell ref="J24:K24"/>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tabColor theme="2" tint="-0.499984740745262"/>
  </sheetPr>
  <dimension ref="A1:Z17"/>
  <sheetViews>
    <sheetView workbookViewId="0">
      <selection sqref="A1:XFD3"/>
    </sheetView>
  </sheetViews>
  <sheetFormatPr defaultRowHeight="15" x14ac:dyDescent="0.25"/>
  <cols>
    <col min="1" max="1" width="26.5703125" customWidth="1"/>
  </cols>
  <sheetData>
    <row r="1" spans="1:26" ht="17.25" x14ac:dyDescent="0.3">
      <c r="A1" s="1" t="s">
        <v>483</v>
      </c>
      <c r="B1" s="2"/>
      <c r="C1" s="2"/>
      <c r="D1" s="2"/>
      <c r="E1" s="2"/>
      <c r="F1" s="2"/>
      <c r="G1" s="2"/>
      <c r="H1" s="2"/>
    </row>
    <row r="2" spans="1:26" x14ac:dyDescent="0.25">
      <c r="A2" t="s">
        <v>484</v>
      </c>
    </row>
    <row r="3" spans="1:26" x14ac:dyDescent="0.25">
      <c r="A3" t="s">
        <v>487</v>
      </c>
    </row>
    <row r="6" spans="1:26" x14ac:dyDescent="0.25">
      <c r="B6" s="141">
        <v>42370</v>
      </c>
      <c r="C6" s="141">
        <v>42401</v>
      </c>
      <c r="D6" s="141">
        <v>42430</v>
      </c>
      <c r="E6" s="141">
        <v>42461</v>
      </c>
      <c r="F6" s="141">
        <v>42491</v>
      </c>
      <c r="G6" s="141">
        <v>42522</v>
      </c>
      <c r="H6" s="141">
        <v>42552</v>
      </c>
      <c r="I6" s="141">
        <v>42583</v>
      </c>
      <c r="J6" s="141">
        <v>42614</v>
      </c>
      <c r="K6" s="141">
        <v>42644</v>
      </c>
      <c r="L6" s="141">
        <v>42675</v>
      </c>
      <c r="M6" s="141">
        <v>42705</v>
      </c>
      <c r="N6" s="142">
        <v>42370</v>
      </c>
      <c r="O6" s="142">
        <v>42401</v>
      </c>
      <c r="P6" s="142">
        <v>42430</v>
      </c>
      <c r="Q6" s="142">
        <v>42461</v>
      </c>
      <c r="R6" s="142">
        <v>42491</v>
      </c>
      <c r="S6" s="142">
        <v>42522</v>
      </c>
      <c r="T6" s="142">
        <v>42552</v>
      </c>
      <c r="U6" s="142">
        <v>42583</v>
      </c>
      <c r="V6" s="142">
        <v>42614</v>
      </c>
      <c r="W6" s="142">
        <v>42644</v>
      </c>
      <c r="X6" s="142">
        <v>42675</v>
      </c>
      <c r="Y6" s="142">
        <v>42705</v>
      </c>
      <c r="Z6" s="141">
        <v>42370</v>
      </c>
    </row>
    <row r="7" spans="1:26" x14ac:dyDescent="0.25">
      <c r="A7" s="7" t="s">
        <v>244</v>
      </c>
      <c r="B7" s="16">
        <v>100</v>
      </c>
      <c r="C7" s="16">
        <v>122</v>
      </c>
      <c r="D7" s="16">
        <f>C7*1.12</f>
        <v>136.64000000000001</v>
      </c>
      <c r="E7" s="16">
        <f t="shared" ref="E7:M7" si="0">D7*1.12</f>
        <v>153.03680000000003</v>
      </c>
      <c r="F7" s="16">
        <f t="shared" si="0"/>
        <v>171.40121600000003</v>
      </c>
      <c r="G7" s="16">
        <f t="shared" si="0"/>
        <v>191.96936192000007</v>
      </c>
      <c r="H7" s="16">
        <f t="shared" si="0"/>
        <v>215.00568535040009</v>
      </c>
      <c r="I7" s="16">
        <f t="shared" si="0"/>
        <v>240.80636759244811</v>
      </c>
      <c r="J7" s="16">
        <f t="shared" si="0"/>
        <v>269.70313170354189</v>
      </c>
      <c r="K7" s="16">
        <f t="shared" si="0"/>
        <v>302.06750750796692</v>
      </c>
      <c r="L7" s="16">
        <f t="shared" si="0"/>
        <v>338.31560840892297</v>
      </c>
      <c r="M7" s="16">
        <f t="shared" si="0"/>
        <v>378.91348141799375</v>
      </c>
      <c r="N7" s="16">
        <v>120</v>
      </c>
      <c r="O7" s="16">
        <v>100</v>
      </c>
      <c r="P7">
        <v>130</v>
      </c>
      <c r="Q7" s="16">
        <f>P7*1.09</f>
        <v>141.70000000000002</v>
      </c>
      <c r="R7" s="16">
        <f t="shared" ref="R7:Y7" si="1">Q7*1.09</f>
        <v>154.45300000000003</v>
      </c>
      <c r="S7" s="16">
        <f t="shared" si="1"/>
        <v>168.35377000000005</v>
      </c>
      <c r="T7" s="16">
        <f t="shared" si="1"/>
        <v>183.50560930000006</v>
      </c>
      <c r="U7" s="16">
        <f t="shared" si="1"/>
        <v>200.02111413700007</v>
      </c>
      <c r="V7" s="16">
        <f t="shared" si="1"/>
        <v>218.0230144093301</v>
      </c>
      <c r="W7" s="16">
        <f t="shared" si="1"/>
        <v>237.64508570616982</v>
      </c>
      <c r="X7" s="16">
        <f t="shared" si="1"/>
        <v>259.03314341972515</v>
      </c>
      <c r="Y7" s="16">
        <f t="shared" si="1"/>
        <v>282.34612632750043</v>
      </c>
      <c r="Z7" s="16">
        <v>200</v>
      </c>
    </row>
    <row r="8" spans="1:26" x14ac:dyDescent="0.25">
      <c r="A8" s="7" t="s">
        <v>8</v>
      </c>
      <c r="B8" s="3">
        <v>2</v>
      </c>
      <c r="C8" s="3">
        <v>3</v>
      </c>
      <c r="D8" s="3">
        <v>2</v>
      </c>
      <c r="E8" s="3">
        <v>3</v>
      </c>
      <c r="F8" s="3">
        <v>3</v>
      </c>
      <c r="G8" s="3">
        <v>2</v>
      </c>
      <c r="H8" s="3">
        <v>3</v>
      </c>
      <c r="I8" s="3">
        <v>2</v>
      </c>
      <c r="J8" s="3">
        <v>3</v>
      </c>
      <c r="K8" s="3">
        <v>2</v>
      </c>
      <c r="L8" s="3">
        <v>3</v>
      </c>
      <c r="M8" s="3">
        <v>2</v>
      </c>
      <c r="N8" s="3">
        <v>5</v>
      </c>
      <c r="O8" s="3">
        <v>4</v>
      </c>
      <c r="P8" s="3">
        <v>6</v>
      </c>
      <c r="Q8" s="3">
        <v>5</v>
      </c>
      <c r="R8" s="3">
        <v>5.5</v>
      </c>
      <c r="S8" s="3">
        <v>5.7</v>
      </c>
      <c r="T8" s="3">
        <v>5.9</v>
      </c>
      <c r="U8" s="3">
        <v>6.1</v>
      </c>
      <c r="V8" s="3">
        <v>6.3</v>
      </c>
      <c r="W8" s="3">
        <v>6.5</v>
      </c>
      <c r="X8" s="3">
        <v>6.7</v>
      </c>
      <c r="Y8" s="3">
        <v>6.9</v>
      </c>
      <c r="Z8" s="3">
        <v>2</v>
      </c>
    </row>
    <row r="9" spans="1:26" x14ac:dyDescent="0.25">
      <c r="A9" s="143" t="s">
        <v>481</v>
      </c>
      <c r="B9" s="144">
        <f>B7*B8</f>
        <v>200</v>
      </c>
      <c r="C9" s="144">
        <f t="shared" ref="C9:Z9" si="2">C7*C8</f>
        <v>366</v>
      </c>
      <c r="D9" s="144">
        <f t="shared" si="2"/>
        <v>273.28000000000003</v>
      </c>
      <c r="E9" s="144">
        <f t="shared" si="2"/>
        <v>459.11040000000008</v>
      </c>
      <c r="F9" s="144">
        <f t="shared" si="2"/>
        <v>514.20364800000016</v>
      </c>
      <c r="G9" s="144">
        <f t="shared" si="2"/>
        <v>383.93872384000014</v>
      </c>
      <c r="H9" s="144">
        <f t="shared" si="2"/>
        <v>645.01705605120026</v>
      </c>
      <c r="I9" s="144">
        <f t="shared" si="2"/>
        <v>481.61273518489622</v>
      </c>
      <c r="J9" s="144">
        <f t="shared" si="2"/>
        <v>809.10939511062566</v>
      </c>
      <c r="K9" s="144">
        <f t="shared" si="2"/>
        <v>604.13501501593385</v>
      </c>
      <c r="L9" s="144">
        <f t="shared" si="2"/>
        <v>1014.9468252267689</v>
      </c>
      <c r="M9" s="144">
        <f t="shared" si="2"/>
        <v>757.8269628359875</v>
      </c>
      <c r="N9" s="144">
        <f t="shared" si="2"/>
        <v>600</v>
      </c>
      <c r="O9" s="144">
        <f t="shared" si="2"/>
        <v>400</v>
      </c>
      <c r="P9" s="144">
        <f t="shared" si="2"/>
        <v>780</v>
      </c>
      <c r="Q9" s="144">
        <f t="shared" si="2"/>
        <v>708.50000000000011</v>
      </c>
      <c r="R9" s="144">
        <f t="shared" si="2"/>
        <v>849.4915000000002</v>
      </c>
      <c r="S9" s="144">
        <f t="shared" si="2"/>
        <v>959.61648900000034</v>
      </c>
      <c r="T9" s="144">
        <f t="shared" si="2"/>
        <v>1082.6830948700003</v>
      </c>
      <c r="U9" s="144">
        <f t="shared" si="2"/>
        <v>1220.1287962357003</v>
      </c>
      <c r="V9" s="144">
        <f t="shared" si="2"/>
        <v>1373.5449907787795</v>
      </c>
      <c r="W9" s="144">
        <f t="shared" si="2"/>
        <v>1544.6930570901038</v>
      </c>
      <c r="X9" s="144">
        <f t="shared" si="2"/>
        <v>1735.5220609121586</v>
      </c>
      <c r="Y9" s="144">
        <f t="shared" si="2"/>
        <v>1948.1882716597531</v>
      </c>
      <c r="Z9" s="144">
        <f t="shared" si="2"/>
        <v>400</v>
      </c>
    </row>
    <row r="11" spans="1:26" ht="26.25" x14ac:dyDescent="0.25">
      <c r="A11" s="145" t="s">
        <v>482</v>
      </c>
      <c r="B11" s="148">
        <f>SUM($B$7:B7)</f>
        <v>100</v>
      </c>
      <c r="C11" s="148">
        <f>SUM($B$7:C7)</f>
        <v>222</v>
      </c>
      <c r="D11" s="148">
        <f>SUM($B$7:D7)</f>
        <v>358.64</v>
      </c>
      <c r="E11" s="148">
        <f>SUM($B$7:E7)</f>
        <v>511.67680000000001</v>
      </c>
      <c r="F11" s="148">
        <f>SUM($B$7:F7)</f>
        <v>683.07801600000005</v>
      </c>
      <c r="G11" s="148">
        <f>SUM($B$7:G7)</f>
        <v>875.04737792000014</v>
      </c>
      <c r="H11" s="148">
        <f>SUM($B$7:H7)</f>
        <v>1090.0530632704003</v>
      </c>
      <c r="I11" s="148">
        <f>SUM($B$7:I7)</f>
        <v>1330.8594308628485</v>
      </c>
      <c r="J11" s="148">
        <f>SUM($B$7:J7)</f>
        <v>1600.5625625663904</v>
      </c>
      <c r="K11" s="148">
        <f>SUM($B$7:K7)</f>
        <v>1902.6300700743573</v>
      </c>
      <c r="L11" s="148">
        <f>SUM($B$7:L7)</f>
        <v>2240.9456784832801</v>
      </c>
      <c r="M11" s="148">
        <f>SUM($B$7:M7)</f>
        <v>2619.8591599012739</v>
      </c>
      <c r="N11" s="148">
        <f>SUM($N$7:N7)</f>
        <v>120</v>
      </c>
      <c r="O11" s="148">
        <f>SUM($N$7:O7)</f>
        <v>220</v>
      </c>
      <c r="P11" s="148">
        <f>SUM($N$7:P7)</f>
        <v>350</v>
      </c>
      <c r="Q11" s="148">
        <f>SUM($N$7:Q7)</f>
        <v>491.70000000000005</v>
      </c>
      <c r="R11" s="148">
        <f>SUM($N$7:R7)</f>
        <v>646.15300000000002</v>
      </c>
      <c r="S11" s="148">
        <f>SUM($N$7:S7)</f>
        <v>814.50677000000007</v>
      </c>
      <c r="T11" s="148">
        <f>SUM($N$7:T7)</f>
        <v>998.01237930000013</v>
      </c>
      <c r="U11" s="148">
        <f>SUM($N$7:U7)</f>
        <v>1198.0334934370003</v>
      </c>
      <c r="V11" s="148">
        <f>SUM($N$7:V7)</f>
        <v>1416.0565078463303</v>
      </c>
      <c r="W11" s="148">
        <f>SUM($N$7:W7)</f>
        <v>1653.7015935525001</v>
      </c>
      <c r="X11" s="148">
        <f>SUM($N$7:X7)</f>
        <v>1912.7347369722252</v>
      </c>
      <c r="Y11" s="148">
        <f>SUM($N$7:Y7)</f>
        <v>2195.0808632997255</v>
      </c>
      <c r="Z11" s="148">
        <f>SUM($Z$7:Z7)</f>
        <v>200</v>
      </c>
    </row>
    <row r="12" spans="1:26" ht="26.25" x14ac:dyDescent="0.25">
      <c r="A12" s="145" t="s">
        <v>488</v>
      </c>
      <c r="B12" s="149">
        <f>SUM($B$9:B9)/B11</f>
        <v>2</v>
      </c>
      <c r="C12" s="149">
        <f>SUM($B$9:C9)/C11</f>
        <v>2.5495495495495497</v>
      </c>
      <c r="D12" s="149">
        <f>SUM($B$9:D9)/D11</f>
        <v>2.3401739906312735</v>
      </c>
      <c r="E12" s="149">
        <f>SUM($B$9:E9)/E11</f>
        <v>2.5375205598534074</v>
      </c>
      <c r="F12" s="149">
        <f>SUM($B$9:F9)/F11</f>
        <v>2.6535681218585725</v>
      </c>
      <c r="G12" s="149">
        <f>SUM($B$9:G9)/G11</f>
        <v>2.5101872507305711</v>
      </c>
      <c r="H12" s="149">
        <f>SUM($B$9:H9)/H11</f>
        <v>2.6067995436533358</v>
      </c>
      <c r="I12" s="149">
        <f>SUM($B$9:I9)/I11</f>
        <v>2.4970049323102139</v>
      </c>
      <c r="J12" s="149">
        <f>SUM($B$9:J9)/J11</f>
        <v>2.5817622221282699</v>
      </c>
      <c r="K12" s="149">
        <f>SUM($B$9:K9)/K11</f>
        <v>2.4893998301086198</v>
      </c>
      <c r="L12" s="149">
        <f>SUM($B$9:L9)/L11</f>
        <v>2.5664851467180876</v>
      </c>
      <c r="M12" s="149">
        <f>SUM($B$9:M9)/M11</f>
        <v>2.4845536969669406</v>
      </c>
      <c r="N12" s="149">
        <f>SUM($N$9:N9)/N11</f>
        <v>5</v>
      </c>
      <c r="O12" s="149">
        <f>SUM($N$9:O9)/O11</f>
        <v>4.5454545454545459</v>
      </c>
      <c r="P12" s="149">
        <f>SUM($N$9:P9)/P11</f>
        <v>5.0857142857142854</v>
      </c>
      <c r="Q12" s="149">
        <f>SUM($N$9:Q9)/Q11</f>
        <v>5.0610128126906648</v>
      </c>
      <c r="R12" s="149">
        <f>SUM($N$9:R9)/R11</f>
        <v>5.1659459911197505</v>
      </c>
      <c r="S12" s="149">
        <f>SUM($N$9:S9)/S11</f>
        <v>5.2763318210356918</v>
      </c>
      <c r="T12" s="149">
        <f>SUM($N$9:T9)/T11</f>
        <v>5.39100635970438</v>
      </c>
      <c r="U12" s="149">
        <f>SUM($N$9:U9)/U11</f>
        <v>5.509378424112306</v>
      </c>
      <c r="V12" s="149">
        <f>SUM($N$9:V9)/V11</f>
        <v>5.6311064047945543</v>
      </c>
      <c r="W12" s="149">
        <f>SUM($N$9:W9)/W11</f>
        <v>5.7559707054079192</v>
      </c>
      <c r="X12" s="149">
        <f>SUM($N$9:X9)/X11</f>
        <v>5.883816386741433</v>
      </c>
      <c r="Y12" s="149">
        <f>SUM($N$9:Y9)/Y11</f>
        <v>6.014524786435528</v>
      </c>
      <c r="Z12" s="149">
        <f>SUM($Z$9:Z9)/Z11</f>
        <v>2</v>
      </c>
    </row>
    <row r="13" spans="1:26" x14ac:dyDescent="0.25">
      <c r="A13" s="8"/>
      <c r="B13" s="3"/>
      <c r="C13" s="3"/>
      <c r="D13" s="3"/>
      <c r="E13" s="3"/>
      <c r="F13" s="3"/>
      <c r="G13" s="3"/>
      <c r="H13" s="3"/>
      <c r="I13" s="3"/>
      <c r="J13" s="3"/>
      <c r="K13" s="3"/>
      <c r="L13" s="3"/>
      <c r="M13" s="3"/>
      <c r="N13" s="3"/>
    </row>
    <row r="14" spans="1:26" x14ac:dyDescent="0.25">
      <c r="A14" s="8"/>
      <c r="B14" s="3"/>
      <c r="C14" s="3"/>
      <c r="D14" s="3"/>
      <c r="E14" s="3"/>
      <c r="F14" s="3"/>
      <c r="G14" s="3"/>
      <c r="H14" s="3"/>
      <c r="I14" s="3"/>
      <c r="J14" s="3"/>
      <c r="K14" s="3"/>
      <c r="L14" s="3"/>
      <c r="M14" s="3"/>
      <c r="N14" s="3"/>
      <c r="O14" s="3"/>
    </row>
    <row r="15" spans="1:26" ht="30" x14ac:dyDescent="0.25">
      <c r="A15" s="29" t="s">
        <v>480</v>
      </c>
      <c r="B15" s="146">
        <f ca="1">SUM(OFFSET(B7,0,0,1,-MONTH(B6)):B7)</f>
        <v>100</v>
      </c>
      <c r="C15" s="146">
        <f ca="1">SUM(OFFSET(C7,0,0,1,-MONTH(C6)):C7)</f>
        <v>222</v>
      </c>
      <c r="D15" s="146">
        <f ca="1">SUM(OFFSET(D7,0,0,1,-MONTH(D6)):D7)</f>
        <v>358.64</v>
      </c>
      <c r="E15" s="146">
        <f ca="1">SUM(OFFSET(E7,0,0,1,-MONTH(E6)):E7)</f>
        <v>511.67680000000001</v>
      </c>
      <c r="F15" s="146">
        <f ca="1">SUM(OFFSET(F7,0,0,1,-MONTH(F6)):F7)</f>
        <v>683.07801600000005</v>
      </c>
      <c r="G15" s="146">
        <f ca="1">SUM(OFFSET(G7,0,0,1,-MONTH(G6)):G7)</f>
        <v>875.04737792000014</v>
      </c>
      <c r="H15" s="146">
        <f ca="1">SUM(OFFSET(H7,0,0,1,-MONTH(H6)):H7)</f>
        <v>1090.0530632704003</v>
      </c>
      <c r="I15" s="146">
        <f ca="1">SUM(OFFSET(I7,0,0,1,-MONTH(I6)):I7)</f>
        <v>1330.8594308628485</v>
      </c>
      <c r="J15" s="146">
        <f ca="1">SUM(OFFSET(J7,0,0,1,-MONTH(J6)):J7)</f>
        <v>1600.5625625663904</v>
      </c>
      <c r="K15" s="146">
        <f ca="1">SUM(OFFSET(K7,0,0,1,-MONTH(K6)):K7)</f>
        <v>1902.6300700743573</v>
      </c>
      <c r="L15" s="146">
        <f ca="1">SUM(OFFSET(L7,0,0,1,-MONTH(L6)):L7)</f>
        <v>2240.9456784832801</v>
      </c>
      <c r="M15" s="146">
        <f ca="1">SUM(OFFSET(M7,0,0,1,-MONTH(M6)):M7)</f>
        <v>2619.8591599012739</v>
      </c>
      <c r="N15" s="146">
        <f ca="1">SUM(OFFSET(N7,0,0,1,-MONTH(N6)):N7)</f>
        <v>120</v>
      </c>
      <c r="O15" s="146">
        <f ca="1">SUM(OFFSET(O7,0,0,1,-MONTH(O6)):O7)</f>
        <v>220</v>
      </c>
      <c r="P15" s="146">
        <f ca="1">SUM(OFFSET(P7,0,0,1,-MONTH(P6)):P7)</f>
        <v>350</v>
      </c>
      <c r="Q15" s="146">
        <f ca="1">SUM(OFFSET(Q7,0,0,1,-MONTH(Q6)):Q7)</f>
        <v>491.70000000000005</v>
      </c>
      <c r="R15" s="146">
        <f ca="1">SUM(OFFSET(R7,0,0,1,-MONTH(R6)):R7)</f>
        <v>646.15300000000002</v>
      </c>
      <c r="S15" s="146">
        <f ca="1">SUM(OFFSET(S7,0,0,1,-MONTH(S6)):S7)</f>
        <v>814.50677000000007</v>
      </c>
      <c r="T15" s="146">
        <f ca="1">SUM(OFFSET(T7,0,0,1,-MONTH(T6)):T7)</f>
        <v>998.01237930000013</v>
      </c>
      <c r="U15" s="146">
        <f ca="1">SUM(OFFSET(U7,0,0,1,-MONTH(U6)):U7)</f>
        <v>1198.0334934370003</v>
      </c>
      <c r="V15" s="146">
        <f ca="1">SUM(OFFSET(V7,0,0,1,-MONTH(V6)):V7)</f>
        <v>1416.0565078463303</v>
      </c>
      <c r="W15" s="146">
        <f ca="1">SUM(OFFSET(W7,0,0,1,-MONTH(W6)):W7)</f>
        <v>1653.7015935525001</v>
      </c>
      <c r="X15" s="146">
        <f ca="1">SUM(OFFSET(X7,0,0,1,-MONTH(X6)):X7)</f>
        <v>1912.7347369722252</v>
      </c>
      <c r="Y15" s="146">
        <f ca="1">SUM(OFFSET(Y7,0,0,1,-MONTH(Y6)):Y7)</f>
        <v>2195.0808632997255</v>
      </c>
      <c r="Z15" s="146">
        <f ca="1">SUM(OFFSET(Z7,0,0,1,-MONTH(Z6)):Z7)</f>
        <v>200</v>
      </c>
    </row>
    <row r="16" spans="1:26" ht="30" x14ac:dyDescent="0.25">
      <c r="A16" s="29" t="s">
        <v>489</v>
      </c>
      <c r="B16" s="147">
        <f ca="1">SUMPRODUCT(OFFSET(B7,0,0,1,-MONTH(B6)):B7*OFFSET(B8,0,0,1,-MONTH(B6)):B8)/B15</f>
        <v>2</v>
      </c>
      <c r="C16" s="147">
        <f ca="1">SUMPRODUCT(OFFSET(C7,0,0,1,-MONTH(C6)):C7*OFFSET(C8,0,0,1,-MONTH(C6)):C8)/C15</f>
        <v>2.5495495495495497</v>
      </c>
      <c r="D16" s="147">
        <f ca="1">SUMPRODUCT(OFFSET(D7,0,0,1,-MONTH(D6)):D7*OFFSET(D8,0,0,1,-MONTH(D6)):D8)/D15</f>
        <v>2.3401739906312735</v>
      </c>
      <c r="E16" s="147">
        <f ca="1">SUMPRODUCT(OFFSET(E7,0,0,1,-MONTH(E6)):E7*OFFSET(E8,0,0,1,-MONTH(E6)):E8)/E15</f>
        <v>2.5375205598534074</v>
      </c>
      <c r="F16" s="147">
        <f ca="1">SUMPRODUCT(OFFSET(F7,0,0,1,-MONTH(F6)):F7*OFFSET(F8,0,0,1,-MONTH(F6)):F8)/F15</f>
        <v>2.6535681218585725</v>
      </c>
      <c r="G16" s="147">
        <f ca="1">SUMPRODUCT(OFFSET(G7,0,0,1,-MONTH(G6)):G7*OFFSET(G8,0,0,1,-MONTH(G6)):G8)/G15</f>
        <v>2.5101872507305711</v>
      </c>
      <c r="H16" s="147">
        <f ca="1">SUMPRODUCT(OFFSET(H7,0,0,1,-MONTH(H6)):H7*OFFSET(H8,0,0,1,-MONTH(H6)):H8)/H15</f>
        <v>2.6067995436533358</v>
      </c>
      <c r="I16" s="147">
        <f ca="1">SUMPRODUCT(OFFSET(I7,0,0,1,-MONTH(I6)):I7*OFFSET(I8,0,0,1,-MONTH(I6)):I8)/I15</f>
        <v>2.4970049323102139</v>
      </c>
      <c r="J16" s="147">
        <f ca="1">SUMPRODUCT(OFFSET(J7,0,0,1,-MONTH(J6)):J7*OFFSET(J8,0,0,1,-MONTH(J6)):J8)/J15</f>
        <v>2.5817622221282699</v>
      </c>
      <c r="K16" s="147">
        <f ca="1">SUMPRODUCT(OFFSET(K7,0,0,1,-MONTH(K6)):K7*OFFSET(K8,0,0,1,-MONTH(K6)):K8)/K15</f>
        <v>2.4893998301086198</v>
      </c>
      <c r="L16" s="147">
        <f ca="1">SUMPRODUCT(OFFSET(L7,0,0,1,-MONTH(L6)):L7*OFFSET(L8,0,0,1,-MONTH(L6)):L8)/L15</f>
        <v>2.5664851467180876</v>
      </c>
      <c r="M16" s="147">
        <f ca="1">SUMPRODUCT(OFFSET(M7,0,0,1,-MONTH(M6)):M7*OFFSET(M8,0,0,1,-MONTH(M6)):M8)/M15</f>
        <v>2.4845536969669406</v>
      </c>
      <c r="N16" s="147">
        <f ca="1">SUMPRODUCT(OFFSET(N7,0,0,1,-MONTH(N6)):N7*OFFSET(N8,0,0,1,-MONTH(N6)):N8)/N15</f>
        <v>5</v>
      </c>
      <c r="O16" s="147">
        <f ca="1">SUMPRODUCT(OFFSET(O7,0,0,1,-MONTH(O6)):O7*OFFSET(O8,0,0,1,-MONTH(O6)):O8)/O15</f>
        <v>4.5454545454545459</v>
      </c>
      <c r="P16" s="147">
        <f ca="1">SUMPRODUCT(OFFSET(P7,0,0,1,-MONTH(P6)):P7*OFFSET(P8,0,0,1,-MONTH(P6)):P8)/P15</f>
        <v>5.0857142857142854</v>
      </c>
      <c r="Q16" s="147">
        <f ca="1">SUMPRODUCT(OFFSET(Q7,0,0,1,-MONTH(Q6)):Q7*OFFSET(Q8,0,0,1,-MONTH(Q6)):Q8)/Q15</f>
        <v>5.0610128126906648</v>
      </c>
      <c r="R16" s="147">
        <f ca="1">SUMPRODUCT(OFFSET(R7,0,0,1,-MONTH(R6)):R7*OFFSET(R8,0,0,1,-MONTH(R6)):R8)/R15</f>
        <v>5.1659459911197505</v>
      </c>
      <c r="S16" s="147">
        <f ca="1">SUMPRODUCT(OFFSET(S7,0,0,1,-MONTH(S6)):S7*OFFSET(S8,0,0,1,-MONTH(S6)):S8)/S15</f>
        <v>5.2763318210356918</v>
      </c>
      <c r="T16" s="147">
        <f ca="1">SUMPRODUCT(OFFSET(T7,0,0,1,-MONTH(T6)):T7*OFFSET(T8,0,0,1,-MONTH(T6)):T8)/T15</f>
        <v>5.39100635970438</v>
      </c>
      <c r="U16" s="147">
        <f ca="1">SUMPRODUCT(OFFSET(U7,0,0,1,-MONTH(U6)):U7*OFFSET(U8,0,0,1,-MONTH(U6)):U8)/U15</f>
        <v>5.509378424112306</v>
      </c>
      <c r="V16" s="147">
        <f ca="1">SUMPRODUCT(OFFSET(V7,0,0,1,-MONTH(V6)):V7*OFFSET(V8,0,0,1,-MONTH(V6)):V8)/V15</f>
        <v>5.6311064047945543</v>
      </c>
      <c r="W16" s="147">
        <f ca="1">SUMPRODUCT(OFFSET(W7,0,0,1,-MONTH(W6)):W7*OFFSET(W8,0,0,1,-MONTH(W6)):W8)/W15</f>
        <v>5.7559707054079192</v>
      </c>
      <c r="X16" s="147">
        <f ca="1">SUMPRODUCT(OFFSET(X7,0,0,1,-MONTH(X6)):X7*OFFSET(X8,0,0,1,-MONTH(X6)):X8)/X15</f>
        <v>5.883816386741433</v>
      </c>
      <c r="Y16" s="147">
        <f ca="1">SUMPRODUCT(OFFSET(Y7,0,0,1,-MONTH(Y6)):Y7*OFFSET(Y8,0,0,1,-MONTH(Y6)):Y8)/Y15</f>
        <v>6.014524786435528</v>
      </c>
      <c r="Z16" s="147">
        <f ca="1">SUMPRODUCT(OFFSET(Z7,0,0,1,-MONTH(Z6)):Z7*OFFSET(Z8,0,0,1,-MONTH(Z6)):Z8)/Z15</f>
        <v>2</v>
      </c>
    </row>
    <row r="17" spans="1:26" x14ac:dyDescent="0.25">
      <c r="A17" s="8"/>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sheetData>
  <pageMargins left="0.7" right="0.7" top="0.75" bottom="0.75" header="0.3" footer="0.3"/>
  <pageSetup paperSize="9" orientation="portrait"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2" tint="-0.499984740745262"/>
  </sheetPr>
  <dimension ref="A1:K13"/>
  <sheetViews>
    <sheetView workbookViewId="0"/>
  </sheetViews>
  <sheetFormatPr defaultRowHeight="15" x14ac:dyDescent="0.25"/>
  <cols>
    <col min="1" max="2" width="11.7109375" customWidth="1"/>
    <col min="3" max="5" width="13.5703125" customWidth="1"/>
    <col min="6" max="12" width="11.7109375" customWidth="1"/>
  </cols>
  <sheetData>
    <row r="1" spans="1:11" ht="17.25" x14ac:dyDescent="0.3">
      <c r="A1" s="1" t="s">
        <v>504</v>
      </c>
      <c r="B1" s="2"/>
      <c r="C1" s="2"/>
      <c r="D1" s="2"/>
      <c r="E1" s="2"/>
      <c r="F1" s="2"/>
      <c r="G1" s="2"/>
      <c r="H1" s="2"/>
      <c r="I1" s="2"/>
    </row>
    <row r="2" spans="1:11" x14ac:dyDescent="0.25">
      <c r="A2" t="s">
        <v>505</v>
      </c>
    </row>
    <row r="5" spans="1:11" ht="30.75" customHeight="1" x14ac:dyDescent="0.25">
      <c r="A5" s="150" t="s">
        <v>6</v>
      </c>
      <c r="B5" s="150" t="s">
        <v>490</v>
      </c>
      <c r="C5" s="155" t="s">
        <v>491</v>
      </c>
      <c r="D5" s="155" t="s">
        <v>492</v>
      </c>
      <c r="E5" s="156" t="s">
        <v>493</v>
      </c>
      <c r="F5" s="156" t="s">
        <v>506</v>
      </c>
      <c r="G5" s="72"/>
      <c r="H5" s="151" t="s">
        <v>494</v>
      </c>
      <c r="I5" s="151" t="s">
        <v>495</v>
      </c>
      <c r="J5" s="151" t="s">
        <v>496</v>
      </c>
      <c r="K5" s="151" t="s">
        <v>497</v>
      </c>
    </row>
    <row r="6" spans="1:11" x14ac:dyDescent="0.25">
      <c r="A6" t="s">
        <v>5</v>
      </c>
      <c r="B6">
        <v>3</v>
      </c>
      <c r="C6" s="152">
        <f>SUMIFS($H$6:$H$11,$I$6:$I$11,"&lt;="&amp;B6,$J$6:$J$11,"&gt;="&amp;B6)</f>
        <v>2</v>
      </c>
      <c r="D6" s="152">
        <f>SUMPRODUCT((($I$6:$I$11&lt;=B6)*($J$6:$J$11&gt;=B6))*$H$6:$H$11)</f>
        <v>2</v>
      </c>
      <c r="E6" s="152">
        <f>INDEX($H$6:$H$11,MATCH(B6,$I$6:$I$11,1))</f>
        <v>2</v>
      </c>
      <c r="F6" s="152">
        <f>LOOKUP(B6,$I$6:$I$11,$H$6:$H$11)</f>
        <v>2</v>
      </c>
      <c r="G6" s="72"/>
      <c r="H6" s="152">
        <v>1</v>
      </c>
      <c r="I6" s="153">
        <v>1</v>
      </c>
      <c r="J6" s="153">
        <v>1</v>
      </c>
      <c r="K6" s="72" t="s">
        <v>498</v>
      </c>
    </row>
    <row r="7" spans="1:11" x14ac:dyDescent="0.25">
      <c r="A7" t="s">
        <v>10</v>
      </c>
      <c r="B7">
        <v>5</v>
      </c>
      <c r="C7" s="152">
        <f t="shared" ref="C7:C13" si="0">SUMIFS($H$6:$H$11,$I$6:$I$11,"&lt;="&amp;B7,$J$6:$J$11,"&gt;="&amp;B7)</f>
        <v>2</v>
      </c>
      <c r="D7" s="152">
        <f t="shared" ref="D7:D13" si="1">SUMPRODUCT((($I$6:$I$11&lt;=B7)*($J$6:$J$11&gt;=B7))*$H$6:$H$11)</f>
        <v>2</v>
      </c>
      <c r="E7" s="152">
        <f t="shared" ref="E7:E13" si="2">INDEX($H$6:$H$11,MATCH(B7,$I$6:$I$11,1))</f>
        <v>2</v>
      </c>
      <c r="F7" s="152">
        <f t="shared" ref="F7:F13" si="3">LOOKUP(B7,$I$6:$I$11,$H$6:$H$11)</f>
        <v>2</v>
      </c>
      <c r="G7" s="72"/>
      <c r="H7" s="152">
        <v>2</v>
      </c>
      <c r="I7" s="154">
        <v>2</v>
      </c>
      <c r="J7" s="154">
        <v>5</v>
      </c>
      <c r="K7" s="72" t="s">
        <v>499</v>
      </c>
    </row>
    <row r="8" spans="1:11" x14ac:dyDescent="0.25">
      <c r="A8" t="s">
        <v>11</v>
      </c>
      <c r="B8">
        <v>1</v>
      </c>
      <c r="C8" s="152">
        <f t="shared" si="0"/>
        <v>1</v>
      </c>
      <c r="D8" s="152">
        <f t="shared" si="1"/>
        <v>1</v>
      </c>
      <c r="E8" s="152">
        <f t="shared" si="2"/>
        <v>1</v>
      </c>
      <c r="F8" s="152">
        <f t="shared" si="3"/>
        <v>1</v>
      </c>
      <c r="G8" s="72"/>
      <c r="H8" s="152">
        <v>3</v>
      </c>
      <c r="I8" s="154">
        <v>6</v>
      </c>
      <c r="J8" s="154">
        <v>8</v>
      </c>
      <c r="K8" s="72" t="s">
        <v>500</v>
      </c>
    </row>
    <row r="9" spans="1:11" x14ac:dyDescent="0.25">
      <c r="A9" t="s">
        <v>174</v>
      </c>
      <c r="B9">
        <v>102</v>
      </c>
      <c r="C9" s="152">
        <f t="shared" si="0"/>
        <v>6</v>
      </c>
      <c r="D9" s="152">
        <f t="shared" si="1"/>
        <v>6</v>
      </c>
      <c r="E9" s="152">
        <f t="shared" si="2"/>
        <v>6</v>
      </c>
      <c r="F9" s="152">
        <f t="shared" si="3"/>
        <v>6</v>
      </c>
      <c r="G9" s="72"/>
      <c r="H9" s="152">
        <v>4</v>
      </c>
      <c r="I9" s="154">
        <v>9</v>
      </c>
      <c r="J9" s="154">
        <v>50</v>
      </c>
      <c r="K9" s="72" t="s">
        <v>501</v>
      </c>
    </row>
    <row r="10" spans="1:11" x14ac:dyDescent="0.25">
      <c r="A10" t="s">
        <v>384</v>
      </c>
      <c r="B10">
        <v>51</v>
      </c>
      <c r="C10" s="152">
        <f>SUMIFS($H$6:$H$11,$I$6:$I$11,"&lt;="&amp;B10,$J$6:$J$11,"&gt;="&amp;B10)</f>
        <v>5</v>
      </c>
      <c r="D10" s="152">
        <f t="shared" si="1"/>
        <v>5</v>
      </c>
      <c r="E10" s="152">
        <f t="shared" si="2"/>
        <v>5</v>
      </c>
      <c r="F10" s="152">
        <f t="shared" si="3"/>
        <v>5</v>
      </c>
      <c r="G10" s="72"/>
      <c r="H10" s="152">
        <v>5</v>
      </c>
      <c r="I10" s="154">
        <v>51</v>
      </c>
      <c r="J10" s="154">
        <v>100</v>
      </c>
      <c r="K10" s="72" t="s">
        <v>502</v>
      </c>
    </row>
    <row r="11" spans="1:11" x14ac:dyDescent="0.25">
      <c r="A11" t="s">
        <v>385</v>
      </c>
      <c r="B11">
        <v>4</v>
      </c>
      <c r="C11" s="152">
        <f t="shared" si="0"/>
        <v>2</v>
      </c>
      <c r="D11" s="152">
        <f t="shared" si="1"/>
        <v>2</v>
      </c>
      <c r="E11" s="152">
        <f t="shared" si="2"/>
        <v>2</v>
      </c>
      <c r="F11" s="152">
        <f t="shared" si="3"/>
        <v>2</v>
      </c>
      <c r="G11" s="72"/>
      <c r="H11" s="152">
        <v>6</v>
      </c>
      <c r="I11" s="154">
        <v>101</v>
      </c>
      <c r="J11" s="154">
        <v>200</v>
      </c>
      <c r="K11" s="72" t="s">
        <v>503</v>
      </c>
    </row>
    <row r="12" spans="1:11" x14ac:dyDescent="0.25">
      <c r="A12" t="s">
        <v>390</v>
      </c>
      <c r="B12">
        <v>7</v>
      </c>
      <c r="C12" s="152">
        <f t="shared" si="0"/>
        <v>3</v>
      </c>
      <c r="D12" s="152">
        <f t="shared" si="1"/>
        <v>3</v>
      </c>
      <c r="E12" s="152">
        <f t="shared" si="2"/>
        <v>3</v>
      </c>
      <c r="F12" s="152">
        <f t="shared" si="3"/>
        <v>3</v>
      </c>
      <c r="G12" s="72"/>
      <c r="H12" s="72"/>
      <c r="I12" s="72"/>
      <c r="J12" s="72"/>
      <c r="K12" s="72"/>
    </row>
    <row r="13" spans="1:11" x14ac:dyDescent="0.25">
      <c r="A13" t="s">
        <v>392</v>
      </c>
      <c r="B13">
        <v>9</v>
      </c>
      <c r="C13" s="152">
        <f t="shared" si="0"/>
        <v>4</v>
      </c>
      <c r="D13" s="152">
        <f t="shared" si="1"/>
        <v>4</v>
      </c>
      <c r="E13" s="152">
        <f t="shared" si="2"/>
        <v>4</v>
      </c>
      <c r="F13" s="152">
        <f t="shared" si="3"/>
        <v>4</v>
      </c>
      <c r="G13" s="72"/>
      <c r="H13" s="72"/>
      <c r="I13" s="72"/>
      <c r="J13" s="72"/>
      <c r="K13" s="72"/>
    </row>
  </sheetData>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2" tint="-0.499984740745262"/>
  </sheetPr>
  <dimension ref="A1:L28"/>
  <sheetViews>
    <sheetView showGridLines="0" workbookViewId="0"/>
  </sheetViews>
  <sheetFormatPr defaultRowHeight="15" x14ac:dyDescent="0.25"/>
  <cols>
    <col min="1" max="1" width="11.85546875" customWidth="1"/>
    <col min="2" max="2" width="10.85546875" customWidth="1"/>
    <col min="3" max="3" width="11.140625" customWidth="1"/>
    <col min="4" max="5" width="5.42578125" customWidth="1"/>
    <col min="6" max="6" width="11.5703125" customWidth="1"/>
    <col min="7" max="7" width="9.28515625" customWidth="1"/>
    <col min="8" max="8" width="7.5703125" customWidth="1"/>
    <col min="9" max="9" width="11.42578125"/>
    <col min="10" max="10" width="17.42578125" customWidth="1"/>
    <col min="11" max="11" width="12.5703125" customWidth="1"/>
  </cols>
  <sheetData>
    <row r="1" spans="1:12" ht="17.25" x14ac:dyDescent="0.3">
      <c r="A1" s="1" t="s">
        <v>559</v>
      </c>
      <c r="B1" s="2"/>
      <c r="C1" s="2"/>
      <c r="D1" s="2"/>
      <c r="E1" s="2"/>
      <c r="F1" s="2"/>
      <c r="G1" s="2"/>
      <c r="H1" s="2"/>
      <c r="I1" s="2"/>
    </row>
    <row r="2" spans="1:12" x14ac:dyDescent="0.25">
      <c r="A2" t="s">
        <v>558</v>
      </c>
    </row>
    <row r="4" spans="1:12" x14ac:dyDescent="0.25">
      <c r="A4" s="157" t="s">
        <v>509</v>
      </c>
      <c r="B4" s="157" t="s">
        <v>510</v>
      </c>
      <c r="C4" s="157" t="s">
        <v>511</v>
      </c>
      <c r="D4" s="157" t="s">
        <v>512</v>
      </c>
      <c r="E4" s="157" t="s">
        <v>513</v>
      </c>
      <c r="F4" s="157" t="s">
        <v>514</v>
      </c>
      <c r="G4" s="157" t="s">
        <v>515</v>
      </c>
      <c r="H4" s="157" t="s">
        <v>516</v>
      </c>
    </row>
    <row r="5" spans="1:12" x14ac:dyDescent="0.25">
      <c r="A5">
        <v>809</v>
      </c>
      <c r="B5" t="s">
        <v>517</v>
      </c>
      <c r="C5" t="s">
        <v>518</v>
      </c>
      <c r="D5" t="s">
        <v>519</v>
      </c>
      <c r="E5" s="75">
        <v>1</v>
      </c>
      <c r="F5" s="39">
        <v>40000</v>
      </c>
      <c r="G5" s="39">
        <v>6000</v>
      </c>
      <c r="H5" s="39">
        <v>2000</v>
      </c>
      <c r="I5" s="39"/>
    </row>
    <row r="6" spans="1:12" x14ac:dyDescent="0.25">
      <c r="A6">
        <v>809</v>
      </c>
      <c r="B6" t="s">
        <v>520</v>
      </c>
      <c r="C6" t="s">
        <v>521</v>
      </c>
      <c r="D6" t="s">
        <v>519</v>
      </c>
      <c r="E6" s="75">
        <v>1</v>
      </c>
      <c r="F6" s="39">
        <v>42000</v>
      </c>
      <c r="G6" s="39">
        <v>6300</v>
      </c>
      <c r="H6" s="39">
        <v>3000</v>
      </c>
      <c r="I6" s="39"/>
    </row>
    <row r="7" spans="1:12" x14ac:dyDescent="0.25">
      <c r="A7">
        <v>624</v>
      </c>
      <c r="B7" t="s">
        <v>522</v>
      </c>
      <c r="C7" t="s">
        <v>523</v>
      </c>
      <c r="D7" t="s">
        <v>519</v>
      </c>
      <c r="E7" s="75">
        <v>1</v>
      </c>
      <c r="F7" s="39">
        <v>38000</v>
      </c>
      <c r="G7" s="39">
        <v>5700</v>
      </c>
      <c r="H7" s="39">
        <v>1000</v>
      </c>
      <c r="I7" s="39"/>
    </row>
    <row r="8" spans="1:12" ht="15.75" thickBot="1" x14ac:dyDescent="0.3">
      <c r="A8">
        <v>624</v>
      </c>
      <c r="B8" t="s">
        <v>524</v>
      </c>
      <c r="C8" t="s">
        <v>525</v>
      </c>
      <c r="D8" t="s">
        <v>519</v>
      </c>
      <c r="E8" s="75">
        <v>1</v>
      </c>
      <c r="F8" s="39">
        <v>36000</v>
      </c>
      <c r="G8" s="39">
        <v>5400</v>
      </c>
      <c r="H8" s="39">
        <v>1000</v>
      </c>
      <c r="I8" s="39"/>
    </row>
    <row r="9" spans="1:12" ht="15.75" thickTop="1" x14ac:dyDescent="0.25">
      <c r="A9">
        <v>624</v>
      </c>
      <c r="B9" t="s">
        <v>526</v>
      </c>
      <c r="C9" t="s">
        <v>527</v>
      </c>
      <c r="D9" t="s">
        <v>519</v>
      </c>
      <c r="E9" s="75">
        <v>1</v>
      </c>
      <c r="F9" s="39">
        <v>65000</v>
      </c>
      <c r="G9" s="39">
        <v>9750</v>
      </c>
      <c r="H9" s="39">
        <v>5000</v>
      </c>
      <c r="I9" s="39"/>
      <c r="J9" s="158">
        <v>809</v>
      </c>
      <c r="K9" s="158" t="s">
        <v>514</v>
      </c>
      <c r="L9" s="159">
        <f>SUMIFS(INDEX(F5:H24,,MATCH(K9,F4:H4,0)),A5:A24,J9)</f>
        <v>112000</v>
      </c>
    </row>
    <row r="10" spans="1:12" ht="15.75" thickBot="1" x14ac:dyDescent="0.3">
      <c r="A10">
        <v>325</v>
      </c>
      <c r="B10" t="s">
        <v>528</v>
      </c>
      <c r="C10" t="s">
        <v>529</v>
      </c>
      <c r="D10" t="s">
        <v>519</v>
      </c>
      <c r="E10" s="75">
        <v>0.8</v>
      </c>
      <c r="F10" s="39">
        <v>45000</v>
      </c>
      <c r="G10" s="39">
        <v>6750</v>
      </c>
      <c r="H10" s="39">
        <v>3000</v>
      </c>
      <c r="I10" s="39"/>
    </row>
    <row r="11" spans="1:12" ht="15.75" thickTop="1" x14ac:dyDescent="0.25">
      <c r="A11">
        <v>325</v>
      </c>
      <c r="B11" t="s">
        <v>530</v>
      </c>
      <c r="C11" t="s">
        <v>531</v>
      </c>
      <c r="D11" t="s">
        <v>519</v>
      </c>
      <c r="E11" s="75">
        <v>1</v>
      </c>
      <c r="F11" s="39">
        <v>35000</v>
      </c>
      <c r="G11" s="39">
        <v>5250</v>
      </c>
      <c r="H11" s="39"/>
      <c r="I11" s="39"/>
      <c r="J11" t="s">
        <v>532</v>
      </c>
      <c r="L11" s="159">
        <f>SUMIFS(INDEX((F5:F24,G5:G24,H5:H24),,,MATCH(K9,F4:H4,0)),A5:A24,J9)</f>
        <v>112000</v>
      </c>
    </row>
    <row r="12" spans="1:12" ht="15.75" thickBot="1" x14ac:dyDescent="0.3">
      <c r="A12">
        <v>325</v>
      </c>
      <c r="B12" t="s">
        <v>533</v>
      </c>
      <c r="C12" t="s">
        <v>534</v>
      </c>
      <c r="D12" t="s">
        <v>519</v>
      </c>
      <c r="E12" s="75">
        <v>1</v>
      </c>
      <c r="F12" s="39">
        <v>39000</v>
      </c>
      <c r="G12" s="39">
        <v>5850</v>
      </c>
      <c r="H12" s="39"/>
      <c r="I12" s="39"/>
    </row>
    <row r="13" spans="1:12" ht="15.75" thickTop="1" x14ac:dyDescent="0.25">
      <c r="A13">
        <v>325</v>
      </c>
      <c r="B13" t="s">
        <v>535</v>
      </c>
      <c r="C13" t="s">
        <v>536</v>
      </c>
      <c r="D13" t="s">
        <v>519</v>
      </c>
      <c r="E13" s="75">
        <v>1</v>
      </c>
      <c r="F13" s="39">
        <v>37000</v>
      </c>
      <c r="G13" s="39">
        <v>5550</v>
      </c>
      <c r="H13" s="39"/>
      <c r="I13" s="39"/>
      <c r="J13" t="s">
        <v>537</v>
      </c>
      <c r="L13" s="159">
        <f>SUMPRODUCT((A5:A24=J9)*(F4:H4=K9)*F5:H24)</f>
        <v>112000</v>
      </c>
    </row>
    <row r="14" spans="1:12" x14ac:dyDescent="0.25">
      <c r="A14">
        <v>610</v>
      </c>
      <c r="B14" t="s">
        <v>538</v>
      </c>
      <c r="C14" t="s">
        <v>539</v>
      </c>
      <c r="D14" t="s">
        <v>519</v>
      </c>
      <c r="E14" s="75">
        <v>1</v>
      </c>
      <c r="F14" s="39">
        <v>34000</v>
      </c>
      <c r="G14" s="39">
        <v>5100</v>
      </c>
      <c r="H14" s="39"/>
      <c r="I14" s="39"/>
    </row>
    <row r="15" spans="1:12" x14ac:dyDescent="0.25">
      <c r="A15">
        <v>610</v>
      </c>
      <c r="B15" t="s">
        <v>540</v>
      </c>
      <c r="C15" t="s">
        <v>541</v>
      </c>
      <c r="D15" t="s">
        <v>299</v>
      </c>
      <c r="E15" s="75">
        <v>0.5</v>
      </c>
      <c r="F15" s="39">
        <v>20000</v>
      </c>
      <c r="G15" s="39">
        <v>3000</v>
      </c>
      <c r="H15" s="39"/>
      <c r="I15" s="39"/>
    </row>
    <row r="16" spans="1:12" x14ac:dyDescent="0.25">
      <c r="A16">
        <v>720</v>
      </c>
      <c r="B16" t="s">
        <v>542</v>
      </c>
      <c r="C16" t="s">
        <v>543</v>
      </c>
      <c r="D16" t="s">
        <v>299</v>
      </c>
      <c r="E16" s="75">
        <v>1</v>
      </c>
      <c r="F16" s="39">
        <v>40000</v>
      </c>
      <c r="G16" s="39">
        <v>6000</v>
      </c>
      <c r="H16" s="39">
        <v>2000</v>
      </c>
      <c r="I16" s="39"/>
    </row>
    <row r="17" spans="1:9" x14ac:dyDescent="0.25">
      <c r="A17">
        <v>720</v>
      </c>
      <c r="B17" t="s">
        <v>544</v>
      </c>
      <c r="C17" t="s">
        <v>545</v>
      </c>
      <c r="D17" t="s">
        <v>299</v>
      </c>
      <c r="E17" s="75">
        <v>1</v>
      </c>
      <c r="F17" s="39">
        <v>42000</v>
      </c>
      <c r="G17" s="39">
        <v>6300</v>
      </c>
      <c r="H17" s="39">
        <v>2000</v>
      </c>
      <c r="I17" s="39"/>
    </row>
    <row r="18" spans="1:9" x14ac:dyDescent="0.25">
      <c r="A18">
        <v>720</v>
      </c>
      <c r="B18" t="s">
        <v>539</v>
      </c>
      <c r="C18" t="s">
        <v>546</v>
      </c>
      <c r="D18" t="s">
        <v>299</v>
      </c>
      <c r="E18" s="75">
        <v>1</v>
      </c>
      <c r="F18" s="39">
        <v>38000</v>
      </c>
      <c r="G18" s="39">
        <v>5700</v>
      </c>
      <c r="H18" s="39"/>
      <c r="I18" s="39"/>
    </row>
    <row r="19" spans="1:9" x14ac:dyDescent="0.25">
      <c r="A19">
        <v>720</v>
      </c>
      <c r="B19" t="s">
        <v>547</v>
      </c>
      <c r="C19" t="s">
        <v>548</v>
      </c>
      <c r="D19" t="s">
        <v>299</v>
      </c>
      <c r="E19" s="75">
        <v>1</v>
      </c>
      <c r="F19" s="39">
        <v>36000</v>
      </c>
      <c r="G19" s="39">
        <v>5400</v>
      </c>
      <c r="H19" s="39"/>
      <c r="I19" s="39"/>
    </row>
    <row r="20" spans="1:9" x14ac:dyDescent="0.25">
      <c r="A20">
        <v>720</v>
      </c>
      <c r="B20" t="s">
        <v>549</v>
      </c>
      <c r="C20" t="s">
        <v>550</v>
      </c>
      <c r="D20" t="s">
        <v>299</v>
      </c>
      <c r="E20" s="75">
        <v>0.8</v>
      </c>
      <c r="F20" s="39">
        <v>25000</v>
      </c>
      <c r="G20" s="39">
        <v>3750</v>
      </c>
      <c r="H20" s="39"/>
      <c r="I20" s="39"/>
    </row>
    <row r="21" spans="1:9" x14ac:dyDescent="0.25">
      <c r="A21">
        <v>805</v>
      </c>
      <c r="B21" t="s">
        <v>551</v>
      </c>
      <c r="C21" t="s">
        <v>552</v>
      </c>
      <c r="D21" t="s">
        <v>299</v>
      </c>
      <c r="E21" s="75">
        <v>1</v>
      </c>
      <c r="F21" s="39">
        <v>60000</v>
      </c>
      <c r="G21" s="39">
        <v>9000</v>
      </c>
      <c r="H21" s="39">
        <v>4000</v>
      </c>
      <c r="I21" s="39"/>
    </row>
    <row r="22" spans="1:9" x14ac:dyDescent="0.25">
      <c r="A22">
        <v>805</v>
      </c>
      <c r="B22" t="s">
        <v>553</v>
      </c>
      <c r="C22" t="s">
        <v>554</v>
      </c>
      <c r="D22" t="s">
        <v>299</v>
      </c>
      <c r="E22" s="75">
        <v>1</v>
      </c>
      <c r="F22" s="39">
        <v>35000</v>
      </c>
      <c r="G22" s="39">
        <v>5250</v>
      </c>
      <c r="H22" s="39"/>
      <c r="I22" s="39"/>
    </row>
    <row r="23" spans="1:9" x14ac:dyDescent="0.25">
      <c r="A23">
        <v>805</v>
      </c>
      <c r="B23" t="s">
        <v>555</v>
      </c>
      <c r="C23" t="s">
        <v>556</v>
      </c>
      <c r="D23" t="s">
        <v>299</v>
      </c>
      <c r="E23" s="75">
        <v>0.75</v>
      </c>
      <c r="F23" s="39">
        <v>32000</v>
      </c>
      <c r="G23" s="39">
        <v>4800</v>
      </c>
      <c r="H23" s="39"/>
      <c r="I23" s="39"/>
    </row>
    <row r="24" spans="1:9" x14ac:dyDescent="0.25">
      <c r="A24">
        <v>809</v>
      </c>
      <c r="B24" t="s">
        <v>557</v>
      </c>
      <c r="C24" t="s">
        <v>555</v>
      </c>
      <c r="D24" t="s">
        <v>519</v>
      </c>
      <c r="E24" s="75">
        <v>1</v>
      </c>
      <c r="F24" s="39">
        <v>30000</v>
      </c>
      <c r="G24" s="39">
        <v>4000</v>
      </c>
      <c r="H24" s="39">
        <v>2000</v>
      </c>
      <c r="I24" s="39"/>
    </row>
    <row r="25" spans="1:9" x14ac:dyDescent="0.25">
      <c r="F25" s="39"/>
      <c r="G25" s="39"/>
      <c r="H25" s="39"/>
      <c r="I25" s="39"/>
    </row>
    <row r="26" spans="1:9" x14ac:dyDescent="0.25">
      <c r="F26" s="39"/>
      <c r="G26" s="39"/>
      <c r="H26" s="39"/>
      <c r="I26" s="39"/>
    </row>
    <row r="27" spans="1:9" x14ac:dyDescent="0.25">
      <c r="F27" s="39"/>
      <c r="G27" s="39"/>
      <c r="H27" s="39"/>
      <c r="I27" s="39"/>
    </row>
    <row r="28" spans="1:9" x14ac:dyDescent="0.25">
      <c r="F28" s="39"/>
      <c r="G28" s="39"/>
      <c r="H28" s="39"/>
      <c r="I28" s="39"/>
    </row>
  </sheetData>
  <dataValidations count="1">
    <dataValidation type="list" allowBlank="1" showInputMessage="1" showErrorMessage="1" sqref="K9" xr:uid="{00000000-0002-0000-1900-000000000000}">
      <formula1>$F$4:$H$4</formula1>
    </dataValidation>
  </dataValidations>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8DB175-2402-430C-9ADD-D0249374D984}">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26</vt:i4>
      </vt:variant>
      <vt:variant>
        <vt:lpstr>Named Ranges</vt:lpstr>
      </vt:variant>
      <vt:variant>
        <vt:i4>8</vt:i4>
      </vt:variant>
    </vt:vector>
  </HeadingPairs>
  <TitlesOfParts>
    <vt:vector size="34" baseType="lpstr">
      <vt:lpstr>Index</vt:lpstr>
      <vt:lpstr>T1</vt:lpstr>
      <vt:lpstr>T2</vt:lpstr>
      <vt:lpstr>T3</vt:lpstr>
      <vt:lpstr>T4</vt:lpstr>
      <vt:lpstr>T5</vt:lpstr>
      <vt:lpstr>T6</vt:lpstr>
      <vt:lpstr>T7</vt:lpstr>
      <vt:lpstr>T8</vt:lpstr>
      <vt:lpstr>T9</vt:lpstr>
      <vt:lpstr>T10</vt:lpstr>
      <vt:lpstr>T10B</vt:lpstr>
      <vt:lpstr>T11</vt:lpstr>
      <vt:lpstr>F1</vt:lpstr>
      <vt:lpstr>F2</vt:lpstr>
      <vt:lpstr>F3</vt:lpstr>
      <vt:lpstr>F4</vt:lpstr>
      <vt:lpstr>F5</vt:lpstr>
      <vt:lpstr>F6</vt:lpstr>
      <vt:lpstr>F7</vt:lpstr>
      <vt:lpstr>F8</vt:lpstr>
      <vt:lpstr>F9</vt:lpstr>
      <vt:lpstr>F10</vt:lpstr>
      <vt:lpstr>M1</vt:lpstr>
      <vt:lpstr>M2</vt:lpstr>
      <vt:lpstr>M3</vt:lpstr>
      <vt:lpstr>back</vt:lpstr>
      <vt:lpstr>'T2'!Extract</vt:lpstr>
      <vt:lpstr>'F3'!Print_Area</vt:lpstr>
      <vt:lpstr>'T1'!Print_Area</vt:lpstr>
      <vt:lpstr>T10B!Print_Area</vt:lpstr>
      <vt:lpstr>'T8'!Print_Area</vt:lpstr>
      <vt:lpstr>'T1'!Print_Titles</vt:lpstr>
      <vt:lpstr>'T8'!Print_Titles</vt:lpstr>
    </vt:vector>
  </TitlesOfParts>
  <Company>www.xelplus.com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Leila Gharani</dc:creator>
  <cp:lastModifiedBy>Kgarimetsa, Bruce</cp:lastModifiedBy>
  <cp:lastPrinted>2016-04-01T18:12:52Z</cp:lastPrinted>
  <dcterms:created xsi:type="dcterms:W3CDTF">2016-01-25T13:55:01Z</dcterms:created>
  <dcterms:modified xsi:type="dcterms:W3CDTF">2020-11-09T07:42:49Z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16eec4e-c7b8-491d-b7d8-90a69632743d_Enabled">
    <vt:lpwstr>True</vt:lpwstr>
  </property>
  <property fmtid="{D5CDD505-2E9C-101B-9397-08002B2CF9AE}" pid="3" name="MSIP_Label_216eec4e-c7b8-491d-b7d8-90a69632743d_SiteId">
    <vt:lpwstr>4032514a-830a-4f20-9539-81bbc35b3cd9</vt:lpwstr>
  </property>
  <property fmtid="{D5CDD505-2E9C-101B-9397-08002B2CF9AE}" pid="4" name="MSIP_Label_216eec4e-c7b8-491d-b7d8-90a69632743d_Owner">
    <vt:lpwstr>F5172993@FNB.CO.ZA</vt:lpwstr>
  </property>
  <property fmtid="{D5CDD505-2E9C-101B-9397-08002B2CF9AE}" pid="5" name="MSIP_Label_216eec4e-c7b8-491d-b7d8-90a69632743d_SetDate">
    <vt:lpwstr>2020-07-02T14:26:28.7969050Z</vt:lpwstr>
  </property>
  <property fmtid="{D5CDD505-2E9C-101B-9397-08002B2CF9AE}" pid="6" name="MSIP_Label_216eec4e-c7b8-491d-b7d8-90a69632743d_Name">
    <vt:lpwstr>Confidential</vt:lpwstr>
  </property>
  <property fmtid="{D5CDD505-2E9C-101B-9397-08002B2CF9AE}" pid="7" name="MSIP_Label_216eec4e-c7b8-491d-b7d8-90a69632743d_Application">
    <vt:lpwstr>Microsoft Azure Information Protection</vt:lpwstr>
  </property>
  <property fmtid="{D5CDD505-2E9C-101B-9397-08002B2CF9AE}" pid="8" name="MSIP_Label_216eec4e-c7b8-491d-b7d8-90a69632743d_ActionId">
    <vt:lpwstr>c4d798ff-6757-4b52-a0b3-ece5cc66c392</vt:lpwstr>
  </property>
  <property fmtid="{D5CDD505-2E9C-101B-9397-08002B2CF9AE}" pid="9" name="MSIP_Label_216eec4e-c7b8-491d-b7d8-90a69632743d_Extended_MSFT_Method">
    <vt:lpwstr>Automatic</vt:lpwstr>
  </property>
  <property fmtid="{D5CDD505-2E9C-101B-9397-08002B2CF9AE}" pid="10" name="Sensitivity">
    <vt:lpwstr>Confidential</vt:lpwstr>
  </property>
</Properties>
</file>