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defaultThemeVersion="124226"/>
  <mc:AlternateContent xmlns:mc="http://schemas.openxmlformats.org/markup-compatibility/2006">
    <mc:Choice Requires="x15">
      <x15ac:absPath xmlns:x15ac="http://schemas.microsoft.com/office/spreadsheetml/2010/11/ac" url="E:\Agams\Euro Cup\Euro 2024 Schedule\"/>
    </mc:Choice>
  </mc:AlternateContent>
  <xr:revisionPtr revIDLastSave="0" documentId="8_{54C0EC12-1FF3-4B6D-9E08-CDF44342306D}" xr6:coauthVersionLast="47" xr6:coauthVersionMax="47" xr10:uidLastSave="{00000000-0000-0000-0000-000000000000}"/>
  <bookViews>
    <workbookView xWindow="-120" yWindow="-120" windowWidth="20730" windowHeight="11760" tabRatio="804" xr2:uid="{00000000-000D-0000-FFFF-FFFF00000000}"/>
  </bookViews>
  <sheets>
    <sheet name="Setup" sheetId="21" r:id="rId1"/>
    <sheet name="Matches" sheetId="28" r:id="rId2"/>
    <sheet name="Fixtures" sheetId="1" state="hidden" r:id="rId3"/>
    <sheet name="Language" sheetId="24" state="hidden" r:id="rId4"/>
    <sheet name="Dummy Table" sheetId="2" state="hidden" r:id="rId5"/>
    <sheet name="Tie Breaker Regulation" sheetId="25" r:id="rId6"/>
    <sheet name="About" sheetId="26" r:id="rId7"/>
    <sheet name="License" sheetId="27" r:id="rId8"/>
  </sheets>
  <definedNames>
    <definedName name="Cities">#REF!</definedName>
    <definedName name="Countries">Language!$C$1:$H$1</definedName>
    <definedName name="Country">Setup!$C$9:$C$32</definedName>
    <definedName name="GroupA">Matches!$D$4:$D$7</definedName>
    <definedName name="GroupB">Matches!$R$4:$R$7</definedName>
    <definedName name="GroupC">Matches!$D$22:$D$25</definedName>
    <definedName name="GroupD">Matches!$R$22:$R$25</definedName>
    <definedName name="GroupE">Matches!$D$40:$D$43</definedName>
    <definedName name="GroupF">Matches!$R$40:$R$43</definedName>
    <definedName name="GroupG">#REF!</definedName>
    <definedName name="GroupH">#REF!</definedName>
    <definedName name="KOColo">Matches!$AT$9</definedName>
    <definedName name="Location">#REF!</definedName>
    <definedName name="PoolTeam">'Dummy Table'!$B$50:$B$75</definedName>
    <definedName name="_xlnm.Print_Area" localSheetId="2">Fixtures!$B$3:$AC$58</definedName>
    <definedName name="_xlnm.Print_Area" localSheetId="1">Matches!$C$3:$AP$59</definedName>
    <definedName name="_xlnm.Print_Area" localSheetId="5">'Tie Breaker Regulation'!$A$1:$N$46</definedName>
    <definedName name="Team">'Dummy Table'!$EH$7:$EH$38</definedName>
    <definedName name="TimezoneData">Setup!$D$5</definedName>
    <definedName name="TimezoneList">'Dummy Table'!$EO$8:$EO$57</definedName>
    <definedName name="Venues">'Dummy Table'!$C$50:$C$59</definedName>
  </definedNames>
  <calcPr calcId="191029"/>
</workbook>
</file>

<file path=xl/calcChain.xml><?xml version="1.0" encoding="utf-8"?>
<calcChain xmlns="http://schemas.openxmlformats.org/spreadsheetml/2006/main">
  <c r="EJ73" i="2" l="1"/>
  <c r="EJ72" i="2"/>
  <c r="EJ71" i="2"/>
  <c r="EJ70" i="2"/>
  <c r="EJ69" i="2"/>
  <c r="EJ68" i="2"/>
  <c r="EJ67" i="2"/>
  <c r="EJ66" i="2"/>
  <c r="EJ65" i="2"/>
  <c r="EJ64" i="2"/>
  <c r="EJ63" i="2"/>
  <c r="EJ62" i="2"/>
  <c r="EJ61" i="2"/>
  <c r="EJ60" i="2"/>
  <c r="EJ59" i="2"/>
  <c r="EM58" i="2"/>
  <c r="EJ58" i="2"/>
  <c r="EM57" i="2"/>
  <c r="EJ57" i="2"/>
  <c r="EM56" i="2"/>
  <c r="EJ56" i="2"/>
  <c r="EM55" i="2"/>
  <c r="EJ55" i="2"/>
  <c r="EM54" i="2"/>
  <c r="EJ54" i="2"/>
  <c r="EM53" i="2"/>
  <c r="EJ53" i="2"/>
  <c r="EM52" i="2"/>
  <c r="EJ52" i="2"/>
  <c r="EM51" i="2"/>
  <c r="EJ51" i="2"/>
  <c r="EM50" i="2"/>
  <c r="EJ50" i="2"/>
  <c r="EM49" i="2"/>
  <c r="EJ49" i="2"/>
  <c r="EM48" i="2"/>
  <c r="EJ48" i="2"/>
  <c r="EM47" i="2"/>
  <c r="EJ47" i="2"/>
  <c r="EM46" i="2"/>
  <c r="EJ46" i="2"/>
  <c r="EM45" i="2"/>
  <c r="EJ45" i="2"/>
  <c r="EM44" i="2"/>
  <c r="EJ44" i="2"/>
  <c r="EM43" i="2"/>
  <c r="EJ43" i="2"/>
  <c r="EM42" i="2"/>
  <c r="EJ42" i="2"/>
  <c r="EM41" i="2"/>
  <c r="EJ41" i="2"/>
  <c r="EM40" i="2"/>
  <c r="EJ40" i="2"/>
  <c r="EM39" i="2"/>
  <c r="EM38" i="2"/>
  <c r="EM37" i="2"/>
  <c r="EM36" i="2"/>
  <c r="EM35" i="2"/>
  <c r="EM34" i="2"/>
  <c r="EM33" i="2"/>
  <c r="EM32" i="2"/>
  <c r="EM31" i="2"/>
  <c r="EM30" i="2"/>
  <c r="EM29" i="2"/>
  <c r="EM28" i="2"/>
  <c r="EM27" i="2"/>
  <c r="EM26" i="2"/>
  <c r="EM25" i="2"/>
  <c r="EM24" i="2"/>
  <c r="EM23" i="2"/>
  <c r="EM22" i="2"/>
  <c r="EM21" i="2"/>
  <c r="EM20" i="2"/>
  <c r="EM19" i="2"/>
  <c r="EM18" i="2"/>
  <c r="EM17" i="2"/>
  <c r="EM16" i="2"/>
  <c r="EM15" i="2"/>
  <c r="EM14" i="2"/>
  <c r="EM13" i="2"/>
  <c r="EM12" i="2"/>
  <c r="EM11" i="2"/>
  <c r="EM10" i="2"/>
  <c r="EM9" i="2"/>
  <c r="EM8" i="2"/>
  <c r="EM7" i="2"/>
  <c r="C58" i="1"/>
  <c r="C56" i="1"/>
  <c r="C52" i="1"/>
  <c r="O46" i="1"/>
  <c r="C44" i="1"/>
  <c r="J42" i="1"/>
  <c r="G42" i="1"/>
  <c r="J41" i="1"/>
  <c r="G41" i="1"/>
  <c r="J40" i="1"/>
  <c r="G40" i="1"/>
  <c r="J39" i="1"/>
  <c r="G39" i="1"/>
  <c r="P38" i="1"/>
  <c r="J38" i="1"/>
  <c r="G38" i="1"/>
  <c r="J37" i="1"/>
  <c r="G37" i="1"/>
  <c r="J36" i="1"/>
  <c r="G36" i="1"/>
  <c r="J35" i="1"/>
  <c r="G35" i="1"/>
  <c r="J34" i="1"/>
  <c r="G34" i="1"/>
  <c r="J33" i="1"/>
  <c r="G33" i="1"/>
  <c r="J32" i="1"/>
  <c r="G32" i="1"/>
  <c r="J31" i="1"/>
  <c r="G31" i="1"/>
  <c r="J30" i="1"/>
  <c r="G30" i="1"/>
  <c r="J29" i="1"/>
  <c r="G29" i="1"/>
  <c r="J28" i="1"/>
  <c r="G28" i="1"/>
  <c r="J27" i="1"/>
  <c r="G27" i="1"/>
  <c r="J26" i="1"/>
  <c r="G26" i="1"/>
  <c r="J25" i="1"/>
  <c r="G25" i="1"/>
  <c r="J24" i="1"/>
  <c r="G24" i="1"/>
  <c r="J23" i="1"/>
  <c r="G23" i="1"/>
  <c r="J22" i="1"/>
  <c r="G22" i="1"/>
  <c r="J21" i="1"/>
  <c r="G21" i="1"/>
  <c r="J20" i="1"/>
  <c r="G20" i="1"/>
  <c r="J19" i="1"/>
  <c r="G19" i="1"/>
  <c r="J18" i="1"/>
  <c r="G18" i="1"/>
  <c r="J17" i="1"/>
  <c r="G17" i="1"/>
  <c r="J16" i="1"/>
  <c r="G16" i="1"/>
  <c r="J15" i="1"/>
  <c r="G15" i="1"/>
  <c r="J14" i="1"/>
  <c r="G14" i="1"/>
  <c r="J13" i="1"/>
  <c r="G13" i="1"/>
  <c r="J12" i="1"/>
  <c r="G12" i="1"/>
  <c r="J11" i="1"/>
  <c r="G11" i="1"/>
  <c r="J10" i="1"/>
  <c r="G10" i="1"/>
  <c r="J9" i="1"/>
  <c r="G9" i="1"/>
  <c r="J8" i="1"/>
  <c r="G8" i="1"/>
  <c r="J7" i="1"/>
  <c r="G7" i="1"/>
  <c r="B6" i="1"/>
  <c r="O5" i="1"/>
  <c r="M5" i="1"/>
  <c r="J5" i="1"/>
  <c r="H5" i="1"/>
  <c r="G5" i="1"/>
  <c r="F5" i="1"/>
  <c r="E5" i="1"/>
  <c r="B5" i="1"/>
  <c r="I30" i="1" l="1"/>
  <c r="H30" i="1"/>
  <c r="Y49" i="28"/>
  <c r="I28" i="1"/>
  <c r="H28" i="1"/>
  <c r="K51" i="28"/>
  <c r="I27" i="1"/>
  <c r="H27" i="1"/>
  <c r="K49" i="28"/>
  <c r="I16" i="1"/>
  <c r="H16" i="1"/>
  <c r="K45" i="28"/>
  <c r="I26" i="1"/>
  <c r="H26" i="1"/>
  <c r="Y33" i="28"/>
  <c r="I25" i="1"/>
  <c r="H25" i="1"/>
  <c r="Y31" i="28"/>
  <c r="I14" i="1"/>
  <c r="H14" i="1"/>
  <c r="Y29" i="28"/>
  <c r="I13" i="1"/>
  <c r="H13" i="1"/>
  <c r="Y27" i="28"/>
  <c r="I24" i="1"/>
  <c r="H24" i="1"/>
  <c r="K31" i="28"/>
  <c r="I11" i="1"/>
  <c r="H11" i="1"/>
  <c r="K29" i="28"/>
  <c r="I22" i="1"/>
  <c r="H22" i="1"/>
  <c r="Y15" i="28"/>
  <c r="I21" i="1"/>
  <c r="H21" i="1"/>
  <c r="Y13" i="28"/>
  <c r="I19" i="1"/>
  <c r="H19" i="1"/>
  <c r="K15" i="28"/>
  <c r="Y50" i="28" l="1"/>
  <c r="K52" i="28"/>
  <c r="D52" i="28"/>
  <c r="D50" i="28"/>
  <c r="Y34" i="28"/>
  <c r="R34" i="28"/>
  <c r="Y32" i="28"/>
  <c r="K32" i="28"/>
  <c r="D32" i="28"/>
  <c r="R16" i="28"/>
  <c r="Y14" i="28"/>
  <c r="R14" i="28"/>
  <c r="K16" i="28"/>
  <c r="D16" i="28"/>
  <c r="EH28" i="2"/>
  <c r="EH27" i="2"/>
  <c r="EH29" i="2"/>
  <c r="D46" i="28"/>
  <c r="EH24" i="2"/>
  <c r="EH23" i="2"/>
  <c r="Y30" i="28"/>
  <c r="R30" i="28"/>
  <c r="Y28" i="28"/>
  <c r="EH18" i="2"/>
  <c r="EH17" i="2"/>
  <c r="K30" i="28"/>
  <c r="D30" i="28"/>
  <c r="EH12" i="2"/>
  <c r="EH11" i="2"/>
  <c r="EH14" i="2"/>
  <c r="EH13" i="2"/>
  <c r="EH10" i="2"/>
  <c r="EH9" i="2"/>
  <c r="EH8" i="2"/>
  <c r="EH7" i="2"/>
  <c r="EH15" i="2" l="1"/>
  <c r="EH25" i="2"/>
  <c r="EH21" i="2"/>
  <c r="Y16" i="28"/>
  <c r="DC18" i="2"/>
  <c r="EH16" i="2"/>
  <c r="EH20" i="2"/>
  <c r="EH22" i="2"/>
  <c r="K56" i="28"/>
  <c r="I38" i="1"/>
  <c r="H38" i="1"/>
  <c r="I37" i="1"/>
  <c r="H37" i="1"/>
  <c r="I36" i="1"/>
  <c r="H36" i="1"/>
  <c r="I35" i="1"/>
  <c r="H35" i="1"/>
  <c r="Y37" i="28"/>
  <c r="Y35" i="28"/>
  <c r="K37" i="28"/>
  <c r="K35" i="28"/>
  <c r="Y36" i="28"/>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H56" i="1"/>
  <c r="I58" i="1"/>
  <c r="H58" i="1"/>
  <c r="I57" i="1"/>
  <c r="H57" i="1"/>
  <c r="I56" i="1"/>
  <c r="I55" i="1"/>
  <c r="H55" i="1"/>
  <c r="I54" i="1"/>
  <c r="H54" i="1"/>
  <c r="I53" i="1"/>
  <c r="H53" i="1"/>
  <c r="I52" i="1"/>
  <c r="H52" i="1"/>
  <c r="I51" i="1"/>
  <c r="H51" i="1"/>
  <c r="I50" i="1"/>
  <c r="H50" i="1"/>
  <c r="I49" i="1"/>
  <c r="H49" i="1"/>
  <c r="I48" i="1"/>
  <c r="H48" i="1"/>
  <c r="I47" i="1"/>
  <c r="H47" i="1"/>
  <c r="I46" i="1"/>
  <c r="H46" i="1"/>
  <c r="I45" i="1"/>
  <c r="H45" i="1"/>
  <c r="I42" i="1"/>
  <c r="H42" i="1"/>
  <c r="I41" i="1"/>
  <c r="H41" i="1"/>
  <c r="I29" i="1"/>
  <c r="H29" i="1"/>
  <c r="I18" i="1"/>
  <c r="H18" i="1"/>
  <c r="I17" i="1"/>
  <c r="H17" i="1"/>
  <c r="Y55" i="28"/>
  <c r="Y53" i="28"/>
  <c r="Y51" i="28"/>
  <c r="Y47" i="28"/>
  <c r="Y45" i="28"/>
  <c r="I40" i="1"/>
  <c r="H40" i="1"/>
  <c r="I39" i="1"/>
  <c r="H39" i="1"/>
  <c r="I15" i="1"/>
  <c r="H15" i="1"/>
  <c r="K55" i="28"/>
  <c r="K53" i="28"/>
  <c r="K47" i="28"/>
  <c r="I23" i="1"/>
  <c r="H23" i="1"/>
  <c r="I12" i="1"/>
  <c r="H12" i="1"/>
  <c r="K33" i="28"/>
  <c r="K27" i="28"/>
  <c r="I34" i="1"/>
  <c r="H34" i="1"/>
  <c r="I33" i="1"/>
  <c r="H33" i="1"/>
  <c r="I10" i="1"/>
  <c r="H10" i="1"/>
  <c r="I9" i="1"/>
  <c r="H9" i="1"/>
  <c r="Y19" i="28"/>
  <c r="Y17" i="28"/>
  <c r="Y11" i="28"/>
  <c r="Y9" i="28"/>
  <c r="I32" i="1"/>
  <c r="H32" i="1"/>
  <c r="I31" i="1"/>
  <c r="H31" i="1"/>
  <c r="I20" i="1"/>
  <c r="H20" i="1"/>
  <c r="I8" i="1"/>
  <c r="H8" i="1"/>
  <c r="I7" i="1"/>
  <c r="H7" i="1"/>
  <c r="K19" i="28"/>
  <c r="K17" i="28"/>
  <c r="K13" i="28"/>
  <c r="K11" i="28"/>
  <c r="K9" i="28"/>
  <c r="I44" i="1" l="1"/>
  <c r="H44" i="1"/>
  <c r="AL55" i="28"/>
  <c r="AL51" i="28"/>
  <c r="AL48" i="28"/>
  <c r="AL44" i="28"/>
  <c r="AL41" i="28"/>
  <c r="AL38" i="28"/>
  <c r="AL35" i="28"/>
  <c r="AL31" i="28"/>
  <c r="AL28" i="28"/>
  <c r="AL25" i="28"/>
  <c r="AL22" i="28"/>
  <c r="AL19" i="28"/>
  <c r="AL16" i="28"/>
  <c r="AL13" i="28"/>
  <c r="AL10" i="28"/>
  <c r="R20" i="28" l="1"/>
  <c r="R18" i="28"/>
  <c r="D48" i="28"/>
  <c r="Y12" i="28"/>
  <c r="Y10" i="28"/>
  <c r="DB28" i="2" l="1"/>
  <c r="EK7" i="2" l="1"/>
  <c r="F9" i="1" l="1"/>
  <c r="E9" i="1" s="1"/>
  <c r="S9" i="28" s="1"/>
  <c r="W9" i="28" s="1"/>
  <c r="F56" i="1" l="1"/>
  <c r="E56" i="1" s="1"/>
  <c r="AF48" i="28" s="1"/>
  <c r="AJ48" i="28" s="1"/>
  <c r="F48" i="1"/>
  <c r="E48" i="1" s="1"/>
  <c r="AF22" i="28" s="1"/>
  <c r="AJ22" i="28" s="1"/>
  <c r="F40" i="1"/>
  <c r="E40" i="1" s="1"/>
  <c r="E55" i="28" s="1"/>
  <c r="I55" i="28" s="1"/>
  <c r="F36" i="1"/>
  <c r="E36" i="1" s="1"/>
  <c r="E37" i="28" s="1"/>
  <c r="I37" i="28" s="1"/>
  <c r="F32" i="1"/>
  <c r="E32" i="1" s="1"/>
  <c r="E19" i="28" s="1"/>
  <c r="I19" i="28" s="1"/>
  <c r="F28" i="1"/>
  <c r="E28" i="1" s="1"/>
  <c r="F24" i="1"/>
  <c r="E24" i="1" s="1"/>
  <c r="F20" i="1"/>
  <c r="E20" i="1" s="1"/>
  <c r="E13" i="28" s="1"/>
  <c r="I13" i="28" s="1"/>
  <c r="F16" i="1"/>
  <c r="E16" i="1" s="1"/>
  <c r="F12" i="1"/>
  <c r="E12" i="1" s="1"/>
  <c r="E27" i="28" s="1"/>
  <c r="I27" i="28" s="1"/>
  <c r="F8" i="1"/>
  <c r="E8" i="1" s="1"/>
  <c r="E11" i="28" s="1"/>
  <c r="I11" i="28" s="1"/>
  <c r="F7" i="1"/>
  <c r="E7" i="1" s="1"/>
  <c r="E9" i="28" s="1"/>
  <c r="I9" i="28" s="1"/>
  <c r="F55" i="1"/>
  <c r="E55" i="1" s="1"/>
  <c r="AF44" i="28" s="1"/>
  <c r="AJ44" i="28" s="1"/>
  <c r="F51" i="1"/>
  <c r="E51" i="1" s="1"/>
  <c r="AF31" i="28" s="1"/>
  <c r="AJ31" i="28" s="1"/>
  <c r="F47" i="1"/>
  <c r="E47" i="1" s="1"/>
  <c r="AF19" i="28" s="1"/>
  <c r="AJ19" i="28" s="1"/>
  <c r="F39" i="1"/>
  <c r="E39" i="1" s="1"/>
  <c r="E53" i="28" s="1"/>
  <c r="I53" i="28" s="1"/>
  <c r="F35" i="1"/>
  <c r="E35" i="1" s="1"/>
  <c r="E35" i="28" s="1"/>
  <c r="I35" i="28" s="1"/>
  <c r="F31" i="1"/>
  <c r="E31" i="1" s="1"/>
  <c r="E17" i="28" s="1"/>
  <c r="I17" i="28" s="1"/>
  <c r="F27" i="1"/>
  <c r="E27" i="1" s="1"/>
  <c r="F23" i="1"/>
  <c r="E23" i="1" s="1"/>
  <c r="E33" i="28" s="1"/>
  <c r="I33" i="28" s="1"/>
  <c r="F19" i="1"/>
  <c r="E19" i="1" s="1"/>
  <c r="F15" i="1"/>
  <c r="E15" i="1" s="1"/>
  <c r="E47" i="28" s="1"/>
  <c r="I47" i="28" s="1"/>
  <c r="F11" i="1"/>
  <c r="E11" i="1" s="1"/>
  <c r="F52" i="1"/>
  <c r="E52" i="1" s="1"/>
  <c r="AF35" i="28" s="1"/>
  <c r="AJ35" i="28" s="1"/>
  <c r="F44" i="1"/>
  <c r="E44" i="1" s="1"/>
  <c r="AF10" i="28" s="1"/>
  <c r="AJ10" i="28" s="1"/>
  <c r="F58" i="1"/>
  <c r="E58" i="1" s="1"/>
  <c r="AF55" i="28" s="1"/>
  <c r="AJ55" i="28" s="1"/>
  <c r="F54" i="1"/>
  <c r="E54" i="1" s="1"/>
  <c r="AF41" i="28" s="1"/>
  <c r="AJ41" i="28" s="1"/>
  <c r="F50" i="1"/>
  <c r="E50" i="1" s="1"/>
  <c r="AF28" i="28" s="1"/>
  <c r="AJ28" i="28" s="1"/>
  <c r="F46" i="1"/>
  <c r="E46" i="1" s="1"/>
  <c r="AF16" i="28" s="1"/>
  <c r="AJ16" i="28" s="1"/>
  <c r="F42" i="1"/>
  <c r="E42" i="1" s="1"/>
  <c r="S55" i="28" s="1"/>
  <c r="W55" i="28" s="1"/>
  <c r="F38" i="1"/>
  <c r="E38" i="1" s="1"/>
  <c r="S37" i="28" s="1"/>
  <c r="W37" i="28" s="1"/>
  <c r="F34" i="1"/>
  <c r="E34" i="1" s="1"/>
  <c r="S19" i="28" s="1"/>
  <c r="W19" i="28" s="1"/>
  <c r="F30" i="1"/>
  <c r="E30" i="1" s="1"/>
  <c r="F26" i="1"/>
  <c r="E26" i="1" s="1"/>
  <c r="F22" i="1"/>
  <c r="E22" i="1" s="1"/>
  <c r="F18" i="1"/>
  <c r="E18" i="1" s="1"/>
  <c r="S47" i="28" s="1"/>
  <c r="W47" i="28" s="1"/>
  <c r="F14" i="1"/>
  <c r="E14" i="1" s="1"/>
  <c r="F10" i="1"/>
  <c r="E10" i="1" s="1"/>
  <c r="S11" i="28" s="1"/>
  <c r="W11" i="28" s="1"/>
  <c r="F57" i="1"/>
  <c r="E57" i="1" s="1"/>
  <c r="AF51" i="28" s="1"/>
  <c r="AJ51" i="28" s="1"/>
  <c r="F53" i="1"/>
  <c r="E53" i="1" s="1"/>
  <c r="AF38" i="28" s="1"/>
  <c r="AJ38" i="28" s="1"/>
  <c r="F49" i="1"/>
  <c r="E49" i="1" s="1"/>
  <c r="AF25" i="28" s="1"/>
  <c r="AJ25" i="28" s="1"/>
  <c r="F45" i="1"/>
  <c r="E45" i="1" s="1"/>
  <c r="AF13" i="28" s="1"/>
  <c r="AJ13" i="28" s="1"/>
  <c r="F41" i="1"/>
  <c r="E41" i="1" s="1"/>
  <c r="S53" i="28" s="1"/>
  <c r="W53" i="28" s="1"/>
  <c r="F37" i="1"/>
  <c r="E37" i="1" s="1"/>
  <c r="S35" i="28" s="1"/>
  <c r="W35" i="28" s="1"/>
  <c r="F33" i="1"/>
  <c r="E33" i="1" s="1"/>
  <c r="S17" i="28" s="1"/>
  <c r="W17" i="28" s="1"/>
  <c r="F29" i="1"/>
  <c r="E29" i="1" s="1"/>
  <c r="S51" i="28" s="1"/>
  <c r="W51" i="28" s="1"/>
  <c r="F25" i="1"/>
  <c r="E25" i="1" s="1"/>
  <c r="F21" i="1"/>
  <c r="E21" i="1" s="1"/>
  <c r="F17" i="1"/>
  <c r="E17" i="1" s="1"/>
  <c r="S45" i="28" s="1"/>
  <c r="W45" i="28" s="1"/>
  <c r="F13" i="1"/>
  <c r="E13" i="1" s="1"/>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H1" i="24"/>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3" i="24"/>
  <c r="EH40" i="2"/>
  <c r="EH41" i="2"/>
  <c r="EH42" i="2"/>
  <c r="EH43" i="2"/>
  <c r="EH44" i="2"/>
  <c r="EH45" i="2"/>
  <c r="EH46" i="2"/>
  <c r="EH47" i="2"/>
  <c r="EH48" i="2"/>
  <c r="EH49" i="2"/>
  <c r="EH50" i="2"/>
  <c r="EH51" i="2"/>
  <c r="EH52" i="2"/>
  <c r="EH53" i="2"/>
  <c r="EH54" i="2"/>
  <c r="EH55" i="2"/>
  <c r="EH56" i="2"/>
  <c r="EH57" i="2"/>
  <c r="EH58" i="2"/>
  <c r="EH59" i="2"/>
  <c r="EH60" i="2"/>
  <c r="EH61" i="2"/>
  <c r="EH62" i="2"/>
  <c r="EH63" i="2"/>
  <c r="EH64" i="2"/>
  <c r="EH65" i="2"/>
  <c r="EH66" i="2"/>
  <c r="EH67" i="2"/>
  <c r="EH68" i="2"/>
  <c r="EH69" i="2"/>
  <c r="EH70" i="2"/>
  <c r="EH71" i="2"/>
  <c r="EH72" i="2"/>
  <c r="EH73" i="2"/>
  <c r="O31" i="1" l="1"/>
  <c r="O11" i="1"/>
  <c r="O16" i="1"/>
  <c r="B3" i="1"/>
  <c r="O21" i="1"/>
  <c r="B43" i="1"/>
  <c r="O37" i="1"/>
  <c r="O26" i="1"/>
  <c r="O6" i="1"/>
  <c r="J52" i="1"/>
  <c r="R50" i="28"/>
  <c r="R32" i="28"/>
  <c r="K50" i="28"/>
  <c r="EH30" i="2"/>
  <c r="R54" i="28"/>
  <c r="S15" i="28"/>
  <c r="E29" i="28"/>
  <c r="I29" i="28" s="1"/>
  <c r="S29" i="28"/>
  <c r="S49" i="28"/>
  <c r="W49" i="28" s="1"/>
  <c r="E15" i="28"/>
  <c r="E51" i="28"/>
  <c r="I51" i="28" s="1"/>
  <c r="S31" i="28"/>
  <c r="W31" i="28" s="1"/>
  <c r="E49" i="28"/>
  <c r="I49" i="28" s="1"/>
  <c r="S27" i="28"/>
  <c r="W27" i="28" s="1"/>
  <c r="S33" i="28"/>
  <c r="W33" i="28" s="1"/>
  <c r="W15" i="28"/>
  <c r="E31" i="28"/>
  <c r="I31" i="28" s="1"/>
  <c r="I15" i="28"/>
  <c r="S13" i="28"/>
  <c r="W13" i="28" s="1"/>
  <c r="W29" i="28"/>
  <c r="E45" i="28"/>
  <c r="I45" i="28" s="1"/>
  <c r="Y56" i="28"/>
  <c r="K20" i="28"/>
  <c r="Y38" i="28"/>
  <c r="K38" i="28"/>
  <c r="R36" i="28"/>
  <c r="Y54" i="28"/>
  <c r="K18" i="28"/>
  <c r="K54" i="28"/>
  <c r="R38" i="28"/>
  <c r="D38" i="28"/>
  <c r="D18" i="28"/>
  <c r="D36" i="28"/>
  <c r="R56" i="28"/>
  <c r="D20" i="28"/>
  <c r="D56" i="28"/>
  <c r="K36" i="28"/>
  <c r="D54" i="28"/>
  <c r="Y18" i="28"/>
  <c r="R52" i="28"/>
  <c r="D34" i="28"/>
  <c r="K14" i="28"/>
  <c r="Y48" i="28"/>
  <c r="K28" i="28"/>
  <c r="K12" i="28"/>
  <c r="R12" i="28"/>
  <c r="R46" i="28"/>
  <c r="D14" i="28"/>
  <c r="R48" i="28"/>
  <c r="D28" i="28"/>
  <c r="D12" i="28"/>
  <c r="Y52" i="28"/>
  <c r="Y20" i="28"/>
  <c r="K48" i="28"/>
  <c r="K34" i="28"/>
  <c r="R10" i="28"/>
  <c r="K10" i="28"/>
  <c r="D10" i="28"/>
  <c r="AE9" i="28"/>
  <c r="AE34" i="28"/>
  <c r="AE47" i="28"/>
  <c r="AE54" i="28"/>
  <c r="H93" i="24"/>
  <c r="H92" i="24"/>
  <c r="H91" i="24"/>
  <c r="H90" i="24"/>
  <c r="H89" i="24"/>
  <c r="H88" i="24"/>
  <c r="H87" i="24"/>
  <c r="H86" i="24"/>
  <c r="H85" i="24"/>
  <c r="H84" i="24"/>
  <c r="H83" i="24"/>
  <c r="H82" i="24"/>
  <c r="H81" i="24"/>
  <c r="H80" i="24"/>
  <c r="H79" i="24"/>
  <c r="H78" i="24"/>
  <c r="H77" i="24"/>
  <c r="H76" i="24"/>
  <c r="H75" i="24"/>
  <c r="H74" i="24"/>
  <c r="H73" i="24"/>
  <c r="H72" i="24"/>
  <c r="H71" i="24"/>
  <c r="H70" i="24"/>
  <c r="H69" i="24"/>
  <c r="H68" i="24"/>
  <c r="H67" i="24"/>
  <c r="H66" i="24"/>
  <c r="H65" i="24"/>
  <c r="H64" i="24"/>
  <c r="H63" i="24"/>
  <c r="H62" i="24"/>
  <c r="H61" i="24"/>
  <c r="H60" i="24"/>
  <c r="H59" i="24"/>
  <c r="H58" i="24"/>
  <c r="H57" i="24"/>
  <c r="H56" i="24"/>
  <c r="H55" i="24"/>
  <c r="H54" i="24"/>
  <c r="H53" i="24"/>
  <c r="H52" i="24"/>
  <c r="H51" i="24"/>
  <c r="H50" i="24"/>
  <c r="H49" i="24"/>
  <c r="H48" i="24"/>
  <c r="H47" i="24"/>
  <c r="H46" i="24"/>
  <c r="H45" i="24"/>
  <c r="H44" i="24"/>
  <c r="H43" i="24"/>
  <c r="H42" i="24"/>
  <c r="H41" i="24"/>
  <c r="H40" i="24"/>
  <c r="H39" i="24"/>
  <c r="H38" i="24"/>
  <c r="H37" i="24"/>
  <c r="H36" i="24"/>
  <c r="H35" i="24"/>
  <c r="H34" i="24"/>
  <c r="H33" i="24"/>
  <c r="H32" i="24"/>
  <c r="H31" i="24"/>
  <c r="H30" i="24"/>
  <c r="H29" i="24"/>
  <c r="H28" i="24"/>
  <c r="H27" i="24"/>
  <c r="R28" i="28" l="1"/>
  <c r="EH19" i="2"/>
  <c r="K46" i="28"/>
  <c r="EH26" i="2"/>
  <c r="Y46" i="28"/>
  <c r="H26" i="24" l="1"/>
  <c r="H25" i="24"/>
  <c r="H24" i="24"/>
  <c r="H23" i="24"/>
  <c r="H22" i="24"/>
  <c r="H21" i="24"/>
  <c r="H20" i="24"/>
  <c r="H19" i="24"/>
  <c r="H18" i="24"/>
  <c r="H17" i="24"/>
  <c r="H16" i="24"/>
  <c r="H15" i="24"/>
  <c r="H14" i="24"/>
  <c r="H13" i="24"/>
  <c r="H12" i="24"/>
  <c r="H11" i="24"/>
  <c r="H10" i="24"/>
  <c r="H9" i="24"/>
  <c r="H8" i="24"/>
  <c r="H7" i="24"/>
  <c r="H4" i="24"/>
  <c r="H3" i="24"/>
  <c r="H6" i="24" l="1"/>
  <c r="H5" i="24"/>
  <c r="DA38" i="2"/>
  <c r="DA36" i="2"/>
  <c r="DA34" i="2"/>
  <c r="DA32" i="2"/>
  <c r="DA30" i="2"/>
  <c r="DA28" i="2"/>
  <c r="DB27" i="2"/>
  <c r="DA26" i="2"/>
  <c r="DA24" i="2"/>
  <c r="DA22" i="2"/>
  <c r="DA20" i="2"/>
  <c r="DA18" i="2"/>
  <c r="DA16" i="2"/>
  <c r="DA14" i="2"/>
  <c r="DA12" i="2"/>
  <c r="DA10" i="2"/>
  <c r="DA8" i="2"/>
  <c r="DA6" i="2"/>
  <c r="DA4" i="2"/>
  <c r="B40" i="2" l="1"/>
  <c r="B34" i="2"/>
  <c r="B6" i="2"/>
  <c r="B31" i="2"/>
  <c r="B20" i="2"/>
  <c r="B28" i="2"/>
  <c r="B39" i="2"/>
  <c r="B32" i="2"/>
  <c r="B12" i="2"/>
  <c r="B37" i="2"/>
  <c r="B25" i="2"/>
  <c r="B14" i="2"/>
  <c r="B21" i="2"/>
  <c r="B11" i="2"/>
  <c r="B5" i="2"/>
  <c r="B4" i="2"/>
  <c r="B27" i="2"/>
  <c r="B13" i="2"/>
  <c r="B26" i="2"/>
  <c r="B18" i="2"/>
  <c r="B19" i="2"/>
  <c r="B38" i="2"/>
  <c r="B33" i="2"/>
  <c r="B7" i="2"/>
  <c r="DB13" i="2"/>
  <c r="DB23" i="2"/>
  <c r="DB31" i="2"/>
  <c r="DB35" i="2"/>
  <c r="DB9" i="2"/>
  <c r="DB17" i="2"/>
  <c r="DB21" i="2"/>
  <c r="DB25" i="2"/>
  <c r="DB29" i="2"/>
  <c r="DB33" i="2"/>
  <c r="DB37" i="2"/>
  <c r="DB4" i="2"/>
  <c r="DB6" i="2"/>
  <c r="DB8" i="2"/>
  <c r="DB10" i="2"/>
  <c r="DB12" i="2"/>
  <c r="DB14" i="2"/>
  <c r="DB16" i="2"/>
  <c r="DD16" i="2" s="1"/>
  <c r="DA3" i="2"/>
  <c r="DA5" i="2"/>
  <c r="DA7" i="2"/>
  <c r="DA9" i="2"/>
  <c r="DA11" i="2"/>
  <c r="DA13" i="2"/>
  <c r="DA15" i="2"/>
  <c r="DA17" i="2"/>
  <c r="DA19" i="2"/>
  <c r="DA21" i="2"/>
  <c r="DA23" i="2"/>
  <c r="DA25" i="2"/>
  <c r="DA27" i="2"/>
  <c r="DA29" i="2"/>
  <c r="DA31" i="2"/>
  <c r="DA33" i="2"/>
  <c r="DA35" i="2"/>
  <c r="DA37" i="2"/>
  <c r="DB7" i="2"/>
  <c r="DB11" i="2"/>
  <c r="DB15" i="2"/>
  <c r="DB19" i="2"/>
  <c r="DB18" i="2"/>
  <c r="DD18" i="2" s="1"/>
  <c r="DB20" i="2"/>
  <c r="DB22" i="2"/>
  <c r="DB24" i="2"/>
  <c r="DB26" i="2"/>
  <c r="DD26" i="2" s="1"/>
  <c r="DB30" i="2"/>
  <c r="DB32" i="2"/>
  <c r="DB34" i="2"/>
  <c r="DD34" i="2" s="1"/>
  <c r="DB36" i="2"/>
  <c r="DB38" i="2"/>
  <c r="DB5" i="2"/>
  <c r="DB3" i="2"/>
  <c r="DD14" i="2" l="1"/>
  <c r="DD8" i="2"/>
  <c r="DD6"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DC31" i="2" l="1"/>
  <c r="DC19" i="2"/>
  <c r="CZ26" i="2"/>
  <c r="DC24" i="2"/>
  <c r="DC32" i="2"/>
  <c r="CZ38" i="2"/>
  <c r="CZ20" i="2"/>
  <c r="CZ27" i="2"/>
  <c r="CZ31" i="2"/>
  <c r="DC29" i="2"/>
  <c r="CZ37" i="2"/>
  <c r="CZ36" i="2"/>
  <c r="CZ35" i="2"/>
  <c r="CZ34" i="2"/>
  <c r="CZ33" i="2"/>
  <c r="CZ32" i="2"/>
  <c r="CZ30" i="2"/>
  <c r="CZ29" i="2"/>
  <c r="CZ28" i="2"/>
  <c r="CZ25" i="2"/>
  <c r="CZ24" i="2"/>
  <c r="CZ23" i="2"/>
  <c r="CZ21" i="2"/>
  <c r="CZ19" i="2"/>
  <c r="CZ18" i="2"/>
  <c r="CZ17" i="2"/>
  <c r="CZ16" i="2"/>
  <c r="CZ15" i="2"/>
  <c r="CZ14" i="2"/>
  <c r="CZ13" i="2"/>
  <c r="CZ12" i="2"/>
  <c r="CZ11" i="2"/>
  <c r="CZ9" i="2"/>
  <c r="CZ8" i="2"/>
  <c r="CZ7" i="2"/>
  <c r="CZ6" i="2"/>
  <c r="CZ5" i="2"/>
  <c r="CZ3" i="2"/>
  <c r="DC38" i="2"/>
  <c r="DC36" i="2"/>
  <c r="DC35" i="2"/>
  <c r="DC34" i="2"/>
  <c r="DC30" i="2"/>
  <c r="DC27" i="2"/>
  <c r="DC26" i="2"/>
  <c r="DC25" i="2"/>
  <c r="DC23" i="2"/>
  <c r="DC22" i="2"/>
  <c r="DC20" i="2"/>
  <c r="DC17" i="2"/>
  <c r="DC16" i="2"/>
  <c r="DC15" i="2"/>
  <c r="DC13" i="2"/>
  <c r="DC11" i="2"/>
  <c r="DC10" i="2"/>
  <c r="DC8" i="2"/>
  <c r="DC7" i="2"/>
  <c r="DC6" i="2"/>
  <c r="DC5" i="2"/>
  <c r="DC4" i="2"/>
  <c r="DC3" i="2"/>
  <c r="DE36" i="2" l="1"/>
  <c r="DE32" i="2"/>
  <c r="DE28" i="2"/>
  <c r="DE24" i="2"/>
  <c r="DE20" i="2"/>
  <c r="DE35" i="2"/>
  <c r="DE27" i="2"/>
  <c r="DE23" i="2"/>
  <c r="DE19" i="2"/>
  <c r="DE14" i="2"/>
  <c r="DE17" i="2"/>
  <c r="DE38" i="2"/>
  <c r="DE30" i="2"/>
  <c r="DE26" i="2"/>
  <c r="DE22" i="2"/>
  <c r="DE18" i="2"/>
  <c r="DE13" i="2"/>
  <c r="DE37" i="2"/>
  <c r="DE33" i="2"/>
  <c r="DE29" i="2"/>
  <c r="DE25" i="2"/>
  <c r="DE21" i="2"/>
  <c r="DC33" i="2"/>
  <c r="CZ22" i="2"/>
  <c r="DC28" i="2"/>
  <c r="DC21" i="2"/>
  <c r="DC37" i="2"/>
  <c r="DC9" i="2"/>
  <c r="DC14" i="2"/>
  <c r="CZ10" i="2"/>
  <c r="DC12" i="2"/>
  <c r="CZ4" i="2"/>
  <c r="F37" i="2" l="1"/>
  <c r="G7" i="2"/>
  <c r="G34" i="2"/>
  <c r="G4" i="2"/>
  <c r="F12" i="2"/>
  <c r="F31" i="2"/>
  <c r="G11" i="2"/>
  <c r="G31" i="2"/>
  <c r="G20" i="2"/>
  <c r="G6" i="2"/>
  <c r="G13" i="2"/>
  <c r="G25" i="2"/>
  <c r="F26" i="2"/>
  <c r="F21" i="2"/>
  <c r="F13" i="2"/>
  <c r="F38" i="2"/>
  <c r="F6" i="2"/>
  <c r="F34" i="2"/>
  <c r="G5" i="2"/>
  <c r="G14" i="2"/>
  <c r="F5" i="2"/>
  <c r="F4" i="2"/>
  <c r="G18" i="2"/>
  <c r="G37" i="2"/>
  <c r="G27" i="2"/>
  <c r="G33" i="2"/>
  <c r="G19" i="2"/>
  <c r="G32" i="2"/>
  <c r="F33" i="2"/>
  <c r="F40" i="2"/>
  <c r="F19" i="2"/>
  <c r="F27" i="2"/>
  <c r="F11" i="2"/>
  <c r="F39" i="2"/>
  <c r="G28" i="2"/>
  <c r="G38" i="2"/>
  <c r="F14" i="2"/>
  <c r="F28" i="2"/>
  <c r="G26" i="2"/>
  <c r="G12" i="2"/>
  <c r="G40" i="2"/>
  <c r="G39" i="2"/>
  <c r="G21" i="2"/>
  <c r="F7" i="2"/>
  <c r="F20" i="2"/>
  <c r="F25" i="2"/>
  <c r="F32" i="2"/>
  <c r="F18" i="2"/>
  <c r="DE8" i="2"/>
  <c r="DE10" i="2"/>
  <c r="DE12" i="2"/>
  <c r="DE5" i="2"/>
  <c r="DE31" i="2"/>
  <c r="DE7" i="2"/>
  <c r="DE16" i="2"/>
  <c r="DE9" i="2"/>
  <c r="DE11" i="2"/>
  <c r="DE34" i="2"/>
  <c r="DE4" i="2"/>
  <c r="DE6" i="2"/>
  <c r="DE15" i="2"/>
  <c r="DE3" i="2"/>
  <c r="D40" i="2" l="1"/>
  <c r="D28" i="2"/>
  <c r="C19" i="2"/>
  <c r="E7" i="2"/>
  <c r="E34" i="2"/>
  <c r="E14" i="2"/>
  <c r="D34" i="2"/>
  <c r="E21" i="2"/>
  <c r="D14" i="2"/>
  <c r="E5" i="2"/>
  <c r="C33" i="2"/>
  <c r="E6" i="2"/>
  <c r="E38" i="2"/>
  <c r="C32" i="2"/>
  <c r="E26" i="2"/>
  <c r="C14" i="2"/>
  <c r="C6" i="2"/>
  <c r="E25" i="2"/>
  <c r="D11" i="2"/>
  <c r="D37" i="2"/>
  <c r="D6" i="2"/>
  <c r="C39" i="2"/>
  <c r="D19" i="2"/>
  <c r="D7" i="2"/>
  <c r="D38" i="2"/>
  <c r="D26" i="2"/>
  <c r="E18" i="2"/>
  <c r="C5" i="2"/>
  <c r="E32" i="2"/>
  <c r="C11" i="2"/>
  <c r="D32" i="2"/>
  <c r="C20" i="2"/>
  <c r="D12" i="2"/>
  <c r="D5" i="2"/>
  <c r="E27" i="2"/>
  <c r="C4" i="2"/>
  <c r="C37" i="2"/>
  <c r="E31" i="2"/>
  <c r="C25" i="2"/>
  <c r="E13" i="2"/>
  <c r="E4" i="2"/>
  <c r="D18" i="2"/>
  <c r="E20" i="2"/>
  <c r="C26" i="2"/>
  <c r="C18" i="2"/>
  <c r="E12" i="2"/>
  <c r="C27" i="2"/>
  <c r="E11" i="2"/>
  <c r="D33" i="2"/>
  <c r="C21" i="2"/>
  <c r="D13" i="2"/>
  <c r="D4" i="2"/>
  <c r="C28" i="2"/>
  <c r="D39" i="2"/>
  <c r="D27" i="2"/>
  <c r="E19" i="2"/>
  <c r="C7" i="2"/>
  <c r="E39" i="2"/>
  <c r="D20" i="2"/>
  <c r="E40" i="2"/>
  <c r="C34" i="2"/>
  <c r="E28" i="2"/>
  <c r="D21" i="2"/>
  <c r="C12" i="2"/>
  <c r="C38" i="2"/>
  <c r="C13" i="2"/>
  <c r="D31" i="2"/>
  <c r="C40" i="2"/>
  <c r="D25" i="2"/>
  <c r="E37" i="2"/>
  <c r="E33" i="2"/>
  <c r="C31" i="2"/>
  <c r="H40" i="2"/>
  <c r="H39" i="2"/>
  <c r="H37" i="2"/>
  <c r="H33" i="2"/>
  <c r="H32" i="2"/>
  <c r="H38" i="2"/>
  <c r="H31" i="2"/>
  <c r="H34" i="2"/>
  <c r="H5" i="2"/>
  <c r="H25" i="2"/>
  <c r="H21" i="2"/>
  <c r="H4" i="2"/>
  <c r="H28" i="2"/>
  <c r="H7" i="2"/>
  <c r="H27" i="2"/>
  <c r="H14" i="2"/>
  <c r="H18" i="2"/>
  <c r="H26" i="2"/>
  <c r="H6" i="2"/>
  <c r="H13" i="2"/>
  <c r="H12" i="2"/>
  <c r="H19" i="2"/>
  <c r="H11" i="2"/>
  <c r="H20" i="2"/>
  <c r="I4" i="2" l="1"/>
  <c r="I26" i="2"/>
  <c r="I27" i="2"/>
  <c r="I13" i="2"/>
  <c r="I5" i="2"/>
  <c r="I25" i="2"/>
  <c r="I11" i="2"/>
  <c r="I19" i="2"/>
  <c r="I12" i="2"/>
  <c r="I34" i="2"/>
  <c r="I37" i="2"/>
  <c r="I33" i="2"/>
  <c r="I38" i="2"/>
  <c r="I21" i="2"/>
  <c r="I31" i="2"/>
  <c r="I32" i="2"/>
  <c r="I18" i="2"/>
  <c r="I28" i="2"/>
  <c r="I39" i="2"/>
  <c r="I40" i="2"/>
  <c r="I14" i="2"/>
  <c r="I20" i="2"/>
  <c r="I7" i="2"/>
  <c r="I6" i="2"/>
  <c r="K21" i="2" l="1"/>
  <c r="K20" i="2"/>
  <c r="K19" i="2"/>
  <c r="K18" i="2"/>
  <c r="K33" i="2"/>
  <c r="K32" i="2"/>
  <c r="K31" i="2"/>
  <c r="K34" i="2"/>
  <c r="K40" i="2"/>
  <c r="K13" i="2"/>
  <c r="K12" i="2"/>
  <c r="K11" i="2"/>
  <c r="K14" i="2"/>
  <c r="K27" i="2"/>
  <c r="K26" i="2"/>
  <c r="K25" i="2"/>
  <c r="K28" i="2"/>
  <c r="K6" i="2"/>
  <c r="K5" i="2"/>
  <c r="K4" i="2"/>
  <c r="K7" i="2"/>
  <c r="I74" i="2"/>
  <c r="I73" i="2"/>
  <c r="I72" i="2"/>
  <c r="I71" i="2"/>
  <c r="I80" i="2"/>
  <c r="I79" i="2"/>
  <c r="K39" i="2" s="1"/>
  <c r="I78" i="2"/>
  <c r="K38" i="2" s="1"/>
  <c r="I77" i="2"/>
  <c r="K37" i="2" s="1"/>
  <c r="I68" i="2"/>
  <c r="I67" i="2"/>
  <c r="I66" i="2"/>
  <c r="I65" i="2"/>
  <c r="I60" i="2"/>
  <c r="I59" i="2"/>
  <c r="I58" i="2"/>
  <c r="I61" i="2"/>
  <c r="I53" i="2"/>
  <c r="I52" i="2"/>
  <c r="I51" i="2"/>
  <c r="I54" i="2"/>
  <c r="I46" i="2"/>
  <c r="I45" i="2"/>
  <c r="I44" i="2"/>
  <c r="I47" i="2"/>
  <c r="S37" i="2"/>
  <c r="S31" i="2"/>
  <c r="M14" i="2" l="1"/>
  <c r="M13" i="2"/>
  <c r="M12" i="2"/>
  <c r="M11" i="2"/>
  <c r="M7" i="2"/>
  <c r="M6" i="2"/>
  <c r="M5" i="2"/>
  <c r="M4" i="2"/>
  <c r="M28" i="2"/>
  <c r="M27" i="2"/>
  <c r="M26" i="2"/>
  <c r="M25" i="2"/>
  <c r="M40" i="2"/>
  <c r="M39" i="2"/>
  <c r="M38" i="2"/>
  <c r="M37" i="2"/>
  <c r="M34" i="2"/>
  <c r="M33" i="2"/>
  <c r="M32" i="2"/>
  <c r="M31" i="2"/>
  <c r="M21" i="2"/>
  <c r="M20" i="2"/>
  <c r="M19" i="2"/>
  <c r="M18" i="2"/>
  <c r="CC34" i="2"/>
  <c r="S32" i="2"/>
  <c r="CC40" i="2"/>
  <c r="S38" i="2"/>
  <c r="S25" i="2"/>
  <c r="S26" i="2" s="1"/>
  <c r="CT34" i="2" l="1"/>
  <c r="CP34" i="2"/>
  <c r="CK34" i="2"/>
  <c r="CS34" i="2"/>
  <c r="CO34" i="2"/>
  <c r="CR34" i="2"/>
  <c r="CM34" i="2"/>
  <c r="CG34" i="2"/>
  <c r="CH34" i="2"/>
  <c r="CV34" i="2"/>
  <c r="CQ34" i="2"/>
  <c r="CL34" i="2"/>
  <c r="N20" i="2"/>
  <c r="O20" i="2" s="1"/>
  <c r="N21" i="2"/>
  <c r="O21" i="2" s="1"/>
  <c r="N19" i="2"/>
  <c r="O19" i="2" s="1"/>
  <c r="N18" i="2"/>
  <c r="O18" i="2" s="1"/>
  <c r="N34" i="2"/>
  <c r="O34" i="2" s="1"/>
  <c r="N33" i="2"/>
  <c r="O33" i="2" s="1"/>
  <c r="N32" i="2"/>
  <c r="O32" i="2" s="1"/>
  <c r="N31" i="2"/>
  <c r="O31" i="2" s="1"/>
  <c r="N39" i="2"/>
  <c r="O39" i="2" s="1"/>
  <c r="N38" i="2"/>
  <c r="O38" i="2" s="1"/>
  <c r="N37" i="2"/>
  <c r="O37" i="2" s="1"/>
  <c r="N40" i="2"/>
  <c r="O40" i="2" s="1"/>
  <c r="N28" i="2"/>
  <c r="O28" i="2" s="1"/>
  <c r="N26" i="2"/>
  <c r="O26" i="2" s="1"/>
  <c r="N25" i="2"/>
  <c r="O25" i="2" s="1"/>
  <c r="N27" i="2"/>
  <c r="O27" i="2" s="1"/>
  <c r="N4" i="2"/>
  <c r="O4" i="2" s="1"/>
  <c r="N7" i="2"/>
  <c r="O7" i="2" s="1"/>
  <c r="N6" i="2"/>
  <c r="O6" i="2" s="1"/>
  <c r="N5" i="2"/>
  <c r="O5" i="2" s="1"/>
  <c r="N14" i="2"/>
  <c r="O14" i="2" s="1"/>
  <c r="N11" i="2"/>
  <c r="O11" i="2" s="1"/>
  <c r="N13" i="2"/>
  <c r="O13" i="2" s="1"/>
  <c r="N12" i="2"/>
  <c r="O12" i="2" s="1"/>
  <c r="CR40" i="2"/>
  <c r="CM40" i="2"/>
  <c r="CG40" i="2"/>
  <c r="CQ40" i="2"/>
  <c r="CL40" i="2"/>
  <c r="CF40" i="2"/>
  <c r="CT40" i="2"/>
  <c r="CP40" i="2"/>
  <c r="CK40" i="2"/>
  <c r="CE40" i="2"/>
  <c r="CO40" i="2"/>
  <c r="CH40" i="2"/>
  <c r="CD40" i="2"/>
  <c r="CS40" i="2"/>
  <c r="P37" i="2"/>
  <c r="U37" i="2" s="1"/>
  <c r="CJ40" i="2"/>
  <c r="CN40" i="2" s="1"/>
  <c r="CJ34" i="2"/>
  <c r="CN34" i="2" s="1"/>
  <c r="CU34" i="2"/>
  <c r="CV40" i="2"/>
  <c r="CU40" i="2"/>
  <c r="S4" i="2"/>
  <c r="S5" i="2" s="1"/>
  <c r="S11" i="2"/>
  <c r="CC14" i="2" s="1"/>
  <c r="S18" i="2"/>
  <c r="CC28" i="2"/>
  <c r="CQ14" i="2" l="1"/>
  <c r="CL14" i="2"/>
  <c r="CF14" i="2"/>
  <c r="CT14" i="2"/>
  <c r="CP14" i="2"/>
  <c r="CK14" i="2"/>
  <c r="CE14" i="2"/>
  <c r="CR14" i="2"/>
  <c r="CG14" i="2"/>
  <c r="CO14" i="2"/>
  <c r="CD14" i="2"/>
  <c r="CS14" i="2"/>
  <c r="CH14" i="2"/>
  <c r="CM14" i="2"/>
  <c r="CT28" i="2"/>
  <c r="CP28" i="2"/>
  <c r="CK28" i="2"/>
  <c r="CE28" i="2"/>
  <c r="CS28" i="2"/>
  <c r="CO28" i="2"/>
  <c r="CH28" i="2"/>
  <c r="CD28" i="2"/>
  <c r="CR28" i="2"/>
  <c r="CM28" i="2"/>
  <c r="CG28" i="2"/>
  <c r="CF28" i="2"/>
  <c r="CQ28" i="2"/>
  <c r="CL28" i="2"/>
  <c r="AE37" i="2"/>
  <c r="AD37" i="2"/>
  <c r="AC37" i="2"/>
  <c r="Q4" i="2"/>
  <c r="Q5" i="2" s="1"/>
  <c r="AO6" i="2" s="1"/>
  <c r="R37" i="2"/>
  <c r="BI39" i="2" s="1"/>
  <c r="R25" i="2"/>
  <c r="BI27" i="2" s="1"/>
  <c r="Q18" i="2"/>
  <c r="AO19" i="2" s="1"/>
  <c r="R11" i="2"/>
  <c r="BI13" i="2" s="1"/>
  <c r="P11" i="2"/>
  <c r="P12" i="2" s="1"/>
  <c r="U12" i="2" s="1"/>
  <c r="P31" i="2"/>
  <c r="P32" i="2" s="1"/>
  <c r="P33" i="2" s="1"/>
  <c r="Q25" i="2"/>
  <c r="AO26" i="2" s="1"/>
  <c r="P4" i="2"/>
  <c r="U4" i="2" s="1"/>
  <c r="Q37" i="2"/>
  <c r="Q38" i="2" s="1"/>
  <c r="AO39" i="2" s="1"/>
  <c r="R18" i="2"/>
  <c r="R19" i="2" s="1"/>
  <c r="R20" i="2" s="1"/>
  <c r="P25" i="2"/>
  <c r="P26" i="2" s="1"/>
  <c r="U26" i="2" s="1"/>
  <c r="Q11" i="2"/>
  <c r="Q12" i="2" s="1"/>
  <c r="AO13" i="2" s="1"/>
  <c r="Q31" i="2"/>
  <c r="Q32" i="2" s="1"/>
  <c r="AO33" i="2" s="1"/>
  <c r="R31" i="2"/>
  <c r="BI33" i="2" s="1"/>
  <c r="P18" i="2"/>
  <c r="P19" i="2" s="1"/>
  <c r="P20" i="2" s="1"/>
  <c r="P21" i="2" s="1"/>
  <c r="R4" i="2"/>
  <c r="R5" i="2" s="1"/>
  <c r="R6" i="2" s="1"/>
  <c r="CI34" i="2"/>
  <c r="CI40" i="2"/>
  <c r="CJ28" i="2"/>
  <c r="CN28" i="2" s="1"/>
  <c r="CJ14" i="2"/>
  <c r="CN14" i="2" s="1"/>
  <c r="P38" i="2"/>
  <c r="S12" i="2"/>
  <c r="CC7" i="2"/>
  <c r="S19" i="2"/>
  <c r="CC21" i="2"/>
  <c r="CQ21" i="2" l="1"/>
  <c r="CL21" i="2"/>
  <c r="CF21" i="2"/>
  <c r="CT21" i="2"/>
  <c r="CP21" i="2"/>
  <c r="CK21" i="2"/>
  <c r="CE21" i="2"/>
  <c r="CS21" i="2"/>
  <c r="CO21" i="2"/>
  <c r="CH21" i="2"/>
  <c r="CD21" i="2"/>
  <c r="CR21" i="2"/>
  <c r="CM21" i="2"/>
  <c r="CG21" i="2"/>
  <c r="AX39" i="2"/>
  <c r="AW39" i="2"/>
  <c r="AY39" i="2"/>
  <c r="BS39" i="2"/>
  <c r="BR39" i="2"/>
  <c r="BQ39" i="2"/>
  <c r="AD4" i="2"/>
  <c r="AC4" i="2"/>
  <c r="AE4" i="2"/>
  <c r="BS13" i="2"/>
  <c r="BQ13" i="2"/>
  <c r="BR13" i="2"/>
  <c r="CQ7" i="2"/>
  <c r="CL7" i="2"/>
  <c r="CF7" i="2"/>
  <c r="CS7" i="2"/>
  <c r="CO7" i="2"/>
  <c r="CH7" i="2"/>
  <c r="CD7" i="2"/>
  <c r="CT7" i="2"/>
  <c r="CP7" i="2"/>
  <c r="CK7" i="2"/>
  <c r="CE7" i="2"/>
  <c r="CG7" i="2"/>
  <c r="CM7" i="2"/>
  <c r="CR7" i="2"/>
  <c r="AX26" i="2"/>
  <c r="AW26" i="2"/>
  <c r="AY26" i="2"/>
  <c r="BS33" i="2"/>
  <c r="BR33" i="2"/>
  <c r="BQ33" i="2"/>
  <c r="BR27" i="2"/>
  <c r="BQ27" i="2"/>
  <c r="BS27" i="2"/>
  <c r="AX33" i="2"/>
  <c r="AY33" i="2"/>
  <c r="AW33" i="2"/>
  <c r="AE12" i="2"/>
  <c r="AD12" i="2"/>
  <c r="AC12" i="2"/>
  <c r="AY13" i="2"/>
  <c r="AX13" i="2"/>
  <c r="AW13" i="2"/>
  <c r="AW6" i="2"/>
  <c r="AY6" i="2"/>
  <c r="AX6" i="2"/>
  <c r="AD26" i="2"/>
  <c r="AC26" i="2"/>
  <c r="AE26" i="2"/>
  <c r="AY19" i="2"/>
  <c r="AX19" i="2"/>
  <c r="AW19" i="2"/>
  <c r="Q6" i="2"/>
  <c r="Q7" i="2" s="1"/>
  <c r="AO5" i="2"/>
  <c r="R38" i="2"/>
  <c r="R39" i="2" s="1"/>
  <c r="R26" i="2"/>
  <c r="BI28" i="2" s="1"/>
  <c r="BN27" i="2" s="1"/>
  <c r="Q19" i="2"/>
  <c r="AO20" i="2" s="1"/>
  <c r="R12" i="2"/>
  <c r="BI14" i="2" s="1"/>
  <c r="BM13" i="2" s="1"/>
  <c r="U11" i="2"/>
  <c r="P13" i="2"/>
  <c r="P14" i="2" s="1"/>
  <c r="U14" i="2" s="1"/>
  <c r="U32" i="2"/>
  <c r="U31" i="2"/>
  <c r="P5" i="2"/>
  <c r="U5" i="2" s="1"/>
  <c r="Q26" i="2"/>
  <c r="BI20" i="2"/>
  <c r="U20" i="2"/>
  <c r="U18" i="2"/>
  <c r="U19" i="2"/>
  <c r="AO38" i="2"/>
  <c r="P27" i="2"/>
  <c r="P28" i="2" s="1"/>
  <c r="U28" i="2" s="1"/>
  <c r="Q39" i="2"/>
  <c r="Q40" i="2" s="1"/>
  <c r="AO32" i="2"/>
  <c r="Q33" i="2"/>
  <c r="AO34" i="2" s="1"/>
  <c r="BI21" i="2"/>
  <c r="BI7" i="2"/>
  <c r="Q13" i="2"/>
  <c r="Q14" i="2" s="1"/>
  <c r="U25" i="2"/>
  <c r="AO12" i="2"/>
  <c r="R32" i="2"/>
  <c r="BI34" i="2" s="1"/>
  <c r="BM33" i="2" s="1"/>
  <c r="BI6" i="2"/>
  <c r="CI28" i="2"/>
  <c r="CI14" i="2"/>
  <c r="CJ21" i="2"/>
  <c r="CN21" i="2" s="1"/>
  <c r="CJ7" i="2"/>
  <c r="CN7" i="2" s="1"/>
  <c r="CU7" i="2"/>
  <c r="U38" i="2"/>
  <c r="P39" i="2"/>
  <c r="U33" i="2"/>
  <c r="P34" i="2"/>
  <c r="U21" i="2"/>
  <c r="BJ13" i="2" l="1"/>
  <c r="BL13" i="2"/>
  <c r="BK13" i="2"/>
  <c r="BL33" i="2"/>
  <c r="AO7" i="2"/>
  <c r="AR6" i="2" s="1"/>
  <c r="BN33" i="2"/>
  <c r="AX32" i="2"/>
  <c r="AR32" i="2"/>
  <c r="AW32" i="2"/>
  <c r="AP32" i="2"/>
  <c r="AT32" i="2"/>
  <c r="AS32" i="2"/>
  <c r="AY32" i="2"/>
  <c r="AQ32" i="2"/>
  <c r="AE21" i="2"/>
  <c r="Y21" i="2"/>
  <c r="AD21" i="2"/>
  <c r="X21" i="2"/>
  <c r="AC21" i="2"/>
  <c r="W21" i="2"/>
  <c r="Z21" i="2"/>
  <c r="V21" i="2"/>
  <c r="BN7" i="2"/>
  <c r="BJ7" i="2"/>
  <c r="BS7" i="2"/>
  <c r="BR7" i="2"/>
  <c r="BL7" i="2"/>
  <c r="BM7" i="2"/>
  <c r="BK7" i="2"/>
  <c r="BQ7" i="2"/>
  <c r="AC5" i="2"/>
  <c r="AE5" i="2"/>
  <c r="AD5" i="2"/>
  <c r="AD38" i="2"/>
  <c r="AC38" i="2"/>
  <c r="AE38" i="2"/>
  <c r="AY12" i="2"/>
  <c r="AX12" i="2"/>
  <c r="AW12" i="2"/>
  <c r="BN21" i="2"/>
  <c r="BJ21" i="2"/>
  <c r="BS21" i="2"/>
  <c r="BM21" i="2"/>
  <c r="BR21" i="2"/>
  <c r="BL21" i="2"/>
  <c r="BQ21" i="2"/>
  <c r="BK21" i="2"/>
  <c r="AD28" i="2"/>
  <c r="AC28" i="2"/>
  <c r="AE28" i="2"/>
  <c r="AD20" i="2"/>
  <c r="X20" i="2"/>
  <c r="AC20" i="2"/>
  <c r="W20" i="2"/>
  <c r="Z20" i="2"/>
  <c r="V20" i="2"/>
  <c r="AE20" i="2"/>
  <c r="Y20" i="2"/>
  <c r="AC31" i="2"/>
  <c r="AE31" i="2"/>
  <c r="AD31" i="2"/>
  <c r="BN14" i="2"/>
  <c r="BJ14" i="2"/>
  <c r="BS14" i="2"/>
  <c r="BM14" i="2"/>
  <c r="BK14" i="2"/>
  <c r="BR14" i="2"/>
  <c r="BL14" i="2"/>
  <c r="BQ14" i="2"/>
  <c r="AW5" i="2"/>
  <c r="AP5" i="2"/>
  <c r="AY5" i="2"/>
  <c r="AX5" i="2"/>
  <c r="AR5" i="2"/>
  <c r="AQ33" i="2"/>
  <c r="BM27" i="2"/>
  <c r="BJ33" i="2"/>
  <c r="AD33" i="2"/>
  <c r="AE33" i="2"/>
  <c r="AC33" i="2"/>
  <c r="AE25" i="2"/>
  <c r="AD25" i="2"/>
  <c r="AC25" i="2"/>
  <c r="AX34" i="2"/>
  <c r="AR34" i="2"/>
  <c r="AT34" i="2"/>
  <c r="AP34" i="2"/>
  <c r="AQ34" i="2"/>
  <c r="AY34" i="2"/>
  <c r="AW34" i="2"/>
  <c r="AS34" i="2"/>
  <c r="AX38" i="2"/>
  <c r="AW38" i="2"/>
  <c r="AY38" i="2"/>
  <c r="BS20" i="2"/>
  <c r="BM20" i="2"/>
  <c r="BR20" i="2"/>
  <c r="BL20" i="2"/>
  <c r="BQ20" i="2"/>
  <c r="BK20" i="2"/>
  <c r="BN20" i="2"/>
  <c r="BJ20" i="2"/>
  <c r="AD32" i="2"/>
  <c r="AC32" i="2"/>
  <c r="AE32" i="2"/>
  <c r="AX20" i="2"/>
  <c r="AW20" i="2"/>
  <c r="AY20" i="2"/>
  <c r="AS33" i="2"/>
  <c r="AP33" i="2"/>
  <c r="AW7" i="2"/>
  <c r="AT7" i="2"/>
  <c r="BR6" i="2"/>
  <c r="BL6" i="2"/>
  <c r="BQ6" i="2"/>
  <c r="BK6" i="2"/>
  <c r="BN6" i="2"/>
  <c r="BJ6" i="2"/>
  <c r="BS6" i="2"/>
  <c r="BM6" i="2"/>
  <c r="AE19" i="2"/>
  <c r="Y19" i="2"/>
  <c r="AD19" i="2"/>
  <c r="X19" i="2"/>
  <c r="AC19" i="2"/>
  <c r="W19" i="2"/>
  <c r="Z19" i="2"/>
  <c r="V19" i="2"/>
  <c r="BS28" i="2"/>
  <c r="BM28" i="2"/>
  <c r="BR28" i="2"/>
  <c r="BL28" i="2"/>
  <c r="BQ28" i="2"/>
  <c r="BK28" i="2"/>
  <c r="BJ28" i="2"/>
  <c r="BN28" i="2"/>
  <c r="BS34" i="2"/>
  <c r="BM34" i="2"/>
  <c r="BQ34" i="2"/>
  <c r="BK34" i="2"/>
  <c r="BL34" i="2"/>
  <c r="BJ34" i="2"/>
  <c r="BR34" i="2"/>
  <c r="BN34" i="2"/>
  <c r="AC18" i="2"/>
  <c r="W18" i="2"/>
  <c r="Z18" i="2"/>
  <c r="V18" i="2"/>
  <c r="AE18" i="2"/>
  <c r="Y18" i="2"/>
  <c r="AD18" i="2"/>
  <c r="X18" i="2"/>
  <c r="AR33" i="2"/>
  <c r="BJ27" i="2"/>
  <c r="BK27" i="2"/>
  <c r="BL27" i="2"/>
  <c r="BK33" i="2"/>
  <c r="AE14" i="2"/>
  <c r="AD14" i="2"/>
  <c r="AC14" i="2"/>
  <c r="AD11" i="2"/>
  <c r="AC11" i="2"/>
  <c r="AE11" i="2"/>
  <c r="AT33" i="2"/>
  <c r="BN13" i="2"/>
  <c r="BI40" i="2"/>
  <c r="R27" i="2"/>
  <c r="Q20" i="2"/>
  <c r="Q21" i="2" s="1"/>
  <c r="U13" i="2"/>
  <c r="V11" i="2" s="1"/>
  <c r="R13" i="2"/>
  <c r="P6" i="2"/>
  <c r="U6" i="2" s="1"/>
  <c r="AO27" i="2"/>
  <c r="Q27" i="2"/>
  <c r="U27" i="2"/>
  <c r="AO40" i="2"/>
  <c r="AS38" i="2" s="1"/>
  <c r="Q34" i="2"/>
  <c r="AO14" i="2"/>
  <c r="AT12" i="2" s="1"/>
  <c r="R33" i="2"/>
  <c r="CI21" i="2"/>
  <c r="CI7" i="2"/>
  <c r="U39" i="2"/>
  <c r="P40" i="2"/>
  <c r="U40" i="2" s="1"/>
  <c r="U34" i="2"/>
  <c r="W33" i="2" s="1"/>
  <c r="AS6" i="2" l="1"/>
  <c r="AX7" i="2"/>
  <c r="AS7" i="2"/>
  <c r="AU7" i="2" s="1"/>
  <c r="AS5" i="2"/>
  <c r="AQ5" i="2"/>
  <c r="AP7" i="2"/>
  <c r="AR7" i="2"/>
  <c r="AT5" i="2"/>
  <c r="AT6" i="2"/>
  <c r="AP6" i="2"/>
  <c r="AQ7" i="2"/>
  <c r="AY7" i="2"/>
  <c r="AQ6" i="2"/>
  <c r="BO28" i="2"/>
  <c r="Y38" i="2"/>
  <c r="AT38" i="2"/>
  <c r="X31" i="2"/>
  <c r="Z31" i="2"/>
  <c r="AR12" i="2"/>
  <c r="AS12" i="2"/>
  <c r="Z37" i="2"/>
  <c r="Y37" i="2"/>
  <c r="AW27" i="2"/>
  <c r="AY27" i="2"/>
  <c r="AX27" i="2"/>
  <c r="AE13" i="2"/>
  <c r="Y13" i="2"/>
  <c r="V13" i="2"/>
  <c r="AD13" i="2"/>
  <c r="X13" i="2"/>
  <c r="Z13" i="2"/>
  <c r="AC13" i="2"/>
  <c r="W13" i="2"/>
  <c r="X12" i="2"/>
  <c r="V12" i="2"/>
  <c r="Y12" i="2"/>
  <c r="Z12" i="2"/>
  <c r="W12" i="2"/>
  <c r="Z40" i="2"/>
  <c r="V40" i="2"/>
  <c r="AE40" i="2"/>
  <c r="Y40" i="2"/>
  <c r="AD40" i="2"/>
  <c r="X40" i="2"/>
  <c r="AC40" i="2"/>
  <c r="W40" i="2"/>
  <c r="AC27" i="2"/>
  <c r="W27" i="2"/>
  <c r="Z27" i="2"/>
  <c r="V27" i="2"/>
  <c r="AE27" i="2"/>
  <c r="Y27" i="2"/>
  <c r="AD27" i="2"/>
  <c r="X27" i="2"/>
  <c r="Z26" i="2"/>
  <c r="W26" i="2"/>
  <c r="V26" i="2"/>
  <c r="X26" i="2"/>
  <c r="Y26" i="2"/>
  <c r="W11" i="2"/>
  <c r="X11" i="2"/>
  <c r="Y32" i="2"/>
  <c r="W25" i="2"/>
  <c r="X25" i="2"/>
  <c r="Y25" i="2"/>
  <c r="V25" i="2"/>
  <c r="Z33" i="2"/>
  <c r="AD39" i="2"/>
  <c r="X39" i="2"/>
  <c r="AC39" i="2"/>
  <c r="W39" i="2"/>
  <c r="Z39" i="2"/>
  <c r="V39" i="2"/>
  <c r="AE39" i="2"/>
  <c r="Y39" i="2"/>
  <c r="AY14" i="2"/>
  <c r="AS14" i="2"/>
  <c r="AX14" i="2"/>
  <c r="AR14" i="2"/>
  <c r="AP14" i="2"/>
  <c r="AW14" i="2"/>
  <c r="AQ14" i="2"/>
  <c r="AT14" i="2"/>
  <c r="AT13" i="2"/>
  <c r="AQ13" i="2"/>
  <c r="AP13" i="2"/>
  <c r="AS13" i="2"/>
  <c r="AR13" i="2"/>
  <c r="BQ40" i="2"/>
  <c r="BK40" i="2"/>
  <c r="BN40" i="2"/>
  <c r="BJ40" i="2"/>
  <c r="BS40" i="2"/>
  <c r="BM40" i="2"/>
  <c r="BR40" i="2"/>
  <c r="BL40" i="2"/>
  <c r="BM39" i="2"/>
  <c r="BN39" i="2"/>
  <c r="BL39" i="2"/>
  <c r="BK39" i="2"/>
  <c r="BJ39" i="2"/>
  <c r="Z11" i="2"/>
  <c r="Z14" i="2"/>
  <c r="X14" i="2"/>
  <c r="Y14" i="2"/>
  <c r="X32" i="2"/>
  <c r="Z25" i="2"/>
  <c r="X33" i="2"/>
  <c r="Y28" i="2"/>
  <c r="V28" i="2"/>
  <c r="W28" i="2"/>
  <c r="X28" i="2"/>
  <c r="AQ12" i="2"/>
  <c r="V37" i="2"/>
  <c r="V38" i="2"/>
  <c r="W38" i="2"/>
  <c r="X38" i="2"/>
  <c r="V32" i="2"/>
  <c r="Z28" i="2"/>
  <c r="W37" i="2"/>
  <c r="Z38" i="2"/>
  <c r="CE34" i="2"/>
  <c r="AD34" i="2"/>
  <c r="X34" i="2"/>
  <c r="Z34" i="2"/>
  <c r="V34" i="2"/>
  <c r="W34" i="2"/>
  <c r="CF34" i="2"/>
  <c r="AE34" i="2"/>
  <c r="CD34" i="2"/>
  <c r="AC34" i="2"/>
  <c r="Y34" i="2"/>
  <c r="AT40" i="2"/>
  <c r="AP40" i="2"/>
  <c r="AY40" i="2"/>
  <c r="AS40" i="2"/>
  <c r="AX40" i="2"/>
  <c r="AR40" i="2"/>
  <c r="AW40" i="2"/>
  <c r="AQ40" i="2"/>
  <c r="AR39" i="2"/>
  <c r="AQ39" i="2"/>
  <c r="AP39" i="2"/>
  <c r="AT39" i="2"/>
  <c r="AS39" i="2"/>
  <c r="AC6" i="2"/>
  <c r="AE6" i="2"/>
  <c r="AD6" i="2"/>
  <c r="Y11" i="2"/>
  <c r="W14" i="2"/>
  <c r="V14" i="2"/>
  <c r="W32" i="2"/>
  <c r="Z32" i="2"/>
  <c r="AP38" i="2"/>
  <c r="AQ38" i="2"/>
  <c r="AR38" i="2"/>
  <c r="Y33" i="2"/>
  <c r="V33" i="2"/>
  <c r="Y31" i="2"/>
  <c r="V31" i="2"/>
  <c r="W31" i="2"/>
  <c r="AP12" i="2"/>
  <c r="X37" i="2"/>
  <c r="P7" i="2"/>
  <c r="U7" i="2" s="1"/>
  <c r="Z4" i="2" s="1"/>
  <c r="BO27" i="2"/>
  <c r="AO21" i="2"/>
  <c r="BP21" i="2"/>
  <c r="BT21" i="2" s="1"/>
  <c r="BO13" i="2"/>
  <c r="BO14" i="2"/>
  <c r="Q28" i="2"/>
  <c r="AO28" i="2"/>
  <c r="AQ26" i="2" s="1"/>
  <c r="BP20" i="2"/>
  <c r="BT20" i="2" s="1"/>
  <c r="AU34" i="2"/>
  <c r="BO20" i="2"/>
  <c r="BO21" i="2"/>
  <c r="AA18" i="2"/>
  <c r="AU33" i="2"/>
  <c r="AU38" i="2"/>
  <c r="BO34" i="2"/>
  <c r="BO33" i="2"/>
  <c r="AU32" i="2"/>
  <c r="BO7" i="2"/>
  <c r="BO6" i="2"/>
  <c r="AV12" i="2"/>
  <c r="AV14" i="2"/>
  <c r="AV40" i="2"/>
  <c r="AZ40" i="2" s="1"/>
  <c r="BP14" i="2"/>
  <c r="BT14" i="2" s="1"/>
  <c r="BP6" i="2"/>
  <c r="BT6" i="2" s="1"/>
  <c r="BP13" i="2"/>
  <c r="BT13" i="2" s="1"/>
  <c r="AA19" i="2"/>
  <c r="BP7" i="2"/>
  <c r="BT7" i="2" s="1"/>
  <c r="AV7" i="2"/>
  <c r="AB21" i="2"/>
  <c r="AF21" i="2" s="1"/>
  <c r="AA20" i="2"/>
  <c r="AB19" i="2"/>
  <c r="AF19" i="2" s="1"/>
  <c r="AB18" i="2"/>
  <c r="AB20" i="2"/>
  <c r="AF20" i="2" s="1"/>
  <c r="AU5" i="2"/>
  <c r="AU6" i="2"/>
  <c r="AV6" i="2"/>
  <c r="AV5" i="2"/>
  <c r="AV33" i="2"/>
  <c r="AA21" i="2"/>
  <c r="CU14" i="2"/>
  <c r="CV14" i="2"/>
  <c r="CC30" i="2"/>
  <c r="T60" i="2" l="1"/>
  <c r="U60" i="2" s="1"/>
  <c r="T61" i="2"/>
  <c r="AA28" i="2"/>
  <c r="AN45" i="2"/>
  <c r="AO45" i="2" s="1"/>
  <c r="AN46" i="2"/>
  <c r="AO46" i="2" s="1"/>
  <c r="AN47" i="2"/>
  <c r="AO47" i="2" s="1"/>
  <c r="X6" i="2"/>
  <c r="Y6" i="2"/>
  <c r="V6" i="2"/>
  <c r="W6" i="2"/>
  <c r="AT26" i="2"/>
  <c r="AS27" i="2"/>
  <c r="AT27" i="2"/>
  <c r="AP26" i="2"/>
  <c r="AR27" i="2"/>
  <c r="BZ7" i="2"/>
  <c r="BY7" i="2"/>
  <c r="BX7" i="2"/>
  <c r="BU7" i="2"/>
  <c r="BW7" i="2"/>
  <c r="BV7" i="2"/>
  <c r="BV14" i="2"/>
  <c r="BY14" i="2"/>
  <c r="BX14" i="2"/>
  <c r="BZ14" i="2"/>
  <c r="BU14" i="2"/>
  <c r="BW14" i="2"/>
  <c r="AE7" i="2"/>
  <c r="Y7" i="2"/>
  <c r="AC7" i="2"/>
  <c r="W7" i="2"/>
  <c r="AD7" i="2"/>
  <c r="X7" i="2"/>
  <c r="V7" i="2"/>
  <c r="Z7" i="2"/>
  <c r="V4" i="2"/>
  <c r="X4" i="2"/>
  <c r="BW13" i="2"/>
  <c r="BX13" i="2"/>
  <c r="BZ13" i="2"/>
  <c r="BU13" i="2"/>
  <c r="BY13" i="2"/>
  <c r="BV13" i="2"/>
  <c r="AY21" i="2"/>
  <c r="AS21" i="2"/>
  <c r="AX21" i="2"/>
  <c r="AR21" i="2"/>
  <c r="AW21" i="2"/>
  <c r="AQ21" i="2"/>
  <c r="AT21" i="2"/>
  <c r="AP21" i="2"/>
  <c r="AS19" i="2"/>
  <c r="AR19" i="2"/>
  <c r="AP19" i="2"/>
  <c r="AQ19" i="2"/>
  <c r="AS20" i="2"/>
  <c r="AT20" i="2"/>
  <c r="AR20" i="2"/>
  <c r="AQ20" i="2"/>
  <c r="AV20" i="2" s="1"/>
  <c r="AP20" i="2"/>
  <c r="AT19" i="2"/>
  <c r="Z5" i="2"/>
  <c r="Y4" i="2"/>
  <c r="AA4" i="2" s="1"/>
  <c r="AX28" i="2"/>
  <c r="AR28" i="2"/>
  <c r="AW28" i="2"/>
  <c r="AQ28" i="2"/>
  <c r="AT28" i="2"/>
  <c r="AP28" i="2"/>
  <c r="AV28" i="2" s="1"/>
  <c r="AY28" i="2"/>
  <c r="AS28" i="2"/>
  <c r="BY21" i="2"/>
  <c r="BX21" i="2"/>
  <c r="BZ21" i="2"/>
  <c r="BU21" i="2"/>
  <c r="BV21" i="2"/>
  <c r="BW21" i="2"/>
  <c r="W5" i="2"/>
  <c r="Z6" i="2"/>
  <c r="T59" i="2"/>
  <c r="U59" i="2" s="1"/>
  <c r="T58" i="2"/>
  <c r="U58" i="2" s="1"/>
  <c r="BZ6" i="2"/>
  <c r="BY6" i="2"/>
  <c r="BX6" i="2"/>
  <c r="BW6" i="2"/>
  <c r="BV6" i="2"/>
  <c r="BU6" i="2"/>
  <c r="BX20" i="2"/>
  <c r="BY20" i="2"/>
  <c r="BZ20" i="2"/>
  <c r="BU20" i="2"/>
  <c r="BW20" i="2"/>
  <c r="BV20" i="2"/>
  <c r="Y5" i="2"/>
  <c r="W4" i="2"/>
  <c r="X5" i="2"/>
  <c r="AS26" i="2"/>
  <c r="AR26" i="2"/>
  <c r="AP27" i="2"/>
  <c r="AQ27" i="2"/>
  <c r="V5" i="2"/>
  <c r="BP40" i="2"/>
  <c r="BT40" i="2" s="1"/>
  <c r="AZ14" i="2"/>
  <c r="BP39" i="2"/>
  <c r="BT39" i="2" s="1"/>
  <c r="AA14" i="2"/>
  <c r="BO39" i="2"/>
  <c r="BO40" i="2"/>
  <c r="AB14" i="2"/>
  <c r="AF14" i="2" s="1"/>
  <c r="AA11" i="2"/>
  <c r="AA13" i="2"/>
  <c r="AB11" i="2"/>
  <c r="AA12" i="2"/>
  <c r="AB13" i="2"/>
  <c r="AF13" i="2" s="1"/>
  <c r="AB12" i="2"/>
  <c r="AF12" i="2" s="1"/>
  <c r="BP27" i="2"/>
  <c r="BT27" i="2" s="1"/>
  <c r="AB26" i="2"/>
  <c r="AF26" i="2" s="1"/>
  <c r="AA27" i="2"/>
  <c r="AB28" i="2"/>
  <c r="AF28" i="2" s="1"/>
  <c r="AB27" i="2"/>
  <c r="AF27" i="2" s="1"/>
  <c r="AB25" i="2"/>
  <c r="AB37" i="2"/>
  <c r="AA25" i="2"/>
  <c r="AA26" i="2"/>
  <c r="AV39" i="2"/>
  <c r="AV38" i="2"/>
  <c r="AU40" i="2"/>
  <c r="AN80" i="2" s="1"/>
  <c r="AU39" i="2"/>
  <c r="AU13" i="2"/>
  <c r="AU14" i="2"/>
  <c r="AV13" i="2"/>
  <c r="AU12" i="2"/>
  <c r="AZ12" i="2"/>
  <c r="AZ7" i="2"/>
  <c r="U61" i="2"/>
  <c r="AZ6" i="2"/>
  <c r="AZ5" i="2"/>
  <c r="AF18" i="2"/>
  <c r="AG19" i="2" s="1"/>
  <c r="AZ33" i="2"/>
  <c r="AA33" i="2"/>
  <c r="BP34" i="2"/>
  <c r="BT34" i="2" s="1"/>
  <c r="BP33" i="2"/>
  <c r="BT33" i="2" s="1"/>
  <c r="AV32" i="2"/>
  <c r="AA40" i="2"/>
  <c r="AA31" i="2"/>
  <c r="AB39" i="2"/>
  <c r="AF39" i="2" s="1"/>
  <c r="AB34" i="2"/>
  <c r="AF34" i="2" s="1"/>
  <c r="AB40" i="2"/>
  <c r="AF40" i="2" s="1"/>
  <c r="AB38" i="2"/>
  <c r="AF38" i="2" s="1"/>
  <c r="AB33" i="2"/>
  <c r="AF33" i="2" s="1"/>
  <c r="AV34" i="2"/>
  <c r="AN74" i="2" s="1"/>
  <c r="AB32" i="2"/>
  <c r="AF32" i="2" s="1"/>
  <c r="AB31" i="2"/>
  <c r="BP28" i="2"/>
  <c r="BT28" i="2" s="1"/>
  <c r="AA38" i="2"/>
  <c r="AA32" i="2"/>
  <c r="AA37" i="2"/>
  <c r="AA39" i="2"/>
  <c r="AA34" i="2"/>
  <c r="CU21" i="2"/>
  <c r="CV21" i="2"/>
  <c r="T79" i="2" l="1"/>
  <c r="T80" i="2"/>
  <c r="AZ38" i="2"/>
  <c r="AN78" i="2"/>
  <c r="AO78" i="2" s="1"/>
  <c r="AZ39" i="2"/>
  <c r="AN79" i="2"/>
  <c r="BB40" i="2"/>
  <c r="BY39" i="2"/>
  <c r="BX39" i="2"/>
  <c r="BZ39" i="2"/>
  <c r="BU39" i="2"/>
  <c r="CA39" i="2" s="1"/>
  <c r="BV39" i="2"/>
  <c r="BW39" i="2"/>
  <c r="BZ40" i="2"/>
  <c r="BY40" i="2"/>
  <c r="BX40" i="2"/>
  <c r="BV40" i="2"/>
  <c r="BU40" i="2"/>
  <c r="BW40" i="2"/>
  <c r="AF37" i="2"/>
  <c r="AL38" i="2" s="1"/>
  <c r="T77" i="2"/>
  <c r="T78" i="2"/>
  <c r="U78" i="2" s="1"/>
  <c r="T74" i="2"/>
  <c r="T73" i="2"/>
  <c r="U73" i="2" s="1"/>
  <c r="AN72" i="2"/>
  <c r="AN73" i="2"/>
  <c r="T68" i="2"/>
  <c r="T67" i="2"/>
  <c r="U67" i="2" s="1"/>
  <c r="AV27" i="2"/>
  <c r="AZ27" i="2" s="1"/>
  <c r="AB6" i="2"/>
  <c r="AF6" i="2" s="1"/>
  <c r="AH21" i="2"/>
  <c r="AL21" i="2"/>
  <c r="AG20" i="2"/>
  <c r="AK21" i="2"/>
  <c r="AG21" i="2"/>
  <c r="AJ20" i="2"/>
  <c r="AI21" i="2"/>
  <c r="AK20" i="2"/>
  <c r="AH20" i="2"/>
  <c r="AA7" i="2"/>
  <c r="AJ21" i="2"/>
  <c r="AL20" i="2"/>
  <c r="AI20" i="2"/>
  <c r="AV19" i="2"/>
  <c r="AZ19" i="2" s="1"/>
  <c r="AV21" i="2"/>
  <c r="AZ21" i="2" s="1"/>
  <c r="AB7" i="2"/>
  <c r="AF7" i="2" s="1"/>
  <c r="T53" i="2"/>
  <c r="T54" i="2"/>
  <c r="U54" i="2" s="1"/>
  <c r="AA5" i="2"/>
  <c r="AB5" i="2"/>
  <c r="AF5" i="2" s="1"/>
  <c r="AN52" i="2"/>
  <c r="BC14" i="2"/>
  <c r="AA6" i="2"/>
  <c r="AZ13" i="2"/>
  <c r="BD14" i="2" s="1"/>
  <c r="AN53" i="2"/>
  <c r="AB4" i="2"/>
  <c r="AN54" i="2"/>
  <c r="AO54" i="2" s="1"/>
  <c r="BB6" i="2"/>
  <c r="BD6" i="2"/>
  <c r="BE6" i="2"/>
  <c r="BC6" i="2"/>
  <c r="BF6" i="2"/>
  <c r="BA6" i="2"/>
  <c r="BD7" i="2"/>
  <c r="BC7" i="2"/>
  <c r="BE7" i="2"/>
  <c r="BB7" i="2"/>
  <c r="BF7" i="2"/>
  <c r="BA7" i="2"/>
  <c r="BB5" i="2"/>
  <c r="BA5" i="2"/>
  <c r="BC5" i="2"/>
  <c r="BF5" i="2"/>
  <c r="BE5" i="2"/>
  <c r="BD5" i="2"/>
  <c r="AL19" i="2"/>
  <c r="BZ34" i="2"/>
  <c r="BW34" i="2"/>
  <c r="BY34" i="2"/>
  <c r="BX34" i="2"/>
  <c r="BV34" i="2"/>
  <c r="BU34" i="2"/>
  <c r="AE58" i="2"/>
  <c r="Y58" i="2"/>
  <c r="AD58" i="2"/>
  <c r="X58" i="2"/>
  <c r="AC58" i="2"/>
  <c r="W58" i="2"/>
  <c r="Z58" i="2"/>
  <c r="V58" i="2"/>
  <c r="AH19" i="2"/>
  <c r="AK19" i="2"/>
  <c r="BZ28" i="2"/>
  <c r="BW28" i="2"/>
  <c r="BV28" i="2"/>
  <c r="BX28" i="2"/>
  <c r="BY28" i="2"/>
  <c r="BU28" i="2"/>
  <c r="AD59" i="2"/>
  <c r="X59" i="2"/>
  <c r="AC59" i="2"/>
  <c r="W59" i="2"/>
  <c r="Z59" i="2"/>
  <c r="V59" i="2"/>
  <c r="AE59" i="2"/>
  <c r="Y59" i="2"/>
  <c r="AT45" i="2"/>
  <c r="AP45" i="2"/>
  <c r="AY45" i="2"/>
  <c r="AS45" i="2"/>
  <c r="AX45" i="2"/>
  <c r="AR45" i="2"/>
  <c r="AQ45" i="2"/>
  <c r="AW45" i="2"/>
  <c r="Z61" i="2"/>
  <c r="V61" i="2"/>
  <c r="AE61" i="2"/>
  <c r="Y61" i="2"/>
  <c r="AD61" i="2"/>
  <c r="X61" i="2"/>
  <c r="AC61" i="2"/>
  <c r="W61" i="2"/>
  <c r="AI19" i="2"/>
  <c r="BX33" i="2"/>
  <c r="BU33" i="2"/>
  <c r="BV33" i="2"/>
  <c r="BW33" i="2"/>
  <c r="BY33" i="2"/>
  <c r="BZ33" i="2"/>
  <c r="AL18" i="2"/>
  <c r="AK18" i="2"/>
  <c r="AH18" i="2"/>
  <c r="AG18" i="2"/>
  <c r="AJ18" i="2"/>
  <c r="AI18" i="2"/>
  <c r="AT46" i="2"/>
  <c r="AP46" i="2"/>
  <c r="AY46" i="2"/>
  <c r="AS46" i="2"/>
  <c r="AX46" i="2"/>
  <c r="AR46" i="2"/>
  <c r="AW46" i="2"/>
  <c r="AQ46" i="2"/>
  <c r="BZ27" i="2"/>
  <c r="BY27" i="2"/>
  <c r="BX27" i="2"/>
  <c r="BW27" i="2"/>
  <c r="BV27" i="2"/>
  <c r="BU27" i="2"/>
  <c r="AF11" i="2"/>
  <c r="AL12" i="2" s="1"/>
  <c r="T52" i="2"/>
  <c r="U52" i="2" s="1"/>
  <c r="T51" i="2"/>
  <c r="U51" i="2" s="1"/>
  <c r="T71" i="2"/>
  <c r="U71" i="2" s="1"/>
  <c r="T72" i="2"/>
  <c r="U72" i="2" s="1"/>
  <c r="AE60" i="2"/>
  <c r="Y60" i="2"/>
  <c r="AD60" i="2"/>
  <c r="X60" i="2"/>
  <c r="AC60" i="2"/>
  <c r="W60" i="2"/>
  <c r="Z60" i="2"/>
  <c r="V60" i="2"/>
  <c r="AW47" i="2"/>
  <c r="AY47" i="2"/>
  <c r="AT47" i="2"/>
  <c r="AP47" i="2"/>
  <c r="AS47" i="2"/>
  <c r="AR47" i="2"/>
  <c r="AQ47" i="2"/>
  <c r="AX47" i="2"/>
  <c r="AF25" i="2"/>
  <c r="AL26" i="2" s="1"/>
  <c r="T66" i="2"/>
  <c r="U66" i="2" s="1"/>
  <c r="T65" i="2"/>
  <c r="U65" i="2" s="1"/>
  <c r="AJ19" i="2"/>
  <c r="AU20" i="2"/>
  <c r="AN60" i="2" s="1"/>
  <c r="AU21" i="2"/>
  <c r="AU19" i="2"/>
  <c r="U53" i="2"/>
  <c r="AO80" i="2"/>
  <c r="AZ28" i="2"/>
  <c r="U68" i="2"/>
  <c r="AU28" i="2"/>
  <c r="AN68" i="2" s="1"/>
  <c r="AU27" i="2"/>
  <c r="AV26" i="2"/>
  <c r="AU26" i="2"/>
  <c r="AO79" i="2"/>
  <c r="AO53" i="2"/>
  <c r="AO52" i="2"/>
  <c r="AZ32" i="2"/>
  <c r="AO72" i="2"/>
  <c r="U77" i="2"/>
  <c r="AO73" i="2"/>
  <c r="AZ34" i="2"/>
  <c r="AO74" i="2"/>
  <c r="AZ20" i="2"/>
  <c r="AF31" i="2"/>
  <c r="AL32" i="2" s="1"/>
  <c r="U74" i="2"/>
  <c r="U79" i="2"/>
  <c r="U80" i="2"/>
  <c r="AF4" i="2"/>
  <c r="AL5" i="2" s="1"/>
  <c r="CA40" i="2"/>
  <c r="CA6" i="2"/>
  <c r="CA7" i="2"/>
  <c r="CA20" i="2"/>
  <c r="CA21" i="2"/>
  <c r="CV7" i="2"/>
  <c r="AH38" i="2" l="1"/>
  <c r="AH39" i="2"/>
  <c r="AK40" i="2"/>
  <c r="AJ40" i="2"/>
  <c r="AJ39" i="2"/>
  <c r="AH40" i="2"/>
  <c r="AG40" i="2"/>
  <c r="AI39" i="2"/>
  <c r="AK39" i="2"/>
  <c r="AL40" i="2"/>
  <c r="AG39" i="2"/>
  <c r="AL39" i="2"/>
  <c r="AI40" i="2"/>
  <c r="BC38" i="2"/>
  <c r="BB38" i="2"/>
  <c r="BD38" i="2"/>
  <c r="AN76" i="2" s="1"/>
  <c r="BE38" i="2"/>
  <c r="BF38" i="2"/>
  <c r="BA38" i="2"/>
  <c r="BA40" i="2"/>
  <c r="BD40" i="2"/>
  <c r="BC39" i="2"/>
  <c r="BD39" i="2"/>
  <c r="BE39" i="2"/>
  <c r="BF39" i="2"/>
  <c r="BA39" i="2"/>
  <c r="BB39" i="2"/>
  <c r="BF40" i="2"/>
  <c r="BC40" i="2"/>
  <c r="BE40" i="2"/>
  <c r="AG38" i="2"/>
  <c r="AJ38" i="2"/>
  <c r="AI38" i="2"/>
  <c r="AL37" i="2"/>
  <c r="AG37" i="2"/>
  <c r="AH37" i="2"/>
  <c r="AI37" i="2"/>
  <c r="AJ37" i="2"/>
  <c r="AK37" i="2"/>
  <c r="AK38" i="2"/>
  <c r="AJ34" i="2"/>
  <c r="AH34" i="2"/>
  <c r="AG34" i="2"/>
  <c r="AK34" i="2"/>
  <c r="AI34" i="2"/>
  <c r="AL34" i="2"/>
  <c r="BF34" i="2"/>
  <c r="BE34" i="2"/>
  <c r="BB34" i="2"/>
  <c r="BC34" i="2"/>
  <c r="BA34" i="2"/>
  <c r="BD34" i="2"/>
  <c r="BC33" i="2"/>
  <c r="AL33" i="2"/>
  <c r="AH33" i="2"/>
  <c r="AJ33" i="2"/>
  <c r="AK33" i="2"/>
  <c r="AI33" i="2"/>
  <c r="AG33" i="2"/>
  <c r="BD33" i="2"/>
  <c r="BB33" i="2"/>
  <c r="BC32" i="2"/>
  <c r="BF32" i="2"/>
  <c r="BA32" i="2"/>
  <c r="BE32" i="2"/>
  <c r="BB32" i="2"/>
  <c r="BD32" i="2"/>
  <c r="BE33" i="2"/>
  <c r="BA33" i="2"/>
  <c r="BF33" i="2"/>
  <c r="AH28" i="2"/>
  <c r="AL27" i="2"/>
  <c r="AG28" i="2"/>
  <c r="AJ27" i="2"/>
  <c r="AJ28" i="2"/>
  <c r="AL28" i="2"/>
  <c r="AI27" i="2"/>
  <c r="AG27" i="2"/>
  <c r="AI28" i="2"/>
  <c r="AK28" i="2"/>
  <c r="AK27" i="2"/>
  <c r="AH27" i="2"/>
  <c r="AN67" i="2"/>
  <c r="AN66" i="2"/>
  <c r="AN61" i="2"/>
  <c r="AO61" i="2" s="1"/>
  <c r="AW61" i="2" s="1"/>
  <c r="AN59" i="2"/>
  <c r="BF21" i="2"/>
  <c r="BA21" i="2"/>
  <c r="BD21" i="2"/>
  <c r="BC21" i="2"/>
  <c r="BB21" i="2"/>
  <c r="BE21" i="2"/>
  <c r="BC20" i="2"/>
  <c r="BD20" i="2"/>
  <c r="BE20" i="2"/>
  <c r="BF20" i="2"/>
  <c r="BA20" i="2"/>
  <c r="BB20" i="2"/>
  <c r="BF19" i="2"/>
  <c r="BE19" i="2"/>
  <c r="BC19" i="2"/>
  <c r="BB19" i="2"/>
  <c r="BD19" i="2"/>
  <c r="BA19" i="2"/>
  <c r="T46" i="2"/>
  <c r="U46" i="2" s="1"/>
  <c r="AC46" i="2" s="1"/>
  <c r="AK14" i="2"/>
  <c r="AJ14" i="2"/>
  <c r="AG14" i="2"/>
  <c r="AI14" i="2"/>
  <c r="AL14" i="2"/>
  <c r="AH14" i="2"/>
  <c r="BA14" i="2"/>
  <c r="BF14" i="2"/>
  <c r="AI13" i="2"/>
  <c r="AH13" i="2"/>
  <c r="AL13" i="2"/>
  <c r="AK13" i="2"/>
  <c r="AG13" i="2"/>
  <c r="AJ13" i="2"/>
  <c r="BB12" i="2"/>
  <c r="BA12" i="2"/>
  <c r="BE12" i="2"/>
  <c r="BD12" i="2"/>
  <c r="AR54" i="2"/>
  <c r="AQ54" i="2"/>
  <c r="AY54" i="2"/>
  <c r="AX54" i="2"/>
  <c r="AW54" i="2"/>
  <c r="AP54" i="2"/>
  <c r="T45" i="2"/>
  <c r="U45" i="2" s="1"/>
  <c r="AD45" i="2" s="1"/>
  <c r="T47" i="2"/>
  <c r="U47" i="2" s="1"/>
  <c r="BF12" i="2"/>
  <c r="T44" i="2"/>
  <c r="U44" i="2" s="1"/>
  <c r="BA13" i="2"/>
  <c r="BC13" i="2"/>
  <c r="BF13" i="2"/>
  <c r="BD13" i="2"/>
  <c r="BB13" i="2"/>
  <c r="BE13" i="2"/>
  <c r="BC12" i="2"/>
  <c r="BE14" i="2"/>
  <c r="BB14" i="2"/>
  <c r="AI6" i="2"/>
  <c r="AI7" i="2"/>
  <c r="AJ6" i="2"/>
  <c r="AG6" i="2"/>
  <c r="AJ7" i="2"/>
  <c r="AK6" i="2"/>
  <c r="AL6" i="2"/>
  <c r="AK7" i="2"/>
  <c r="AS54" i="2"/>
  <c r="AL7" i="2"/>
  <c r="AH6" i="2"/>
  <c r="AH7" i="2"/>
  <c r="AG7" i="2"/>
  <c r="AJ26" i="2"/>
  <c r="AG26" i="2"/>
  <c r="AK26" i="2"/>
  <c r="AI26" i="2"/>
  <c r="AH26" i="2"/>
  <c r="AD66" i="2"/>
  <c r="X66" i="2"/>
  <c r="AC66" i="2"/>
  <c r="W66" i="2"/>
  <c r="Z66" i="2"/>
  <c r="Y66" i="2"/>
  <c r="V66" i="2"/>
  <c r="AE66" i="2"/>
  <c r="AC45" i="2"/>
  <c r="AD79" i="2"/>
  <c r="X79" i="2"/>
  <c r="AC79" i="2"/>
  <c r="W79" i="2"/>
  <c r="Z79" i="2"/>
  <c r="V79" i="2"/>
  <c r="AE79" i="2"/>
  <c r="Y79" i="2"/>
  <c r="AE71" i="2"/>
  <c r="Y71" i="2"/>
  <c r="AD71" i="2"/>
  <c r="X71" i="2"/>
  <c r="W71" i="2"/>
  <c r="V71" i="2"/>
  <c r="AC71" i="2"/>
  <c r="Z71" i="2"/>
  <c r="AW78" i="2"/>
  <c r="AQ78" i="2"/>
  <c r="AT78" i="2"/>
  <c r="AP78" i="2"/>
  <c r="AY78" i="2"/>
  <c r="AS78" i="2"/>
  <c r="AX78" i="2"/>
  <c r="AR78" i="2"/>
  <c r="Z68" i="2"/>
  <c r="V68" i="2"/>
  <c r="AE68" i="2"/>
  <c r="Y68" i="2"/>
  <c r="AC68" i="2"/>
  <c r="X68" i="2"/>
  <c r="W68" i="2"/>
  <c r="AD68" i="2"/>
  <c r="AC54" i="2"/>
  <c r="W54" i="2"/>
  <c r="Z54" i="2"/>
  <c r="V54" i="2"/>
  <c r="AE54" i="2"/>
  <c r="Y54" i="2"/>
  <c r="AD54" i="2"/>
  <c r="X54" i="2"/>
  <c r="AK25" i="2"/>
  <c r="AH25" i="2"/>
  <c r="AG25" i="2"/>
  <c r="AJ25" i="2"/>
  <c r="AI25" i="2"/>
  <c r="AL25" i="2"/>
  <c r="AT54" i="2"/>
  <c r="AH32" i="2"/>
  <c r="AG5" i="2"/>
  <c r="AI12" i="2"/>
  <c r="AE46" i="2"/>
  <c r="AE72" i="2"/>
  <c r="Y72" i="2"/>
  <c r="AD72" i="2"/>
  <c r="X72" i="2"/>
  <c r="V72" i="2"/>
  <c r="AC72" i="2"/>
  <c r="Z72" i="2"/>
  <c r="W72" i="2"/>
  <c r="AT72" i="2"/>
  <c r="AP72" i="2"/>
  <c r="AY72" i="2"/>
  <c r="AS72" i="2"/>
  <c r="AQ72" i="2"/>
  <c r="AX72" i="2"/>
  <c r="AW72" i="2"/>
  <c r="AR72" i="2"/>
  <c r="AW80" i="2"/>
  <c r="AQ80" i="2"/>
  <c r="AT80" i="2"/>
  <c r="AP80" i="2"/>
  <c r="AY80" i="2"/>
  <c r="AS80" i="2"/>
  <c r="AX80" i="2"/>
  <c r="AR80" i="2"/>
  <c r="AJ4" i="2"/>
  <c r="AL4" i="2"/>
  <c r="AI4" i="2"/>
  <c r="AH4" i="2"/>
  <c r="AG4" i="2"/>
  <c r="AK4" i="2"/>
  <c r="AC74" i="2"/>
  <c r="W74" i="2"/>
  <c r="Z74" i="2"/>
  <c r="V74" i="2"/>
  <c r="AE74" i="2"/>
  <c r="Y74" i="2"/>
  <c r="X74" i="2"/>
  <c r="AD74" i="2"/>
  <c r="AL31" i="2"/>
  <c r="AK31" i="2"/>
  <c r="AI31" i="2"/>
  <c r="AH31" i="2"/>
  <c r="AG31" i="2"/>
  <c r="AJ31" i="2"/>
  <c r="AW73" i="2"/>
  <c r="AQ73" i="2"/>
  <c r="AT73" i="2"/>
  <c r="AP73" i="2"/>
  <c r="AY73" i="2"/>
  <c r="AS73" i="2"/>
  <c r="AR73" i="2"/>
  <c r="AX73" i="2"/>
  <c r="AE47" i="2"/>
  <c r="AD47" i="2"/>
  <c r="AC47" i="2"/>
  <c r="AY79" i="2"/>
  <c r="AS79" i="2"/>
  <c r="AX79" i="2"/>
  <c r="AR79" i="2"/>
  <c r="AW79" i="2"/>
  <c r="AQ79" i="2"/>
  <c r="AT79" i="2"/>
  <c r="AP79" i="2"/>
  <c r="AC53" i="2"/>
  <c r="W53" i="2"/>
  <c r="Z53" i="2"/>
  <c r="V53" i="2"/>
  <c r="AE53" i="2"/>
  <c r="Y53" i="2"/>
  <c r="AD53" i="2"/>
  <c r="X53" i="2"/>
  <c r="AK11" i="2"/>
  <c r="AL11" i="2"/>
  <c r="AI11" i="2"/>
  <c r="AG11" i="2"/>
  <c r="AH11" i="2"/>
  <c r="AJ11" i="2"/>
  <c r="AJ32" i="2"/>
  <c r="AI32" i="2"/>
  <c r="AJ5" i="2"/>
  <c r="AJ12" i="2"/>
  <c r="Z80" i="2"/>
  <c r="V80" i="2"/>
  <c r="AE80" i="2"/>
  <c r="Y80" i="2"/>
  <c r="AD80" i="2"/>
  <c r="X80" i="2"/>
  <c r="AC80" i="2"/>
  <c r="W80" i="2"/>
  <c r="AY61" i="2"/>
  <c r="AX61" i="2"/>
  <c r="AX74" i="2"/>
  <c r="AR74" i="2"/>
  <c r="AW74" i="2"/>
  <c r="AQ74" i="2"/>
  <c r="AT74" i="2"/>
  <c r="AP74" i="2"/>
  <c r="AS74" i="2"/>
  <c r="AY74" i="2"/>
  <c r="AX53" i="2"/>
  <c r="AR53" i="2"/>
  <c r="AW53" i="2"/>
  <c r="AQ53" i="2"/>
  <c r="AT53" i="2"/>
  <c r="AP53" i="2"/>
  <c r="AY53" i="2"/>
  <c r="AS53" i="2"/>
  <c r="AE67" i="2"/>
  <c r="Y67" i="2"/>
  <c r="AD67" i="2"/>
  <c r="X67" i="2"/>
  <c r="Z67" i="2"/>
  <c r="W67" i="2"/>
  <c r="V67" i="2"/>
  <c r="AC67" i="2"/>
  <c r="AD51" i="2"/>
  <c r="X51" i="2"/>
  <c r="Z51" i="2"/>
  <c r="V51" i="2"/>
  <c r="AC51" i="2"/>
  <c r="Y51" i="2"/>
  <c r="W51" i="2"/>
  <c r="AE51" i="2"/>
  <c r="Z44" i="2"/>
  <c r="AD44" i="2"/>
  <c r="Z73" i="2"/>
  <c r="V73" i="2"/>
  <c r="AE73" i="2"/>
  <c r="Y73" i="2"/>
  <c r="AD73" i="2"/>
  <c r="X73" i="2"/>
  <c r="W73" i="2"/>
  <c r="AC73" i="2"/>
  <c r="Z78" i="2"/>
  <c r="V78" i="2"/>
  <c r="AE78" i="2"/>
  <c r="Y78" i="2"/>
  <c r="AD78" i="2"/>
  <c r="X78" i="2"/>
  <c r="AC78" i="2"/>
  <c r="W78" i="2"/>
  <c r="AE77" i="2"/>
  <c r="Y77" i="2"/>
  <c r="AD77" i="2"/>
  <c r="X77" i="2"/>
  <c r="AC77" i="2"/>
  <c r="W77" i="2"/>
  <c r="Z77" i="2"/>
  <c r="V77" i="2"/>
  <c r="AX52" i="2"/>
  <c r="AR52" i="2"/>
  <c r="AW52" i="2"/>
  <c r="AQ52" i="2"/>
  <c r="AT52" i="2"/>
  <c r="AP52" i="2"/>
  <c r="AY52" i="2"/>
  <c r="AS52" i="2"/>
  <c r="AD65" i="2"/>
  <c r="X65" i="2"/>
  <c r="AC65" i="2"/>
  <c r="W65" i="2"/>
  <c r="AE65" i="2"/>
  <c r="Z65" i="2"/>
  <c r="Y65" i="2"/>
  <c r="V65" i="2"/>
  <c r="AC52" i="2"/>
  <c r="W52" i="2"/>
  <c r="Z52" i="2"/>
  <c r="V52" i="2"/>
  <c r="AE52" i="2"/>
  <c r="Y52" i="2"/>
  <c r="AD52" i="2"/>
  <c r="X52" i="2"/>
  <c r="AK32" i="2"/>
  <c r="AK5" i="2"/>
  <c r="AG12" i="2"/>
  <c r="AG32" i="2"/>
  <c r="AI5" i="2"/>
  <c r="AH5" i="2"/>
  <c r="AH12" i="2"/>
  <c r="AK12" i="2"/>
  <c r="AO68" i="2"/>
  <c r="AO60" i="2"/>
  <c r="AQ61" i="2" s="1"/>
  <c r="AO59" i="2"/>
  <c r="AV46" i="2"/>
  <c r="AZ46" i="2" s="1"/>
  <c r="AB61" i="2"/>
  <c r="AF61" i="2" s="1"/>
  <c r="AZ26" i="2"/>
  <c r="BC28" i="2" s="1"/>
  <c r="AO66" i="2"/>
  <c r="AO67" i="2"/>
  <c r="AV78" i="2"/>
  <c r="AZ78" i="2" s="1"/>
  <c r="AN43" i="2"/>
  <c r="T76" i="2"/>
  <c r="T57" i="2"/>
  <c r="AB60" i="2"/>
  <c r="AF60" i="2" s="1"/>
  <c r="AV47" i="2"/>
  <c r="AZ47" i="2" s="1"/>
  <c r="AU46" i="2"/>
  <c r="AU47" i="2"/>
  <c r="AV80" i="2"/>
  <c r="AZ80" i="2" s="1"/>
  <c r="CB40" i="2"/>
  <c r="AA60" i="2"/>
  <c r="AV45" i="2"/>
  <c r="AZ45" i="2" s="1"/>
  <c r="AU45" i="2"/>
  <c r="AA59" i="2"/>
  <c r="AB58" i="2"/>
  <c r="AF58" i="2" s="1"/>
  <c r="AB59" i="2"/>
  <c r="AF59" i="2" s="1"/>
  <c r="AA61" i="2"/>
  <c r="AA58" i="2"/>
  <c r="AA54" i="2"/>
  <c r="CB39" i="2"/>
  <c r="CA34" i="2"/>
  <c r="CA33" i="2"/>
  <c r="CB20" i="2"/>
  <c r="CB21" i="2"/>
  <c r="CA14" i="2"/>
  <c r="CA13" i="2"/>
  <c r="CA27" i="2"/>
  <c r="CA28" i="2"/>
  <c r="AE45" i="2" l="1"/>
  <c r="V47" i="2"/>
  <c r="AD46" i="2"/>
  <c r="AB65" i="2"/>
  <c r="AF65" i="2" s="1"/>
  <c r="X45" i="2"/>
  <c r="AA68" i="2"/>
  <c r="AB51" i="2"/>
  <c r="AF51" i="2" s="1"/>
  <c r="BB27" i="2"/>
  <c r="BE27" i="2"/>
  <c r="BC26" i="2"/>
  <c r="BE26" i="2"/>
  <c r="BF26" i="2"/>
  <c r="BA26" i="2"/>
  <c r="BB26" i="2"/>
  <c r="BD26" i="2"/>
  <c r="BA27" i="2"/>
  <c r="BD28" i="2"/>
  <c r="BA28" i="2"/>
  <c r="BF27" i="2"/>
  <c r="BE28" i="2"/>
  <c r="BB28" i="2"/>
  <c r="BD27" i="2"/>
  <c r="BC27" i="2"/>
  <c r="BF28" i="2"/>
  <c r="AG61" i="2"/>
  <c r="AH61" i="2"/>
  <c r="AK61" i="2"/>
  <c r="AI61" i="2"/>
  <c r="AL60" i="2"/>
  <c r="AK60" i="2"/>
  <c r="AL61" i="2"/>
  <c r="AJ61" i="2"/>
  <c r="AI60" i="2"/>
  <c r="AH60" i="2"/>
  <c r="AJ60" i="2"/>
  <c r="AG60" i="2"/>
  <c r="AP61" i="2"/>
  <c r="AI58" i="2"/>
  <c r="AH58" i="2"/>
  <c r="AJ58" i="2"/>
  <c r="AK58" i="2"/>
  <c r="AL59" i="2"/>
  <c r="AK59" i="2"/>
  <c r="AJ59" i="2"/>
  <c r="AL58" i="2"/>
  <c r="AG58" i="2"/>
  <c r="AI59" i="2"/>
  <c r="AH59" i="2"/>
  <c r="AG59" i="2"/>
  <c r="AR61" i="2"/>
  <c r="Y46" i="2"/>
  <c r="AN50" i="2"/>
  <c r="T64" i="2"/>
  <c r="W44" i="2"/>
  <c r="Y44" i="2"/>
  <c r="AA44" i="2" s="1"/>
  <c r="W47" i="2"/>
  <c r="Y47" i="2"/>
  <c r="V46" i="2"/>
  <c r="X46" i="2"/>
  <c r="Z45" i="2"/>
  <c r="AC44" i="2"/>
  <c r="AE44" i="2"/>
  <c r="Z46" i="2"/>
  <c r="V45" i="2"/>
  <c r="X44" i="2"/>
  <c r="V44" i="2"/>
  <c r="AB44" i="2" s="1"/>
  <c r="AF44" i="2" s="1"/>
  <c r="Z47" i="2"/>
  <c r="X47" i="2"/>
  <c r="W46" i="2"/>
  <c r="Y45" i="2"/>
  <c r="W45" i="2"/>
  <c r="AA51" i="2"/>
  <c r="T50" i="2"/>
  <c r="BE46" i="2"/>
  <c r="BD46" i="2"/>
  <c r="BA46" i="2"/>
  <c r="BF46" i="2"/>
  <c r="BB46" i="2"/>
  <c r="BC46" i="2"/>
  <c r="BA45" i="2"/>
  <c r="BC45" i="2"/>
  <c r="BF45" i="2"/>
  <c r="BE45" i="2"/>
  <c r="BD45" i="2"/>
  <c r="BB45" i="2"/>
  <c r="AS61" i="2"/>
  <c r="BB47" i="2"/>
  <c r="BE47" i="2"/>
  <c r="BA47" i="2"/>
  <c r="BD47" i="2"/>
  <c r="BF47" i="2"/>
  <c r="BC47" i="2"/>
  <c r="AY66" i="2"/>
  <c r="AS66" i="2"/>
  <c r="AX66" i="2"/>
  <c r="AR66" i="2"/>
  <c r="AW66" i="2"/>
  <c r="AT66" i="2"/>
  <c r="AQ66" i="2"/>
  <c r="AP66" i="2"/>
  <c r="AT60" i="2"/>
  <c r="AP60" i="2"/>
  <c r="AV60" i="2" s="1"/>
  <c r="AZ60" i="2" s="1"/>
  <c r="AY60" i="2"/>
  <c r="AS60" i="2"/>
  <c r="AX60" i="2"/>
  <c r="AR60" i="2"/>
  <c r="AW60" i="2"/>
  <c r="AQ60" i="2"/>
  <c r="AT61" i="2"/>
  <c r="AT67" i="2"/>
  <c r="AP67" i="2"/>
  <c r="AY67" i="2"/>
  <c r="AS67" i="2"/>
  <c r="AW67" i="2"/>
  <c r="AR67" i="2"/>
  <c r="AQ67" i="2"/>
  <c r="AX67" i="2"/>
  <c r="AY59" i="2"/>
  <c r="AS59" i="2"/>
  <c r="AX59" i="2"/>
  <c r="AR59" i="2"/>
  <c r="AW59" i="2"/>
  <c r="AQ59" i="2"/>
  <c r="AP59" i="2"/>
  <c r="AV59" i="2" s="1"/>
  <c r="AZ59" i="2" s="1"/>
  <c r="AT59" i="2"/>
  <c r="AW68" i="2"/>
  <c r="AQ68" i="2"/>
  <c r="AT68" i="2"/>
  <c r="AP68" i="2"/>
  <c r="AX68" i="2"/>
  <c r="AS68" i="2"/>
  <c r="AR68" i="2"/>
  <c r="AY68" i="2"/>
  <c r="AV54" i="2"/>
  <c r="AZ54" i="2" s="1"/>
  <c r="AB54" i="2"/>
  <c r="AF54" i="2" s="1"/>
  <c r="AB52" i="2"/>
  <c r="AF52" i="2" s="1"/>
  <c r="AB53" i="2"/>
  <c r="AF53" i="2" s="1"/>
  <c r="AA53" i="2"/>
  <c r="AA52" i="2"/>
  <c r="AV79" i="2"/>
  <c r="AZ79" i="2" s="1"/>
  <c r="AA66" i="2"/>
  <c r="AA67" i="2"/>
  <c r="AB68" i="2"/>
  <c r="AF68" i="2" s="1"/>
  <c r="AU78" i="2"/>
  <c r="AB66" i="2"/>
  <c r="AF66" i="2" s="1"/>
  <c r="AB67" i="2"/>
  <c r="AF67" i="2" s="1"/>
  <c r="AA65" i="2"/>
  <c r="AU79" i="2"/>
  <c r="AU80" i="2"/>
  <c r="BC80" i="2" s="1"/>
  <c r="AV52" i="2"/>
  <c r="AZ52" i="2" s="1"/>
  <c r="AV53" i="2"/>
  <c r="AZ53" i="2" s="1"/>
  <c r="AU52" i="2"/>
  <c r="AU54" i="2"/>
  <c r="AU53" i="2"/>
  <c r="T70" i="2"/>
  <c r="T43" i="2"/>
  <c r="AB78" i="2"/>
  <c r="AF78" i="2" s="1"/>
  <c r="AV61" i="2"/>
  <c r="AZ61" i="2" s="1"/>
  <c r="AN57" i="2"/>
  <c r="AV74" i="2"/>
  <c r="AZ74" i="2" s="1"/>
  <c r="CB34" i="2"/>
  <c r="AN70" i="2"/>
  <c r="AV73" i="2"/>
  <c r="AZ73" i="2" s="1"/>
  <c r="AB80" i="2"/>
  <c r="AF80" i="2" s="1"/>
  <c r="AB77" i="2"/>
  <c r="AF77" i="2" s="1"/>
  <c r="AA72" i="2"/>
  <c r="AA77" i="2"/>
  <c r="AU72" i="2"/>
  <c r="AU74" i="2"/>
  <c r="AV72" i="2"/>
  <c r="AZ72" i="2" s="1"/>
  <c r="AU73" i="2"/>
  <c r="AA73" i="2"/>
  <c r="AB71" i="2"/>
  <c r="AF71" i="2" s="1"/>
  <c r="AB72" i="2"/>
  <c r="AF72" i="2" s="1"/>
  <c r="AA78" i="2"/>
  <c r="AB73" i="2"/>
  <c r="AF73" i="2" s="1"/>
  <c r="AB74" i="2"/>
  <c r="AF74" i="2" s="1"/>
  <c r="AA71" i="2"/>
  <c r="AA80" i="2"/>
  <c r="AA74" i="2"/>
  <c r="AA79" i="2"/>
  <c r="AB79" i="2"/>
  <c r="AF79" i="2" s="1"/>
  <c r="AA46" i="2"/>
  <c r="AA47" i="2"/>
  <c r="CB33" i="2"/>
  <c r="CU28" i="2"/>
  <c r="CV28" i="2" s="1"/>
  <c r="CV29" i="2" s="1"/>
  <c r="CB7" i="2"/>
  <c r="CB14" i="2"/>
  <c r="CB13" i="2"/>
  <c r="CB6" i="2"/>
  <c r="CB27" i="2"/>
  <c r="CB28" i="2"/>
  <c r="AA45" i="2" l="1"/>
  <c r="AB47" i="2"/>
  <c r="AF47" i="2" s="1"/>
  <c r="AG80" i="2"/>
  <c r="AG79" i="2"/>
  <c r="AK80" i="2"/>
  <c r="AJ80" i="2"/>
  <c r="AL79" i="2"/>
  <c r="AK79" i="2"/>
  <c r="AL80" i="2"/>
  <c r="AI79" i="2"/>
  <c r="AH79" i="2"/>
  <c r="AH80" i="2"/>
  <c r="AJ79" i="2"/>
  <c r="AI80" i="2"/>
  <c r="BB80" i="2"/>
  <c r="BF78" i="2"/>
  <c r="BE78" i="2"/>
  <c r="BD78" i="2"/>
  <c r="BE79" i="2"/>
  <c r="BF79" i="2"/>
  <c r="BA79" i="2"/>
  <c r="BC79" i="2"/>
  <c r="BB79" i="2"/>
  <c r="BD79" i="2"/>
  <c r="BF80" i="2"/>
  <c r="BA80" i="2"/>
  <c r="BA78" i="2"/>
  <c r="BE80" i="2"/>
  <c r="BB78" i="2"/>
  <c r="BC78" i="2"/>
  <c r="BD80" i="2"/>
  <c r="AB46" i="2"/>
  <c r="AF46" i="2" s="1"/>
  <c r="AH78" i="2"/>
  <c r="AI77" i="2"/>
  <c r="AH77" i="2"/>
  <c r="AJ77" i="2"/>
  <c r="AK77" i="2"/>
  <c r="AG77" i="2"/>
  <c r="AK78" i="2"/>
  <c r="AJ78" i="2"/>
  <c r="AL78" i="2"/>
  <c r="AI78" i="2"/>
  <c r="AL77" i="2"/>
  <c r="AG78" i="2"/>
  <c r="AG73" i="2"/>
  <c r="AG74" i="2"/>
  <c r="AH74" i="2"/>
  <c r="AI73" i="2"/>
  <c r="AL73" i="2"/>
  <c r="AK73" i="2"/>
  <c r="AJ73" i="2"/>
  <c r="AH73" i="2"/>
  <c r="AL74" i="2"/>
  <c r="AK74" i="2"/>
  <c r="AJ74" i="2"/>
  <c r="AI74" i="2"/>
  <c r="BB73" i="2"/>
  <c r="BA73" i="2"/>
  <c r="BF73" i="2"/>
  <c r="BE73" i="2"/>
  <c r="BD73" i="2"/>
  <c r="BC73" i="2"/>
  <c r="BB72" i="2"/>
  <c r="BE72" i="2"/>
  <c r="BD72" i="2"/>
  <c r="BC72" i="2"/>
  <c r="BA72" i="2"/>
  <c r="BF72" i="2"/>
  <c r="BF74" i="2"/>
  <c r="BE74" i="2"/>
  <c r="BC74" i="2"/>
  <c r="BB74" i="2"/>
  <c r="BA74" i="2"/>
  <c r="BD74" i="2"/>
  <c r="AG72" i="2"/>
  <c r="AJ72" i="2"/>
  <c r="AL72" i="2"/>
  <c r="AH72" i="2"/>
  <c r="AH71" i="2"/>
  <c r="AL71" i="2"/>
  <c r="AI71" i="2"/>
  <c r="AK72" i="2"/>
  <c r="AJ71" i="2"/>
  <c r="AG71" i="2"/>
  <c r="AK71" i="2"/>
  <c r="AI72" i="2"/>
  <c r="AB45" i="2"/>
  <c r="AF45" i="2" s="1"/>
  <c r="AL65" i="2"/>
  <c r="AG68" i="2"/>
  <c r="AG67" i="2"/>
  <c r="AL66" i="2"/>
  <c r="AL68" i="2"/>
  <c r="AJ68" i="2"/>
  <c r="AH68" i="2"/>
  <c r="AJ67" i="2"/>
  <c r="AL67" i="2"/>
  <c r="AI67" i="2"/>
  <c r="AH67" i="2"/>
  <c r="AK67" i="2"/>
  <c r="AK68" i="2"/>
  <c r="AI68" i="2"/>
  <c r="AJ66" i="2"/>
  <c r="AJ65" i="2"/>
  <c r="AK65" i="2"/>
  <c r="AH66" i="2"/>
  <c r="AK66" i="2"/>
  <c r="AH65" i="2"/>
  <c r="AI66" i="2"/>
  <c r="AG66" i="2"/>
  <c r="AI65" i="2"/>
  <c r="AG65" i="2"/>
  <c r="AU60" i="2"/>
  <c r="BA59" i="2"/>
  <c r="BA61" i="2"/>
  <c r="AI54" i="2"/>
  <c r="BA60" i="2"/>
  <c r="AH53" i="2"/>
  <c r="AL51" i="2"/>
  <c r="AJ53" i="2"/>
  <c r="AG53" i="2"/>
  <c r="AL54" i="2"/>
  <c r="AH54" i="2"/>
  <c r="AK51" i="2"/>
  <c r="AL53" i="2"/>
  <c r="AK54" i="2"/>
  <c r="AG54" i="2"/>
  <c r="AK53" i="2"/>
  <c r="AJ54" i="2"/>
  <c r="AI53" i="2"/>
  <c r="AH52" i="2"/>
  <c r="AH51" i="2"/>
  <c r="AG52" i="2"/>
  <c r="AL52" i="2"/>
  <c r="AK52" i="2"/>
  <c r="AJ52" i="2"/>
  <c r="AI52" i="2"/>
  <c r="AG51" i="2"/>
  <c r="AJ51" i="2"/>
  <c r="AI51" i="2"/>
  <c r="AU61" i="2"/>
  <c r="BF53" i="2"/>
  <c r="BE53" i="2"/>
  <c r="BD53" i="2"/>
  <c r="BC53" i="2"/>
  <c r="BB53" i="2"/>
  <c r="BA53" i="2"/>
  <c r="BC52" i="2"/>
  <c r="BB52" i="2"/>
  <c r="BA52" i="2"/>
  <c r="BF52" i="2"/>
  <c r="BE52" i="2"/>
  <c r="BD52" i="2"/>
  <c r="BE54" i="2"/>
  <c r="BD54" i="2"/>
  <c r="BC54" i="2"/>
  <c r="BB54" i="2"/>
  <c r="BF54" i="2"/>
  <c r="BA54" i="2"/>
  <c r="AU59" i="2"/>
  <c r="BC60" i="2" s="1"/>
  <c r="AV66" i="2"/>
  <c r="AZ66" i="2" s="1"/>
  <c r="AV67" i="2"/>
  <c r="AZ67" i="2" s="1"/>
  <c r="AV68" i="2"/>
  <c r="AZ68" i="2" s="1"/>
  <c r="AU66" i="2"/>
  <c r="AN64" i="2"/>
  <c r="AU68" i="2"/>
  <c r="AU67" i="2"/>
  <c r="BG80" i="2"/>
  <c r="BG40" i="2" s="1"/>
  <c r="BG46" i="2"/>
  <c r="BG6" i="2" s="1"/>
  <c r="BG47" i="2"/>
  <c r="BG7" i="2" s="1"/>
  <c r="AM61" i="2"/>
  <c r="AM21" i="2" s="1"/>
  <c r="AM60" i="2"/>
  <c r="AM20" i="2" s="1"/>
  <c r="AM59" i="2"/>
  <c r="AM19" i="2" s="1"/>
  <c r="BG45" i="2"/>
  <c r="BG5" i="2" s="1"/>
  <c r="AM58" i="2"/>
  <c r="AM18" i="2" s="1"/>
  <c r="AI46" i="2" l="1"/>
  <c r="AL47" i="2"/>
  <c r="AJ46" i="2"/>
  <c r="AK46" i="2"/>
  <c r="AH45" i="2"/>
  <c r="AK44" i="2"/>
  <c r="AG44" i="2"/>
  <c r="AG45" i="2"/>
  <c r="AI45" i="2"/>
  <c r="AH44" i="2"/>
  <c r="AK47" i="2"/>
  <c r="AG47" i="2"/>
  <c r="AG46" i="2"/>
  <c r="AJ45" i="2"/>
  <c r="AL45" i="2"/>
  <c r="AI44" i="2"/>
  <c r="AH47" i="2"/>
  <c r="AJ47" i="2"/>
  <c r="AL46" i="2"/>
  <c r="AK45" i="2"/>
  <c r="AJ44" i="2"/>
  <c r="AL44" i="2"/>
  <c r="AI47" i="2"/>
  <c r="AH46" i="2"/>
  <c r="BC66" i="2"/>
  <c r="BD66" i="2"/>
  <c r="BE66" i="2"/>
  <c r="BA66" i="2"/>
  <c r="BF66" i="2"/>
  <c r="BB66" i="2"/>
  <c r="BE67" i="2"/>
  <c r="BD67" i="2"/>
  <c r="BA67" i="2"/>
  <c r="BC67" i="2"/>
  <c r="BF67" i="2"/>
  <c r="BB67" i="2"/>
  <c r="BF68" i="2"/>
  <c r="BE68" i="2"/>
  <c r="BC68" i="2"/>
  <c r="BB68" i="2"/>
  <c r="BA68" i="2"/>
  <c r="BD68" i="2"/>
  <c r="AN21" i="2"/>
  <c r="AN20" i="2"/>
  <c r="BF61" i="2"/>
  <c r="AM51" i="2"/>
  <c r="AM11" i="2" s="1"/>
  <c r="AN14" i="2" s="1"/>
  <c r="BB60" i="2"/>
  <c r="BE61" i="2"/>
  <c r="BC61" i="2"/>
  <c r="BE59" i="2"/>
  <c r="BE60" i="2"/>
  <c r="BF60" i="2"/>
  <c r="BD61" i="2"/>
  <c r="BF59" i="2"/>
  <c r="BB59" i="2"/>
  <c r="BD60" i="2"/>
  <c r="BC59" i="2"/>
  <c r="BG59" i="2" s="1"/>
  <c r="BG19" i="2" s="1"/>
  <c r="BB61" i="2"/>
  <c r="BD59" i="2"/>
  <c r="AN18" i="2"/>
  <c r="CW18" i="2" s="1"/>
  <c r="AN19" i="2"/>
  <c r="BG54" i="2"/>
  <c r="BG14" i="2" s="1"/>
  <c r="AM54" i="2"/>
  <c r="AM14" i="2" s="1"/>
  <c r="AM53" i="2"/>
  <c r="AM13" i="2" s="1"/>
  <c r="AM52" i="2"/>
  <c r="AM12" i="2" s="1"/>
  <c r="BG78" i="2"/>
  <c r="BG79" i="2"/>
  <c r="AM67" i="2"/>
  <c r="AM27" i="2" s="1"/>
  <c r="AM66" i="2"/>
  <c r="AM26" i="2" s="1"/>
  <c r="AM68" i="2"/>
  <c r="AM28" i="2" s="1"/>
  <c r="AM65" i="2"/>
  <c r="AM25" i="2" s="1"/>
  <c r="BG53" i="2"/>
  <c r="BG13" i="2" s="1"/>
  <c r="BG52" i="2"/>
  <c r="AM73" i="2"/>
  <c r="AM33" i="2" s="1"/>
  <c r="BH6" i="2"/>
  <c r="BH7" i="2"/>
  <c r="AM74" i="2"/>
  <c r="AM34" i="2" s="1"/>
  <c r="BH5" i="2"/>
  <c r="BG72" i="2"/>
  <c r="BG32" i="2" s="1"/>
  <c r="AM77" i="2"/>
  <c r="AM37" i="2" s="1"/>
  <c r="AM80" i="2"/>
  <c r="AM40" i="2" s="1"/>
  <c r="BG74" i="2"/>
  <c r="BG34" i="2" s="1"/>
  <c r="BG73" i="2"/>
  <c r="BG33" i="2" s="1"/>
  <c r="AM78" i="2"/>
  <c r="AM38" i="2" s="1"/>
  <c r="BG60" i="2"/>
  <c r="BG20" i="2" s="1"/>
  <c r="AM79" i="2"/>
  <c r="AM39" i="2" s="1"/>
  <c r="AM72" i="2"/>
  <c r="AM32" i="2" s="1"/>
  <c r="AM71" i="2"/>
  <c r="AM31" i="2" s="1"/>
  <c r="AM47" i="2" l="1"/>
  <c r="AM7" i="2" s="1"/>
  <c r="AN39" i="2"/>
  <c r="AN40" i="2"/>
  <c r="BH39" i="2"/>
  <c r="BG38" i="2"/>
  <c r="AM44" i="2"/>
  <c r="AM4" i="2" s="1"/>
  <c r="AN7" i="2" s="1"/>
  <c r="CW7" i="2" s="1"/>
  <c r="BG39" i="2"/>
  <c r="BH38" i="2" s="1"/>
  <c r="AM45" i="2"/>
  <c r="AM5" i="2" s="1"/>
  <c r="AM46" i="2"/>
  <c r="AM6" i="2" s="1"/>
  <c r="AN37" i="2"/>
  <c r="CW37" i="2" s="1"/>
  <c r="AN38" i="2"/>
  <c r="AN33" i="2"/>
  <c r="AN34" i="2"/>
  <c r="AN28" i="2"/>
  <c r="AN27" i="2"/>
  <c r="BG61" i="2"/>
  <c r="BG21" i="2" s="1"/>
  <c r="AN11" i="2"/>
  <c r="CW11" i="2" s="1"/>
  <c r="AN12" i="2"/>
  <c r="AN13" i="2"/>
  <c r="BG12" i="2"/>
  <c r="BH14" i="2" s="1"/>
  <c r="CW14" i="2" s="1"/>
  <c r="AN31" i="2"/>
  <c r="CW31" i="2" s="1"/>
  <c r="AN32" i="2"/>
  <c r="AN26" i="2"/>
  <c r="AN25" i="2"/>
  <c r="CW25" i="2" s="1"/>
  <c r="BG67" i="2"/>
  <c r="BG27" i="2" s="1"/>
  <c r="BG66" i="2"/>
  <c r="BG26" i="2" s="1"/>
  <c r="BG68" i="2"/>
  <c r="BG28" i="2" s="1"/>
  <c r="BH13" i="2"/>
  <c r="BH12" i="2"/>
  <c r="BH26" i="2"/>
  <c r="BH33" i="2"/>
  <c r="BH21" i="2"/>
  <c r="CW21" i="2" s="1"/>
  <c r="BH20" i="2"/>
  <c r="CW20" i="2" s="1"/>
  <c r="BH19" i="2"/>
  <c r="CW19" i="2" s="1"/>
  <c r="A21" i="2" s="1"/>
  <c r="CW39" i="2" l="1"/>
  <c r="AN4" i="2"/>
  <c r="CW4" i="2" s="1"/>
  <c r="AN5" i="2"/>
  <c r="CW5" i="2" s="1"/>
  <c r="AN6" i="2"/>
  <c r="CW6" i="2" s="1"/>
  <c r="CW38" i="2"/>
  <c r="BH40" i="2"/>
  <c r="CW40" i="2" s="1"/>
  <c r="CW13" i="2"/>
  <c r="A20" i="2"/>
  <c r="A18" i="2"/>
  <c r="A19" i="2"/>
  <c r="A37" i="2"/>
  <c r="BH28" i="2"/>
  <c r="CW28" i="2" s="1"/>
  <c r="CW12" i="2"/>
  <c r="BH27" i="2"/>
  <c r="CW27" i="2" s="1"/>
  <c r="CW26" i="2"/>
  <c r="A26" i="2" s="1"/>
  <c r="CW33" i="2"/>
  <c r="BH32" i="2"/>
  <c r="CW32" i="2" s="1"/>
  <c r="BH34" i="2"/>
  <c r="CW34" i="2" s="1"/>
  <c r="A6" i="2" l="1"/>
  <c r="A4" i="2"/>
  <c r="P7" i="1" s="1"/>
  <c r="EJ7" i="2" s="1"/>
  <c r="A40" i="2"/>
  <c r="A7" i="2"/>
  <c r="A5" i="2"/>
  <c r="A39" i="2"/>
  <c r="A38" i="2"/>
  <c r="P34" i="1" s="1"/>
  <c r="EJ29" i="2" s="1"/>
  <c r="A31" i="2"/>
  <c r="A14" i="2"/>
  <c r="A25" i="2"/>
  <c r="A13" i="2"/>
  <c r="A28" i="2"/>
  <c r="A34" i="2"/>
  <c r="A11" i="2"/>
  <c r="A27" i="2"/>
  <c r="A32" i="2"/>
  <c r="A12" i="2"/>
  <c r="A33" i="2"/>
  <c r="P32" i="1"/>
  <c r="EJ27" i="2" s="1"/>
  <c r="P20" i="1"/>
  <c r="EJ18" i="2" s="1"/>
  <c r="P19" i="1"/>
  <c r="EJ17" i="2" s="1"/>
  <c r="P17" i="1"/>
  <c r="EJ15" i="2" s="1"/>
  <c r="P18" i="1"/>
  <c r="EJ16" i="2" s="1"/>
  <c r="P35" i="1" l="1"/>
  <c r="EJ30" i="2" s="1"/>
  <c r="P10" i="1"/>
  <c r="EJ10" i="2" s="1"/>
  <c r="P9" i="1"/>
  <c r="EJ9" i="2" s="1"/>
  <c r="P8" i="1"/>
  <c r="EJ8" i="2" s="1"/>
  <c r="P33" i="1"/>
  <c r="EJ28" i="2" s="1"/>
  <c r="P25" i="1"/>
  <c r="EJ22" i="2" s="1"/>
  <c r="P24" i="1"/>
  <c r="EJ21" i="2" s="1"/>
  <c r="P23" i="1"/>
  <c r="EJ20" i="2" s="1"/>
  <c r="P22" i="1"/>
  <c r="EJ19" i="2" s="1"/>
  <c r="W19" i="1"/>
  <c r="V19" i="1"/>
  <c r="Z19" i="1"/>
  <c r="U19" i="1"/>
  <c r="J24" i="28" s="1"/>
  <c r="X19" i="1"/>
  <c r="M24" i="28" s="1"/>
  <c r="V34" i="1"/>
  <c r="Z34" i="1"/>
  <c r="U34" i="1"/>
  <c r="X42" i="28" s="1"/>
  <c r="X34" i="1"/>
  <c r="AA42" i="28" s="1"/>
  <c r="W34" i="1"/>
  <c r="W20" i="1"/>
  <c r="L25" i="28" s="1"/>
  <c r="V20" i="1"/>
  <c r="K25" i="28" s="1"/>
  <c r="X20" i="1"/>
  <c r="M25" i="28" s="1"/>
  <c r="Z20" i="1"/>
  <c r="N25" i="28" s="1"/>
  <c r="U20" i="1"/>
  <c r="J25" i="28" s="1"/>
  <c r="V35" i="1"/>
  <c r="Y43" i="28" s="1"/>
  <c r="W18" i="1"/>
  <c r="L23" i="28" s="1"/>
  <c r="V18" i="1"/>
  <c r="K23" i="28" s="1"/>
  <c r="Z18" i="1"/>
  <c r="N23" i="28" s="1"/>
  <c r="U18" i="1"/>
  <c r="J23" i="28" s="1"/>
  <c r="X18" i="1"/>
  <c r="M23" i="28" s="1"/>
  <c r="Z7" i="1"/>
  <c r="N4" i="28" s="1"/>
  <c r="U7" i="1"/>
  <c r="J4" i="28" s="1"/>
  <c r="X7" i="1"/>
  <c r="M4" i="28" s="1"/>
  <c r="W7" i="1"/>
  <c r="L4" i="28" s="1"/>
  <c r="V7" i="1"/>
  <c r="K4" i="28" s="1"/>
  <c r="V32" i="1"/>
  <c r="Y40" i="28" s="1"/>
  <c r="Z32" i="1"/>
  <c r="AB40" i="28" s="1"/>
  <c r="U32" i="1"/>
  <c r="X40" i="28" s="1"/>
  <c r="W32" i="1"/>
  <c r="Z40" i="28" s="1"/>
  <c r="X32" i="1"/>
  <c r="AA40" i="28" s="1"/>
  <c r="P15" i="1"/>
  <c r="EJ14" i="2" s="1"/>
  <c r="P14" i="1"/>
  <c r="EJ13" i="2" s="1"/>
  <c r="P13" i="1"/>
  <c r="EJ12" i="2" s="1"/>
  <c r="P12" i="1"/>
  <c r="EJ11" i="2" s="1"/>
  <c r="P30" i="1"/>
  <c r="EJ26" i="2" s="1"/>
  <c r="P29" i="1"/>
  <c r="EJ25" i="2" s="1"/>
  <c r="P28" i="1"/>
  <c r="EJ24" i="2" s="1"/>
  <c r="P27" i="1"/>
  <c r="EJ23" i="2" s="1"/>
  <c r="W17" i="1"/>
  <c r="L22" i="28" s="1"/>
  <c r="V17" i="1"/>
  <c r="K22" i="28" s="1"/>
  <c r="X17" i="1"/>
  <c r="M22" i="28" s="1"/>
  <c r="Z17" i="1"/>
  <c r="N22" i="28" s="1"/>
  <c r="U17" i="1"/>
  <c r="J22" i="28" s="1"/>
  <c r="D24" i="28"/>
  <c r="R40" i="28"/>
  <c r="D4" i="28"/>
  <c r="D22" i="28"/>
  <c r="R42" i="28"/>
  <c r="D23" i="28"/>
  <c r="D25" i="28"/>
  <c r="DH5" i="2"/>
  <c r="DP5" i="2" s="1"/>
  <c r="DH8" i="2"/>
  <c r="DP8" i="2" s="1"/>
  <c r="U9" i="1" l="1"/>
  <c r="J6" i="28" s="1"/>
  <c r="Z8" i="1"/>
  <c r="N5" i="28" s="1"/>
  <c r="D6" i="28"/>
  <c r="W9" i="1"/>
  <c r="DK3" i="2" s="1"/>
  <c r="V8" i="1"/>
  <c r="K5" i="28" s="1"/>
  <c r="DH3" i="2"/>
  <c r="DP3" i="2" s="1"/>
  <c r="X9" i="1"/>
  <c r="M6" i="28" s="1"/>
  <c r="V9" i="1"/>
  <c r="DJ3" i="2" s="1"/>
  <c r="Z9" i="1"/>
  <c r="N6" i="28" s="1"/>
  <c r="Z35" i="1"/>
  <c r="AB43" i="28" s="1"/>
  <c r="W33" i="1"/>
  <c r="Z41" i="28" s="1"/>
  <c r="V10" i="1"/>
  <c r="K7" i="28" s="1"/>
  <c r="Z10" i="1"/>
  <c r="N7" i="28" s="1"/>
  <c r="W10" i="1"/>
  <c r="L7" i="28" s="1"/>
  <c r="W35" i="1"/>
  <c r="Z43" i="28" s="1"/>
  <c r="D7" i="28"/>
  <c r="X10" i="1"/>
  <c r="M7" i="28" s="1"/>
  <c r="X35" i="1"/>
  <c r="AA43" i="28" s="1"/>
  <c r="R43" i="28"/>
  <c r="R41" i="28"/>
  <c r="U10" i="1"/>
  <c r="J7" i="28" s="1"/>
  <c r="U35" i="1"/>
  <c r="X43" i="28" s="1"/>
  <c r="Z33" i="1"/>
  <c r="AB41" i="28" s="1"/>
  <c r="V33" i="1"/>
  <c r="Y41" i="28" s="1"/>
  <c r="X8" i="1"/>
  <c r="M5" i="28" s="1"/>
  <c r="W8" i="1"/>
  <c r="L5" i="28" s="1"/>
  <c r="D5" i="28"/>
  <c r="U8" i="1"/>
  <c r="J5" i="28" s="1"/>
  <c r="X33" i="1"/>
  <c r="AA41" i="28" s="1"/>
  <c r="U33" i="1"/>
  <c r="X41" i="28" s="1"/>
  <c r="R7" i="28"/>
  <c r="D40" i="28"/>
  <c r="D41" i="28"/>
  <c r="D42" i="28"/>
  <c r="R5" i="28"/>
  <c r="V13" i="1"/>
  <c r="Y5" i="28" s="1"/>
  <c r="Z13" i="1"/>
  <c r="AB5" i="28" s="1"/>
  <c r="U13" i="1"/>
  <c r="X5" i="28" s="1"/>
  <c r="X13" i="1"/>
  <c r="W13" i="1"/>
  <c r="Z5" i="28" s="1"/>
  <c r="Z30" i="1"/>
  <c r="N43" i="28" s="1"/>
  <c r="U30" i="1"/>
  <c r="J43" i="28" s="1"/>
  <c r="X30" i="1"/>
  <c r="M43" i="28" s="1"/>
  <c r="W30" i="1"/>
  <c r="L43" i="28" s="1"/>
  <c r="V30" i="1"/>
  <c r="K43" i="28" s="1"/>
  <c r="X25" i="1"/>
  <c r="AA25" i="28" s="1"/>
  <c r="W25" i="1"/>
  <c r="Z25" i="28" s="1"/>
  <c r="Z25" i="1"/>
  <c r="AB25" i="28" s="1"/>
  <c r="U25" i="1"/>
  <c r="X25" i="28" s="1"/>
  <c r="V25" i="1"/>
  <c r="Y25" i="28" s="1"/>
  <c r="Z27" i="1"/>
  <c r="N40" i="28" s="1"/>
  <c r="U27" i="1"/>
  <c r="J40" i="28" s="1"/>
  <c r="X27" i="1"/>
  <c r="M40" i="28" s="1"/>
  <c r="W27" i="1"/>
  <c r="L40" i="28" s="1"/>
  <c r="V27" i="1"/>
  <c r="K40" i="28" s="1"/>
  <c r="V15" i="1"/>
  <c r="Y7" i="28" s="1"/>
  <c r="Z15" i="1"/>
  <c r="AB7" i="28" s="1"/>
  <c r="U15" i="1"/>
  <c r="X7" i="28" s="1"/>
  <c r="W15" i="1"/>
  <c r="Z7" i="28" s="1"/>
  <c r="X15" i="1"/>
  <c r="AA7" i="28" s="1"/>
  <c r="X22" i="1"/>
  <c r="AA22" i="28" s="1"/>
  <c r="Z22" i="1"/>
  <c r="AB22" i="28" s="1"/>
  <c r="W22" i="1"/>
  <c r="Z22" i="28" s="1"/>
  <c r="U22" i="1"/>
  <c r="V22" i="1"/>
  <c r="Y22" i="28" s="1"/>
  <c r="Z29" i="1"/>
  <c r="U29" i="1"/>
  <c r="V29" i="1"/>
  <c r="X29" i="1"/>
  <c r="W29" i="1"/>
  <c r="D43" i="28"/>
  <c r="Z28" i="1"/>
  <c r="N41" i="28" s="1"/>
  <c r="U28" i="1"/>
  <c r="J41" i="28" s="1"/>
  <c r="X28" i="1"/>
  <c r="M41" i="28" s="1"/>
  <c r="V28" i="1"/>
  <c r="K41" i="28" s="1"/>
  <c r="W28" i="1"/>
  <c r="L41" i="28" s="1"/>
  <c r="V12" i="1"/>
  <c r="Y4" i="28" s="1"/>
  <c r="Z12" i="1"/>
  <c r="AB4" i="28" s="1"/>
  <c r="U12" i="1"/>
  <c r="X12" i="1"/>
  <c r="AA4" i="28" s="1"/>
  <c r="W12" i="1"/>
  <c r="Z4" i="28" s="1"/>
  <c r="X23" i="1"/>
  <c r="AA23" i="28" s="1"/>
  <c r="Z23" i="1"/>
  <c r="AB23" i="28" s="1"/>
  <c r="W23" i="1"/>
  <c r="Z23" i="28" s="1"/>
  <c r="U23" i="1"/>
  <c r="X23" i="28" s="1"/>
  <c r="V23" i="1"/>
  <c r="Y23" i="28" s="1"/>
  <c r="X24" i="1"/>
  <c r="Z24" i="1"/>
  <c r="W24" i="1"/>
  <c r="U24" i="1"/>
  <c r="V24" i="1"/>
  <c r="DJ6" i="2" s="1"/>
  <c r="V14" i="1"/>
  <c r="Z14" i="1"/>
  <c r="U14" i="1"/>
  <c r="X14" i="1"/>
  <c r="W14" i="1"/>
  <c r="DM8" i="2"/>
  <c r="AB42" i="28"/>
  <c r="DM5" i="2"/>
  <c r="N24" i="28"/>
  <c r="DK5" i="2"/>
  <c r="L24" i="28"/>
  <c r="DM3" i="2"/>
  <c r="DK8" i="2"/>
  <c r="Z42" i="28"/>
  <c r="DJ5" i="2"/>
  <c r="K24" i="28"/>
  <c r="DJ8" i="2"/>
  <c r="Y42" i="28"/>
  <c r="R4" i="28"/>
  <c r="DH4" i="2"/>
  <c r="DP4" i="2" s="1"/>
  <c r="R6" i="28"/>
  <c r="R25" i="28"/>
  <c r="R22" i="28"/>
  <c r="R23" i="28"/>
  <c r="R24" i="28"/>
  <c r="DH6" i="2"/>
  <c r="DP6" i="2" s="1"/>
  <c r="DH7" i="2"/>
  <c r="DP7" i="2" s="1"/>
  <c r="AA20" i="1"/>
  <c r="AA7" i="1"/>
  <c r="AA32" i="1"/>
  <c r="AA18" i="1"/>
  <c r="DI8" i="2"/>
  <c r="T34" i="1"/>
  <c r="W42" i="28" s="1"/>
  <c r="AB34" i="1"/>
  <c r="AA17" i="1"/>
  <c r="T20" i="1"/>
  <c r="I25" i="28" s="1"/>
  <c r="AB20" i="1"/>
  <c r="O25" i="28" s="1"/>
  <c r="T18" i="1"/>
  <c r="I23" i="28" s="1"/>
  <c r="AB18" i="1"/>
  <c r="O23" i="28" s="1"/>
  <c r="DI3" i="2"/>
  <c r="T17" i="1"/>
  <c r="AB17" i="1"/>
  <c r="O22" i="28" s="1"/>
  <c r="AB7" i="1"/>
  <c r="O4" i="28" s="1"/>
  <c r="T7" i="1"/>
  <c r="DI5" i="2"/>
  <c r="T19" i="1"/>
  <c r="I24" i="28" s="1"/>
  <c r="AB19" i="1"/>
  <c r="AB35" i="1"/>
  <c r="AC43" i="28" s="1"/>
  <c r="T32" i="1"/>
  <c r="AB32" i="1"/>
  <c r="AC40" i="28" s="1"/>
  <c r="DL8" i="2"/>
  <c r="AA34" i="1"/>
  <c r="DN8" i="2" s="1"/>
  <c r="DL5" i="2"/>
  <c r="AA19" i="1"/>
  <c r="DN5" i="2" s="1"/>
  <c r="L6" i="28" l="1"/>
  <c r="AA9" i="1"/>
  <c r="DN3" i="2" s="1"/>
  <c r="AB9" i="1"/>
  <c r="DO3" i="2" s="1"/>
  <c r="DL3" i="2"/>
  <c r="K6" i="28"/>
  <c r="T9" i="1"/>
  <c r="I6" i="28" s="1"/>
  <c r="T10" i="1"/>
  <c r="I7" i="28" s="1"/>
  <c r="AA35" i="1"/>
  <c r="AB10" i="1"/>
  <c r="O7" i="28" s="1"/>
  <c r="T35" i="1"/>
  <c r="W43" i="28" s="1"/>
  <c r="AA10" i="1"/>
  <c r="AB33" i="1"/>
  <c r="AC41" i="28" s="1"/>
  <c r="T8" i="1"/>
  <c r="I5" i="28" s="1"/>
  <c r="AA33" i="1"/>
  <c r="AA8" i="1"/>
  <c r="T33" i="1"/>
  <c r="W41" i="28" s="1"/>
  <c r="AB8" i="1"/>
  <c r="O5" i="28" s="1"/>
  <c r="Y24" i="28"/>
  <c r="W40" i="28"/>
  <c r="I22" i="28"/>
  <c r="G47" i="1"/>
  <c r="G55" i="1" s="1"/>
  <c r="J57" i="1" s="1"/>
  <c r="J44" i="1"/>
  <c r="AL11" i="28" s="1"/>
  <c r="I4" i="28"/>
  <c r="DO5" i="2"/>
  <c r="O24" i="28"/>
  <c r="DK6" i="2"/>
  <c r="Z24" i="28"/>
  <c r="DO8" i="2"/>
  <c r="AC42" i="28"/>
  <c r="DL7" i="2"/>
  <c r="M42" i="28"/>
  <c r="DJ7" i="2"/>
  <c r="K42" i="28"/>
  <c r="DM6" i="2"/>
  <c r="AB24" i="28"/>
  <c r="DL4" i="2"/>
  <c r="AA6" i="28"/>
  <c r="AA13" i="1"/>
  <c r="AA5" i="28"/>
  <c r="DJ4" i="2"/>
  <c r="Y6" i="28"/>
  <c r="DM7" i="2"/>
  <c r="N42" i="28"/>
  <c r="DL6" i="2"/>
  <c r="AA24" i="28"/>
  <c r="DM4" i="2"/>
  <c r="AB6" i="28"/>
  <c r="AB12" i="1"/>
  <c r="AC4" i="28" s="1"/>
  <c r="X4" i="28"/>
  <c r="DK7" i="2"/>
  <c r="L42" i="28"/>
  <c r="DI6" i="2"/>
  <c r="X24" i="28"/>
  <c r="AB22" i="1"/>
  <c r="AC22" i="28" s="1"/>
  <c r="X22" i="28"/>
  <c r="DK4" i="2"/>
  <c r="Z6" i="28"/>
  <c r="DI4" i="2"/>
  <c r="X6" i="28"/>
  <c r="DI7" i="2"/>
  <c r="J42" i="28"/>
  <c r="AA12" i="1"/>
  <c r="T15" i="1"/>
  <c r="W7" i="28" s="1"/>
  <c r="AB15" i="1"/>
  <c r="AC7" i="28" s="1"/>
  <c r="AA15" i="1"/>
  <c r="T12" i="1"/>
  <c r="T13" i="1"/>
  <c r="W5" i="28" s="1"/>
  <c r="AB14" i="1"/>
  <c r="AB13" i="1"/>
  <c r="AC5" i="28" s="1"/>
  <c r="T14" i="1"/>
  <c r="W6" i="28" s="1"/>
  <c r="AA14" i="1"/>
  <c r="DN4" i="2" s="1"/>
  <c r="T22" i="1"/>
  <c r="AA24" i="1"/>
  <c r="DN6" i="2" s="1"/>
  <c r="AB24" i="1"/>
  <c r="T24" i="1"/>
  <c r="W24" i="28" s="1"/>
  <c r="AA23" i="1"/>
  <c r="T23" i="1"/>
  <c r="W23" i="28" s="1"/>
  <c r="AA22" i="1"/>
  <c r="AB23" i="1"/>
  <c r="AC23" i="28" s="1"/>
  <c r="AB25" i="1"/>
  <c r="AC25" i="28" s="1"/>
  <c r="AA25" i="1"/>
  <c r="T25" i="1"/>
  <c r="W25" i="28" s="1"/>
  <c r="AA27" i="1"/>
  <c r="T28" i="1"/>
  <c r="I41" i="28" s="1"/>
  <c r="AA28" i="1"/>
  <c r="AA30" i="1"/>
  <c r="AB30" i="1"/>
  <c r="O43" i="28" s="1"/>
  <c r="T30" i="1"/>
  <c r="I43" i="28" s="1"/>
  <c r="AB29" i="1"/>
  <c r="T29" i="1"/>
  <c r="I42" i="28" s="1"/>
  <c r="AA29" i="1"/>
  <c r="DN7" i="2" s="1"/>
  <c r="AB28" i="1"/>
  <c r="O41" i="28" s="1"/>
  <c r="T27" i="1"/>
  <c r="AB27" i="1"/>
  <c r="O40" i="28" s="1"/>
  <c r="O6" i="28" l="1"/>
  <c r="J51" i="1"/>
  <c r="AL32" i="28" s="1"/>
  <c r="G45" i="1"/>
  <c r="J55" i="1" s="1"/>
  <c r="G44" i="1"/>
  <c r="AE11" i="28" s="1"/>
  <c r="G48" i="1"/>
  <c r="G53" i="1" s="1"/>
  <c r="J56" i="1" s="1"/>
  <c r="W22" i="28"/>
  <c r="G51" i="1"/>
  <c r="J54" i="1" s="1"/>
  <c r="G49" i="1"/>
  <c r="J53" i="1" s="1"/>
  <c r="W4" i="28"/>
  <c r="J45" i="1"/>
  <c r="AL14" i="28" s="1"/>
  <c r="G46" i="1"/>
  <c r="G52" i="1" s="1"/>
  <c r="G56" i="1" s="1"/>
  <c r="G58" i="1" s="1"/>
  <c r="O48" i="1" s="1"/>
  <c r="I40" i="28"/>
  <c r="G50" i="1"/>
  <c r="G54" i="1" s="1"/>
  <c r="G57" i="1" s="1"/>
  <c r="J58" i="1" s="1"/>
  <c r="J49" i="1"/>
  <c r="AL26" i="28" s="1"/>
  <c r="DO6" i="2"/>
  <c r="AC24" i="28"/>
  <c r="DO4" i="2"/>
  <c r="AC6" i="28"/>
  <c r="DO7" i="2"/>
  <c r="O42" i="28"/>
  <c r="AE23" i="28"/>
  <c r="AL36" i="28"/>
  <c r="AE20" i="28"/>
  <c r="AE14" i="28" l="1"/>
  <c r="DQ7" i="2"/>
  <c r="DQ5" i="2"/>
  <c r="DQ6" i="2"/>
  <c r="DQ8" i="2"/>
  <c r="DQ4" i="2"/>
  <c r="DQ3" i="2"/>
  <c r="AE29" i="28"/>
  <c r="AE17" i="28"/>
  <c r="AE32" i="28"/>
  <c r="AL42" i="28"/>
  <c r="AE26" i="28"/>
  <c r="AL39" i="28"/>
  <c r="AL45" i="28"/>
  <c r="DT7" i="2" l="1"/>
  <c r="DT6" i="2"/>
  <c r="DR5" i="2"/>
  <c r="DR4" i="2"/>
  <c r="DS3" i="2"/>
  <c r="DR3" i="2"/>
  <c r="DS8" i="2"/>
  <c r="DR7" i="2"/>
  <c r="DT4" i="2"/>
  <c r="DT8" i="2"/>
  <c r="DS7" i="2"/>
  <c r="DS6" i="2"/>
  <c r="DR6" i="2"/>
  <c r="DT5" i="2"/>
  <c r="DS4" i="2"/>
  <c r="DS5" i="2"/>
  <c r="DT3" i="2"/>
  <c r="DR8" i="2"/>
  <c r="DU8" i="2" l="1"/>
  <c r="DU5" i="2"/>
  <c r="DU6" i="2"/>
  <c r="DU4" i="2"/>
  <c r="DU3" i="2"/>
  <c r="DU7" i="2"/>
  <c r="AC40" i="1" l="1"/>
  <c r="DR12" i="2" s="1"/>
  <c r="DR18" i="2" s="1"/>
  <c r="P40" i="1"/>
  <c r="AS5" i="28" s="1"/>
  <c r="P44" i="1"/>
  <c r="U44" i="1" s="1"/>
  <c r="AC41" i="1"/>
  <c r="DS12" i="2" s="1"/>
  <c r="DS26" i="2" s="1"/>
  <c r="P41" i="1"/>
  <c r="Z41" i="1" s="1"/>
  <c r="AC42" i="1"/>
  <c r="DT12" i="2" s="1"/>
  <c r="DT15" i="2" s="1"/>
  <c r="P43" i="1"/>
  <c r="V43" i="1" s="1"/>
  <c r="P42" i="1"/>
  <c r="X42" i="1" s="1"/>
  <c r="AC39" i="1"/>
  <c r="DQ12" i="2" s="1"/>
  <c r="DQ23" i="2" s="1"/>
  <c r="AC44" i="1"/>
  <c r="P39" i="1"/>
  <c r="U39" i="1" s="1"/>
  <c r="AC43" i="1"/>
  <c r="DR20" i="2" l="1"/>
  <c r="AA44" i="1"/>
  <c r="DR22" i="2"/>
  <c r="Z44" i="1"/>
  <c r="AA43" i="1"/>
  <c r="AS6" i="28"/>
  <c r="AS4" i="28"/>
  <c r="Z40" i="1"/>
  <c r="W41" i="1"/>
  <c r="W40" i="1"/>
  <c r="AA40" i="1"/>
  <c r="DR25" i="2"/>
  <c r="T40" i="1"/>
  <c r="DR15" i="2"/>
  <c r="U43" i="1"/>
  <c r="T39" i="1"/>
  <c r="DS24" i="2"/>
  <c r="DR21" i="2"/>
  <c r="DR17" i="2"/>
  <c r="DR24" i="2"/>
  <c r="DR26" i="2"/>
  <c r="DR27" i="2"/>
  <c r="DR23" i="2"/>
  <c r="DR16" i="2"/>
  <c r="Z39" i="1"/>
  <c r="DR14" i="2"/>
  <c r="DR19" i="2"/>
  <c r="DR13" i="2"/>
  <c r="AS7" i="28"/>
  <c r="V42" i="1"/>
  <c r="DS21" i="2"/>
  <c r="U42" i="1"/>
  <c r="DS27" i="2"/>
  <c r="DS20" i="2"/>
  <c r="W42" i="1"/>
  <c r="DS14" i="2"/>
  <c r="DS15" i="2"/>
  <c r="AB42" i="1"/>
  <c r="DS19" i="2"/>
  <c r="DS22" i="2"/>
  <c r="T42" i="1"/>
  <c r="Z42" i="1"/>
  <c r="V41" i="1"/>
  <c r="DS18" i="2"/>
  <c r="DS23" i="2"/>
  <c r="DS17" i="2"/>
  <c r="AA42" i="1"/>
  <c r="DS13" i="2"/>
  <c r="DS16" i="2"/>
  <c r="DS25" i="2"/>
  <c r="DQ20" i="2"/>
  <c r="DQ25" i="2"/>
  <c r="DQ13" i="2"/>
  <c r="DQ24" i="2"/>
  <c r="AB41" i="1"/>
  <c r="AA41" i="1"/>
  <c r="DQ15" i="2"/>
  <c r="DQ14" i="2"/>
  <c r="DQ19" i="2"/>
  <c r="DQ27" i="2"/>
  <c r="T41" i="1"/>
  <c r="U41" i="1"/>
  <c r="DQ26" i="2"/>
  <c r="DQ16" i="2"/>
  <c r="DQ21" i="2"/>
  <c r="X41" i="1"/>
  <c r="DQ17" i="2"/>
  <c r="DQ22" i="2"/>
  <c r="DQ18" i="2"/>
  <c r="AB43" i="1"/>
  <c r="V44" i="1"/>
  <c r="T43" i="1"/>
  <c r="W43" i="1"/>
  <c r="W44" i="1"/>
  <c r="X44" i="1"/>
  <c r="AB40" i="1"/>
  <c r="X40" i="1"/>
  <c r="AB39" i="1"/>
  <c r="AA39" i="1"/>
  <c r="DT22" i="2"/>
  <c r="Z43" i="1"/>
  <c r="T44" i="1"/>
  <c r="W39" i="1"/>
  <c r="X39" i="1"/>
  <c r="X43" i="1"/>
  <c r="AB44" i="1"/>
  <c r="V40" i="1"/>
  <c r="U40" i="1"/>
  <c r="V39" i="1"/>
  <c r="DT23" i="2"/>
  <c r="DT17" i="2"/>
  <c r="DT18" i="2"/>
  <c r="DT24" i="2"/>
  <c r="DT20" i="2"/>
  <c r="DT25" i="2"/>
  <c r="DT26" i="2"/>
  <c r="DT14" i="2"/>
  <c r="DT19" i="2"/>
  <c r="DT27" i="2"/>
  <c r="DT13" i="2"/>
  <c r="DT16" i="2"/>
  <c r="DT21" i="2"/>
  <c r="DU15" i="2" l="1"/>
  <c r="DU25" i="2"/>
  <c r="DU17" i="2"/>
  <c r="DU13" i="2"/>
  <c r="DU26" i="2"/>
  <c r="DU18" i="2"/>
  <c r="DU21" i="2"/>
  <c r="DU20" i="2"/>
  <c r="DU23" i="2"/>
  <c r="DU24" i="2"/>
  <c r="DU22" i="2"/>
  <c r="DU27" i="2"/>
  <c r="DU19" i="2"/>
  <c r="DU16" i="2"/>
  <c r="DU14" i="2"/>
  <c r="J46" i="1"/>
  <c r="AL17" i="28" s="1"/>
  <c r="J50" i="1"/>
  <c r="AL29" i="28" s="1"/>
  <c r="J48" i="1"/>
  <c r="AL23" i="28" s="1"/>
  <c r="J47" i="1"/>
  <c r="AE45" i="28" l="1"/>
  <c r="AL52" i="28"/>
  <c r="AL20" i="28"/>
  <c r="AE39" i="28"/>
  <c r="AE42" i="28" l="1"/>
  <c r="AE36" i="28"/>
  <c r="AL49" i="28"/>
  <c r="AE49" i="28" l="1"/>
  <c r="AE52" i="28"/>
  <c r="AL56" i="28"/>
  <c r="AE56" i="28" l="1"/>
  <c r="R58" i="28"/>
</calcChain>
</file>

<file path=xl/sharedStrings.xml><?xml version="1.0" encoding="utf-8"?>
<sst xmlns="http://schemas.openxmlformats.org/spreadsheetml/2006/main" count="1738" uniqueCount="940">
  <si>
    <t>P</t>
  </si>
  <si>
    <t>England</t>
  </si>
  <si>
    <t>Group</t>
  </si>
  <si>
    <t>B</t>
  </si>
  <si>
    <t>C</t>
  </si>
  <si>
    <t>Standings</t>
  </si>
  <si>
    <t>Score</t>
  </si>
  <si>
    <t>Final</t>
  </si>
  <si>
    <t>Date</t>
  </si>
  <si>
    <t>Time</t>
  </si>
  <si>
    <t>Italy</t>
  </si>
  <si>
    <t>France</t>
  </si>
  <si>
    <t>W</t>
  </si>
  <si>
    <t>D</t>
  </si>
  <si>
    <t>L</t>
  </si>
  <si>
    <t>A</t>
  </si>
  <si>
    <t>Country</t>
  </si>
  <si>
    <t>-</t>
  </si>
  <si>
    <t>Venue</t>
  </si>
  <si>
    <t>Scotland</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</si>
  <si>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</si>
  <si>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</si>
  <si>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</si>
  <si>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</si>
  <si>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</si>
  <si>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</si>
  <si>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</si>
  <si>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</si>
  <si>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</si>
  <si>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</si>
  <si>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</si>
  <si>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</si>
  <si>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</si>
  <si>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</si>
  <si>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</si>
  <si>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</si>
  <si>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</si>
  <si>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</si>
  <si>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</si>
  <si>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</si>
  <si>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</si>
  <si>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</si>
  <si>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</si>
  <si>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</si>
  <si>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</si>
  <si>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1B</t>
  </si>
  <si>
    <t>1C</t>
  </si>
  <si>
    <t>Four best 3rd-placed teams combination</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</si>
  <si>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</si>
  <si>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</si>
  <si>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</si>
  <si>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</si>
  <si>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</si>
  <si>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</si>
  <si>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</si>
  <si>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</si>
  <si>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</si>
  <si>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</si>
  <si>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</si>
  <si>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</si>
  <si>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</si>
  <si>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</si>
  <si>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</si>
  <si>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</si>
  <si>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</si>
  <si>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</si>
  <si>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</si>
  <si>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</si>
  <si>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</si>
  <si>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</si>
  <si>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</si>
  <si>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</si>
  <si>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</si>
  <si>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</si>
  <si>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</si>
  <si>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</si>
  <si>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</si>
  <si>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</si>
  <si>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</si>
  <si>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</si>
  <si>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</si>
  <si>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</si>
  <si>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</si>
  <si>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</si>
  <si>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</si>
  <si>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</si>
  <si>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</si>
  <si>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</si>
  <si>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</si>
  <si>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</si>
  <si>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</si>
  <si>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</si>
  <si>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B7</t>
  </si>
  <si>
    <t>B8</t>
  </si>
  <si>
    <t>B9</t>
  </si>
  <si>
    <t>B10</t>
  </si>
  <si>
    <t>B11</t>
  </si>
  <si>
    <t>B12</t>
  </si>
  <si>
    <t>B13</t>
  </si>
  <si>
    <t>B14</t>
  </si>
  <si>
    <t>B15</t>
  </si>
  <si>
    <t>B16</t>
  </si>
  <si>
    <t>B17</t>
  </si>
  <si>
    <t>B18</t>
  </si>
  <si>
    <t>B19</t>
  </si>
  <si>
    <t>B20</t>
  </si>
  <si>
    <t>B21</t>
  </si>
  <si>
    <t>B22</t>
  </si>
  <si>
    <t>E</t>
  </si>
  <si>
    <t>B23</t>
  </si>
  <si>
    <t>B24</t>
  </si>
  <si>
    <t>B25</t>
  </si>
  <si>
    <t>B26</t>
  </si>
  <si>
    <t>F</t>
  </si>
  <si>
    <t>B27</t>
  </si>
  <si>
    <t>B28</t>
  </si>
  <si>
    <t>B29</t>
  </si>
  <si>
    <t>B30</t>
  </si>
  <si>
    <t>G</t>
  </si>
  <si>
    <t>H</t>
  </si>
  <si>
    <t>Country Language</t>
  </si>
  <si>
    <t>English</t>
  </si>
  <si>
    <t>French</t>
  </si>
  <si>
    <t>German/Deutsch</t>
  </si>
  <si>
    <t>Italian</t>
  </si>
  <si>
    <t>Spanish</t>
  </si>
  <si>
    <t>Croatie</t>
  </si>
  <si>
    <t>Kroatien</t>
  </si>
  <si>
    <t>Croazia</t>
  </si>
  <si>
    <t>Croacia</t>
  </si>
  <si>
    <t>Spanien</t>
  </si>
  <si>
    <t>Spagna</t>
  </si>
  <si>
    <t>España</t>
  </si>
  <si>
    <t>Angleterre</t>
  </si>
  <si>
    <t>Inghilterra</t>
  </si>
  <si>
    <t>Inglaterra</t>
  </si>
  <si>
    <t>Italie</t>
  </si>
  <si>
    <t>Italien</t>
  </si>
  <si>
    <t>Italia</t>
  </si>
  <si>
    <t>Suisse</t>
  </si>
  <si>
    <t>Schweiz</t>
  </si>
  <si>
    <t>Svizzera</t>
  </si>
  <si>
    <t>Suiza</t>
  </si>
  <si>
    <t>Frankreich</t>
  </si>
  <si>
    <t>Francia</t>
  </si>
  <si>
    <t>Langue</t>
  </si>
  <si>
    <t>Sprache</t>
  </si>
  <si>
    <t>Fuseau horaire</t>
  </si>
  <si>
    <t>Zeitzone</t>
  </si>
  <si>
    <t>Fuso orario</t>
  </si>
  <si>
    <t>Gruppenphase</t>
  </si>
  <si>
    <t>Classements</t>
  </si>
  <si>
    <t>Groupe</t>
  </si>
  <si>
    <t>Gruppe</t>
  </si>
  <si>
    <t>Gruppo</t>
  </si>
  <si>
    <t>Grupo</t>
  </si>
  <si>
    <t>Datum</t>
  </si>
  <si>
    <t>Data</t>
  </si>
  <si>
    <t>Fecha</t>
  </si>
  <si>
    <t>Land</t>
  </si>
  <si>
    <t>Pays</t>
  </si>
  <si>
    <t>Nazione</t>
  </si>
  <si>
    <t>País</t>
  </si>
  <si>
    <t>Ergebnis</t>
  </si>
  <si>
    <t>Hora</t>
  </si>
  <si>
    <t>Quarts de finale</t>
  </si>
  <si>
    <t>Quarti di finale</t>
  </si>
  <si>
    <t>Cuartos de final</t>
  </si>
  <si>
    <t>Demi-finales</t>
  </si>
  <si>
    <t>Semifinale</t>
  </si>
  <si>
    <t>Semifinales</t>
  </si>
  <si>
    <t>Finale</t>
  </si>
  <si>
    <t>Gagnant</t>
  </si>
  <si>
    <t>Vincitore</t>
  </si>
  <si>
    <t>Ganador</t>
  </si>
  <si>
    <t>Subcampeón</t>
  </si>
  <si>
    <t>Elfmeterschießen</t>
  </si>
  <si>
    <t>Campione</t>
  </si>
  <si>
    <t>Campeón</t>
  </si>
  <si>
    <t>Spiel #</t>
  </si>
  <si>
    <t>Groupe C Vainqueur</t>
  </si>
  <si>
    <t>Groupe D Vainqueur</t>
  </si>
  <si>
    <t>Groupe F Vainqueur</t>
  </si>
  <si>
    <t>Pts Rank</t>
  </si>
  <si>
    <t>GD Rank</t>
  </si>
  <si>
    <t>GS Rank</t>
  </si>
  <si>
    <t>Koef Rank</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</si>
  <si>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</si>
  <si>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</si>
  <si>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</si>
  <si>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</si>
  <si>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</si>
  <si>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</si>
  <si>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</si>
  <si>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</si>
  <si>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</si>
  <si>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</si>
  <si>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</si>
  <si>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</si>
  <si>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</si>
  <si>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</si>
  <si>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</si>
  <si>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</si>
  <si>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</si>
  <si>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Temps</t>
  </si>
  <si>
    <t>Ronda de 16</t>
  </si>
  <si>
    <t>Per</t>
  </si>
  <si>
    <t>Belgien</t>
  </si>
  <si>
    <t>Ungarn</t>
  </si>
  <si>
    <t>Gruppe A Runner Up</t>
  </si>
  <si>
    <t>Gruppe B Runner Up</t>
  </si>
  <si>
    <t>Gruppe C Runner Up</t>
  </si>
  <si>
    <t>Gruppe D Runner Up</t>
  </si>
  <si>
    <t>Gruppe E Runner Up</t>
  </si>
  <si>
    <t>Gruppe F Runner Up</t>
  </si>
  <si>
    <t>Gruppe A</t>
  </si>
  <si>
    <t>Gruppe B</t>
  </si>
  <si>
    <t>Gruppe C</t>
  </si>
  <si>
    <t>Gruppe D</t>
  </si>
  <si>
    <t>Gruppe E</t>
  </si>
  <si>
    <t>Gruppe F</t>
  </si>
  <si>
    <t>Slovaquie</t>
  </si>
  <si>
    <t>Belgique</t>
  </si>
  <si>
    <t>le Portugal</t>
  </si>
  <si>
    <t>Hongrie</t>
  </si>
  <si>
    <t>Phase de groupes</t>
  </si>
  <si>
    <t>Lieu</t>
  </si>
  <si>
    <t>date</t>
  </si>
  <si>
    <t>But</t>
  </si>
  <si>
    <t>Cycle de 16</t>
  </si>
  <si>
    <t>Finaliste</t>
  </si>
  <si>
    <t>Durée normale</t>
  </si>
  <si>
    <t>Du temps en plus</t>
  </si>
  <si>
    <t>Tir au pénalty</t>
  </si>
  <si>
    <t>Rencontre #</t>
  </si>
  <si>
    <t>Vainqueur du groupe A</t>
  </si>
  <si>
    <t>Vainqueur du groupe B</t>
  </si>
  <si>
    <t>Vainqueur Groupe E</t>
  </si>
  <si>
    <t>Groupe A Runner Up</t>
  </si>
  <si>
    <t>Groupe B Runner Up</t>
  </si>
  <si>
    <t>Groupe C Runner Up</t>
  </si>
  <si>
    <t>Groupe D Runner Up</t>
  </si>
  <si>
    <t>Groupe E Runner Up</t>
  </si>
  <si>
    <t>Groupe F Runner Up</t>
  </si>
  <si>
    <t>Vainqueur match 37</t>
  </si>
  <si>
    <t>Vainqueur match 38</t>
  </si>
  <si>
    <t>Vainqueur match 39</t>
  </si>
  <si>
    <t>Vainqueur match 40</t>
  </si>
  <si>
    <t>Vainqueur match 41</t>
  </si>
  <si>
    <t>Vainqueur match 42</t>
  </si>
  <si>
    <t>Vainqueur match 43</t>
  </si>
  <si>
    <t>Vainqueur match 44</t>
  </si>
  <si>
    <t>Vainqueur match 45</t>
  </si>
  <si>
    <t>Vainqueur match 46</t>
  </si>
  <si>
    <t>Vainqueur match 47</t>
  </si>
  <si>
    <t>Vainqueur match 48</t>
  </si>
  <si>
    <t>Vainqueur match 49</t>
  </si>
  <si>
    <t>Vainqueur match 50</t>
  </si>
  <si>
    <t>Vainqueur match 51</t>
  </si>
  <si>
    <t>Groupe A</t>
  </si>
  <si>
    <t>Groupe B</t>
  </si>
  <si>
    <t>Groupe C</t>
  </si>
  <si>
    <t>Groupe D</t>
  </si>
  <si>
    <t>Groupe E</t>
  </si>
  <si>
    <t>Groupe F</t>
  </si>
  <si>
    <t>Gagner</t>
  </si>
  <si>
    <t>Dessiner</t>
  </si>
  <si>
    <t>Perdre</t>
  </si>
  <si>
    <t>Pour</t>
  </si>
  <si>
    <t>Contre</t>
  </si>
  <si>
    <t>Des points</t>
  </si>
  <si>
    <t>Knock Out rounds</t>
  </si>
  <si>
    <t>Groupe A-F Troisième place Classements</t>
  </si>
  <si>
    <t>Slowakei</t>
  </si>
  <si>
    <t>Deutschland</t>
  </si>
  <si>
    <t>Tschechien</t>
  </si>
  <si>
    <t>Österreich</t>
  </si>
  <si>
    <t>Tagungsort</t>
  </si>
  <si>
    <t>Platzierungen</t>
  </si>
  <si>
    <t>Zeit</t>
  </si>
  <si>
    <t>Runde der letzten 16</t>
  </si>
  <si>
    <t>Viertel Finale</t>
  </si>
  <si>
    <t>Gewinner</t>
  </si>
  <si>
    <t>Verfolger, Zweitplatzierter, Vizemeister</t>
  </si>
  <si>
    <t>Normalzeit</t>
  </si>
  <si>
    <t>Extra Zeit</t>
  </si>
  <si>
    <t>Gruppe A Winner</t>
  </si>
  <si>
    <t>Gruppe B Sieger</t>
  </si>
  <si>
    <t>Gruppe C Sieger</t>
  </si>
  <si>
    <t>Gruppe D Sieger</t>
  </si>
  <si>
    <t>Gruppe E Gewinner</t>
  </si>
  <si>
    <t>Gruppe F Winner</t>
  </si>
  <si>
    <t>Spiel 37 Sieger</t>
  </si>
  <si>
    <t>Spiel 38 Sieger</t>
  </si>
  <si>
    <t>Spiel 39 Sieger</t>
  </si>
  <si>
    <t>Spiel 40 Sieger</t>
  </si>
  <si>
    <t>Spiel 41 Sieger</t>
  </si>
  <si>
    <t>Spiel 42 Sieger</t>
  </si>
  <si>
    <t>Spiel 43 Sieger</t>
  </si>
  <si>
    <t>Spiel 44 Sieger</t>
  </si>
  <si>
    <t>Spiel 45 Sieger</t>
  </si>
  <si>
    <t>Spiel 46 Sieger</t>
  </si>
  <si>
    <t>Spiel 47 Sieger</t>
  </si>
  <si>
    <t>Spiel 48 Sieger</t>
  </si>
  <si>
    <t>Spiel 49 Sieger</t>
  </si>
  <si>
    <t>Spiel 50 Sieger</t>
  </si>
  <si>
    <t>Spiel 51 Sieger</t>
  </si>
  <si>
    <t>Gewinnen</t>
  </si>
  <si>
    <t>Zeichnen</t>
  </si>
  <si>
    <t>Verlieren</t>
  </si>
  <si>
    <t>Für</t>
  </si>
  <si>
    <t>Gegen</t>
  </si>
  <si>
    <t>Punkte</t>
  </si>
  <si>
    <t>Knock Out Runden</t>
  </si>
  <si>
    <t>Gruppe A-F Dritter Platz Entwicklung</t>
  </si>
  <si>
    <t>Slovacchia</t>
  </si>
  <si>
    <t>Germania</t>
  </si>
  <si>
    <t>Belgio</t>
  </si>
  <si>
    <t>Portogallo</t>
  </si>
  <si>
    <t>Ungheria</t>
  </si>
  <si>
    <t>Lingua</t>
  </si>
  <si>
    <t>Stadi di gruppo</t>
  </si>
  <si>
    <t>Sede</t>
  </si>
  <si>
    <t>Classifiche</t>
  </si>
  <si>
    <t>Punto</t>
  </si>
  <si>
    <t>Orario</t>
  </si>
  <si>
    <t>Ottavi di 16</t>
  </si>
  <si>
    <t>Semifinali</t>
  </si>
  <si>
    <t>Definitivo</t>
  </si>
  <si>
    <t>Secondo classificato</t>
  </si>
  <si>
    <t>Tempo normale</t>
  </si>
  <si>
    <t>Tempo extra</t>
  </si>
  <si>
    <t>Calcio di rigore</t>
  </si>
  <si>
    <t>Incontro #</t>
  </si>
  <si>
    <t>Gruppo A Vincitore</t>
  </si>
  <si>
    <t>Gruppo B Vincitore</t>
  </si>
  <si>
    <t>Gruppo C Vincitore</t>
  </si>
  <si>
    <t>Vincitore Gruppo D</t>
  </si>
  <si>
    <t>Vincitore Gruppo E</t>
  </si>
  <si>
    <t>Vincitore Gruppo F</t>
  </si>
  <si>
    <t>Gruppo A Runner Up</t>
  </si>
  <si>
    <t>Gruppo B Runner Up</t>
  </si>
  <si>
    <t>Gruppo C Runner Up</t>
  </si>
  <si>
    <t>Gruppo D Runner Up</t>
  </si>
  <si>
    <t>Gruppo E Runner Up</t>
  </si>
  <si>
    <t>Gruppo F Runner Up</t>
  </si>
  <si>
    <t>Partita 37 Vincitore</t>
  </si>
  <si>
    <t>Partita 38 Vincitore</t>
  </si>
  <si>
    <t>Partita 39 Vincitore</t>
  </si>
  <si>
    <t>Partita 40 Vincitore</t>
  </si>
  <si>
    <t>Partita 41 Vincitore</t>
  </si>
  <si>
    <t>Partita 42 Vincitore</t>
  </si>
  <si>
    <t>Partita 43 Vincitore</t>
  </si>
  <si>
    <t>Partita 44 Vincitore</t>
  </si>
  <si>
    <t>Partita 45 Vincitore</t>
  </si>
  <si>
    <t>Partita 46 Vincitore</t>
  </si>
  <si>
    <t>Partita 47 Vincitore</t>
  </si>
  <si>
    <t>Partita 48 Vincitore</t>
  </si>
  <si>
    <t>Partita 49 Vincitore</t>
  </si>
  <si>
    <t>Partita 50 Vincitore</t>
  </si>
  <si>
    <t>Partita 51 Vincitore</t>
  </si>
  <si>
    <t>Gruppo A</t>
  </si>
  <si>
    <t>Gruppo B</t>
  </si>
  <si>
    <t>Gruppo C</t>
  </si>
  <si>
    <t>Gruppo D</t>
  </si>
  <si>
    <t>Gruppo E</t>
  </si>
  <si>
    <t>Gruppo F</t>
  </si>
  <si>
    <t>Vincere</t>
  </si>
  <si>
    <t>Disegnare</t>
  </si>
  <si>
    <t>Perdere</t>
  </si>
  <si>
    <t>Contro</t>
  </si>
  <si>
    <t>Punti</t>
  </si>
  <si>
    <t>Gruppo A-F Third Place Classifiche</t>
  </si>
  <si>
    <t>Bélgica</t>
  </si>
  <si>
    <t>Grupo A</t>
  </si>
  <si>
    <t>Grupo B</t>
  </si>
  <si>
    <t>Grupo C</t>
  </si>
  <si>
    <t>Grupo D</t>
  </si>
  <si>
    <t>Grupo E</t>
  </si>
  <si>
    <t>Grupo F</t>
  </si>
  <si>
    <t>Perder</t>
  </si>
  <si>
    <t>Eslovaquia</t>
  </si>
  <si>
    <t>Alemania</t>
  </si>
  <si>
    <t>Hungría</t>
  </si>
  <si>
    <t>idioma</t>
  </si>
  <si>
    <t>Zona horaria</t>
  </si>
  <si>
    <t>Etapas del Grupo</t>
  </si>
  <si>
    <t>Lugar de encuentro</t>
  </si>
  <si>
    <t>Tabla de posiciones</t>
  </si>
  <si>
    <t>Puntuación</t>
  </si>
  <si>
    <t>Tiempo normal</t>
  </si>
  <si>
    <t>Tiempo adicional</t>
  </si>
  <si>
    <t>Juego #</t>
  </si>
  <si>
    <t>Grupo A Ganador</t>
  </si>
  <si>
    <t>Grupo B Ganador</t>
  </si>
  <si>
    <t>Grupo C Ganador</t>
  </si>
  <si>
    <t>Grupo D Ganador</t>
  </si>
  <si>
    <t>Grupo E Ganador</t>
  </si>
  <si>
    <t>Grupo F Ganador</t>
  </si>
  <si>
    <t>Grupo A Finalista</t>
  </si>
  <si>
    <t>Grupo B Finalista</t>
  </si>
  <si>
    <t>Grupo C Finalista</t>
  </si>
  <si>
    <t>Grupo D Finalista</t>
  </si>
  <si>
    <t>Grupo E Finalista</t>
  </si>
  <si>
    <t>Grupo F Finalista</t>
  </si>
  <si>
    <t>Partido 37 Ganador</t>
  </si>
  <si>
    <t>Partido 38 Ganador</t>
  </si>
  <si>
    <t>Partido 39 Ganador</t>
  </si>
  <si>
    <t>Partido 40 Ganador</t>
  </si>
  <si>
    <t>Partido 41 Ganador</t>
  </si>
  <si>
    <t>Partido 42 Ganador</t>
  </si>
  <si>
    <t>Partido 43 Ganador</t>
  </si>
  <si>
    <t>Partido 44 Ganador</t>
  </si>
  <si>
    <t>Partido 45 Ganador</t>
  </si>
  <si>
    <t>Partido 46 Ganador</t>
  </si>
  <si>
    <t>Partido 47 Ganador</t>
  </si>
  <si>
    <t>Partido 48 Ganador</t>
  </si>
  <si>
    <t>Partido 49 Ganador</t>
  </si>
  <si>
    <t>Partido 50 Ganador</t>
  </si>
  <si>
    <t>Partido 51 Ganador</t>
  </si>
  <si>
    <t>Ganar</t>
  </si>
  <si>
    <t>Dibujar</t>
  </si>
  <si>
    <t>por</t>
  </si>
  <si>
    <t>En contra</t>
  </si>
  <si>
    <t>Puntos</t>
  </si>
  <si>
    <t>Knock Out Rondas</t>
  </si>
  <si>
    <t>Grupo A-F Tercer Lugar Clasificación</t>
  </si>
  <si>
    <t>Original Language (English)</t>
  </si>
  <si>
    <t>Y</t>
  </si>
  <si>
    <t>table rank-1 2</t>
  </si>
  <si>
    <t>table rank-2 2</t>
  </si>
  <si>
    <t>all the same</t>
  </si>
  <si>
    <t>points</t>
  </si>
  <si>
    <t>Turquie</t>
  </si>
  <si>
    <t>Turchia</t>
  </si>
  <si>
    <t>1E</t>
  </si>
  <si>
    <t>1F</t>
  </si>
  <si>
    <t>M#</t>
  </si>
  <si>
    <t>Group D/E/F 3rd Place</t>
  </si>
  <si>
    <t>Group A/D/E/F 3rd Place</t>
  </si>
  <si>
    <t>Group A/B/C 3rd Place</t>
  </si>
  <si>
    <t>Group A/B/C/D 3rd Place</t>
  </si>
  <si>
    <t>PSO</t>
  </si>
  <si>
    <t>Denmark</t>
  </si>
  <si>
    <t>Netherlands</t>
  </si>
  <si>
    <t>1. Higher number of points obtained in the matches played between the teams in question;</t>
  </si>
  <si>
    <t>2. Superior goal difference resulting from the matches played between the teams in question;</t>
  </si>
  <si>
    <t>3. Higher number of goals scored in the matches played between the teams in question;</t>
  </si>
  <si>
    <t>4. If, after having applied criteria 1 to 3, teams still have an equal ranking, criteria 1 to 3 are reapplied exclusively to the matches between the teams who are still level to determine their final rankings.[a] If this procedure does not lead to a decision, criteria 5 to 10 apply;</t>
  </si>
  <si>
    <t>5. Superior goal difference in all group matches;</t>
  </si>
  <si>
    <t>6. Higher number of goals scored in all group matches;</t>
  </si>
  <si>
    <t>8. If on the last round of the group stage, two teams are facing each other and each has the same number of points, as well as the same number of goals scored and conceded, and the score finishes level in their match, their ranking is determined by a penalty shoot-out. (This criterion is not used if more than two teams have the same number of points.);</t>
  </si>
  <si>
    <t>9. Lower disciplinary points total in all group matches (1 point for a single yellow card, 3 points for a red card as a consequence of two yellow cards, 3 points for a direct red card, 4 points for a yellow card followed by a direct red card);</t>
  </si>
  <si>
    <t>10. Higher position in the European Qualifiers overall ranking.</t>
  </si>
  <si>
    <t>vs</t>
  </si>
  <si>
    <t>NEW WORLD</t>
  </si>
  <si>
    <t>SETUP</t>
  </si>
  <si>
    <t>Your Language Translation</t>
  </si>
  <si>
    <t>Select Language</t>
  </si>
  <si>
    <r>
      <t xml:space="preserve">Language Name </t>
    </r>
    <r>
      <rPr>
        <sz val="11"/>
        <color theme="0"/>
        <rFont val="Wingdings 3"/>
        <family val="1"/>
        <charset val="2"/>
      </rPr>
      <t>u</t>
    </r>
  </si>
  <si>
    <t>TIE BREAKER REGULATION</t>
  </si>
  <si>
    <t>Tie Breaker applied to group matches</t>
  </si>
  <si>
    <t>3A</t>
  </si>
  <si>
    <t>3D</t>
  </si>
  <si>
    <t>3B</t>
  </si>
  <si>
    <t>3C</t>
  </si>
  <si>
    <t>3E</t>
  </si>
  <si>
    <t>3F</t>
  </si>
  <si>
    <t>If two or more teams are equal on points on completion of the group matches, the following tie-breaking criteria are applied:</t>
  </si>
  <si>
    <t>The specific match-ups involving the third-placed teams depend on which four third-placed teams will qualify for the round of 16:</t>
  </si>
  <si>
    <t>Third-placed teams qualify from groups</t>
  </si>
  <si>
    <t>u</t>
  </si>
  <si>
    <t>To set schedule language to your language do the following :</t>
  </si>
  <si>
    <t>Set title of your language in cell D7 (Arabic, Chinese, Portuguese, etc)</t>
  </si>
  <si>
    <t>Type your translation in column D (cell D9 : D99)</t>
  </si>
  <si>
    <t>Change language selection in cell D6 to your language name title</t>
  </si>
  <si>
    <t>t</t>
  </si>
  <si>
    <t>Select your language. Language in Matches worksheet will be adjusted accordingly</t>
  </si>
  <si>
    <t>Notes :</t>
  </si>
  <si>
    <t>Groupe A/D/E/F Troisième place</t>
  </si>
  <si>
    <t>Gruppe A/D/E/F Dritter Platz</t>
  </si>
  <si>
    <t>Gruppo A/D/E/F Third Place</t>
  </si>
  <si>
    <t>Grupo A/D/E/F Tercer lugar</t>
  </si>
  <si>
    <t>Groupe A/B/C Troisième place</t>
  </si>
  <si>
    <t>Gruppe A/B/C Dritter Platz</t>
  </si>
  <si>
    <t>Gruppo A/B/C Third Place</t>
  </si>
  <si>
    <t>Grupo A/B/C Tercer lugar</t>
  </si>
  <si>
    <t>Groupe A/B/C/D Troisième place</t>
  </si>
  <si>
    <t>Gruppe A/B/C/D Dritter Platz</t>
  </si>
  <si>
    <t>Gruppo A/B/C/D Terzo Posto</t>
  </si>
  <si>
    <t>Grupo A/B/C/D Tercer lugar</t>
  </si>
  <si>
    <t>Groupe D/E/F Troisième place</t>
  </si>
  <si>
    <t>Gruppe D/E/F Dritter Platz</t>
  </si>
  <si>
    <t>Gruppo D/E/F Third Place</t>
  </si>
  <si>
    <t>Grupo D/E/F Tercer lugar</t>
  </si>
  <si>
    <t>Danemark</t>
  </si>
  <si>
    <t>Pays-Bas</t>
  </si>
  <si>
    <t>Écosse</t>
  </si>
  <si>
    <t>Dänemark</t>
  </si>
  <si>
    <t>Niederlande</t>
  </si>
  <si>
    <t>Schottland</t>
  </si>
  <si>
    <t>Dinamarca</t>
  </si>
  <si>
    <t>Países Bajos</t>
  </si>
  <si>
    <t>Escocia</t>
  </si>
  <si>
    <t>Danimarca</t>
  </si>
  <si>
    <t>Scozia</t>
  </si>
  <si>
    <t>7. Higher number of wins in all group matches;</t>
  </si>
  <si>
    <t>Name of the Time Zone</t>
  </si>
  <si>
    <t>(UTC-12:00) International Date Line West </t>
  </si>
  <si>
    <t>Dateline Standard Time</t>
  </si>
  <si>
    <t>(UTC-11:00) Coordinated Universal Time-11 </t>
  </si>
  <si>
    <t>UTC-11</t>
  </si>
  <si>
    <t>(UTC-10:00) Aleutian Islands </t>
  </si>
  <si>
    <t>Aleutian Standard Time</t>
  </si>
  <si>
    <t>(UTC-10:00) Hawaii </t>
  </si>
  <si>
    <t>Hawaiian Standard Time</t>
  </si>
  <si>
    <t>(UTC-09:30) Marquesas Islands </t>
  </si>
  <si>
    <t>Marquesas Standard Time</t>
  </si>
  <si>
    <t>(UTC-09:00) Alaska </t>
  </si>
  <si>
    <t>Alaskan Standard Time</t>
  </si>
  <si>
    <t>(UTC-09:00) Coordinated Universal Time-09 </t>
  </si>
  <si>
    <t>UTC-09</t>
  </si>
  <si>
    <t>(UTC-08:00) Baja California </t>
  </si>
  <si>
    <t>Pacific Standard Time (Mexico)</t>
  </si>
  <si>
    <t>(UTC-08:00) Coordinated Universal Time-08 </t>
  </si>
  <si>
    <t>UTC-08</t>
  </si>
  <si>
    <t>(UTC-08:00) Pacific Time (US &amp; Canada) </t>
  </si>
  <si>
    <t>Pacific Standard Time</t>
  </si>
  <si>
    <t>(UTC-07:00) Arizona </t>
  </si>
  <si>
    <t>US Mountain Standard Time</t>
  </si>
  <si>
    <t>(UTC-07:00) Chihuahua, La Paz, Mazatlan </t>
  </si>
  <si>
    <t>Mountain Standard Time (Mexico)</t>
  </si>
  <si>
    <t>(UTC-07:00) Mountain Time (US &amp; Canada) </t>
  </si>
  <si>
    <t>Mountain Standard Time</t>
  </si>
  <si>
    <t>(UTC-06:00) Central America </t>
  </si>
  <si>
    <t>Central America Standard Time</t>
  </si>
  <si>
    <t>(UTC-06:00) Central Time (US &amp; Canada) </t>
  </si>
  <si>
    <t>Central Standard Time</t>
  </si>
  <si>
    <t>(UTC-06:00) Easter Island </t>
  </si>
  <si>
    <t>Easter Island Standard Time</t>
  </si>
  <si>
    <t>(UTC-06:00) Guadalajara, Mexico City, Monterrey </t>
  </si>
  <si>
    <t>Central Standard Time (Mexico)</t>
  </si>
  <si>
    <t>(UTC-06:00) Saskatchewan </t>
  </si>
  <si>
    <t>Canada Central Standard Time</t>
  </si>
  <si>
    <t>(UTC-05:00) Bogota, Lima, Quito, Rio Branco </t>
  </si>
  <si>
    <t>SA Pacific Standard Time</t>
  </si>
  <si>
    <t>(UTC-05:00) Chetumal </t>
  </si>
  <si>
    <t>Eastern Standard Time (Mexico)</t>
  </si>
  <si>
    <t>(UTC-05:00) Eastern Time (US &amp; Canada) </t>
  </si>
  <si>
    <t>Eastern Standard Time</t>
  </si>
  <si>
    <t>(UTC-05:00) Haiti </t>
  </si>
  <si>
    <t>Haiti Standard Time</t>
  </si>
  <si>
    <t>(UTC-05:00) Havana </t>
  </si>
  <si>
    <t>Cuba Standard Time</t>
  </si>
  <si>
    <t>(UTC-05:00) Indiana (East) </t>
  </si>
  <si>
    <t>US Eastern Standard Time</t>
  </si>
  <si>
    <t>(UTC-05:00) Turks and Caicos </t>
  </si>
  <si>
    <t>Turks And Caicos Standard Time</t>
  </si>
  <si>
    <t>(UTC-04:00) Asuncion </t>
  </si>
  <si>
    <t>Paraguay Standard Time</t>
  </si>
  <si>
    <t>(UTC-04:00) Atlantic Time (Canada) </t>
  </si>
  <si>
    <t>Atlantic Standard Time</t>
  </si>
  <si>
    <t>(UTC-04:00) Caracas </t>
  </si>
  <si>
    <t>Venezuela Standard Time</t>
  </si>
  <si>
    <t>(UTC-04:00) Cuiaba </t>
  </si>
  <si>
    <t>Central Brazilian Standard Time</t>
  </si>
  <si>
    <t>(UTC-04:00) Georgetown, La Paz, Manaus, San Juan </t>
  </si>
  <si>
    <t>SA Western Standard Time</t>
  </si>
  <si>
    <t>(UTC-04:00) Santiago </t>
  </si>
  <si>
    <t>Pacific SA Standard Time</t>
  </si>
  <si>
    <t>(UTC-03:30) Newfoundland </t>
  </si>
  <si>
    <t>Newfoundland Standard Time</t>
  </si>
  <si>
    <t>(UTC-03:00) Araguaina </t>
  </si>
  <si>
    <t>Tocantins Standard Time</t>
  </si>
  <si>
    <t>(UTC-03:00) Brasilia </t>
  </si>
  <si>
    <t>E. South America Standard Time</t>
  </si>
  <si>
    <t>(UTC-03:00) Cayenne, Fortaleza </t>
  </si>
  <si>
    <t>SA Eastern Standard Time</t>
  </si>
  <si>
    <t>(UTC-03:00) City of Buenos Aires </t>
  </si>
  <si>
    <t>Argentina Standard Time</t>
  </si>
  <si>
    <t>(UTC-03:00) Greenland </t>
  </si>
  <si>
    <t>Greenland Standard Time</t>
  </si>
  <si>
    <t>(UTC-03:00) Montevideo </t>
  </si>
  <si>
    <t>Montevideo Standard Time</t>
  </si>
  <si>
    <t>(UTC-03:00) Punta Arenas </t>
  </si>
  <si>
    <t>Magallanes Standard Time</t>
  </si>
  <si>
    <t>(UTC-03:00) Saint Pierre and Miquelon </t>
  </si>
  <si>
    <t>Saint Pierre Standard Time</t>
  </si>
  <si>
    <t>(UTC-03:00) Salvador </t>
  </si>
  <si>
    <t>Bahia Standard Time</t>
  </si>
  <si>
    <t>(UTC-02:00) Coordinated Universal Time-02 </t>
  </si>
  <si>
    <t>UTC-02</t>
  </si>
  <si>
    <t>(UTC-01:00) Azores </t>
  </si>
  <si>
    <t>Azores Standard Time</t>
  </si>
  <si>
    <t>(UTC-01:00) Cabo Verde Is. </t>
  </si>
  <si>
    <t>Cape Verde Standard Time</t>
  </si>
  <si>
    <t>(UTC+00:00) Dublin, Edinburgh, Lisbon, London </t>
  </si>
  <si>
    <t>GMT Standard Time</t>
  </si>
  <si>
    <t>(UTC+00:00) Monrovia, Reykjavik </t>
  </si>
  <si>
    <t>Greenwich Standard Time</t>
  </si>
  <si>
    <t>(UTC+00:00) Sao Tome </t>
  </si>
  <si>
    <t>Sao Tome Standard Time</t>
  </si>
  <si>
    <t>(UTC+01:00) Casablanca </t>
  </si>
  <si>
    <t>Morocco Standard Time</t>
  </si>
  <si>
    <t>(UTC+01:00) Amsterdam, Berlin, Bern, Rome, Stockholm, Vienna </t>
  </si>
  <si>
    <t>W. Europe Standard Time</t>
  </si>
  <si>
    <t>(UTC+01:00) Belgrade, Bratislava, Budapest, Ljubljana, Prague </t>
  </si>
  <si>
    <t>Central Europe Standard Time</t>
  </si>
  <si>
    <t>(UTC+01:00) Brussels, Copenhagen, Madrid, Paris </t>
  </si>
  <si>
    <t>Romance Standard Time</t>
  </si>
  <si>
    <t>(UTC+01:00) Sarajevo, Skopje, Warsaw, Zagreb </t>
  </si>
  <si>
    <t>Central European Standard Time</t>
  </si>
  <si>
    <t>(UTC+01:00) West Central Africa </t>
  </si>
  <si>
    <t>W. Central Africa Standard Time</t>
  </si>
  <si>
    <t>(UTC+02:00) Amman </t>
  </si>
  <si>
    <t>Jordan Standard Time</t>
  </si>
  <si>
    <t>(UTC+02:00) Athens, Bucharest </t>
  </si>
  <si>
    <t>GTB Standard Time</t>
  </si>
  <si>
    <t>(UTC+02:00) Beirut </t>
  </si>
  <si>
    <t>Middle East Standard Time</t>
  </si>
  <si>
    <t>(UTC+02:00) Cairo </t>
  </si>
  <si>
    <t>Egypt Standard Time</t>
  </si>
  <si>
    <t>(UTC+02:00) Chisinau </t>
  </si>
  <si>
    <t>E. Europe Standard Time</t>
  </si>
  <si>
    <t>(UTC+02:00) Damascus </t>
  </si>
  <si>
    <t>Syria Standard Time</t>
  </si>
  <si>
    <t>(UTC+02:00) Gaza, Hebron </t>
  </si>
  <si>
    <t>West Bank Standard Time</t>
  </si>
  <si>
    <t>(UTC+02:00) Harare, Pretoria </t>
  </si>
  <si>
    <t>South Africa Standard Time</t>
  </si>
  <si>
    <t>(UTC+02:00) Helsinki, Kyiv, Riga, Sofia, Tallinn, Vilnius </t>
  </si>
  <si>
    <t>FLE Standard Time</t>
  </si>
  <si>
    <t>(UTC+02:00) Jerusalem </t>
  </si>
  <si>
    <t>Israel Standard Time</t>
  </si>
  <si>
    <t>(UTC+02:00) Kaliningrad </t>
  </si>
  <si>
    <t>Kaliningrad Standard Time</t>
  </si>
  <si>
    <t>(UTC+02:00) Khartoum </t>
  </si>
  <si>
    <t>Sudan Standard Time</t>
  </si>
  <si>
    <t>(UTC+02:00) Tripoli </t>
  </si>
  <si>
    <t>Libya Standard Time</t>
  </si>
  <si>
    <t>(UTC+02:00) Windhoek </t>
  </si>
  <si>
    <t>Namibia Standard Time</t>
  </si>
  <si>
    <t>(UTC+03:00) Baghdad </t>
  </si>
  <si>
    <t>Arabic Standard Time</t>
  </si>
  <si>
    <t>(UTC+03:00) Istanbul </t>
  </si>
  <si>
    <t>Turkey Standard Time</t>
  </si>
  <si>
    <t>(UTC+03:00) Kuwait, Riyadh </t>
  </si>
  <si>
    <t>Arab Standard Time</t>
  </si>
  <si>
    <t>(UTC+03:00) Minsk </t>
  </si>
  <si>
    <t>Belarus Standard Time</t>
  </si>
  <si>
    <t>(UTC+03:00) Moscow, St. Petersburg </t>
  </si>
  <si>
    <t>Russian Standard Time</t>
  </si>
  <si>
    <t>(UTC+03:00) Nairobi </t>
  </si>
  <si>
    <t>E. Africa Standard Time</t>
  </si>
  <si>
    <t>(UTC+03:30) Tehran </t>
  </si>
  <si>
    <t>Iran Standard Time</t>
  </si>
  <si>
    <t>(UTC+04:00) Abu Dhabi, Muscat </t>
  </si>
  <si>
    <t>Arabian Standard Time</t>
  </si>
  <si>
    <t>(UTC+04:00) Astrakhan, Ulyanovsk </t>
  </si>
  <si>
    <t>Astrakhan Standard Time</t>
  </si>
  <si>
    <t>(UTC+04:00) Baku </t>
  </si>
  <si>
    <t>Azerbaijan Standard Time</t>
  </si>
  <si>
    <t>(UTC+04:00) Izhevsk, Samara </t>
  </si>
  <si>
    <t>Russia Time Zone 3</t>
  </si>
  <si>
    <t>(UTC+04:00) Port Louis </t>
  </si>
  <si>
    <t>Mauritius Standard Time</t>
  </si>
  <si>
    <t>(UTC+04:00) Saratov </t>
  </si>
  <si>
    <t>Saratov Standard Time</t>
  </si>
  <si>
    <t>(UTC+04:00) Tbilisi </t>
  </si>
  <si>
    <t>Georgian Standard Time</t>
  </si>
  <si>
    <t>(UTC+04:00) Volgograd </t>
  </si>
  <si>
    <t>Volgograd Standard Time</t>
  </si>
  <si>
    <t>(UTC+04:00) Yerevan </t>
  </si>
  <si>
    <t>Caucasus Standard Time</t>
  </si>
  <si>
    <t>(UTC+04:30) Kabul </t>
  </si>
  <si>
    <t>Afghanistan Standard Time</t>
  </si>
  <si>
    <t>(UTC+05:00) Ashgabat, Tashkent </t>
  </si>
  <si>
    <t>West Asia Standard Time</t>
  </si>
  <si>
    <t>(UTC+05:00) Ekaterinburg </t>
  </si>
  <si>
    <t>Ekaterinburg Standard Time</t>
  </si>
  <si>
    <t>(UTC+05:00) Islamabad, Karachi </t>
  </si>
  <si>
    <t>Pakistan Standard Time</t>
  </si>
  <si>
    <t>(UTC+05:00) Qyzylorda </t>
  </si>
  <si>
    <t>Qyzylorda Standard Time</t>
  </si>
  <si>
    <t>(UTC+05:30) Chennai, Kolkata, Mumbai, New Delhi </t>
  </si>
  <si>
    <t>India Standard Time</t>
  </si>
  <si>
    <t>(UTC+05:30) Sri Jayawardenepura </t>
  </si>
  <si>
    <t>Sri Lanka Standard Time</t>
  </si>
  <si>
    <t>(UTC+05:45) Kathmandu </t>
  </si>
  <si>
    <t>Nepal Standard Time</t>
  </si>
  <si>
    <t>(UTC+06:00) Astana </t>
  </si>
  <si>
    <t>Central Asia Standard Time</t>
  </si>
  <si>
    <t>(UTC+06:00) Dhaka </t>
  </si>
  <si>
    <t>Bangladesh Standard Time</t>
  </si>
  <si>
    <t>(UTC+06:00) Omsk </t>
  </si>
  <si>
    <t>Omsk Standard Time</t>
  </si>
  <si>
    <t>(UTC+06:30) Yangon (Rangoon) </t>
  </si>
  <si>
    <t>Myanmar Standard Time</t>
  </si>
  <si>
    <t>(UTC+07:00) Bangkok, Hanoi, Jakarta </t>
  </si>
  <si>
    <t>SE Asia Standard Time</t>
  </si>
  <si>
    <t>(UTC+07:00) Barnaul, Gorno-Altaysk </t>
  </si>
  <si>
    <t>Altai Standard Time</t>
  </si>
  <si>
    <t>(UTC+07:00) Hovd </t>
  </si>
  <si>
    <t>W. Mongolia Standard Time</t>
  </si>
  <si>
    <t>(UTC+07:00) Krasnoyarsk </t>
  </si>
  <si>
    <t>North Asia Standard Time</t>
  </si>
  <si>
    <t>(UTC+07:00) Novosibirsk </t>
  </si>
  <si>
    <t>N. Central Asia Standard Time</t>
  </si>
  <si>
    <t>(UTC+07:00) Tomsk </t>
  </si>
  <si>
    <t>Tomsk Standard Time</t>
  </si>
  <si>
    <t>(UTC+08:00) Beijing, Chongqing, Hong Kong, Urumqi </t>
  </si>
  <si>
    <t>China Standard Time</t>
  </si>
  <si>
    <t>(UTC+08:00) Irkutsk </t>
  </si>
  <si>
    <t>North Asia East Standard Time</t>
  </si>
  <si>
    <t>(UTC+08:00) Kuala Lumpur, Singapore </t>
  </si>
  <si>
    <t>Singapore Standard Time</t>
  </si>
  <si>
    <t>(UTC+08:00) Perth </t>
  </si>
  <si>
    <t>W. Australia Standard Time</t>
  </si>
  <si>
    <t>(UTC+08:00) Taipei </t>
  </si>
  <si>
    <t>Taipei Standard Time</t>
  </si>
  <si>
    <t>(UTC+08:00) Ulaanbaatar </t>
  </si>
  <si>
    <t>Ulaanbaatar Standard Time</t>
  </si>
  <si>
    <t>(UTC+08:45) Eucla </t>
  </si>
  <si>
    <t>Aus Central W. Standard Time</t>
  </si>
  <si>
    <t>(UTC+09:00) Chita </t>
  </si>
  <si>
    <t>Transbaikal Standard Time</t>
  </si>
  <si>
    <t>(UTC+09:00) Osaka, Sapporo, Tokyo </t>
  </si>
  <si>
    <t>Tokyo Standard Time</t>
  </si>
  <si>
    <t>(UTC+09:00) Pyongyang </t>
  </si>
  <si>
    <t>North Korea Standard Time</t>
  </si>
  <si>
    <t>(UTC+09:00) Seoul </t>
  </si>
  <si>
    <t>Korea Standard Time</t>
  </si>
  <si>
    <t>(UTC+09:00) Yakutsk </t>
  </si>
  <si>
    <t>Yakutsk Standard Time</t>
  </si>
  <si>
    <t>(UTC+09:30) Adelaide </t>
  </si>
  <si>
    <t>Cen. Australia Standard Time</t>
  </si>
  <si>
    <t>(UTC+09:30) Darwin </t>
  </si>
  <si>
    <t>AUS Central Standard Time</t>
  </si>
  <si>
    <t>(UTC+10:00) Brisbane </t>
  </si>
  <si>
    <t>E. Australia Standard Time</t>
  </si>
  <si>
    <t>(UTC+10:00) Canberra, Melbourne, Sydney </t>
  </si>
  <si>
    <t>AUS Eastern Standard Time</t>
  </si>
  <si>
    <t>(UTC+10:00) Guam, Port Moresby </t>
  </si>
  <si>
    <t>West Pacific Standard Time</t>
  </si>
  <si>
    <t>(UTC+10:00) Hobart </t>
  </si>
  <si>
    <t>Tasmania Standard Time</t>
  </si>
  <si>
    <t>(UTC+10:00) Vladivostok </t>
  </si>
  <si>
    <t>Vladivostok Standard Time</t>
  </si>
  <si>
    <t>(UTC+10:30) Lord Howe Island </t>
  </si>
  <si>
    <t>Lord Howe Standard Time</t>
  </si>
  <si>
    <t>(UTC+11:00) Bougainville Island </t>
  </si>
  <si>
    <t>Bougainville Standard Time</t>
  </si>
  <si>
    <t>(UTC+11:00) Chokurdakh </t>
  </si>
  <si>
    <t>Russia Time Zone 10</t>
  </si>
  <si>
    <t>(UTC+11:00) Magadan </t>
  </si>
  <si>
    <t>Magadan Standard Time</t>
  </si>
  <si>
    <t>(UTC+11:00) Norfolk Island </t>
  </si>
  <si>
    <t>Norfolk Standard Time</t>
  </si>
  <si>
    <t>(UTC+11:00) Sakhalin </t>
  </si>
  <si>
    <t>Sakhalin Standard Time</t>
  </si>
  <si>
    <t>(UTC+11:00) Solomon Is., New Caledonia </t>
  </si>
  <si>
    <t>Central Pacific Standard Time</t>
  </si>
  <si>
    <t>(UTC+12:00) Anadyr, Petropavlovsk-Kamchatsky </t>
  </si>
  <si>
    <t>Russia Time Zone 11</t>
  </si>
  <si>
    <t>(UTC+12:00) Auckland, Wellington </t>
  </si>
  <si>
    <t>New Zealand Standard Time</t>
  </si>
  <si>
    <t>(UTC+12:00) Coordinated Universal Time+12 </t>
  </si>
  <si>
    <t>UTC+12</t>
  </si>
  <si>
    <t>(UTC+12:00) Fiji </t>
  </si>
  <si>
    <t>Fiji Standard Time</t>
  </si>
  <si>
    <t>(UTC+12:45) Chatham Islands </t>
  </si>
  <si>
    <t>Chatham Islands Standard Time</t>
  </si>
  <si>
    <t>(UTC+13:00) Coordinated Universal Time+13 </t>
  </si>
  <si>
    <t>UTC+13</t>
  </si>
  <si>
    <t>(UTC+13:00) Nuku’alofa </t>
  </si>
  <si>
    <t>Tonga Standard Time</t>
  </si>
  <si>
    <t>(UTC+13:00) Samoa </t>
  </si>
  <si>
    <t>Samoa Standard Time</t>
  </si>
  <si>
    <t>(UTC+14:00) Kiritimati Island </t>
  </si>
  <si>
    <t>Line Islands Standard Time</t>
  </si>
  <si>
    <t>Select Your Time</t>
  </si>
  <si>
    <t>Select time difference between Match local time and your local time. Date and time in Matches worksheet will be adjusted accordingly</t>
  </si>
  <si>
    <t>+0.5</t>
  </si>
  <si>
    <t>+1</t>
  </si>
  <si>
    <t>+1.5</t>
  </si>
  <si>
    <t>+2</t>
  </si>
  <si>
    <t>+2.5</t>
  </si>
  <si>
    <t>+3</t>
  </si>
  <si>
    <t>+3.5</t>
  </si>
  <si>
    <t>+4</t>
  </si>
  <si>
    <t>+4.5</t>
  </si>
  <si>
    <t>+5</t>
  </si>
  <si>
    <t>+5.5</t>
  </si>
  <si>
    <t>+6</t>
  </si>
  <si>
    <t>+6.5</t>
  </si>
  <si>
    <t>+7</t>
  </si>
  <si>
    <t>+7.5</t>
  </si>
  <si>
    <t>+8</t>
  </si>
  <si>
    <t>+8.5</t>
  </si>
  <si>
    <t>+9</t>
  </si>
  <si>
    <t>+9.5</t>
  </si>
  <si>
    <t>+10</t>
  </si>
  <si>
    <t>+10.5</t>
  </si>
  <si>
    <t>+11</t>
  </si>
  <si>
    <t>+11.5</t>
  </si>
  <si>
    <t>+12</t>
  </si>
  <si>
    <t>l</t>
  </si>
  <si>
    <t>Group standings and best 3rd place standings will be calculated automatically based on official UEFA Tie Breaker regulation</t>
  </si>
  <si>
    <t>Pairing teams in Knock Out rounds will be placed automatically</t>
  </si>
  <si>
    <t>Color meaning :</t>
  </si>
  <si>
    <t>Team Name</t>
  </si>
  <si>
    <t>Won in Full Time</t>
  </si>
  <si>
    <t>Lose in Full Time</t>
  </si>
  <si>
    <t>Won by Penalty Shoot Out</t>
  </si>
  <si>
    <t>Lose by Penalty Shoot Out</t>
  </si>
  <si>
    <t>Fill full time scores in column H and I</t>
  </si>
  <si>
    <t>Fill penalty shoot out scores in column K and L</t>
  </si>
  <si>
    <t>ABOUT</t>
  </si>
  <si>
    <t>LICENSE</t>
  </si>
  <si>
    <t>Editiion</t>
  </si>
  <si>
    <t>:</t>
  </si>
  <si>
    <t>Version</t>
  </si>
  <si>
    <t>License</t>
  </si>
  <si>
    <t>Single User</t>
  </si>
  <si>
    <t>Product Info</t>
  </si>
  <si>
    <t>Support</t>
  </si>
  <si>
    <t>support@journalsheet.com</t>
  </si>
  <si>
    <t>Copyrights ©</t>
  </si>
  <si>
    <t xml:space="preserve">*Only tie-breaker 1-7 are applied in this Euro 2020 Fixtures automatically. If after tie-breaker 7, teams still have equal rankings, tie-breaker 10 will be applied </t>
  </si>
  <si>
    <t>https://journalsheet.com</t>
  </si>
  <si>
    <t>table rank 1</t>
  </si>
  <si>
    <t>Albania</t>
  </si>
  <si>
    <t>Serbia</t>
  </si>
  <si>
    <t>Slovenia</t>
  </si>
  <si>
    <t>Romania</t>
  </si>
  <si>
    <t>Munich</t>
  </si>
  <si>
    <t>Cologne</t>
  </si>
  <si>
    <t>Berlin</t>
  </si>
  <si>
    <t>Dortmund</t>
  </si>
  <si>
    <t>Hamburg</t>
  </si>
  <si>
    <t>Stuttgart</t>
  </si>
  <si>
    <t>Gelsenkirchen</t>
  </si>
  <si>
    <t>Frankfurt</t>
  </si>
  <si>
    <t>Dusseldorf</t>
  </si>
  <si>
    <t>Leipzig</t>
  </si>
  <si>
    <t>UEFA EURO 2024 Fixtures</t>
  </si>
  <si>
    <t>Euro 2024 Horaire et Feuille de pointage</t>
  </si>
  <si>
    <t>Euro 2024 Spielplan</t>
  </si>
  <si>
    <t>Euro 2024 Pianificazione e Score Sheet</t>
  </si>
  <si>
    <t>Euro 2024 Horario y Score Hoja</t>
  </si>
  <si>
    <t>Go to journalSHEET.com for other Euro 2024 spreadsheets</t>
  </si>
  <si>
    <t>❶</t>
  </si>
  <si>
    <t>❷</t>
  </si>
  <si>
    <t>❸</t>
  </si>
  <si>
    <t>Education City</t>
  </si>
  <si>
    <t>CHAMPION</t>
  </si>
  <si>
    <t>8:00 PM</t>
  </si>
  <si>
    <t>6:00 PM</t>
  </si>
  <si>
    <t>THIRD PLACE</t>
  </si>
  <si>
    <t>WINNER</t>
  </si>
  <si>
    <t>KNOCK OUT ROUNDS</t>
  </si>
  <si>
    <t>p</t>
  </si>
  <si>
    <t>w</t>
  </si>
  <si>
    <t>d</t>
  </si>
  <si>
    <t>gf</t>
  </si>
  <si>
    <t>ga</t>
  </si>
  <si>
    <t>pt</t>
  </si>
  <si>
    <t>KO Round Color</t>
  </si>
  <si>
    <t>Yes</t>
  </si>
  <si>
    <t>Czechia</t>
  </si>
  <si>
    <t>Türkiye</t>
  </si>
  <si>
    <t>Click here to get Euro 2024 Predictor Game</t>
  </si>
  <si>
    <t>Click Here to Purchase Fully Editable Schedule</t>
  </si>
  <si>
    <t>Show Group Color in KO Rounds</t>
  </si>
  <si>
    <t>2024 | journalSHEET.com</t>
  </si>
  <si>
    <t>© 2024 | journalSHEET.com</t>
  </si>
  <si>
    <t>Musa</t>
  </si>
  <si>
    <t>Euro 2024 Fixtures | Model 3</t>
  </si>
  <si>
    <t>Type penalty shoot out results below score fields in KO rounds if particular match has to be decided by penalty shoot out (pink boxes will be shown automatically)</t>
  </si>
  <si>
    <t>Poland</t>
  </si>
  <si>
    <t>Ukraine</t>
  </si>
  <si>
    <t>Georgia</t>
  </si>
  <si>
    <t>Albanie</t>
  </si>
  <si>
    <t>Albanien</t>
  </si>
  <si>
    <t>L'Autriche</t>
  </si>
  <si>
    <t>Tchéquie</t>
  </si>
  <si>
    <t>Cechia</t>
  </si>
  <si>
    <t>Chequia</t>
  </si>
  <si>
    <t>Allemagne</t>
  </si>
  <si>
    <t>Olanda</t>
  </si>
  <si>
    <t>Roumanie</t>
  </si>
  <si>
    <t>Rumänien</t>
  </si>
  <si>
    <t>Rumania</t>
  </si>
  <si>
    <t>Serbie</t>
  </si>
  <si>
    <t>Serbien</t>
  </si>
  <si>
    <t>Slovénie</t>
  </si>
  <si>
    <t>Slowenien</t>
  </si>
  <si>
    <t>Eslovenia</t>
  </si>
  <si>
    <t>Espagne</t>
  </si>
  <si>
    <t>Türkei</t>
  </si>
  <si>
    <t>Turquía</t>
  </si>
  <si>
    <t>Pologne</t>
  </si>
  <si>
    <t>Polen</t>
  </si>
  <si>
    <t>Polonia</t>
  </si>
  <si>
    <t>Ucraina</t>
  </si>
  <si>
    <t>Ucrania</t>
  </si>
  <si>
    <t>Géorgie</t>
  </si>
  <si>
    <t>Winner A</t>
  </si>
  <si>
    <t>Winner B</t>
  </si>
  <si>
    <t>Winner C</t>
  </si>
  <si>
    <t>Winner D</t>
  </si>
  <si>
    <t>Winner E</t>
  </si>
  <si>
    <t>Winner F</t>
  </si>
  <si>
    <t>Runner Up A</t>
  </si>
  <si>
    <t>Runner Up B</t>
  </si>
  <si>
    <t>Runner Up C</t>
  </si>
  <si>
    <t>Runner Up D</t>
  </si>
  <si>
    <t>Runner Up E</t>
  </si>
  <si>
    <t>Runner Up F</t>
  </si>
  <si>
    <t>Winner #37</t>
  </si>
  <si>
    <t>Winner #38</t>
  </si>
  <si>
    <t>Winner #39</t>
  </si>
  <si>
    <t>Winner #40</t>
  </si>
  <si>
    <t>Winner #41</t>
  </si>
  <si>
    <t>Winner #42</t>
  </si>
  <si>
    <t>Winner #43</t>
  </si>
  <si>
    <t>Winner #44</t>
  </si>
  <si>
    <t>Winner #45</t>
  </si>
  <si>
    <t>Winner #46</t>
  </si>
  <si>
    <t>Winner #47</t>
  </si>
  <si>
    <t>Winner #48</t>
  </si>
  <si>
    <t>Winner #49</t>
  </si>
  <si>
    <t>Winner #50</t>
  </si>
  <si>
    <t>Winner #51</t>
  </si>
  <si>
    <t>3rd D/E/F</t>
  </si>
  <si>
    <t>3rd A/D/E/F</t>
  </si>
  <si>
    <t>3rd A/B/C</t>
  </si>
  <si>
    <t>3rd A/B/C/D</t>
  </si>
  <si>
    <t>DELIZIOSO</t>
  </si>
  <si>
    <t>Impossible Park - Miami Beach - Florida - USA - 1235559494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</si>
</sst>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m/d/yy\ h:mm;@"/>
    <numFmt numFmtId="166" formatCode="\+#,##0_);\(&quot;$&quot;#,##0\)"/>
    <numFmt numFmtId="167" formatCode="m/d/yy\ hh:mm;@"/>
    <numFmt numFmtId="168" formatCode="hh:mm;@"/>
    <numFmt numFmtId="169" formatCode="m/d;@"/>
  </numFmts>
  <fonts count="49" x14ac:knownFonts="1">
    <font>
      <sz val="10"/>
      <name val="Arial"/>
    </font>
    <font>
      <sz val="8"/>
      <name val="Arial"/>
      <family val="2"/>
    </font>
    <font>
      <sz val="10"/>
      <name val="Calibri"/>
      <family val="2"/>
      <scheme val="minor"/>
    </font>
    <font>
      <sz val="11"/>
      <name val="Calibri"/>
      <family val="2"/>
      <scheme val="minor"/>
    </font>
    <font>
      <sz val="11"/>
      <color theme="0"/>
      <name val="Calibri"/>
      <family val="2"/>
      <scheme val="minor"/>
    </font>
    <font>
      <sz val="11"/>
      <color indexed="10"/>
      <name val="Calibri"/>
      <family val="2"/>
      <scheme val="minor"/>
    </font>
    <font>
      <sz val="11"/>
      <color indexed="9"/>
      <name val="Calibri"/>
      <family val="2"/>
      <scheme val="minor"/>
    </font>
    <font>
      <b/>
      <sz val="11"/>
      <name val="Calibri"/>
      <family val="2"/>
      <scheme val="minor"/>
    </font>
    <font>
      <sz val="11"/>
      <color rgb="FFFF0000"/>
      <name val="Calibri"/>
      <family val="2"/>
      <scheme val="minor"/>
    </font>
    <font>
      <b/>
      <sz val="11"/>
      <color theme="0"/>
      <name val="Calibri"/>
      <family val="2"/>
      <scheme val="minor"/>
    </font>
    <font>
      <b/>
      <sz val="12"/>
      <color theme="0"/>
      <name val="Calibri"/>
      <family val="2"/>
      <scheme val="minor"/>
    </font>
    <font>
      <sz val="10"/>
      <color theme="1"/>
      <name val="Calibri"/>
      <family val="2"/>
      <scheme val="minor"/>
    </font>
    <font>
      <sz val="11"/>
      <name val="Wingdings 3"/>
      <family val="1"/>
      <charset val="2"/>
    </font>
    <font>
      <sz val="11"/>
      <color theme="0"/>
      <name val="Wingdings 3"/>
      <family val="1"/>
      <charset val="2"/>
    </font>
    <font>
      <b/>
      <sz val="28"/>
      <name val="Calibri"/>
      <family val="2"/>
      <scheme val="minor"/>
    </font>
    <font>
      <sz val="11"/>
      <color rgb="FF0000FF"/>
      <name val="Calibri"/>
      <family val="2"/>
      <scheme val="minor"/>
    </font>
    <font>
      <sz val="11"/>
      <name val="Wingdings"/>
      <charset val="2"/>
    </font>
    <font>
      <i/>
      <sz val="11"/>
      <color rgb="FF0000FF"/>
      <name val="Calibri"/>
      <family val="2"/>
      <scheme val="minor"/>
    </font>
    <font>
      <u/>
      <sz val="10"/>
      <color indexed="12"/>
      <name val="Arial"/>
      <family val="2"/>
    </font>
    <font>
      <u/>
      <sz val="11"/>
      <color theme="0" tint="-4.9989318521683403E-2"/>
      <name val="Calibri"/>
      <family val="2"/>
      <scheme val="minor"/>
    </font>
    <font>
      <u/>
      <sz val="11"/>
      <color theme="0"/>
      <name val="Calibri"/>
      <family val="2"/>
      <scheme val="minor"/>
    </font>
    <font>
      <sz val="11"/>
      <color theme="0" tint="-4.9989318521683403E-2"/>
      <name val="Calibri"/>
      <family val="2"/>
      <scheme val="minor"/>
    </font>
    <font>
      <sz val="12"/>
      <name val="Calibri"/>
      <family val="2"/>
      <scheme val="minor"/>
    </font>
    <font>
      <b/>
      <sz val="12"/>
      <name val="Calibri"/>
      <family val="2"/>
      <scheme val="minor"/>
    </font>
    <font>
      <b/>
      <sz val="20"/>
      <name val="Calibri"/>
      <family val="2"/>
      <scheme val="minor"/>
    </font>
    <font>
      <b/>
      <sz val="10"/>
      <name val="Calibri"/>
      <family val="2"/>
      <scheme val="minor"/>
    </font>
    <font>
      <sz val="10"/>
      <color theme="0"/>
      <name val="Calibri"/>
      <family val="2"/>
      <scheme val="minor"/>
    </font>
    <font>
      <b/>
      <sz val="10"/>
      <color rgb="FFC00000"/>
      <name val="Cambria"/>
      <family val="1"/>
    </font>
    <font>
      <sz val="10"/>
      <color rgb="FFC00000"/>
      <name val="Calibri"/>
      <family val="2"/>
      <scheme val="minor"/>
    </font>
    <font>
      <sz val="10"/>
      <color theme="8" tint="-0.499984740745262"/>
      <name val="Calibri"/>
      <family val="2"/>
      <scheme val="minor"/>
    </font>
    <font>
      <sz val="10"/>
      <color theme="1" tint="0.34998626667073579"/>
      <name val="Calibri"/>
      <family val="2"/>
      <scheme val="minor"/>
    </font>
    <font>
      <b/>
      <sz val="10"/>
      <color theme="0"/>
      <name val="Cambria"/>
      <family val="1"/>
      <scheme val="major"/>
    </font>
    <font>
      <sz val="10"/>
      <color theme="9" tint="-0.249977111117893"/>
      <name val="Calibri"/>
      <family val="2"/>
      <scheme val="minor"/>
    </font>
    <font>
      <sz val="10"/>
      <color rgb="FF7030A0"/>
      <name val="Calibri"/>
      <family val="2"/>
      <scheme val="minor"/>
    </font>
    <font>
      <sz val="10"/>
      <color rgb="FF00B050"/>
      <name val="Calibri"/>
      <family val="2"/>
      <scheme val="minor"/>
    </font>
    <font>
      <sz val="10"/>
      <color theme="2" tint="-0.499984740745262"/>
      <name val="Calibri"/>
      <family val="2"/>
      <scheme val="minor"/>
    </font>
    <font>
      <b/>
      <sz val="16"/>
      <color theme="0"/>
      <name val="Calibri"/>
      <family val="2"/>
      <scheme val="minor"/>
    </font>
    <font>
      <b/>
      <sz val="22"/>
      <name val="Calibri"/>
      <family val="2"/>
      <scheme val="minor"/>
    </font>
    <font>
      <i/>
      <sz val="8"/>
      <name val="Calibri"/>
      <family val="2"/>
      <scheme val="minor"/>
    </font>
    <font>
      <sz val="8"/>
      <color theme="0"/>
      <name val="Calibri"/>
      <family val="2"/>
      <scheme val="minor"/>
    </font>
    <font>
      <i/>
      <sz val="10"/>
      <name val="Calibri"/>
      <family val="2"/>
      <scheme val="minor"/>
    </font>
    <font>
      <sz val="10"/>
      <color rgb="FF0000FF"/>
      <name val="Calibri"/>
      <family val="2"/>
      <scheme val="minor"/>
    </font>
    <font>
      <u/>
      <sz val="12"/>
      <color indexed="12"/>
      <name val="Calibri"/>
      <family val="2"/>
      <scheme val="minor"/>
    </font>
    <font>
      <sz val="10"/>
      <color theme="0"/>
      <name val="Arial"/>
      <family val="2"/>
    </font>
    <font>
      <b/>
      <u/>
      <sz val="10"/>
      <name val="Calibri"/>
      <family val="2"/>
      <scheme val="minor"/>
    </font>
    <font>
      <sz val="18"/>
      <name val="Calibri"/>
      <family val="2"/>
      <scheme val="minor"/>
    </font>
    <font>
      <sz val="20"/>
      <name val="Calibri"/>
      <family val="2"/>
      <scheme val="minor"/>
    </font>
    <font>
      <i/>
      <sz val="11"/>
      <name val="Calibri"/>
      <family val="2"/>
      <scheme val="minor"/>
    </font>
    <font>
      <b/>
      <sz val="18"/>
      <color rgb="FFC000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rgb="FF0070C0"/>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rgb="FF0000FF"/>
        <bgColor indexed="64"/>
      </patternFill>
    </fill>
    <fill>
      <patternFill patternType="solid">
        <fgColor rgb="FF002060"/>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right style="medium">
        <color theme="0"/>
      </right>
      <top style="thin">
        <color theme="8" tint="-0.499984740745262"/>
      </top>
      <bottom style="medium">
        <color theme="0"/>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theme="8" tint="-0.499984740745262"/>
      </right>
      <top style="thin">
        <color indexed="64"/>
      </top>
      <bottom/>
      <diagonal/>
    </border>
    <border>
      <left style="thin">
        <color theme="8" tint="-0.499984740745262"/>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style="thin">
        <color indexed="6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s>
  <cellStyleXfs count="2">
    <xf numFmtId="0" fontId="0" fillId="0" borderId="0"/>
    <xf numFmtId="0" fontId="18" fillId="0" borderId="0" applyNumberFormat="0" applyFill="0" applyBorder="0" applyAlignment="0" applyProtection="0">
      <alignment vertical="top"/>
      <protection locked="0"/>
    </xf>
  </cellStyleXfs>
  <cellXfs count="239">
    <xf numFmtId="0" fontId="0" fillId="0" borderId="0" xfId="0"/>
    <xf numFmtId="0" fontId="2" fillId="0" borderId="0" xfId="0" applyFont="1" applyAlignment="1" applyProtection="1">
      <alignment vertical="center"/>
      <protection hidden="1"/>
    </xf>
    <xf numFmtId="0" fontId="3" fillId="0" borderId="0" xfId="0" applyFont="1" applyProtection="1">
      <protection hidden="1"/>
    </xf>
    <xf numFmtId="0" fontId="3" fillId="0" borderId="0" xfId="0" applyFont="1" applyAlignment="1" applyProtection="1">
      <alignment vertical="center"/>
      <protection hidden="1"/>
    </xf>
    <xf numFmtId="0" fontId="5" fillId="0" borderId="0" xfId="0" applyFont="1" applyAlignment="1" applyProtection="1">
      <alignment vertical="center"/>
      <protection hidden="1"/>
    </xf>
    <xf numFmtId="0" fontId="5" fillId="0" borderId="0" xfId="0" applyFont="1" applyProtection="1">
      <protection hidden="1"/>
    </xf>
    <xf numFmtId="0" fontId="3" fillId="0" borderId="0" xfId="0" applyFont="1" applyAlignment="1" applyProtection="1">
      <alignment vertical="center" wrapText="1"/>
      <protection hidden="1"/>
    </xf>
    <xf numFmtId="0" fontId="4" fillId="0" borderId="0" xfId="0" applyFont="1" applyAlignment="1" applyProtection="1">
      <alignment horizontal="left" indent="1"/>
      <protection hidden="1"/>
    </xf>
    <xf numFmtId="0" fontId="3" fillId="0" borderId="0" xfId="0" applyFont="1"/>
    <xf numFmtId="0" fontId="3" fillId="0" borderId="0" xfId="0" applyFont="1" applyAlignment="1">
      <alignment vertical="center"/>
    </xf>
    <xf numFmtId="0" fontId="3" fillId="0" borderId="4" xfId="0" applyFont="1" applyBorder="1" applyAlignment="1">
      <alignment vertical="center"/>
    </xf>
    <xf numFmtId="0" fontId="3" fillId="0" borderId="1" xfId="0" applyFont="1" applyBorder="1" applyAlignment="1">
      <alignment vertical="center"/>
    </xf>
    <xf numFmtId="0" fontId="4" fillId="0" borderId="0" xfId="0" applyFont="1" applyProtection="1">
      <protection hidden="1"/>
    </xf>
    <xf numFmtId="0" fontId="3" fillId="0" borderId="0" xfId="0" applyFont="1" applyAlignment="1" applyProtection="1">
      <alignment wrapText="1"/>
      <protection hidden="1"/>
    </xf>
    <xf numFmtId="0" fontId="6" fillId="0" borderId="0" xfId="0" applyFont="1" applyProtection="1">
      <protection hidden="1"/>
    </xf>
    <xf numFmtId="0" fontId="4" fillId="0" borderId="0" xfId="0" applyFont="1" applyAlignment="1" applyProtection="1">
      <alignment horizontal="center"/>
      <protection locked="0"/>
    </xf>
    <xf numFmtId="0" fontId="8" fillId="0" borderId="0" xfId="0" applyFont="1" applyProtection="1">
      <protection hidden="1"/>
    </xf>
    <xf numFmtId="0" fontId="3" fillId="8" borderId="0" xfId="0" applyFont="1" applyFill="1" applyAlignment="1">
      <alignment vertical="center"/>
    </xf>
    <xf numFmtId="0" fontId="11" fillId="0" borderId="0" xfId="0" applyFont="1" applyProtection="1">
      <protection hidden="1"/>
    </xf>
    <xf numFmtId="0" fontId="3" fillId="5" borderId="3" xfId="0" applyFont="1" applyFill="1" applyBorder="1" applyAlignment="1" applyProtection="1">
      <alignment vertical="center"/>
      <protection locked="0"/>
    </xf>
    <xf numFmtId="0" fontId="3" fillId="5" borderId="2" xfId="0" applyFont="1" applyFill="1" applyBorder="1" applyAlignment="1" applyProtection="1">
      <alignment vertical="center"/>
      <protection locked="0"/>
    </xf>
    <xf numFmtId="0" fontId="9" fillId="8" borderId="14" xfId="0" applyFont="1" applyFill="1" applyBorder="1" applyAlignment="1" applyProtection="1">
      <alignment vertical="center"/>
      <protection locked="0"/>
    </xf>
    <xf numFmtId="0" fontId="3" fillId="5" borderId="2" xfId="0" applyFont="1" applyFill="1" applyBorder="1" applyAlignment="1">
      <alignment vertical="center"/>
    </xf>
    <xf numFmtId="0" fontId="9" fillId="8" borderId="15" xfId="0" applyFont="1" applyFill="1" applyBorder="1" applyAlignment="1">
      <alignment vertical="center"/>
    </xf>
    <xf numFmtId="0" fontId="4" fillId="7" borderId="2" xfId="0" applyFont="1" applyFill="1" applyBorder="1" applyAlignment="1">
      <alignment horizontal="right" vertical="center"/>
    </xf>
    <xf numFmtId="0" fontId="11" fillId="0" borderId="2" xfId="0" applyFont="1" applyBorder="1" applyProtection="1">
      <protection hidden="1"/>
    </xf>
    <xf numFmtId="0" fontId="11" fillId="0" borderId="2" xfId="0" applyFont="1" applyBorder="1"/>
    <xf numFmtId="0" fontId="11" fillId="0" borderId="2" xfId="0" applyFont="1" applyBorder="1" applyAlignment="1">
      <alignment horizontal="left" vertical="center"/>
    </xf>
    <xf numFmtId="0" fontId="3" fillId="4" borderId="3" xfId="0" applyFont="1" applyFill="1" applyBorder="1" applyProtection="1">
      <protection locked="0"/>
    </xf>
    <xf numFmtId="0" fontId="3" fillId="0" borderId="2" xfId="0" applyFont="1" applyBorder="1" applyAlignment="1">
      <alignment vertical="center"/>
    </xf>
    <xf numFmtId="0" fontId="3" fillId="0" borderId="0" xfId="0" applyFont="1" applyAlignment="1" applyProtection="1">
      <alignment horizontal="left" indent="1"/>
      <protection hidden="1"/>
    </xf>
    <xf numFmtId="0" fontId="3" fillId="0" borderId="0" xfId="0" applyFont="1" applyAlignment="1" applyProtection="1">
      <alignment horizontal="center"/>
      <protection locked="0"/>
    </xf>
    <xf numFmtId="0" fontId="14" fillId="0" borderId="0" xfId="0" applyFont="1" applyAlignment="1" applyProtection="1">
      <alignment vertical="center"/>
      <protection hidden="1"/>
    </xf>
    <xf numFmtId="0" fontId="7" fillId="0" borderId="0" xfId="0" applyFont="1"/>
    <xf numFmtId="0" fontId="3" fillId="0" borderId="2" xfId="0" applyFont="1" applyBorder="1" applyAlignment="1">
      <alignment horizontal="center"/>
    </xf>
    <xf numFmtId="0" fontId="12" fillId="0" borderId="0" xfId="0" applyFont="1" applyAlignment="1">
      <alignment horizontal="center"/>
    </xf>
    <xf numFmtId="0" fontId="3" fillId="0" borderId="0" xfId="0" applyFont="1" applyAlignment="1">
      <alignment vertical="center" wrapText="1"/>
    </xf>
    <xf numFmtId="0" fontId="7" fillId="0" borderId="0" xfId="0" applyFont="1" applyAlignment="1">
      <alignment vertical="center"/>
    </xf>
    <xf numFmtId="0" fontId="12" fillId="0" borderId="0" xfId="0" applyFont="1" applyAlignment="1">
      <alignment vertical="center"/>
    </xf>
    <xf numFmtId="0" fontId="15" fillId="0" borderId="0" xfId="0" applyFont="1"/>
    <xf numFmtId="0" fontId="3" fillId="0" borderId="2" xfId="0" applyFont="1" applyBorder="1" applyAlignment="1">
      <alignment horizontal="center" vertical="center"/>
    </xf>
    <xf numFmtId="0" fontId="17" fillId="0" borderId="0" xfId="0" applyFont="1" applyAlignment="1">
      <alignment horizontal="left" vertical="top" wrapText="1"/>
    </xf>
    <xf numFmtId="0" fontId="2" fillId="0" borderId="0" xfId="0" applyFont="1"/>
    <xf numFmtId="0" fontId="22" fillId="0" borderId="0" xfId="0" applyFont="1"/>
    <xf numFmtId="0" fontId="23" fillId="0" borderId="0" xfId="0" applyFont="1"/>
    <xf numFmtId="0" fontId="2" fillId="0" borderId="0" xfId="0" applyFont="1" applyProtection="1">
      <protection hidden="1"/>
    </xf>
    <xf numFmtId="0" fontId="3" fillId="0" borderId="0" xfId="0" applyFont="1" applyAlignment="1" applyProtection="1">
      <alignment horizontal="center"/>
      <protection hidden="1"/>
    </xf>
    <xf numFmtId="0" fontId="25" fillId="0" borderId="0" xfId="0" applyFont="1" applyAlignment="1">
      <alignment horizontal="center"/>
    </xf>
    <xf numFmtId="0" fontId="2" fillId="0" borderId="0" xfId="0" applyFont="1" applyAlignment="1">
      <alignment horizontal="center" vertical="center" textRotation="255"/>
    </xf>
    <xf numFmtId="0" fontId="2" fillId="0" borderId="0" xfId="0" applyFont="1" applyAlignment="1">
      <alignment horizontal="left" vertical="center" indent="1"/>
    </xf>
    <xf numFmtId="0" fontId="2" fillId="0" borderId="0" xfId="0" applyFont="1" applyAlignment="1" applyProtection="1">
      <alignment horizontal="left" vertical="center" indent="1"/>
      <protection hidden="1"/>
    </xf>
    <xf numFmtId="165" fontId="3" fillId="0" borderId="0" xfId="0" applyNumberFormat="1" applyFont="1" applyProtection="1">
      <protection hidden="1"/>
    </xf>
    <xf numFmtId="167" fontId="3" fillId="0" borderId="0" xfId="0" applyNumberFormat="1" applyFont="1" applyProtection="1">
      <protection hidden="1"/>
    </xf>
    <xf numFmtId="0" fontId="3" fillId="0" borderId="16" xfId="0" applyFont="1" applyBorder="1" applyProtection="1">
      <protection hidden="1"/>
    </xf>
    <xf numFmtId="0" fontId="3" fillId="0" borderId="17" xfId="0" applyFont="1" applyBorder="1" applyProtection="1">
      <protection hidden="1"/>
    </xf>
    <xf numFmtId="0" fontId="3" fillId="0" borderId="0" xfId="0" applyFont="1" applyAlignment="1">
      <alignment horizontal="center" vertical="center"/>
    </xf>
    <xf numFmtId="0" fontId="3"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center"/>
    </xf>
    <xf numFmtId="166" fontId="3" fillId="0" borderId="17" xfId="0" applyNumberFormat="1" applyFont="1" applyBorder="1" applyAlignment="1" applyProtection="1">
      <alignment horizontal="right"/>
      <protection hidden="1"/>
    </xf>
    <xf numFmtId="0" fontId="3" fillId="0" borderId="3" xfId="0" applyFont="1" applyBorder="1" applyProtection="1">
      <protection hidden="1"/>
    </xf>
    <xf numFmtId="0" fontId="2" fillId="11" borderId="0" xfId="0" applyFont="1" applyFill="1" applyProtection="1">
      <protection hidden="1"/>
    </xf>
    <xf numFmtId="169" fontId="2" fillId="11" borderId="0" xfId="0" applyNumberFormat="1" applyFont="1" applyFill="1" applyAlignment="1" applyProtection="1">
      <alignment wrapText="1"/>
      <protection hidden="1"/>
    </xf>
    <xf numFmtId="0" fontId="2" fillId="11" borderId="0" xfId="0" applyFont="1" applyFill="1" applyAlignment="1" applyProtection="1">
      <alignment horizontal="center"/>
      <protection hidden="1"/>
    </xf>
    <xf numFmtId="0" fontId="2" fillId="11" borderId="0" xfId="0" applyFont="1" applyFill="1" applyAlignment="1" applyProtection="1">
      <alignment horizontal="right"/>
      <protection hidden="1"/>
    </xf>
    <xf numFmtId="0" fontId="2" fillId="0" borderId="0" xfId="0" applyFont="1" applyAlignment="1" applyProtection="1">
      <alignment vertical="top"/>
      <protection hidden="1"/>
    </xf>
    <xf numFmtId="0" fontId="26" fillId="0" borderId="0" xfId="0" applyFont="1" applyAlignment="1" applyProtection="1">
      <alignment vertical="top"/>
      <protection hidden="1"/>
    </xf>
    <xf numFmtId="0" fontId="27" fillId="0" borderId="0" xfId="0" applyFont="1" applyAlignment="1" applyProtection="1">
      <alignment horizontal="right" vertical="top"/>
      <protection hidden="1"/>
    </xf>
    <xf numFmtId="0" fontId="26" fillId="0" borderId="0" xfId="0" applyFont="1" applyAlignment="1" applyProtection="1">
      <alignment vertical="center"/>
      <protection hidden="1"/>
    </xf>
    <xf numFmtId="0" fontId="28" fillId="0" borderId="0" xfId="0" applyFont="1" applyAlignment="1" applyProtection="1">
      <alignment horizontal="center" vertical="center"/>
      <protection hidden="1"/>
    </xf>
    <xf numFmtId="0" fontId="29" fillId="0" borderId="0" xfId="0" applyFont="1" applyAlignment="1" applyProtection="1">
      <alignment horizontal="center" vertical="center"/>
      <protection hidden="1"/>
    </xf>
    <xf numFmtId="0" fontId="26" fillId="10" borderId="0" xfId="0" applyFont="1" applyFill="1" applyAlignment="1" applyProtection="1">
      <alignment vertical="top"/>
      <protection hidden="1"/>
    </xf>
    <xf numFmtId="0" fontId="2" fillId="0" borderId="31" xfId="0" applyFont="1" applyBorder="1" applyAlignment="1" applyProtection="1">
      <alignment horizontal="center" vertical="center"/>
      <protection hidden="1"/>
    </xf>
    <xf numFmtId="0" fontId="2" fillId="0" borderId="0" xfId="0" applyFont="1" applyAlignment="1" applyProtection="1">
      <alignment horizontal="left" vertical="center"/>
      <protection hidden="1"/>
    </xf>
    <xf numFmtId="0" fontId="2" fillId="0" borderId="0" xfId="0" applyFont="1" applyAlignment="1" applyProtection="1">
      <alignment horizontal="right" vertical="center"/>
      <protection hidden="1"/>
    </xf>
    <xf numFmtId="0" fontId="2" fillId="0" borderId="0" xfId="0" applyFont="1" applyAlignment="1">
      <alignment horizontal="right"/>
    </xf>
    <xf numFmtId="0" fontId="2" fillId="0" borderId="0" xfId="0" applyFont="1" applyAlignment="1">
      <alignment horizontal="right" vertical="center"/>
    </xf>
    <xf numFmtId="0" fontId="2" fillId="0" borderId="0" xfId="0" applyFont="1" applyAlignment="1">
      <alignment horizontal="left" vertical="center"/>
    </xf>
    <xf numFmtId="0" fontId="31" fillId="0" borderId="0" xfId="0" applyFont="1" applyAlignment="1" applyProtection="1">
      <alignment vertical="center"/>
      <protection hidden="1"/>
    </xf>
    <xf numFmtId="0" fontId="32" fillId="0" borderId="0" xfId="0" applyFont="1" applyAlignment="1" applyProtection="1">
      <alignment horizontal="center" vertical="center"/>
      <protection hidden="1"/>
    </xf>
    <xf numFmtId="169" fontId="2" fillId="0" borderId="0" xfId="0" applyNumberFormat="1" applyFont="1" applyAlignment="1" applyProtection="1">
      <alignment wrapText="1"/>
      <protection hidden="1"/>
    </xf>
    <xf numFmtId="0" fontId="2" fillId="0" borderId="0" xfId="0" applyFont="1" applyAlignment="1" applyProtection="1">
      <alignment horizontal="right"/>
      <protection hidden="1"/>
    </xf>
    <xf numFmtId="0" fontId="33" fillId="0" borderId="0" xfId="0" applyFont="1" applyAlignment="1" applyProtection="1">
      <alignment horizontal="center" vertical="center"/>
      <protection hidden="1"/>
    </xf>
    <xf numFmtId="0" fontId="26" fillId="11" borderId="0" xfId="0" applyFont="1" applyFill="1" applyProtection="1">
      <protection hidden="1"/>
    </xf>
    <xf numFmtId="0" fontId="26" fillId="11" borderId="0" xfId="0" applyFont="1" applyFill="1" applyAlignment="1" applyProtection="1">
      <alignment vertical="center"/>
      <protection hidden="1"/>
    </xf>
    <xf numFmtId="0" fontId="26" fillId="0" borderId="0" xfId="0" applyFont="1" applyAlignment="1" applyProtection="1">
      <alignment horizontal="left" vertical="center" indent="1"/>
      <protection hidden="1"/>
    </xf>
    <xf numFmtId="0" fontId="26" fillId="11" borderId="0" xfId="0" applyFont="1" applyFill="1" applyAlignment="1" applyProtection="1">
      <alignment vertical="top"/>
      <protection hidden="1"/>
    </xf>
    <xf numFmtId="0" fontId="26" fillId="0" borderId="0" xfId="0" applyFont="1" applyAlignment="1" applyProtection="1">
      <alignment horizontal="left" vertical="top"/>
      <protection hidden="1"/>
    </xf>
    <xf numFmtId="0" fontId="2" fillId="0" borderId="0" xfId="0" applyFont="1" applyAlignment="1" applyProtection="1">
      <alignment horizontal="center" vertical="center"/>
      <protection hidden="1"/>
    </xf>
    <xf numFmtId="0" fontId="2" fillId="11" borderId="0" xfId="0" applyFont="1" applyFill="1" applyAlignment="1" applyProtection="1">
      <alignment vertical="center"/>
      <protection hidden="1"/>
    </xf>
    <xf numFmtId="0" fontId="25" fillId="11" borderId="0" xfId="0" applyFont="1" applyFill="1" applyAlignment="1" applyProtection="1">
      <alignment vertical="center"/>
      <protection hidden="1"/>
    </xf>
    <xf numFmtId="0" fontId="2" fillId="11" borderId="0" xfId="0" applyFont="1" applyFill="1" applyAlignment="1" applyProtection="1">
      <alignment horizontal="center" vertical="center"/>
      <protection hidden="1"/>
    </xf>
    <xf numFmtId="0" fontId="10" fillId="12" borderId="0" xfId="0" applyFont="1" applyFill="1" applyAlignment="1" applyProtection="1">
      <alignment horizontal="center" vertical="center"/>
      <protection hidden="1"/>
    </xf>
    <xf numFmtId="0" fontId="10" fillId="13" borderId="0" xfId="0" applyFont="1" applyFill="1" applyAlignment="1" applyProtection="1">
      <alignment horizontal="center" vertical="center"/>
      <protection hidden="1"/>
    </xf>
    <xf numFmtId="0" fontId="10" fillId="14" borderId="0" xfId="0" applyFont="1" applyFill="1" applyAlignment="1" applyProtection="1">
      <alignment horizontal="center" vertical="center"/>
      <protection hidden="1"/>
    </xf>
    <xf numFmtId="0" fontId="10" fillId="15" borderId="0" xfId="0" applyFont="1" applyFill="1" applyAlignment="1" applyProtection="1">
      <alignment horizontal="center" vertical="center"/>
      <protection hidden="1"/>
    </xf>
    <xf numFmtId="0" fontId="34" fillId="0" borderId="0" xfId="0" applyFont="1" applyAlignment="1" applyProtection="1">
      <alignment horizontal="center" vertical="center"/>
      <protection hidden="1"/>
    </xf>
    <xf numFmtId="0" fontId="10" fillId="16" borderId="0" xfId="0" applyFont="1" applyFill="1" applyAlignment="1" applyProtection="1">
      <alignment horizontal="center" vertical="center"/>
      <protection hidden="1"/>
    </xf>
    <xf numFmtId="0" fontId="35" fillId="0" borderId="0" xfId="0" applyFont="1" applyAlignment="1" applyProtection="1">
      <alignment horizontal="center" vertical="center"/>
      <protection hidden="1"/>
    </xf>
    <xf numFmtId="0" fontId="39" fillId="0" borderId="0" xfId="0" applyFont="1" applyAlignment="1" applyProtection="1">
      <alignment horizontal="center" vertical="center"/>
      <protection hidden="1"/>
    </xf>
    <xf numFmtId="0" fontId="40" fillId="0" borderId="0" xfId="0" applyFont="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25" fillId="2" borderId="30" xfId="0" applyFont="1" applyFill="1" applyBorder="1" applyAlignment="1" applyProtection="1">
      <alignment horizontal="center" vertical="center"/>
      <protection hidden="1"/>
    </xf>
    <xf numFmtId="0" fontId="2" fillId="0" borderId="2" xfId="0" applyFont="1" applyBorder="1" applyAlignment="1" applyProtection="1">
      <alignment vertical="top"/>
      <protection hidden="1"/>
    </xf>
    <xf numFmtId="0" fontId="26" fillId="10" borderId="34" xfId="0" applyFont="1" applyFill="1" applyBorder="1" applyAlignment="1" applyProtection="1">
      <alignment vertical="center"/>
      <protection hidden="1"/>
    </xf>
    <xf numFmtId="0" fontId="26" fillId="10" borderId="37" xfId="0" applyFont="1" applyFill="1" applyBorder="1" applyAlignment="1" applyProtection="1">
      <alignment vertical="center"/>
      <protection hidden="1"/>
    </xf>
    <xf numFmtId="0" fontId="10" fillId="17" borderId="0" xfId="0" applyFont="1" applyFill="1" applyAlignment="1" applyProtection="1">
      <alignment horizontal="center" vertical="center"/>
      <protection hidden="1"/>
    </xf>
    <xf numFmtId="0" fontId="41" fillId="0" borderId="0" xfId="0" applyFont="1" applyAlignment="1" applyProtection="1">
      <alignment horizontal="center" vertical="center"/>
      <protection hidden="1"/>
    </xf>
    <xf numFmtId="0" fontId="4" fillId="18" borderId="0" xfId="0" applyFont="1" applyFill="1"/>
    <xf numFmtId="0" fontId="9" fillId="18" borderId="0" xfId="0" applyFont="1" applyFill="1" applyAlignment="1">
      <alignment vertical="center"/>
    </xf>
    <xf numFmtId="0" fontId="4" fillId="18" borderId="0" xfId="0" quotePrefix="1" applyFont="1" applyFill="1" applyAlignment="1">
      <alignment horizontal="left"/>
    </xf>
    <xf numFmtId="0" fontId="20" fillId="18" borderId="0" xfId="1" applyFont="1" applyFill="1" applyBorder="1" applyAlignment="1" applyProtection="1"/>
    <xf numFmtId="0" fontId="19" fillId="18" borderId="0" xfId="1" applyFont="1" applyFill="1" applyBorder="1" applyAlignment="1" applyProtection="1"/>
    <xf numFmtId="0" fontId="21" fillId="18" borderId="0" xfId="0" applyFont="1" applyFill="1" applyAlignment="1">
      <alignment horizontal="left"/>
    </xf>
    <xf numFmtId="0" fontId="43" fillId="0" borderId="0" xfId="0" applyFont="1"/>
    <xf numFmtId="0" fontId="2" fillId="11" borderId="24" xfId="0" applyFont="1" applyFill="1" applyBorder="1" applyAlignment="1" applyProtection="1">
      <alignment horizontal="right"/>
      <protection hidden="1"/>
    </xf>
    <xf numFmtId="0" fontId="2" fillId="0" borderId="24" xfId="0" applyFont="1" applyBorder="1" applyAlignment="1" applyProtection="1">
      <alignment vertical="center"/>
      <protection hidden="1"/>
    </xf>
    <xf numFmtId="0" fontId="26" fillId="0" borderId="24" xfId="0" applyFont="1" applyBorder="1" applyAlignment="1" applyProtection="1">
      <alignment vertical="top"/>
      <protection hidden="1"/>
    </xf>
    <xf numFmtId="0" fontId="26" fillId="0" borderId="24" xfId="0" applyFont="1" applyBorder="1" applyAlignment="1" applyProtection="1">
      <alignment vertical="center"/>
      <protection hidden="1"/>
    </xf>
    <xf numFmtId="0" fontId="2" fillId="0" borderId="24" xfId="0" applyFont="1" applyBorder="1" applyAlignment="1" applyProtection="1">
      <alignment horizontal="right"/>
      <protection hidden="1"/>
    </xf>
    <xf numFmtId="0" fontId="2" fillId="0" borderId="24" xfId="0" applyFont="1" applyBorder="1" applyProtection="1">
      <protection hidden="1"/>
    </xf>
    <xf numFmtId="0" fontId="0" fillId="0" borderId="24" xfId="0" applyBorder="1"/>
    <xf numFmtId="0" fontId="44" fillId="3" borderId="0" xfId="0" applyFont="1" applyFill="1" applyAlignment="1" applyProtection="1">
      <alignment vertical="top"/>
      <protection hidden="1"/>
    </xf>
    <xf numFmtId="0" fontId="3" fillId="0" borderId="8" xfId="0" applyFont="1" applyBorder="1" applyAlignment="1" applyProtection="1">
      <alignment horizontal="center" vertical="center"/>
      <protection hidden="1"/>
    </xf>
    <xf numFmtId="164" fontId="3" fillId="0" borderId="9" xfId="0" applyNumberFormat="1" applyFont="1" applyBorder="1" applyAlignment="1" applyProtection="1">
      <alignment horizontal="right" vertical="center" wrapText="1" shrinkToFit="1"/>
      <protection hidden="1"/>
    </xf>
    <xf numFmtId="168" fontId="3" fillId="0" borderId="9" xfId="0" applyNumberFormat="1" applyFont="1" applyBorder="1" applyAlignment="1" applyProtection="1">
      <alignment horizontal="center" vertical="center"/>
      <protection hidden="1"/>
    </xf>
    <xf numFmtId="0" fontId="3" fillId="0" borderId="9" xfId="0" applyFont="1" applyBorder="1" applyAlignment="1" applyProtection="1">
      <alignment horizontal="right" vertical="center"/>
      <protection hidden="1"/>
    </xf>
    <xf numFmtId="0" fontId="3" fillId="0" borderId="13" xfId="0" applyFont="1" applyBorder="1" applyAlignment="1" applyProtection="1">
      <alignment horizontal="center" vertical="center"/>
      <protection locked="0"/>
    </xf>
    <xf numFmtId="0" fontId="3" fillId="0" borderId="9" xfId="0" applyFont="1" applyBorder="1" applyAlignment="1" applyProtection="1">
      <alignment vertical="center"/>
      <protection hidden="1"/>
    </xf>
    <xf numFmtId="0" fontId="3" fillId="0" borderId="10" xfId="0" applyFont="1" applyBorder="1" applyAlignment="1" applyProtection="1">
      <alignment vertical="center"/>
      <protection locked="0"/>
    </xf>
    <xf numFmtId="0" fontId="3" fillId="0" borderId="0" xfId="0" applyFont="1" applyAlignment="1" applyProtection="1">
      <alignment horizontal="center" vertical="center"/>
      <protection hidden="1"/>
    </xf>
    <xf numFmtId="0" fontId="3" fillId="0" borderId="0" xfId="0" applyFont="1" applyAlignment="1" applyProtection="1">
      <alignment horizontal="center" vertical="center"/>
      <protection locked="0"/>
    </xf>
    <xf numFmtId="0" fontId="3" fillId="0" borderId="11" xfId="0" applyFont="1" applyBorder="1" applyAlignment="1" applyProtection="1">
      <alignment horizontal="center" vertical="center"/>
      <protection hidden="1"/>
    </xf>
    <xf numFmtId="16" fontId="3" fillId="0" borderId="0" xfId="0" applyNumberFormat="1" applyFont="1" applyAlignment="1" applyProtection="1">
      <alignment horizontal="right" vertical="center" wrapText="1" shrinkToFit="1"/>
      <protection hidden="1"/>
    </xf>
    <xf numFmtId="168" fontId="3" fillId="0" borderId="0" xfId="0" applyNumberFormat="1" applyFont="1" applyAlignment="1" applyProtection="1">
      <alignment horizontal="center" vertical="center"/>
      <protection hidden="1"/>
    </xf>
    <xf numFmtId="0" fontId="3" fillId="0" borderId="0" xfId="0" applyFont="1" applyAlignment="1" applyProtection="1">
      <alignment horizontal="right" vertical="center"/>
      <protection hidden="1"/>
    </xf>
    <xf numFmtId="0" fontId="3" fillId="0" borderId="25" xfId="0" applyFont="1" applyBorder="1" applyProtection="1">
      <protection locked="0"/>
    </xf>
    <xf numFmtId="0" fontId="7" fillId="0" borderId="0" xfId="0" applyFont="1" applyAlignment="1" applyProtection="1">
      <alignment horizontal="center" vertical="center"/>
      <protection hidden="1"/>
    </xf>
    <xf numFmtId="0" fontId="3" fillId="0" borderId="12" xfId="0" applyFont="1" applyBorder="1" applyAlignment="1" applyProtection="1">
      <alignment vertical="center"/>
      <protection locked="0"/>
    </xf>
    <xf numFmtId="0" fontId="3" fillId="0" borderId="22" xfId="0" applyFont="1" applyBorder="1" applyAlignment="1" applyProtection="1">
      <alignment horizontal="center" vertical="center"/>
      <protection hidden="1"/>
    </xf>
    <xf numFmtId="16" fontId="3" fillId="0" borderId="19" xfId="0" applyNumberFormat="1" applyFont="1" applyBorder="1" applyAlignment="1" applyProtection="1">
      <alignment horizontal="right" vertical="center" wrapText="1" shrinkToFit="1"/>
      <protection hidden="1"/>
    </xf>
    <xf numFmtId="168" fontId="3" fillId="0" borderId="19" xfId="0" applyNumberFormat="1" applyFont="1" applyBorder="1" applyAlignment="1" applyProtection="1">
      <alignment horizontal="center" vertical="center"/>
      <protection hidden="1"/>
    </xf>
    <xf numFmtId="0" fontId="3" fillId="0" borderId="19" xfId="0" applyFont="1" applyBorder="1" applyAlignment="1" applyProtection="1">
      <alignment horizontal="right" vertical="center"/>
      <protection hidden="1"/>
    </xf>
    <xf numFmtId="0" fontId="3" fillId="0" borderId="19" xfId="0" applyFont="1" applyBorder="1" applyAlignment="1" applyProtection="1">
      <alignment horizontal="center" vertical="center"/>
      <protection locked="0"/>
    </xf>
    <xf numFmtId="0" fontId="3" fillId="0" borderId="19" xfId="0" applyFont="1" applyBorder="1" applyAlignment="1" applyProtection="1">
      <alignment vertical="center"/>
      <protection hidden="1"/>
    </xf>
    <xf numFmtId="0" fontId="3" fillId="0" borderId="23" xfId="0" applyFont="1" applyBorder="1" applyProtection="1">
      <protection locked="0"/>
    </xf>
    <xf numFmtId="0" fontId="3" fillId="0" borderId="24" xfId="0" applyFont="1" applyBorder="1" applyAlignment="1" applyProtection="1">
      <alignment horizontal="center" vertical="center"/>
      <protection hidden="1"/>
    </xf>
    <xf numFmtId="0" fontId="3" fillId="0" borderId="26" xfId="0" applyFont="1" applyBorder="1" applyAlignment="1" applyProtection="1">
      <alignment horizontal="center" vertical="center"/>
      <protection hidden="1"/>
    </xf>
    <xf numFmtId="16" fontId="3" fillId="0" borderId="27" xfId="0" applyNumberFormat="1" applyFont="1" applyBorder="1" applyAlignment="1" applyProtection="1">
      <alignment horizontal="right" vertical="center" wrapText="1" shrinkToFit="1"/>
      <protection hidden="1"/>
    </xf>
    <xf numFmtId="168" fontId="3" fillId="0" borderId="27" xfId="0" applyNumberFormat="1" applyFont="1" applyBorder="1" applyAlignment="1" applyProtection="1">
      <alignment horizontal="center" vertical="center"/>
      <protection hidden="1"/>
    </xf>
    <xf numFmtId="0" fontId="3" fillId="0" borderId="27" xfId="0" applyFont="1" applyBorder="1" applyAlignment="1" applyProtection="1">
      <alignment horizontal="right" vertical="center"/>
      <protection hidden="1"/>
    </xf>
    <xf numFmtId="0" fontId="3" fillId="0" borderId="27" xfId="0" applyFont="1" applyBorder="1" applyAlignment="1" applyProtection="1">
      <alignment horizontal="center" vertical="center"/>
      <protection locked="0"/>
    </xf>
    <xf numFmtId="0" fontId="3" fillId="0" borderId="27" xfId="0" applyFont="1" applyBorder="1" applyAlignment="1" applyProtection="1">
      <alignment vertical="center"/>
      <protection hidden="1"/>
    </xf>
    <xf numFmtId="0" fontId="3" fillId="0" borderId="28" xfId="0" applyFont="1" applyBorder="1" applyProtection="1">
      <protection locked="0"/>
    </xf>
    <xf numFmtId="0" fontId="3" fillId="0" borderId="19" xfId="0" applyFont="1" applyBorder="1" applyAlignment="1" applyProtection="1">
      <alignment horizontal="right"/>
      <protection hidden="1"/>
    </xf>
    <xf numFmtId="0" fontId="3" fillId="0" borderId="19" xfId="0" applyFont="1" applyBorder="1" applyProtection="1">
      <protection hidden="1"/>
    </xf>
    <xf numFmtId="0" fontId="3" fillId="0" borderId="0" xfId="0" applyFont="1" applyAlignment="1" applyProtection="1">
      <alignment horizontal="right"/>
      <protection hidden="1"/>
    </xf>
    <xf numFmtId="0" fontId="3" fillId="0" borderId="27" xfId="0" applyFont="1" applyBorder="1" applyAlignment="1" applyProtection="1">
      <alignment horizontal="right"/>
      <protection hidden="1"/>
    </xf>
    <xf numFmtId="0" fontId="3" fillId="0" borderId="27" xfId="0" applyFont="1" applyBorder="1" applyProtection="1">
      <protection hidden="1"/>
    </xf>
    <xf numFmtId="0" fontId="3" fillId="0" borderId="19" xfId="0" applyFont="1" applyBorder="1" applyAlignment="1" applyProtection="1">
      <alignment horizontal="left"/>
      <protection hidden="1"/>
    </xf>
    <xf numFmtId="0" fontId="3" fillId="0" borderId="27" xfId="0" applyFont="1" applyBorder="1" applyAlignment="1" applyProtection="1">
      <alignment horizontal="left"/>
      <protection hidden="1"/>
    </xf>
    <xf numFmtId="0" fontId="3" fillId="0" borderId="1" xfId="0" applyFont="1" applyBorder="1" applyAlignment="1" applyProtection="1">
      <alignment horizontal="center" vertical="center"/>
      <protection hidden="1"/>
    </xf>
    <xf numFmtId="16" fontId="3" fillId="0" borderId="18" xfId="0" applyNumberFormat="1" applyFont="1" applyBorder="1" applyAlignment="1" applyProtection="1">
      <alignment horizontal="right" vertical="center" wrapText="1" shrinkToFit="1"/>
      <protection hidden="1"/>
    </xf>
    <xf numFmtId="168" fontId="3" fillId="0" borderId="18" xfId="0" applyNumberFormat="1" applyFont="1" applyBorder="1" applyAlignment="1" applyProtection="1">
      <alignment horizontal="center" vertical="center"/>
      <protection hidden="1"/>
    </xf>
    <xf numFmtId="0" fontId="3" fillId="0" borderId="18" xfId="0" applyFont="1" applyBorder="1" applyAlignment="1" applyProtection="1">
      <alignment horizontal="right"/>
      <protection hidden="1"/>
    </xf>
    <xf numFmtId="0" fontId="3" fillId="0" borderId="18" xfId="0" applyFont="1" applyBorder="1" applyAlignment="1" applyProtection="1">
      <alignment horizontal="center" vertical="center"/>
      <protection locked="0"/>
    </xf>
    <xf numFmtId="0" fontId="3" fillId="0" borderId="18" xfId="0" applyFont="1" applyBorder="1" applyProtection="1">
      <protection hidden="1"/>
    </xf>
    <xf numFmtId="0" fontId="3" fillId="0" borderId="29" xfId="0" applyFont="1" applyBorder="1" applyProtection="1">
      <protection locked="0"/>
    </xf>
    <xf numFmtId="0" fontId="7" fillId="0" borderId="0" xfId="0" applyFont="1" applyProtection="1">
      <protection hidden="1"/>
    </xf>
    <xf numFmtId="0" fontId="16" fillId="0" borderId="0" xfId="0" applyFont="1" applyAlignment="1" applyProtection="1">
      <alignment horizontal="center"/>
      <protection hidden="1"/>
    </xf>
    <xf numFmtId="0" fontId="7" fillId="0" borderId="5" xfId="0" applyFont="1" applyBorder="1" applyAlignment="1" applyProtection="1">
      <alignment horizontal="left" vertical="center"/>
      <protection hidden="1"/>
    </xf>
    <xf numFmtId="0" fontId="3" fillId="0" borderId="6" xfId="0" applyFont="1" applyBorder="1" applyAlignment="1" applyProtection="1">
      <alignment vertical="center"/>
      <protection hidden="1"/>
    </xf>
    <xf numFmtId="0" fontId="7" fillId="0" borderId="6" xfId="0" applyFont="1" applyBorder="1" applyAlignment="1" applyProtection="1">
      <alignment horizontal="center" vertical="center"/>
      <protection hidden="1"/>
    </xf>
    <xf numFmtId="0" fontId="7" fillId="0" borderId="6" xfId="0" applyFont="1" applyBorder="1" applyAlignment="1" applyProtection="1">
      <alignment horizontal="center" vertical="center" wrapText="1"/>
      <protection hidden="1"/>
    </xf>
    <xf numFmtId="0" fontId="7" fillId="0" borderId="6" xfId="0" applyFont="1" applyBorder="1" applyAlignment="1" applyProtection="1">
      <alignment horizontal="right" vertical="center"/>
      <protection hidden="1"/>
    </xf>
    <xf numFmtId="0" fontId="7" fillId="0" borderId="6" xfId="0" applyFont="1" applyBorder="1" applyAlignment="1" applyProtection="1">
      <alignment horizontal="left" vertical="center"/>
      <protection hidden="1"/>
    </xf>
    <xf numFmtId="0" fontId="7" fillId="0" borderId="7" xfId="0" applyFont="1" applyBorder="1" applyAlignment="1" applyProtection="1">
      <alignment vertical="center"/>
      <protection hidden="1"/>
    </xf>
    <xf numFmtId="0" fontId="25" fillId="0" borderId="0" xfId="0" applyFont="1" applyAlignment="1" applyProtection="1">
      <alignment vertical="center"/>
      <protection hidden="1"/>
    </xf>
    <xf numFmtId="0" fontId="7" fillId="0" borderId="0" xfId="0" applyFont="1" applyAlignment="1" applyProtection="1">
      <alignment vertical="center"/>
      <protection hidden="1"/>
    </xf>
    <xf numFmtId="0" fontId="23"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7" fillId="0" borderId="0" xfId="0" quotePrefix="1" applyFont="1" applyAlignment="1" applyProtection="1">
      <alignment horizontal="center" vertical="center"/>
      <protection hidden="1"/>
    </xf>
    <xf numFmtId="0" fontId="3" fillId="0" borderId="0" xfId="0" applyFont="1" applyAlignment="1" applyProtection="1">
      <alignment horizontal="left" vertical="center" indent="1"/>
      <protection hidden="1"/>
    </xf>
    <xf numFmtId="0" fontId="7" fillId="0" borderId="21" xfId="0" applyFont="1" applyBorder="1" applyAlignment="1" applyProtection="1">
      <alignment horizontal="left" vertical="center"/>
      <protection hidden="1"/>
    </xf>
    <xf numFmtId="0" fontId="7" fillId="0" borderId="19" xfId="0" applyFont="1" applyBorder="1" applyAlignment="1" applyProtection="1">
      <alignment horizontal="center" vertical="center"/>
      <protection hidden="1"/>
    </xf>
    <xf numFmtId="0" fontId="7" fillId="0" borderId="19" xfId="0" applyFont="1" applyBorder="1" applyAlignment="1" applyProtection="1">
      <alignment horizontal="center" vertical="center" wrapText="1"/>
      <protection hidden="1"/>
    </xf>
    <xf numFmtId="168" fontId="7" fillId="0" borderId="19" xfId="0" applyNumberFormat="1" applyFont="1" applyBorder="1" applyAlignment="1" applyProtection="1">
      <alignment horizontal="center" vertical="center"/>
      <protection hidden="1"/>
    </xf>
    <xf numFmtId="0" fontId="7" fillId="0" borderId="19" xfId="0" applyFont="1" applyBorder="1" applyAlignment="1" applyProtection="1">
      <alignment horizontal="right" vertical="center"/>
      <protection hidden="1"/>
    </xf>
    <xf numFmtId="0" fontId="7" fillId="0" borderId="19" xfId="0" applyFont="1" applyBorder="1" applyAlignment="1" applyProtection="1">
      <alignment horizontal="center" vertical="center"/>
      <protection locked="0"/>
    </xf>
    <xf numFmtId="0" fontId="7" fillId="0" borderId="19" xfId="0" applyFont="1" applyBorder="1" applyAlignment="1" applyProtection="1">
      <alignment horizontal="left" vertical="center"/>
      <protection hidden="1"/>
    </xf>
    <xf numFmtId="0" fontId="7" fillId="0" borderId="20" xfId="0" applyFont="1" applyBorder="1" applyAlignment="1" applyProtection="1">
      <alignment vertical="center"/>
      <protection locked="0"/>
    </xf>
    <xf numFmtId="0" fontId="46" fillId="0" borderId="0" xfId="0" applyFont="1" applyAlignment="1" applyProtection="1">
      <alignment vertical="center"/>
      <protection hidden="1"/>
    </xf>
    <xf numFmtId="0" fontId="47" fillId="0" borderId="0" xfId="0" applyFont="1" applyProtection="1">
      <protection hidden="1"/>
    </xf>
    <xf numFmtId="0" fontId="3" fillId="0" borderId="2" xfId="0" applyFont="1" applyBorder="1" applyAlignment="1" applyProtection="1">
      <alignment horizontal="center" vertical="center"/>
      <protection locked="0"/>
    </xf>
    <xf numFmtId="0" fontId="38" fillId="0" borderId="19" xfId="0" applyFont="1" applyBorder="1" applyAlignment="1" applyProtection="1">
      <alignment horizontal="center" vertical="center"/>
      <protection locked="0"/>
    </xf>
    <xf numFmtId="0" fontId="48" fillId="0" borderId="0" xfId="0" applyFont="1" applyAlignment="1" applyProtection="1">
      <alignment horizontal="left" vertical="top" wrapText="1"/>
      <protection hidden="1"/>
    </xf>
    <xf numFmtId="0" fontId="11" fillId="0" borderId="19" xfId="0" applyFont="1" applyBorder="1" applyAlignment="1" applyProtection="1">
      <alignment horizontal="left" vertical="top" wrapText="1"/>
      <protection hidden="1"/>
    </xf>
    <xf numFmtId="0" fontId="11" fillId="0" borderId="0" xfId="0" applyFont="1" applyAlignment="1" applyProtection="1">
      <alignment horizontal="left" vertical="top" wrapText="1"/>
      <protection hidden="1"/>
    </xf>
    <xf numFmtId="0" fontId="2" fillId="0" borderId="0" xfId="0" applyFont="1" applyAlignment="1" applyProtection="1">
      <alignment horizontal="left" vertical="center"/>
      <protection hidden="1"/>
    </xf>
    <xf numFmtId="168" fontId="30" fillId="5" borderId="31" xfId="0" applyNumberFormat="1" applyFont="1" applyFill="1" applyBorder="1" applyAlignment="1" applyProtection="1">
      <alignment horizontal="center" vertical="center"/>
      <protection hidden="1"/>
    </xf>
    <xf numFmtId="0" fontId="30" fillId="5" borderId="31" xfId="0" applyFont="1" applyFill="1" applyBorder="1" applyAlignment="1" applyProtection="1">
      <alignment horizontal="right" vertical="center"/>
      <protection hidden="1"/>
    </xf>
    <xf numFmtId="169" fontId="30" fillId="5" borderId="32" xfId="0" applyNumberFormat="1" applyFont="1" applyFill="1" applyBorder="1" applyAlignment="1" applyProtection="1">
      <alignment horizontal="left" vertical="center" wrapText="1" shrinkToFit="1"/>
      <protection hidden="1"/>
    </xf>
    <xf numFmtId="169" fontId="30" fillId="5" borderId="31" xfId="0" applyNumberFormat="1" applyFont="1" applyFill="1" applyBorder="1" applyAlignment="1" applyProtection="1">
      <alignment horizontal="left" vertical="center" wrapText="1" shrinkToFit="1"/>
      <protection hidden="1"/>
    </xf>
    <xf numFmtId="0" fontId="2" fillId="6" borderId="0" xfId="0" applyFont="1" applyFill="1" applyAlignment="1" applyProtection="1">
      <alignment horizontal="left" vertical="top" wrapText="1"/>
      <protection hidden="1"/>
    </xf>
    <xf numFmtId="0" fontId="31" fillId="0" borderId="0" xfId="0" applyFont="1" applyAlignment="1" applyProtection="1">
      <alignment horizontal="center" vertical="center"/>
      <protection hidden="1"/>
    </xf>
    <xf numFmtId="0" fontId="2" fillId="0" borderId="0" xfId="0" applyFont="1" applyAlignment="1" applyProtection="1">
      <alignment horizontal="right" vertical="center"/>
      <protection hidden="1"/>
    </xf>
    <xf numFmtId="0" fontId="2" fillId="0" borderId="0" xfId="0" applyFont="1" applyAlignment="1">
      <alignment horizontal="left"/>
    </xf>
    <xf numFmtId="0" fontId="2" fillId="0" borderId="25" xfId="0" applyFont="1" applyBorder="1" applyAlignment="1">
      <alignment horizontal="left"/>
    </xf>
    <xf numFmtId="0" fontId="2" fillId="0" borderId="24" xfId="0" applyFont="1" applyBorder="1" applyAlignment="1">
      <alignment horizontal="right" vertical="center"/>
    </xf>
    <xf numFmtId="0" fontId="2" fillId="0" borderId="0" xfId="0" applyFont="1" applyAlignment="1">
      <alignment horizontal="right" vertical="center"/>
    </xf>
    <xf numFmtId="0" fontId="2" fillId="0" borderId="30" xfId="0" applyFont="1" applyBorder="1" applyAlignment="1" applyProtection="1">
      <alignment horizontal="left" vertical="center"/>
      <protection hidden="1"/>
    </xf>
    <xf numFmtId="0" fontId="2" fillId="0" borderId="30" xfId="0" applyFont="1" applyBorder="1" applyAlignment="1" applyProtection="1">
      <alignment horizontal="right" vertical="center"/>
      <protection hidden="1"/>
    </xf>
    <xf numFmtId="168" fontId="30" fillId="5" borderId="33" xfId="0" applyNumberFormat="1" applyFont="1" applyFill="1" applyBorder="1" applyAlignment="1" applyProtection="1">
      <alignment horizontal="center" vertical="center"/>
      <protection hidden="1"/>
    </xf>
    <xf numFmtId="0" fontId="42" fillId="0" borderId="0" xfId="1" applyFont="1" applyAlignment="1" applyProtection="1">
      <alignment horizontal="left" vertical="center"/>
      <protection hidden="1"/>
    </xf>
    <xf numFmtId="0" fontId="37" fillId="3" borderId="35" xfId="0" applyFont="1" applyFill="1" applyBorder="1" applyAlignment="1" applyProtection="1">
      <alignment horizontal="left" vertical="center"/>
      <protection hidden="1"/>
    </xf>
    <xf numFmtId="0" fontId="37" fillId="3" borderId="36" xfId="0" applyFont="1" applyFill="1" applyBorder="1" applyAlignment="1" applyProtection="1">
      <alignment horizontal="left" vertical="center"/>
      <protection hidden="1"/>
    </xf>
    <xf numFmtId="0" fontId="37" fillId="3" borderId="38" xfId="0" applyFont="1" applyFill="1" applyBorder="1" applyAlignment="1" applyProtection="1">
      <alignment horizontal="left" vertical="center"/>
      <protection hidden="1"/>
    </xf>
    <xf numFmtId="0" fontId="37" fillId="3" borderId="39" xfId="0" applyFont="1" applyFill="1" applyBorder="1" applyAlignment="1" applyProtection="1">
      <alignment horizontal="left" vertical="center"/>
      <protection hidden="1"/>
    </xf>
    <xf numFmtId="0" fontId="36" fillId="10" borderId="35" xfId="0" applyFont="1" applyFill="1" applyBorder="1" applyAlignment="1" applyProtection="1">
      <alignment horizontal="center" vertical="center"/>
      <protection hidden="1"/>
    </xf>
    <xf numFmtId="0" fontId="36" fillId="10" borderId="38" xfId="0" applyFont="1" applyFill="1" applyBorder="1" applyAlignment="1" applyProtection="1">
      <alignment horizontal="center" vertical="center"/>
      <protection hidden="1"/>
    </xf>
    <xf numFmtId="0" fontId="7" fillId="0" borderId="0" xfId="0" applyFont="1" applyAlignment="1" applyProtection="1">
      <alignment horizontal="left" vertical="center"/>
      <protection locked="0" hidden="1"/>
    </xf>
    <xf numFmtId="0" fontId="3" fillId="0" borderId="0" xfId="0" applyFont="1" applyAlignment="1" applyProtection="1">
      <alignment horizontal="left" vertical="center"/>
      <protection locked="0" hidden="1"/>
    </xf>
    <xf numFmtId="0" fontId="7" fillId="0" borderId="0" xfId="0" applyFont="1" applyAlignment="1" applyProtection="1">
      <alignment horizontal="left" vertical="center"/>
      <protection hidden="1"/>
    </xf>
    <xf numFmtId="0" fontId="7" fillId="0" borderId="6" xfId="0" applyFont="1" applyBorder="1" applyAlignment="1" applyProtection="1">
      <alignment horizontal="center" vertical="center"/>
      <protection hidden="1"/>
    </xf>
    <xf numFmtId="0" fontId="3" fillId="0" borderId="19"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3" fillId="0" borderId="18" xfId="0" applyFont="1" applyBorder="1" applyAlignment="1" applyProtection="1">
      <alignment horizontal="center"/>
      <protection hidden="1"/>
    </xf>
    <xf numFmtId="0" fontId="3" fillId="0" borderId="9" xfId="0" applyFont="1" applyBorder="1" applyAlignment="1" applyProtection="1">
      <alignment horizontal="center" vertical="center"/>
      <protection hidden="1"/>
    </xf>
    <xf numFmtId="0" fontId="3" fillId="0" borderId="0" xfId="0" applyFont="1" applyAlignment="1" applyProtection="1">
      <alignment horizontal="center" vertical="center"/>
      <protection hidden="1"/>
    </xf>
    <xf numFmtId="0" fontId="7" fillId="0" borderId="19" xfId="0" applyFont="1" applyBorder="1" applyAlignment="1" applyProtection="1">
      <alignment horizontal="center" vertical="center"/>
      <protection hidden="1"/>
    </xf>
    <xf numFmtId="0" fontId="45" fillId="0" borderId="0" xfId="0" applyFont="1" applyAlignment="1" applyProtection="1">
      <alignment horizontal="left" vertical="center"/>
      <protection hidden="1"/>
    </xf>
    <xf numFmtId="0" fontId="24" fillId="0" borderId="0" xfId="0" applyFont="1" applyAlignment="1" applyProtection="1">
      <alignment horizontal="left" vertical="center" wrapText="1" indent="1"/>
      <protection hidden="1"/>
    </xf>
    <xf numFmtId="0" fontId="3" fillId="0" borderId="0" xfId="0" applyFont="1" applyAlignment="1" applyProtection="1">
      <alignment horizontal="center" vertical="center" wrapText="1"/>
      <protection hidden="1"/>
    </xf>
    <xf numFmtId="0" fontId="25" fillId="0" borderId="0" xfId="0" applyFont="1" applyAlignment="1">
      <alignment horizontal="center" vertical="center" textRotation="255"/>
    </xf>
    <xf numFmtId="0" fontId="3" fillId="9" borderId="2" xfId="0" applyFont="1" applyFill="1" applyBorder="1" applyAlignment="1">
      <alignment horizontal="center" vertical="center"/>
    </xf>
    <xf numFmtId="0" fontId="15" fillId="0" borderId="0" xfId="0" applyFont="1" applyAlignment="1">
      <alignment horizontal="left" vertical="top" wrapText="1"/>
    </xf>
    <xf numFmtId="0" fontId="3" fillId="0" borderId="0" xfId="0" applyFont="1" applyAlignment="1">
      <alignment horizontal="left" vertical="top" wrapText="1"/>
    </xf>
    <xf numFmtId="0" fontId="17" fillId="0" borderId="0" xfId="0" applyFont="1" applyAlignment="1">
      <alignment horizontal="left" vertical="top" wrapText="1"/>
    </xf>
    <xf numFmtId="0" fontId="18" fillId="0" borderId="0" xfId="1" applyAlignment="1" applyProtection="1">
      <alignment horizontal="left"/>
    </xf>
  </cellXfs>
  <cellStyles count="2">
    <cellStyle name="Hyperlink" xfId="1" builtinId="8"/>
    <cellStyle name="Normal" xfId="0" builtinId="0"/>
  </cellStyles>
  <dxfs count="88">
    <dxf>
      <fill>
        <patternFill>
          <bgColor theme="0" tint="-0.14996795556505021"/>
        </patternFill>
      </fill>
    </dxf>
    <dxf>
      <font>
        <b/>
        <i val="0"/>
      </font>
    </dxf>
    <dxf>
      <font>
        <b val="0"/>
        <i/>
        <color theme="1" tint="0.499984740745262"/>
      </font>
    </dxf>
    <dxf>
      <font>
        <b val="0"/>
        <i/>
        <color rgb="FF0000FF"/>
      </font>
    </dxf>
    <dxf>
      <font>
        <b/>
        <i val="0"/>
        <color rgb="FF0000FF"/>
      </font>
    </dxf>
    <dxf>
      <font>
        <b/>
        <i val="0"/>
      </font>
    </dxf>
    <dxf>
      <font>
        <b val="0"/>
        <i/>
        <color theme="1" tint="0.499984740745262"/>
      </font>
    </dxf>
    <dxf>
      <font>
        <b/>
        <i val="0"/>
        <color rgb="FF0000FF"/>
      </font>
    </dxf>
    <dxf>
      <font>
        <b val="0"/>
        <i/>
        <color rgb="FF0000FF"/>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val="0"/>
        <i/>
        <color rgb="FF0000FF"/>
      </font>
    </dxf>
    <dxf>
      <font>
        <b/>
        <i val="0"/>
        <color rgb="FF0000FF"/>
      </font>
    </dxf>
    <dxf>
      <font>
        <b/>
        <i val="0"/>
      </font>
    </dxf>
    <dxf>
      <font>
        <b val="0"/>
        <i/>
        <color theme="1" tint="0.499984740745262"/>
      </font>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1"/>
      </font>
      <fill>
        <patternFill>
          <bgColor theme="5" tint="0.79998168889431442"/>
        </patternFill>
      </fill>
    </dxf>
    <dxf>
      <font>
        <color theme="0"/>
      </font>
      <fill>
        <patternFill>
          <bgColor theme="9" tint="-0.24994659260841701"/>
        </patternFill>
      </fill>
    </dxf>
    <dxf>
      <font>
        <color theme="0"/>
      </font>
      <fill>
        <patternFill>
          <bgColor rgb="FFC00000"/>
        </patternFill>
      </fill>
    </dxf>
    <dxf>
      <font>
        <color theme="0"/>
      </font>
      <fill>
        <patternFill>
          <bgColor rgb="FF0000FF"/>
        </patternFill>
      </fill>
    </dxf>
    <dxf>
      <font>
        <color theme="0"/>
      </font>
      <fill>
        <patternFill>
          <bgColor theme="2" tint="-0.499984740745262"/>
        </patternFill>
      </fill>
    </dxf>
    <dxf>
      <font>
        <color theme="0"/>
      </font>
      <fill>
        <patternFill>
          <bgColor rgb="FF7030A0"/>
        </patternFill>
      </fill>
    </dxf>
    <dxf>
      <font>
        <color theme="0"/>
      </font>
      <fill>
        <patternFill>
          <bgColor rgb="FF00B05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39</xdr:col>
      <xdr:colOff>19051</xdr:colOff>
      <xdr:row>55</xdr:row>
      <xdr:rowOff>163655</xdr:rowOff>
    </xdr:from>
    <xdr:to>
      <xdr:col>41</xdr:col>
      <xdr:colOff>28575</xdr:colOff>
      <xdr:row>58</xdr:row>
      <xdr:rowOff>128844</xdr:rowOff>
    </xdr:to>
    <xdr:pic>
      <xdr:nvPicPr>
        <xdr:cNvPr id="2" name="Picture 1">
          <a:extLst>
            <a:ext uri="{FF2B5EF4-FFF2-40B4-BE49-F238E27FC236}">
              <a16:creationId xmlns:a16="http://schemas.microsoft.com/office/drawing/2014/main" id="{42258676-318A-4558-923E-748A288A66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5601" y="9364805"/>
          <a:ext cx="371474" cy="479539"/>
        </a:xfrm>
        <a:prstGeom prst="rect">
          <a:avLst/>
        </a:prstGeom>
      </xdr:spPr>
    </xdr:pic>
    <xdr:clientData/>
  </xdr:twoCellAnchor>
  <xdr:twoCellAnchor editAs="oneCell">
    <xdr:from>
      <xdr:col>38</xdr:col>
      <xdr:colOff>66675</xdr:colOff>
      <xdr:row>2</xdr:row>
      <xdr:rowOff>30761</xdr:rowOff>
    </xdr:from>
    <xdr:to>
      <xdr:col>41</xdr:col>
      <xdr:colOff>161925</xdr:colOff>
      <xdr:row>7</xdr:row>
      <xdr:rowOff>0</xdr:rowOff>
    </xdr:to>
    <xdr:pic>
      <xdr:nvPicPr>
        <xdr:cNvPr id="4" name="Picture 3">
          <a:extLst>
            <a:ext uri="{FF2B5EF4-FFF2-40B4-BE49-F238E27FC236}">
              <a16:creationId xmlns:a16="http://schemas.microsoft.com/office/drawing/2014/main" id="{EC193060-CE90-5558-E947-3D03333A520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0328" t="15517" r="10923" b="12375"/>
        <a:stretch/>
      </xdr:blipFill>
      <xdr:spPr>
        <a:xfrm>
          <a:off x="6572250" y="145061"/>
          <a:ext cx="638175" cy="826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120650</xdr:colOff>
      <xdr:row>4</xdr:row>
      <xdr:rowOff>44450</xdr:rowOff>
    </xdr:from>
    <xdr:to>
      <xdr:col>4</xdr:col>
      <xdr:colOff>508370</xdr:colOff>
      <xdr:row>7</xdr:row>
      <xdr:rowOff>9354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950" y="615950"/>
          <a:ext cx="1664070" cy="5364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25400</xdr:colOff>
      <xdr:row>4</xdr:row>
      <xdr:rowOff>50800</xdr:rowOff>
    </xdr:from>
    <xdr:to>
      <xdr:col>16</xdr:col>
      <xdr:colOff>25400</xdr:colOff>
      <xdr:row>79</xdr:row>
      <xdr:rowOff>31750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39700" y="622300"/>
          <a:ext cx="9144000" cy="1188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p>
        <a:p>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journalsheet.com/product/js832-ss-xl-%e2%97%89-uefa-euro-2024-fixtures-scoresheet"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102"/>
  <sheetViews>
    <sheetView showGridLines="0" tabSelected="1" zoomScaleNormal="100" workbookViewId="0">
      <pane ySplit="4" topLeftCell="A5" activePane="bottomLeft" state="frozen"/>
      <selection pane="bottomLeft" activeCell="G35" sqref="G35"/>
    </sheetView>
  </sheetViews>
  <sheetFormatPr defaultColWidth="8.85546875" defaultRowHeight="15" x14ac:dyDescent="0.2"/>
  <cols>
    <col min="1" max="1" width="1.5703125" style="9" customWidth="1"/>
    <col min="2" max="2" width="3.140625" style="9" bestFit="1" customWidth="1"/>
    <col min="3" max="4" width="40.5703125" style="9" customWidth="1"/>
    <col min="5" max="5" width="2.140625" style="9" customWidth="1"/>
    <col min="6" max="6" width="3.85546875" style="9" customWidth="1"/>
    <col min="7" max="16384" width="8.85546875" style="9"/>
  </cols>
  <sheetData>
    <row r="1" spans="1:103" s="17" customFormat="1" ht="5.0999999999999996" customHeight="1" x14ac:dyDescent="0.2"/>
    <row r="2" spans="1:103" s="2" customFormat="1" ht="5.0999999999999996" customHeight="1" x14ac:dyDescent="0.25">
      <c r="D2" s="13"/>
      <c r="N2" s="5"/>
      <c r="O2" s="14"/>
      <c r="P2" s="14"/>
      <c r="Q2" s="14"/>
      <c r="R2" s="14"/>
      <c r="S2" s="14"/>
      <c r="T2" s="7"/>
      <c r="U2" s="15"/>
      <c r="V2" s="16"/>
      <c r="CO2" s="5"/>
      <c r="CP2" s="5"/>
      <c r="CQ2" s="5"/>
      <c r="CR2" s="5"/>
    </row>
    <row r="3" spans="1:103" s="3" customFormat="1" ht="30" customHeight="1" x14ac:dyDescent="0.25">
      <c r="B3" s="32" t="s">
        <v>456</v>
      </c>
      <c r="C3" s="2"/>
      <c r="D3" s="13"/>
      <c r="E3" s="2"/>
      <c r="F3" s="2"/>
      <c r="G3" s="2"/>
      <c r="H3" s="2"/>
      <c r="I3" s="2"/>
      <c r="J3" s="2"/>
      <c r="K3" s="2"/>
      <c r="L3" s="2"/>
      <c r="M3" s="2"/>
      <c r="N3" s="2"/>
      <c r="O3" s="2"/>
      <c r="P3" s="2"/>
      <c r="Q3" s="2"/>
      <c r="R3" s="2"/>
      <c r="S3" s="2"/>
      <c r="T3" s="30"/>
      <c r="U3" s="31"/>
      <c r="V3" s="2"/>
      <c r="W3" s="2"/>
      <c r="X3" s="2"/>
      <c r="Y3" s="2"/>
      <c r="Z3" s="2"/>
      <c r="AA3" s="2"/>
      <c r="AB3" s="2"/>
      <c r="AC3" s="2"/>
      <c r="AD3" s="2"/>
      <c r="AE3" s="2"/>
    </row>
    <row r="4" spans="1:103" s="3" customFormat="1" ht="5.0999999999999996" customHeight="1" x14ac:dyDescent="0.25">
      <c r="D4" s="6"/>
      <c r="M4" s="2"/>
      <c r="N4" s="5"/>
      <c r="O4" s="5"/>
      <c r="P4" s="5"/>
      <c r="Q4" s="5"/>
      <c r="R4" s="5"/>
      <c r="S4" s="5"/>
      <c r="T4" s="7"/>
      <c r="U4" s="15"/>
      <c r="V4" s="16"/>
      <c r="W4" s="2"/>
      <c r="X4" s="2"/>
      <c r="Y4" s="2"/>
      <c r="Z4" s="2"/>
      <c r="AA4" s="2"/>
      <c r="AB4" s="2"/>
      <c r="AC4" s="2"/>
      <c r="AD4" s="2"/>
      <c r="AE4" s="2"/>
      <c r="CV4" s="4"/>
      <c r="CW4" s="4"/>
      <c r="CX4" s="4"/>
      <c r="CY4" s="4"/>
    </row>
    <row r="5" spans="1:103" ht="15" customHeight="1" x14ac:dyDescent="0.25">
      <c r="A5" s="12"/>
      <c r="C5" s="29" t="s">
        <v>780</v>
      </c>
      <c r="D5" s="40">
        <v>0</v>
      </c>
      <c r="F5" s="38" t="s">
        <v>476</v>
      </c>
      <c r="G5" s="9" t="s">
        <v>781</v>
      </c>
    </row>
    <row r="6" spans="1:103" ht="15" customHeight="1" x14ac:dyDescent="0.25">
      <c r="C6" s="29" t="s">
        <v>458</v>
      </c>
      <c r="D6" s="28" t="s">
        <v>121</v>
      </c>
      <c r="F6" s="38" t="s">
        <v>476</v>
      </c>
      <c r="G6" s="9" t="s">
        <v>477</v>
      </c>
    </row>
    <row r="7" spans="1:103" ht="15" customHeight="1" x14ac:dyDescent="0.25">
      <c r="C7" s="24" t="s">
        <v>459</v>
      </c>
      <c r="D7" s="22" t="s">
        <v>455</v>
      </c>
      <c r="H7" s="2"/>
      <c r="I7" s="2"/>
    </row>
    <row r="8" spans="1:103" ht="15" customHeight="1" thickBot="1" x14ac:dyDescent="0.25">
      <c r="C8" s="23" t="s">
        <v>427</v>
      </c>
      <c r="D8" s="21" t="s">
        <v>457</v>
      </c>
      <c r="F8" s="37" t="s">
        <v>472</v>
      </c>
    </row>
    <row r="9" spans="1:103" ht="15" customHeight="1" x14ac:dyDescent="0.2">
      <c r="C9" s="10" t="s">
        <v>831</v>
      </c>
      <c r="D9" s="19"/>
      <c r="F9" s="36">
        <v>1</v>
      </c>
      <c r="G9" s="9" t="s">
        <v>473</v>
      </c>
    </row>
    <row r="10" spans="1:103" ht="15" customHeight="1" x14ac:dyDescent="0.2">
      <c r="C10" s="11" t="s">
        <v>55</v>
      </c>
      <c r="D10" s="20"/>
      <c r="F10" s="36">
        <v>2</v>
      </c>
      <c r="G10" s="9" t="s">
        <v>474</v>
      </c>
    </row>
    <row r="11" spans="1:103" ht="15" customHeight="1" x14ac:dyDescent="0.2">
      <c r="C11" s="11" t="s">
        <v>53</v>
      </c>
      <c r="D11" s="20"/>
      <c r="F11" s="9">
        <v>3</v>
      </c>
      <c r="G11" s="9" t="s">
        <v>475</v>
      </c>
    </row>
    <row r="12" spans="1:103" ht="15" customHeight="1" x14ac:dyDescent="0.2">
      <c r="C12" s="11" t="s">
        <v>52</v>
      </c>
      <c r="D12" s="20"/>
    </row>
    <row r="13" spans="1:103" ht="15" customHeight="1" x14ac:dyDescent="0.2">
      <c r="C13" s="11" t="s">
        <v>869</v>
      </c>
      <c r="D13" s="20"/>
    </row>
    <row r="14" spans="1:103" ht="15" customHeight="1" x14ac:dyDescent="0.2">
      <c r="C14" s="11" t="s">
        <v>443</v>
      </c>
      <c r="D14" s="20"/>
    </row>
    <row r="15" spans="1:103" ht="15" customHeight="1" x14ac:dyDescent="0.2">
      <c r="C15" s="11" t="s">
        <v>1</v>
      </c>
      <c r="D15" s="20"/>
    </row>
    <row r="16" spans="1:103" ht="15" customHeight="1" x14ac:dyDescent="0.2">
      <c r="C16" s="11" t="s">
        <v>11</v>
      </c>
      <c r="D16" s="20"/>
    </row>
    <row r="17" spans="3:4" ht="15" customHeight="1" x14ac:dyDescent="0.2">
      <c r="C17" s="11" t="s">
        <v>50</v>
      </c>
      <c r="D17" s="20"/>
    </row>
    <row r="18" spans="3:4" ht="15" customHeight="1" x14ac:dyDescent="0.2">
      <c r="C18" s="11" t="s">
        <v>56</v>
      </c>
      <c r="D18" s="20"/>
    </row>
    <row r="19" spans="3:4" ht="15" customHeight="1" x14ac:dyDescent="0.2">
      <c r="C19" s="11" t="s">
        <v>10</v>
      </c>
      <c r="D19" s="20"/>
    </row>
    <row r="20" spans="3:4" ht="15" customHeight="1" x14ac:dyDescent="0.2">
      <c r="C20" s="11" t="s">
        <v>444</v>
      </c>
      <c r="D20" s="20"/>
    </row>
    <row r="21" spans="3:4" ht="15" customHeight="1" x14ac:dyDescent="0.2">
      <c r="C21" s="11" t="s">
        <v>54</v>
      </c>
      <c r="D21" s="20"/>
    </row>
    <row r="22" spans="3:4" ht="15" customHeight="1" x14ac:dyDescent="0.2">
      <c r="C22" s="11" t="s">
        <v>834</v>
      </c>
      <c r="D22" s="20"/>
    </row>
    <row r="23" spans="3:4" ht="15" customHeight="1" x14ac:dyDescent="0.2">
      <c r="C23" s="11" t="s">
        <v>19</v>
      </c>
      <c r="D23" s="20"/>
    </row>
    <row r="24" spans="3:4" ht="15" customHeight="1" x14ac:dyDescent="0.2">
      <c r="C24" s="11" t="s">
        <v>832</v>
      </c>
      <c r="D24" s="20"/>
    </row>
    <row r="25" spans="3:4" ht="15" customHeight="1" x14ac:dyDescent="0.2">
      <c r="C25" s="11" t="s">
        <v>49</v>
      </c>
      <c r="D25" s="20"/>
    </row>
    <row r="26" spans="3:4" ht="15" customHeight="1" x14ac:dyDescent="0.2">
      <c r="C26" s="11" t="s">
        <v>833</v>
      </c>
      <c r="D26" s="20"/>
    </row>
    <row r="27" spans="3:4" ht="15" customHeight="1" x14ac:dyDescent="0.2">
      <c r="C27" s="11" t="s">
        <v>51</v>
      </c>
      <c r="D27" s="20"/>
    </row>
    <row r="28" spans="3:4" ht="15" customHeight="1" x14ac:dyDescent="0.2">
      <c r="C28" s="11" t="s">
        <v>48</v>
      </c>
      <c r="D28" s="20"/>
    </row>
    <row r="29" spans="3:4" ht="15" customHeight="1" x14ac:dyDescent="0.2">
      <c r="C29" s="11" t="s">
        <v>870</v>
      </c>
      <c r="D29" s="20"/>
    </row>
    <row r="30" spans="3:4" ht="15" customHeight="1" x14ac:dyDescent="0.2">
      <c r="C30" s="11" t="s">
        <v>879</v>
      </c>
      <c r="D30" s="20"/>
    </row>
    <row r="31" spans="3:4" ht="15" customHeight="1" x14ac:dyDescent="0.2">
      <c r="C31" s="11" t="s">
        <v>880</v>
      </c>
      <c r="D31" s="20"/>
    </row>
    <row r="32" spans="3:4" ht="15" customHeight="1" x14ac:dyDescent="0.2">
      <c r="C32" s="11" t="s">
        <v>881</v>
      </c>
      <c r="D32" s="20"/>
    </row>
    <row r="33" spans="3:4" ht="15" customHeight="1" x14ac:dyDescent="0.2">
      <c r="C33" s="11" t="s">
        <v>57</v>
      </c>
      <c r="D33" s="20" t="s">
        <v>57</v>
      </c>
    </row>
    <row r="34" spans="3:4" ht="15" customHeight="1" x14ac:dyDescent="0.2">
      <c r="C34" s="11" t="s">
        <v>58</v>
      </c>
      <c r="D34" s="20" t="s">
        <v>58</v>
      </c>
    </row>
    <row r="35" spans="3:4" ht="15" customHeight="1" x14ac:dyDescent="0.2">
      <c r="C35" s="11" t="s">
        <v>59</v>
      </c>
      <c r="D35" s="20" t="s">
        <v>59</v>
      </c>
    </row>
    <row r="36" spans="3:4" ht="15" customHeight="1" x14ac:dyDescent="0.2">
      <c r="C36" s="11" t="s">
        <v>18</v>
      </c>
      <c r="D36" s="20" t="s">
        <v>18</v>
      </c>
    </row>
    <row r="37" spans="3:4" ht="15" customHeight="1" x14ac:dyDescent="0.2">
      <c r="C37" s="11" t="s">
        <v>5</v>
      </c>
      <c r="D37" s="20" t="s">
        <v>5</v>
      </c>
    </row>
    <row r="38" spans="3:4" ht="15" customHeight="1" x14ac:dyDescent="0.2">
      <c r="C38" s="11" t="s">
        <v>2</v>
      </c>
      <c r="D38" s="20" t="s">
        <v>2</v>
      </c>
    </row>
    <row r="39" spans="3:4" ht="15" customHeight="1" x14ac:dyDescent="0.2">
      <c r="C39" s="11" t="s">
        <v>8</v>
      </c>
      <c r="D39" s="20" t="s">
        <v>8</v>
      </c>
    </row>
    <row r="40" spans="3:4" ht="15" customHeight="1" x14ac:dyDescent="0.2">
      <c r="C40" s="11" t="s">
        <v>16</v>
      </c>
      <c r="D40" s="20" t="s">
        <v>16</v>
      </c>
    </row>
    <row r="41" spans="3:4" ht="15" customHeight="1" x14ac:dyDescent="0.2">
      <c r="C41" s="11" t="s">
        <v>6</v>
      </c>
      <c r="D41" s="20" t="s">
        <v>6</v>
      </c>
    </row>
    <row r="42" spans="3:4" ht="15" customHeight="1" x14ac:dyDescent="0.2">
      <c r="C42" s="11" t="s">
        <v>9</v>
      </c>
      <c r="D42" s="20" t="s">
        <v>9</v>
      </c>
    </row>
    <row r="43" spans="3:4" ht="15" customHeight="1" x14ac:dyDescent="0.2">
      <c r="C43" s="11" t="s">
        <v>60</v>
      </c>
      <c r="D43" s="20" t="s">
        <v>60</v>
      </c>
    </row>
    <row r="44" spans="3:4" ht="15" customHeight="1" x14ac:dyDescent="0.2">
      <c r="C44" s="11" t="s">
        <v>61</v>
      </c>
      <c r="D44" s="20" t="s">
        <v>61</v>
      </c>
    </row>
    <row r="45" spans="3:4" ht="15" customHeight="1" x14ac:dyDescent="0.2">
      <c r="C45" s="11" t="s">
        <v>62</v>
      </c>
      <c r="D45" s="20" t="s">
        <v>62</v>
      </c>
    </row>
    <row r="46" spans="3:4" ht="15" customHeight="1" x14ac:dyDescent="0.2">
      <c r="C46" s="11" t="s">
        <v>7</v>
      </c>
      <c r="D46" s="20" t="s">
        <v>7</v>
      </c>
    </row>
    <row r="47" spans="3:4" ht="15" customHeight="1" x14ac:dyDescent="0.2">
      <c r="C47" s="11" t="s">
        <v>63</v>
      </c>
      <c r="D47" s="20" t="s">
        <v>63</v>
      </c>
    </row>
    <row r="48" spans="3:4" ht="15" customHeight="1" x14ac:dyDescent="0.2">
      <c r="C48" s="11" t="s">
        <v>44</v>
      </c>
      <c r="D48" s="20" t="s">
        <v>44</v>
      </c>
    </row>
    <row r="49" spans="3:4" ht="15" customHeight="1" x14ac:dyDescent="0.2">
      <c r="C49" s="11" t="s">
        <v>64</v>
      </c>
      <c r="D49" s="20" t="s">
        <v>64</v>
      </c>
    </row>
    <row r="50" spans="3:4" ht="15" customHeight="1" x14ac:dyDescent="0.2">
      <c r="C50" s="11" t="s">
        <v>65</v>
      </c>
      <c r="D50" s="20" t="s">
        <v>65</v>
      </c>
    </row>
    <row r="51" spans="3:4" ht="15" customHeight="1" x14ac:dyDescent="0.2">
      <c r="C51" s="11" t="s">
        <v>66</v>
      </c>
      <c r="D51" s="20" t="s">
        <v>66</v>
      </c>
    </row>
    <row r="52" spans="3:4" ht="15" customHeight="1" x14ac:dyDescent="0.2">
      <c r="C52" s="11" t="s">
        <v>67</v>
      </c>
      <c r="D52" s="20" t="s">
        <v>67</v>
      </c>
    </row>
    <row r="53" spans="3:4" ht="15" customHeight="1" x14ac:dyDescent="0.2">
      <c r="C53" s="11" t="s">
        <v>437</v>
      </c>
      <c r="D53" s="20" t="s">
        <v>437</v>
      </c>
    </row>
    <row r="54" spans="3:4" ht="15" customHeight="1" x14ac:dyDescent="0.2">
      <c r="C54" s="11" t="s">
        <v>68</v>
      </c>
      <c r="D54" s="20" t="s">
        <v>907</v>
      </c>
    </row>
    <row r="55" spans="3:4" ht="15" customHeight="1" x14ac:dyDescent="0.2">
      <c r="C55" s="11" t="s">
        <v>69</v>
      </c>
      <c r="D55" s="20" t="s">
        <v>908</v>
      </c>
    </row>
    <row r="56" spans="3:4" ht="15" customHeight="1" x14ac:dyDescent="0.2">
      <c r="C56" s="11" t="s">
        <v>70</v>
      </c>
      <c r="D56" s="20" t="s">
        <v>909</v>
      </c>
    </row>
    <row r="57" spans="3:4" ht="15" customHeight="1" x14ac:dyDescent="0.2">
      <c r="C57" s="11" t="s">
        <v>71</v>
      </c>
      <c r="D57" s="20" t="s">
        <v>910</v>
      </c>
    </row>
    <row r="58" spans="3:4" ht="15" customHeight="1" x14ac:dyDescent="0.2">
      <c r="C58" s="11" t="s">
        <v>72</v>
      </c>
      <c r="D58" s="20" t="s">
        <v>911</v>
      </c>
    </row>
    <row r="59" spans="3:4" ht="15" customHeight="1" x14ac:dyDescent="0.2">
      <c r="C59" s="11" t="s">
        <v>73</v>
      </c>
      <c r="D59" s="20" t="s">
        <v>912</v>
      </c>
    </row>
    <row r="60" spans="3:4" ht="15" customHeight="1" x14ac:dyDescent="0.2">
      <c r="C60" s="11" t="s">
        <v>74</v>
      </c>
      <c r="D60" s="20" t="s">
        <v>913</v>
      </c>
    </row>
    <row r="61" spans="3:4" ht="15" customHeight="1" x14ac:dyDescent="0.2">
      <c r="C61" s="11" t="s">
        <v>75</v>
      </c>
      <c r="D61" s="20" t="s">
        <v>914</v>
      </c>
    </row>
    <row r="62" spans="3:4" ht="15" customHeight="1" x14ac:dyDescent="0.2">
      <c r="C62" s="11" t="s">
        <v>76</v>
      </c>
      <c r="D62" s="20" t="s">
        <v>915</v>
      </c>
    </row>
    <row r="63" spans="3:4" ht="15" customHeight="1" x14ac:dyDescent="0.2">
      <c r="C63" s="11" t="s">
        <v>77</v>
      </c>
      <c r="D63" s="20" t="s">
        <v>916</v>
      </c>
    </row>
    <row r="64" spans="3:4" ht="15" customHeight="1" x14ac:dyDescent="0.2">
      <c r="C64" s="11" t="s">
        <v>78</v>
      </c>
      <c r="D64" s="20" t="s">
        <v>917</v>
      </c>
    </row>
    <row r="65" spans="3:4" ht="15" customHeight="1" x14ac:dyDescent="0.2">
      <c r="C65" s="11" t="s">
        <v>79</v>
      </c>
      <c r="D65" s="20" t="s">
        <v>918</v>
      </c>
    </row>
    <row r="66" spans="3:4" ht="15" customHeight="1" x14ac:dyDescent="0.2">
      <c r="C66" s="11" t="s">
        <v>190</v>
      </c>
      <c r="D66" s="20" t="s">
        <v>919</v>
      </c>
    </row>
    <row r="67" spans="3:4" ht="15" customHeight="1" x14ac:dyDescent="0.2">
      <c r="C67" s="11" t="s">
        <v>191</v>
      </c>
      <c r="D67" s="20" t="s">
        <v>920</v>
      </c>
    </row>
    <row r="68" spans="3:4" ht="15" customHeight="1" x14ac:dyDescent="0.2">
      <c r="C68" s="11" t="s">
        <v>192</v>
      </c>
      <c r="D68" s="20" t="s">
        <v>921</v>
      </c>
    </row>
    <row r="69" spans="3:4" ht="15" customHeight="1" x14ac:dyDescent="0.2">
      <c r="C69" s="11" t="s">
        <v>193</v>
      </c>
      <c r="D69" s="20" t="s">
        <v>922</v>
      </c>
    </row>
    <row r="70" spans="3:4" ht="15" customHeight="1" x14ac:dyDescent="0.2">
      <c r="C70" s="11" t="s">
        <v>194</v>
      </c>
      <c r="D70" s="20" t="s">
        <v>923</v>
      </c>
    </row>
    <row r="71" spans="3:4" ht="15" customHeight="1" x14ac:dyDescent="0.2">
      <c r="C71" s="11" t="s">
        <v>195</v>
      </c>
      <c r="D71" s="20" t="s">
        <v>924</v>
      </c>
    </row>
    <row r="72" spans="3:4" ht="15" customHeight="1" x14ac:dyDescent="0.2">
      <c r="C72" s="11" t="s">
        <v>196</v>
      </c>
      <c r="D72" s="20" t="s">
        <v>925</v>
      </c>
    </row>
    <row r="73" spans="3:4" ht="15" customHeight="1" x14ac:dyDescent="0.2">
      <c r="C73" s="11" t="s">
        <v>197</v>
      </c>
      <c r="D73" s="20" t="s">
        <v>926</v>
      </c>
    </row>
    <row r="74" spans="3:4" ht="15" customHeight="1" x14ac:dyDescent="0.2">
      <c r="C74" s="11" t="s">
        <v>198</v>
      </c>
      <c r="D74" s="20" t="s">
        <v>927</v>
      </c>
    </row>
    <row r="75" spans="3:4" ht="15" customHeight="1" x14ac:dyDescent="0.2">
      <c r="C75" s="11" t="s">
        <v>199</v>
      </c>
      <c r="D75" s="20" t="s">
        <v>928</v>
      </c>
    </row>
    <row r="76" spans="3:4" ht="15" customHeight="1" x14ac:dyDescent="0.2">
      <c r="C76" s="11" t="s">
        <v>200</v>
      </c>
      <c r="D76" s="20" t="s">
        <v>929</v>
      </c>
    </row>
    <row r="77" spans="3:4" ht="15" customHeight="1" x14ac:dyDescent="0.2">
      <c r="C77" s="11" t="s">
        <v>201</v>
      </c>
      <c r="D77" s="20" t="s">
        <v>930</v>
      </c>
    </row>
    <row r="78" spans="3:4" ht="15" customHeight="1" x14ac:dyDescent="0.2">
      <c r="C78" s="11" t="s">
        <v>89</v>
      </c>
      <c r="D78" s="20" t="s">
        <v>931</v>
      </c>
    </row>
    <row r="79" spans="3:4" ht="15" customHeight="1" x14ac:dyDescent="0.2">
      <c r="C79" s="11" t="s">
        <v>90</v>
      </c>
      <c r="D79" s="20" t="s">
        <v>932</v>
      </c>
    </row>
    <row r="80" spans="3:4" ht="15" customHeight="1" x14ac:dyDescent="0.2">
      <c r="C80" s="11" t="s">
        <v>91</v>
      </c>
      <c r="D80" s="20" t="s">
        <v>933</v>
      </c>
    </row>
    <row r="81" spans="3:4" ht="15" customHeight="1" x14ac:dyDescent="0.2">
      <c r="C81" s="11" t="s">
        <v>845</v>
      </c>
      <c r="D81" s="20" t="s">
        <v>845</v>
      </c>
    </row>
    <row r="82" spans="3:4" ht="15" customHeight="1" x14ac:dyDescent="0.2">
      <c r="C82" s="11" t="s">
        <v>83</v>
      </c>
      <c r="D82" s="20" t="s">
        <v>83</v>
      </c>
    </row>
    <row r="83" spans="3:4" ht="15" customHeight="1" x14ac:dyDescent="0.2">
      <c r="C83" s="11" t="s">
        <v>84</v>
      </c>
      <c r="D83" s="20" t="s">
        <v>84</v>
      </c>
    </row>
    <row r="84" spans="3:4" ht="15" customHeight="1" x14ac:dyDescent="0.2">
      <c r="C84" s="11" t="s">
        <v>85</v>
      </c>
      <c r="D84" s="20" t="s">
        <v>85</v>
      </c>
    </row>
    <row r="85" spans="3:4" ht="15" customHeight="1" x14ac:dyDescent="0.2">
      <c r="C85" s="11" t="s">
        <v>86</v>
      </c>
      <c r="D85" s="20" t="s">
        <v>86</v>
      </c>
    </row>
    <row r="86" spans="3:4" ht="15" customHeight="1" x14ac:dyDescent="0.2">
      <c r="C86" s="11" t="s">
        <v>87</v>
      </c>
      <c r="D86" s="20" t="s">
        <v>87</v>
      </c>
    </row>
    <row r="87" spans="3:4" ht="15" customHeight="1" x14ac:dyDescent="0.2">
      <c r="C87" s="11" t="s">
        <v>88</v>
      </c>
      <c r="D87" s="20" t="s">
        <v>88</v>
      </c>
    </row>
    <row r="88" spans="3:4" ht="15" customHeight="1" x14ac:dyDescent="0.2">
      <c r="C88" s="11" t="s">
        <v>80</v>
      </c>
      <c r="D88" s="20" t="s">
        <v>80</v>
      </c>
    </row>
    <row r="89" spans="3:4" ht="15" customHeight="1" x14ac:dyDescent="0.2">
      <c r="C89" s="11" t="s">
        <v>81</v>
      </c>
      <c r="D89" s="20" t="s">
        <v>81</v>
      </c>
    </row>
    <row r="90" spans="3:4" ht="15" customHeight="1" x14ac:dyDescent="0.2">
      <c r="C90" s="11" t="s">
        <v>82</v>
      </c>
      <c r="D90" s="20" t="s">
        <v>82</v>
      </c>
    </row>
    <row r="91" spans="3:4" ht="15" customHeight="1" x14ac:dyDescent="0.2">
      <c r="C91" s="11" t="s">
        <v>188</v>
      </c>
      <c r="D91" s="20" t="s">
        <v>188</v>
      </c>
    </row>
    <row r="92" spans="3:4" ht="15" customHeight="1" x14ac:dyDescent="0.2">
      <c r="C92" s="11" t="s">
        <v>189</v>
      </c>
      <c r="D92" s="20" t="s">
        <v>189</v>
      </c>
    </row>
    <row r="93" spans="3:4" ht="15" customHeight="1" x14ac:dyDescent="0.2">
      <c r="C93" s="11" t="s">
        <v>37</v>
      </c>
      <c r="D93" s="20" t="s">
        <v>37</v>
      </c>
    </row>
    <row r="94" spans="3:4" ht="15" customHeight="1" x14ac:dyDescent="0.2">
      <c r="C94" s="11" t="s">
        <v>202</v>
      </c>
      <c r="D94" s="20" t="s">
        <v>202</v>
      </c>
    </row>
    <row r="95" spans="3:4" ht="15" customHeight="1" x14ac:dyDescent="0.2">
      <c r="C95" s="11" t="s">
        <v>438</v>
      </c>
      <c r="D95" s="20" t="s">
        <v>934</v>
      </c>
    </row>
    <row r="96" spans="3:4" ht="15" customHeight="1" x14ac:dyDescent="0.2">
      <c r="C96" s="11" t="s">
        <v>439</v>
      </c>
      <c r="D96" s="20" t="s">
        <v>935</v>
      </c>
    </row>
    <row r="97" spans="3:4" ht="15" customHeight="1" x14ac:dyDescent="0.2">
      <c r="C97" s="11" t="s">
        <v>440</v>
      </c>
      <c r="D97" s="20" t="s">
        <v>936</v>
      </c>
    </row>
    <row r="98" spans="3:4" ht="15" customHeight="1" x14ac:dyDescent="0.2">
      <c r="C98" s="11" t="s">
        <v>441</v>
      </c>
      <c r="D98" s="20" t="s">
        <v>937</v>
      </c>
    </row>
    <row r="99" spans="3:4" ht="15" customHeight="1" x14ac:dyDescent="0.2">
      <c r="C99" s="11" t="s">
        <v>203</v>
      </c>
      <c r="D99" s="20" t="s">
        <v>203</v>
      </c>
    </row>
    <row r="100" spans="3:4" ht="15" customHeight="1" x14ac:dyDescent="0.2"/>
    <row r="102" spans="3:4" ht="7.35" customHeight="1" x14ac:dyDescent="0.2"/>
  </sheetData>
  <phoneticPr fontId="1" type="noConversion"/>
  <dataValidations count="2">
    <dataValidation type="list" allowBlank="1" showInputMessage="1" showErrorMessage="1" sqref="D6" xr:uid="{00000000-0002-0000-0000-000000000000}">
      <formula1>Countries</formula1>
    </dataValidation>
    <dataValidation type="list" allowBlank="1" showInputMessage="1" showErrorMessage="1" sqref="D5" xr:uid="{00000000-0002-0000-0000-000001000000}">
      <formula1>TimezoneList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FEAE-996B-4F90-88E9-F654A0CDE0B8}">
  <sheetPr>
    <pageSetUpPr fitToPage="1"/>
  </sheetPr>
  <dimension ref="A1:CB88"/>
  <sheetViews>
    <sheetView showGridLines="0" topLeftCell="A28" workbookViewId="0">
      <selection activeCell="AV6" sqref="AV6"/>
    </sheetView>
  </sheetViews>
  <sheetFormatPr defaultRowHeight="12.75" x14ac:dyDescent="0.2"/>
  <cols>
    <col min="1" max="1" width="1.5703125" style="45" customWidth="1"/>
    <col min="2" max="2" width="2.28515625" style="45" customWidth="1"/>
    <col min="3" max="3" width="2.5703125" style="45" customWidth="1"/>
    <col min="4" max="5" width="2.7109375" style="45" customWidth="1"/>
    <col min="6" max="7" width="2.7109375" style="80" customWidth="1"/>
    <col min="8" max="9" width="2.7109375" style="45" customWidth="1"/>
    <col min="10" max="14" width="2.7109375" style="81" customWidth="1"/>
    <col min="15" max="15" width="2.7109375" style="45" customWidth="1"/>
    <col min="16" max="16" width="0.85546875" style="45" customWidth="1"/>
    <col min="17" max="17" width="2.5703125" style="45" customWidth="1"/>
    <col min="18" max="29" width="2.7109375" style="45" customWidth="1"/>
    <col min="30" max="30" width="0.85546875" style="45" customWidth="1"/>
    <col min="31" max="42" width="2.7109375" style="45" customWidth="1"/>
    <col min="43" max="43" width="5.7109375" customWidth="1"/>
    <col min="44" max="44" width="1.7109375" style="121" customWidth="1"/>
    <col min="45" max="45" width="17.28515625" customWidth="1"/>
    <col min="46" max="46" width="8.140625" customWidth="1"/>
    <col min="48" max="48" width="11.42578125" customWidth="1"/>
  </cols>
  <sheetData>
    <row r="1" spans="1:80" s="61" customFormat="1" ht="4.5" customHeight="1" x14ac:dyDescent="0.2">
      <c r="F1" s="62"/>
      <c r="G1" s="62"/>
      <c r="H1" s="63"/>
      <c r="I1" s="63"/>
      <c r="J1" s="64"/>
      <c r="K1" s="64"/>
      <c r="L1" s="64"/>
      <c r="M1" s="64"/>
      <c r="N1" s="64"/>
      <c r="AQ1" s="64"/>
      <c r="AR1" s="115"/>
      <c r="AS1" s="64"/>
      <c r="AT1" s="64"/>
      <c r="AU1" s="64"/>
      <c r="BT1" s="83"/>
    </row>
    <row r="2" spans="1:80" s="68" customFormat="1" ht="5.0999999999999996"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16"/>
      <c r="AS2" s="1"/>
      <c r="AT2" s="1"/>
      <c r="AU2" s="1"/>
      <c r="AV2" s="1"/>
      <c r="AW2" s="1"/>
      <c r="AX2" s="1"/>
      <c r="AY2" s="1"/>
      <c r="AZ2" s="1"/>
      <c r="BA2" s="1"/>
      <c r="BB2" s="1"/>
      <c r="BC2" s="1"/>
      <c r="BD2" s="1"/>
      <c r="BE2" s="1"/>
      <c r="BF2" s="1"/>
      <c r="BG2" s="1"/>
      <c r="BH2" s="1"/>
      <c r="BI2" s="1"/>
      <c r="BJ2" s="1"/>
      <c r="BK2" s="1"/>
      <c r="BL2" s="1"/>
      <c r="BM2" s="1"/>
      <c r="BN2" s="1"/>
      <c r="BO2" s="1"/>
      <c r="BP2" s="1"/>
      <c r="BQ2" s="1"/>
      <c r="BR2" s="1"/>
      <c r="BS2" s="84"/>
      <c r="BT2" s="85"/>
    </row>
    <row r="3" spans="1:80" s="66" customFormat="1" ht="13.9" customHeight="1" x14ac:dyDescent="0.2">
      <c r="A3" s="65"/>
      <c r="B3" s="65"/>
      <c r="C3" s="92"/>
      <c r="I3" s="100" t="s">
        <v>861</v>
      </c>
      <c r="J3" s="100" t="s">
        <v>862</v>
      </c>
      <c r="K3" s="100" t="s">
        <v>863</v>
      </c>
      <c r="L3" s="100" t="s">
        <v>806</v>
      </c>
      <c r="M3" s="100" t="s">
        <v>864</v>
      </c>
      <c r="N3" s="100" t="s">
        <v>865</v>
      </c>
      <c r="O3" s="100" t="s">
        <v>866</v>
      </c>
      <c r="P3" s="65"/>
      <c r="Q3" s="106"/>
      <c r="W3" s="100" t="s">
        <v>861</v>
      </c>
      <c r="X3" s="100" t="s">
        <v>862</v>
      </c>
      <c r="Y3" s="100" t="s">
        <v>863</v>
      </c>
      <c r="Z3" s="100" t="s">
        <v>806</v>
      </c>
      <c r="AA3" s="100" t="s">
        <v>864</v>
      </c>
      <c r="AB3" s="100" t="s">
        <v>865</v>
      </c>
      <c r="AC3" s="100" t="s">
        <v>866</v>
      </c>
      <c r="AD3" s="65"/>
      <c r="AE3" s="195" t="s">
        <v>938</v>
      </c>
      <c r="AF3" s="195"/>
      <c r="AG3" s="195"/>
      <c r="AH3" s="195"/>
      <c r="AI3" s="195"/>
      <c r="AJ3" s="195"/>
      <c r="AK3" s="195"/>
      <c r="AL3" s="195"/>
      <c r="AR3" s="117"/>
      <c r="AS3" s="65"/>
      <c r="AT3" s="65"/>
      <c r="AU3" s="65"/>
      <c r="AV3" s="65"/>
      <c r="BR3" s="65"/>
      <c r="BS3" s="86"/>
      <c r="BT3" s="87"/>
    </row>
    <row r="4" spans="1:80" s="66" customFormat="1" ht="13.9" customHeight="1" x14ac:dyDescent="0.2">
      <c r="A4" s="65"/>
      <c r="B4" s="65"/>
      <c r="C4" s="92" t="s">
        <v>15</v>
      </c>
      <c r="D4" s="198" t="str">
        <f>Fixtures!P7</f>
        <v>Germany</v>
      </c>
      <c r="E4" s="198"/>
      <c r="F4" s="198"/>
      <c r="G4" s="198"/>
      <c r="H4" s="69" t="s">
        <v>851</v>
      </c>
      <c r="I4" s="101">
        <f>Fixtures!T7</f>
        <v>0</v>
      </c>
      <c r="J4" s="101">
        <f>Fixtures!U7</f>
        <v>0</v>
      </c>
      <c r="K4" s="101">
        <f>Fixtures!V7</f>
        <v>0</v>
      </c>
      <c r="L4" s="101">
        <f>Fixtures!W7</f>
        <v>0</v>
      </c>
      <c r="M4" s="101">
        <f>Fixtures!X7</f>
        <v>0</v>
      </c>
      <c r="N4" s="101">
        <f>Fixtures!Z7</f>
        <v>0</v>
      </c>
      <c r="O4" s="102">
        <f>Fixtures!AB7</f>
        <v>0</v>
      </c>
      <c r="P4" s="65"/>
      <c r="Q4" s="106" t="s">
        <v>3</v>
      </c>
      <c r="R4" s="198" t="str">
        <f>Fixtures!P12</f>
        <v>Spain</v>
      </c>
      <c r="S4" s="198"/>
      <c r="T4" s="198"/>
      <c r="U4" s="198"/>
      <c r="V4" s="107" t="s">
        <v>851</v>
      </c>
      <c r="W4" s="101">
        <f>Fixtures!T12</f>
        <v>0</v>
      </c>
      <c r="X4" s="101">
        <f>Fixtures!U12</f>
        <v>0</v>
      </c>
      <c r="Y4" s="101">
        <f>Fixtures!V12</f>
        <v>0</v>
      </c>
      <c r="Z4" s="101">
        <f>Fixtures!W12</f>
        <v>0</v>
      </c>
      <c r="AA4" s="101">
        <f>Fixtures!X12</f>
        <v>0</v>
      </c>
      <c r="AB4" s="101">
        <f>Fixtures!Z12</f>
        <v>0</v>
      </c>
      <c r="AC4" s="102">
        <f>Fixtures!AB12</f>
        <v>0</v>
      </c>
      <c r="AD4" s="65"/>
      <c r="AE4" s="195"/>
      <c r="AF4" s="195"/>
      <c r="AG4" s="195"/>
      <c r="AH4" s="195"/>
      <c r="AI4" s="195"/>
      <c r="AJ4" s="195"/>
      <c r="AK4" s="195"/>
      <c r="AL4" s="195"/>
      <c r="AR4" s="117"/>
      <c r="AS4" s="66" t="str">
        <f>Fixtures!P39</f>
        <v>Scotland</v>
      </c>
      <c r="AT4" s="65"/>
      <c r="AU4" s="65"/>
      <c r="AV4" s="65"/>
      <c r="BR4" s="65"/>
      <c r="BS4" s="86"/>
      <c r="BT4" s="87"/>
    </row>
    <row r="5" spans="1:80" s="66" customFormat="1" ht="13.9" customHeight="1" x14ac:dyDescent="0.2">
      <c r="A5" s="65"/>
      <c r="B5" s="65"/>
      <c r="C5" s="92"/>
      <c r="D5" s="198" t="str">
        <f>Fixtures!P8</f>
        <v>Hungary</v>
      </c>
      <c r="E5" s="198"/>
      <c r="F5" s="198"/>
      <c r="G5" s="198"/>
      <c r="H5" s="69" t="s">
        <v>852</v>
      </c>
      <c r="I5" s="101">
        <f>Fixtures!T8</f>
        <v>0</v>
      </c>
      <c r="J5" s="101">
        <f>Fixtures!U8</f>
        <v>0</v>
      </c>
      <c r="K5" s="101">
        <f>Fixtures!V8</f>
        <v>0</v>
      </c>
      <c r="L5" s="101">
        <f>Fixtures!W8</f>
        <v>0</v>
      </c>
      <c r="M5" s="101">
        <f>Fixtures!X8</f>
        <v>0</v>
      </c>
      <c r="N5" s="101">
        <f>Fixtures!Z8</f>
        <v>0</v>
      </c>
      <c r="O5" s="102">
        <f>Fixtures!AB8</f>
        <v>0</v>
      </c>
      <c r="P5" s="65"/>
      <c r="Q5" s="106"/>
      <c r="R5" s="198" t="str">
        <f>Fixtures!P13</f>
        <v>Albania</v>
      </c>
      <c r="S5" s="198"/>
      <c r="T5" s="198"/>
      <c r="U5" s="198"/>
      <c r="V5" s="107" t="s">
        <v>852</v>
      </c>
      <c r="W5" s="101">
        <f>Fixtures!T13</f>
        <v>0</v>
      </c>
      <c r="X5" s="101">
        <f>Fixtures!U13</f>
        <v>0</v>
      </c>
      <c r="Y5" s="101">
        <f>Fixtures!V13</f>
        <v>0</v>
      </c>
      <c r="Z5" s="101">
        <f>Fixtures!W13</f>
        <v>0</v>
      </c>
      <c r="AA5" s="101">
        <f>Fixtures!X13</f>
        <v>0</v>
      </c>
      <c r="AB5" s="101">
        <f>Fixtures!Z13</f>
        <v>0</v>
      </c>
      <c r="AC5" s="102">
        <f>Fixtures!AB13</f>
        <v>0</v>
      </c>
      <c r="AD5" s="65"/>
      <c r="AE5" s="196" t="s">
        <v>939</v>
      </c>
      <c r="AF5" s="196"/>
      <c r="AG5" s="196"/>
      <c r="AH5" s="196"/>
      <c r="AI5" s="196"/>
      <c r="AJ5" s="196"/>
      <c r="AK5" s="196"/>
      <c r="AL5" s="196"/>
      <c r="AR5" s="117"/>
      <c r="AS5" s="66" t="str">
        <f>Fixtures!P40</f>
        <v>Austria</v>
      </c>
      <c r="AT5" s="65"/>
      <c r="AU5" s="65"/>
      <c r="AV5" s="65"/>
      <c r="BR5" s="65"/>
      <c r="BS5" s="86"/>
      <c r="BT5" s="87"/>
    </row>
    <row r="6" spans="1:80" s="66" customFormat="1" ht="13.9" customHeight="1" x14ac:dyDescent="0.2">
      <c r="A6" s="65"/>
      <c r="B6" s="65"/>
      <c r="C6" s="92"/>
      <c r="D6" s="198" t="str">
        <f>Fixtures!P9</f>
        <v>Scotland</v>
      </c>
      <c r="E6" s="198"/>
      <c r="F6" s="198"/>
      <c r="G6" s="198"/>
      <c r="H6" s="69" t="s">
        <v>853</v>
      </c>
      <c r="I6" s="101">
        <f>Fixtures!T9</f>
        <v>0</v>
      </c>
      <c r="J6" s="101">
        <f>Fixtures!U9</f>
        <v>0</v>
      </c>
      <c r="K6" s="101">
        <f>Fixtures!V9</f>
        <v>0</v>
      </c>
      <c r="L6" s="101">
        <f>Fixtures!W9</f>
        <v>0</v>
      </c>
      <c r="M6" s="101">
        <f>Fixtures!X9</f>
        <v>0</v>
      </c>
      <c r="N6" s="101">
        <f>Fixtures!Z9</f>
        <v>0</v>
      </c>
      <c r="O6" s="102">
        <f>Fixtures!AB9</f>
        <v>0</v>
      </c>
      <c r="P6" s="65"/>
      <c r="Q6" s="106"/>
      <c r="R6" s="198" t="str">
        <f>Fixtures!P14</f>
        <v>Croatia</v>
      </c>
      <c r="S6" s="198"/>
      <c r="T6" s="198"/>
      <c r="U6" s="198"/>
      <c r="V6" s="107" t="s">
        <v>853</v>
      </c>
      <c r="W6" s="101">
        <f>Fixtures!T14</f>
        <v>0</v>
      </c>
      <c r="X6" s="101">
        <f>Fixtures!U14</f>
        <v>0</v>
      </c>
      <c r="Y6" s="101">
        <f>Fixtures!V14</f>
        <v>0</v>
      </c>
      <c r="Z6" s="101">
        <f>Fixtures!W14</f>
        <v>0</v>
      </c>
      <c r="AA6" s="101">
        <f>Fixtures!X14</f>
        <v>0</v>
      </c>
      <c r="AB6" s="101">
        <f>Fixtures!Z14</f>
        <v>0</v>
      </c>
      <c r="AC6" s="102">
        <f>Fixtures!AB14</f>
        <v>0</v>
      </c>
      <c r="AD6" s="65"/>
      <c r="AE6" s="197"/>
      <c r="AF6" s="197"/>
      <c r="AG6" s="197"/>
      <c r="AH6" s="197"/>
      <c r="AI6" s="197"/>
      <c r="AJ6" s="197"/>
      <c r="AK6" s="197"/>
      <c r="AL6" s="197"/>
      <c r="AR6" s="117"/>
      <c r="AS6" s="66" t="str">
        <f>Fixtures!P41</f>
        <v>Croatia</v>
      </c>
      <c r="AT6" s="65"/>
      <c r="AU6" s="65"/>
      <c r="AV6" s="65"/>
      <c r="BR6" s="65"/>
      <c r="BS6" s="86"/>
      <c r="BT6" s="87"/>
    </row>
    <row r="7" spans="1:80" s="66" customFormat="1" ht="13.9" customHeight="1" x14ac:dyDescent="0.2">
      <c r="A7" s="65"/>
      <c r="B7" s="65"/>
      <c r="C7" s="92"/>
      <c r="D7" s="198" t="str">
        <f>Fixtures!P10</f>
        <v>Switzerland</v>
      </c>
      <c r="E7" s="198"/>
      <c r="F7" s="198"/>
      <c r="G7" s="198"/>
      <c r="H7" s="69"/>
      <c r="I7" s="101">
        <f>Fixtures!T10</f>
        <v>0</v>
      </c>
      <c r="J7" s="101">
        <f>Fixtures!U10</f>
        <v>0</v>
      </c>
      <c r="K7" s="101">
        <f>Fixtures!V10</f>
        <v>0</v>
      </c>
      <c r="L7" s="101">
        <f>Fixtures!W10</f>
        <v>0</v>
      </c>
      <c r="M7" s="101">
        <f>Fixtures!X10</f>
        <v>0</v>
      </c>
      <c r="N7" s="101">
        <f>Fixtures!Z10</f>
        <v>0</v>
      </c>
      <c r="O7" s="102">
        <f>Fixtures!AB10</f>
        <v>0</v>
      </c>
      <c r="P7" s="65"/>
      <c r="Q7" s="106"/>
      <c r="R7" s="198" t="str">
        <f>Fixtures!P15</f>
        <v>Italy</v>
      </c>
      <c r="S7" s="198"/>
      <c r="T7" s="198"/>
      <c r="U7" s="198"/>
      <c r="V7" s="70"/>
      <c r="W7" s="101">
        <f>Fixtures!T15</f>
        <v>0</v>
      </c>
      <c r="X7" s="101">
        <f>Fixtures!U15</f>
        <v>0</v>
      </c>
      <c r="Y7" s="101">
        <f>Fixtures!V15</f>
        <v>0</v>
      </c>
      <c r="Z7" s="101">
        <f>Fixtures!W15</f>
        <v>0</v>
      </c>
      <c r="AA7" s="101">
        <f>Fixtures!X15</f>
        <v>0</v>
      </c>
      <c r="AB7" s="101">
        <f>Fixtures!Z15</f>
        <v>0</v>
      </c>
      <c r="AC7" s="102">
        <f>Fixtures!AB15</f>
        <v>0</v>
      </c>
      <c r="AD7" s="65"/>
      <c r="AE7" s="197"/>
      <c r="AF7" s="197"/>
      <c r="AG7" s="197"/>
      <c r="AH7" s="197"/>
      <c r="AI7" s="197"/>
      <c r="AJ7" s="197"/>
      <c r="AK7" s="197"/>
      <c r="AL7" s="197"/>
      <c r="AR7" s="117"/>
      <c r="AS7" s="66" t="str">
        <f>Fixtures!P42</f>
        <v>Slovenia</v>
      </c>
      <c r="AT7" s="65"/>
      <c r="AU7" s="65"/>
      <c r="AV7" s="65"/>
      <c r="BR7" s="65"/>
      <c r="BS7" s="86"/>
      <c r="BT7" s="87"/>
    </row>
    <row r="8" spans="1:80" s="66" customFormat="1" ht="13.9" customHeight="1" x14ac:dyDescent="0.2">
      <c r="A8" s="65"/>
      <c r="B8" s="65"/>
      <c r="C8" s="65"/>
      <c r="P8" s="65"/>
      <c r="Q8" s="65"/>
      <c r="AD8" s="65"/>
      <c r="AR8" s="117"/>
      <c r="AS8" s="122" t="s">
        <v>873</v>
      </c>
      <c r="AT8" s="122"/>
      <c r="AU8" s="65"/>
      <c r="AV8" s="65"/>
      <c r="BR8" s="65"/>
      <c r="BS8" s="86"/>
      <c r="BT8" s="87"/>
    </row>
    <row r="9" spans="1:80" s="66" customFormat="1" ht="13.9" customHeight="1" x14ac:dyDescent="0.2">
      <c r="A9" s="65"/>
      <c r="B9" s="65"/>
      <c r="C9" s="65"/>
      <c r="D9" s="72">
        <v>1</v>
      </c>
      <c r="E9" s="201">
        <f>Fixtures!E7</f>
        <v>45457.875</v>
      </c>
      <c r="F9" s="202"/>
      <c r="G9" s="202"/>
      <c r="H9" s="202"/>
      <c r="I9" s="199">
        <f>E9</f>
        <v>45457.875</v>
      </c>
      <c r="J9" s="199"/>
      <c r="K9" s="200" t="str">
        <f>Fixtures!M7</f>
        <v>Munich</v>
      </c>
      <c r="L9" s="200"/>
      <c r="M9" s="200"/>
      <c r="N9" s="200"/>
      <c r="O9" s="200"/>
      <c r="P9" s="65"/>
      <c r="Q9" s="65"/>
      <c r="R9" s="72">
        <v>3</v>
      </c>
      <c r="S9" s="201">
        <f>Fixtures!E9</f>
        <v>45458.75</v>
      </c>
      <c r="T9" s="202"/>
      <c r="U9" s="202"/>
      <c r="V9" s="202"/>
      <c r="W9" s="199">
        <f>S9</f>
        <v>45458.75</v>
      </c>
      <c r="X9" s="199"/>
      <c r="Y9" s="200" t="str">
        <f>Fixtures!M9</f>
        <v>Berlin</v>
      </c>
      <c r="Z9" s="200"/>
      <c r="AA9" s="200"/>
      <c r="AB9" s="200"/>
      <c r="AC9" s="200"/>
      <c r="AD9" s="65"/>
      <c r="AE9" s="71" t="str">
        <f>UPPER(Fixtures!C44)</f>
        <v>ROUND OF 16</v>
      </c>
      <c r="AF9" s="71"/>
      <c r="AG9" s="71"/>
      <c r="AH9" s="71"/>
      <c r="AI9" s="71"/>
      <c r="AJ9" s="71"/>
      <c r="AK9" s="71"/>
      <c r="AL9" s="71"/>
      <c r="AM9" s="71"/>
      <c r="AN9" s="71"/>
      <c r="AO9" s="71"/>
      <c r="AP9" s="71"/>
      <c r="AR9" s="117"/>
      <c r="AS9" s="65" t="s">
        <v>867</v>
      </c>
      <c r="AT9" s="103" t="s">
        <v>868</v>
      </c>
      <c r="AU9" s="65"/>
      <c r="AV9" s="65"/>
      <c r="BR9" s="65"/>
      <c r="BS9" s="86"/>
      <c r="BT9" s="87"/>
    </row>
    <row r="10" spans="1:80" s="66" customFormat="1" ht="13.9" customHeight="1" x14ac:dyDescent="0.2">
      <c r="A10" s="65"/>
      <c r="B10" s="65"/>
      <c r="C10" s="65"/>
      <c r="D10" s="198" t="str">
        <f>Fixtures!G7</f>
        <v>Germany</v>
      </c>
      <c r="E10" s="198"/>
      <c r="F10" s="198"/>
      <c r="G10" s="198"/>
      <c r="H10" s="198"/>
      <c r="I10" s="193"/>
      <c r="J10" s="193"/>
      <c r="K10" s="205" t="str">
        <f>Fixtures!J7</f>
        <v>Scotland</v>
      </c>
      <c r="L10" s="205"/>
      <c r="M10" s="205"/>
      <c r="N10" s="205"/>
      <c r="O10" s="205"/>
      <c r="P10" s="65"/>
      <c r="Q10" s="65"/>
      <c r="R10" s="198" t="str">
        <f>Fixtures!G9</f>
        <v>Spain</v>
      </c>
      <c r="S10" s="198"/>
      <c r="T10" s="198"/>
      <c r="U10" s="198"/>
      <c r="V10" s="198"/>
      <c r="W10" s="193"/>
      <c r="X10" s="193"/>
      <c r="Y10" s="205" t="str">
        <f>Fixtures!J9</f>
        <v>Croatia</v>
      </c>
      <c r="Z10" s="205"/>
      <c r="AA10" s="205"/>
      <c r="AB10" s="205"/>
      <c r="AC10" s="205"/>
      <c r="AD10" s="65"/>
      <c r="AE10" s="72">
        <v>37</v>
      </c>
      <c r="AF10" s="201">
        <f>Fixtures!E44</f>
        <v>45472.875</v>
      </c>
      <c r="AG10" s="202"/>
      <c r="AH10" s="202"/>
      <c r="AI10" s="202"/>
      <c r="AJ10" s="212">
        <f>AF10</f>
        <v>45472.875</v>
      </c>
      <c r="AK10" s="212"/>
      <c r="AL10" s="200" t="str">
        <f>Fixtures!M44</f>
        <v>Dortmund</v>
      </c>
      <c r="AM10" s="200"/>
      <c r="AN10" s="200"/>
      <c r="AO10" s="200"/>
      <c r="AP10" s="200"/>
      <c r="AR10" s="117"/>
      <c r="AS10" s="65"/>
      <c r="AT10" s="65"/>
      <c r="AU10" s="65"/>
      <c r="AV10" s="65"/>
      <c r="BR10" s="65"/>
      <c r="BS10" s="86"/>
      <c r="BT10" s="87"/>
    </row>
    <row r="11" spans="1:80" s="66" customFormat="1" ht="13.9" customHeight="1" x14ac:dyDescent="0.2">
      <c r="A11" s="65"/>
      <c r="B11" s="65"/>
      <c r="C11" s="65"/>
      <c r="D11" s="72">
        <v>2</v>
      </c>
      <c r="E11" s="201">
        <f>Fixtures!E8</f>
        <v>45458.625</v>
      </c>
      <c r="F11" s="202"/>
      <c r="G11" s="202"/>
      <c r="H11" s="202"/>
      <c r="I11" s="199">
        <f>E11</f>
        <v>45458.625</v>
      </c>
      <c r="J11" s="199"/>
      <c r="K11" s="200" t="str">
        <f>Fixtures!M8</f>
        <v>Cologne</v>
      </c>
      <c r="L11" s="200"/>
      <c r="M11" s="200"/>
      <c r="N11" s="200"/>
      <c r="O11" s="200"/>
      <c r="P11" s="65"/>
      <c r="Q11" s="65"/>
      <c r="R11" s="72">
        <v>4</v>
      </c>
      <c r="S11" s="201">
        <f>Fixtures!E10</f>
        <v>45458.875</v>
      </c>
      <c r="T11" s="202"/>
      <c r="U11" s="202"/>
      <c r="V11" s="202"/>
      <c r="W11" s="199">
        <f>S11</f>
        <v>45458.875</v>
      </c>
      <c r="X11" s="199"/>
      <c r="Y11" s="200" t="str">
        <f>Fixtures!M10</f>
        <v>Dortmund</v>
      </c>
      <c r="Z11" s="200"/>
      <c r="AA11" s="200"/>
      <c r="AB11" s="200"/>
      <c r="AC11" s="200"/>
      <c r="AD11" s="65"/>
      <c r="AE11" s="206" t="str">
        <f>Fixtures!G44</f>
        <v>Winner A</v>
      </c>
      <c r="AF11" s="206"/>
      <c r="AG11" s="206"/>
      <c r="AH11" s="206"/>
      <c r="AI11" s="207"/>
      <c r="AJ11" s="193"/>
      <c r="AK11" s="193"/>
      <c r="AL11" s="208" t="str">
        <f>Fixtures!J44</f>
        <v>Runner Up C</v>
      </c>
      <c r="AM11" s="209"/>
      <c r="AN11" s="209"/>
      <c r="AO11" s="209"/>
      <c r="AP11" s="209"/>
      <c r="AR11" s="117"/>
      <c r="AS11" s="203" t="s">
        <v>878</v>
      </c>
      <c r="AT11" s="203"/>
      <c r="AU11" s="203"/>
      <c r="AV11" s="203"/>
      <c r="BR11" s="65"/>
      <c r="BS11" s="86"/>
      <c r="BT11" s="87"/>
    </row>
    <row r="12" spans="1:80" s="66" customFormat="1" ht="13.9" customHeight="1" x14ac:dyDescent="0.2">
      <c r="A12" s="65"/>
      <c r="B12" s="65"/>
      <c r="C12" s="65"/>
      <c r="D12" s="198" t="str">
        <f>Fixtures!G8</f>
        <v>Hungary</v>
      </c>
      <c r="E12" s="198"/>
      <c r="F12" s="198"/>
      <c r="G12" s="198"/>
      <c r="H12" s="198"/>
      <c r="I12" s="193"/>
      <c r="J12" s="193"/>
      <c r="K12" s="205" t="str">
        <f>Fixtures!J8</f>
        <v>Switzerland</v>
      </c>
      <c r="L12" s="205"/>
      <c r="M12" s="205"/>
      <c r="N12" s="205"/>
      <c r="O12" s="205"/>
      <c r="P12" s="65"/>
      <c r="Q12" s="65"/>
      <c r="R12" s="198" t="str">
        <f>Fixtures!G10</f>
        <v>Italy</v>
      </c>
      <c r="S12" s="198"/>
      <c r="T12" s="198"/>
      <c r="U12" s="198"/>
      <c r="V12" s="198"/>
      <c r="W12" s="193"/>
      <c r="X12" s="193"/>
      <c r="Y12" s="205" t="str">
        <f>Fixtures!J10</f>
        <v>Albania</v>
      </c>
      <c r="Z12" s="205"/>
      <c r="AA12" s="205"/>
      <c r="AB12" s="205"/>
      <c r="AC12" s="205"/>
      <c r="AD12" s="65"/>
      <c r="AE12" s="45"/>
      <c r="AF12" s="45"/>
      <c r="AG12" s="45"/>
      <c r="AH12" s="45"/>
      <c r="AI12" s="99" t="s">
        <v>0</v>
      </c>
      <c r="AJ12" s="194"/>
      <c r="AK12" s="194"/>
      <c r="AL12" s="99" t="s">
        <v>0</v>
      </c>
      <c r="AM12" s="45"/>
      <c r="AN12" s="45"/>
      <c r="AO12" s="45"/>
      <c r="AP12" s="45"/>
      <c r="AR12" s="117"/>
      <c r="AS12" s="203"/>
      <c r="AT12" s="203"/>
      <c r="AU12" s="203"/>
      <c r="AV12" s="203"/>
      <c r="BR12" s="65"/>
      <c r="BS12" s="86"/>
      <c r="BT12" s="87"/>
    </row>
    <row r="13" spans="1:80" s="68" customFormat="1" ht="13.9" customHeight="1" x14ac:dyDescent="0.2">
      <c r="A13" s="1"/>
      <c r="B13" s="65"/>
      <c r="C13" s="65"/>
      <c r="D13" s="72">
        <v>14</v>
      </c>
      <c r="E13" s="201">
        <f>Fixtures!E20</f>
        <v>45462.75</v>
      </c>
      <c r="F13" s="202"/>
      <c r="G13" s="202"/>
      <c r="H13" s="202"/>
      <c r="I13" s="199">
        <f>E13</f>
        <v>45462.75</v>
      </c>
      <c r="J13" s="199"/>
      <c r="K13" s="200" t="str">
        <f>Fixtures!M20</f>
        <v>Stuttgart</v>
      </c>
      <c r="L13" s="200"/>
      <c r="M13" s="200"/>
      <c r="N13" s="200"/>
      <c r="O13" s="200"/>
      <c r="P13" s="65"/>
      <c r="Q13" s="65"/>
      <c r="R13" s="72">
        <v>15</v>
      </c>
      <c r="S13" s="201">
        <f>Fixtures!E21</f>
        <v>45462.625</v>
      </c>
      <c r="T13" s="202"/>
      <c r="U13" s="202"/>
      <c r="V13" s="202"/>
      <c r="W13" s="199">
        <f>S13</f>
        <v>45462.625</v>
      </c>
      <c r="X13" s="199"/>
      <c r="Y13" s="200" t="str">
        <f>Fixtures!M21</f>
        <v>Hamburg</v>
      </c>
      <c r="Z13" s="200"/>
      <c r="AA13" s="200"/>
      <c r="AB13" s="200"/>
      <c r="AC13" s="200"/>
      <c r="AD13" s="65"/>
      <c r="AE13" s="72">
        <v>38</v>
      </c>
      <c r="AF13" s="201">
        <f>Fixtures!E45</f>
        <v>45472.75</v>
      </c>
      <c r="AG13" s="202"/>
      <c r="AH13" s="202"/>
      <c r="AI13" s="202"/>
      <c r="AJ13" s="212">
        <f>AF13</f>
        <v>45472.75</v>
      </c>
      <c r="AK13" s="212"/>
      <c r="AL13" s="200" t="str">
        <f>Fixtures!M45</f>
        <v>Berlin</v>
      </c>
      <c r="AM13" s="200"/>
      <c r="AN13" s="200"/>
      <c r="AO13" s="200"/>
      <c r="AP13" s="200"/>
      <c r="AR13" s="118"/>
      <c r="AS13" s="203"/>
      <c r="AT13" s="203"/>
      <c r="AU13" s="203"/>
      <c r="AV13" s="203"/>
      <c r="BR13" s="1"/>
      <c r="BS13" s="84"/>
      <c r="BT13" s="85"/>
      <c r="CB13" s="42"/>
    </row>
    <row r="14" spans="1:80" s="68" customFormat="1" ht="13.9" customHeight="1" x14ac:dyDescent="0.2">
      <c r="A14" s="1"/>
      <c r="B14" s="73"/>
      <c r="C14" s="73"/>
      <c r="D14" s="198" t="str">
        <f>Fixtures!G20</f>
        <v>Germany</v>
      </c>
      <c r="E14" s="198"/>
      <c r="F14" s="198"/>
      <c r="G14" s="198"/>
      <c r="H14" s="198"/>
      <c r="I14" s="193"/>
      <c r="J14" s="193"/>
      <c r="K14" s="205" t="str">
        <f>Fixtures!J20</f>
        <v>Hungary</v>
      </c>
      <c r="L14" s="205"/>
      <c r="M14" s="205"/>
      <c r="N14" s="205"/>
      <c r="O14" s="205"/>
      <c r="P14" s="73"/>
      <c r="Q14" s="73"/>
      <c r="R14" s="198" t="str">
        <f>Fixtures!G21</f>
        <v>Croatia</v>
      </c>
      <c r="S14" s="198"/>
      <c r="T14" s="198"/>
      <c r="U14" s="198"/>
      <c r="V14" s="198"/>
      <c r="W14" s="193"/>
      <c r="X14" s="193"/>
      <c r="Y14" s="205" t="str">
        <f>Fixtures!J21</f>
        <v>Albania</v>
      </c>
      <c r="Z14" s="205"/>
      <c r="AA14" s="205"/>
      <c r="AB14" s="205"/>
      <c r="AC14" s="205"/>
      <c r="AD14" s="73"/>
      <c r="AE14" s="206" t="str">
        <f>Fixtures!G45</f>
        <v>Runner Up A</v>
      </c>
      <c r="AF14" s="206"/>
      <c r="AG14" s="206"/>
      <c r="AH14" s="206"/>
      <c r="AI14" s="207"/>
      <c r="AJ14" s="193"/>
      <c r="AK14" s="193"/>
      <c r="AL14" s="208" t="str">
        <f>Fixtures!J45</f>
        <v>Runner Up B</v>
      </c>
      <c r="AM14" s="209"/>
      <c r="AN14" s="209"/>
      <c r="AO14" s="209"/>
      <c r="AP14" s="209"/>
      <c r="AR14" s="118"/>
      <c r="BR14" s="1"/>
      <c r="BS14" s="84"/>
      <c r="BT14" s="85"/>
    </row>
    <row r="15" spans="1:80" s="68" customFormat="1" ht="13.9" customHeight="1" x14ac:dyDescent="0.2">
      <c r="A15" s="1"/>
      <c r="B15" s="73"/>
      <c r="C15" s="73"/>
      <c r="D15" s="72">
        <v>13</v>
      </c>
      <c r="E15" s="201">
        <f>Fixtures!E19</f>
        <v>45462.875</v>
      </c>
      <c r="F15" s="202"/>
      <c r="G15" s="202"/>
      <c r="H15" s="202"/>
      <c r="I15" s="199">
        <f>E15</f>
        <v>45462.875</v>
      </c>
      <c r="J15" s="199"/>
      <c r="K15" s="200" t="str">
        <f>Fixtures!M19</f>
        <v>Cologne</v>
      </c>
      <c r="L15" s="200"/>
      <c r="M15" s="200"/>
      <c r="N15" s="200"/>
      <c r="O15" s="200"/>
      <c r="P15" s="73"/>
      <c r="Q15" s="73"/>
      <c r="R15" s="72">
        <v>16</v>
      </c>
      <c r="S15" s="201">
        <f>Fixtures!E22</f>
        <v>45463.875</v>
      </c>
      <c r="T15" s="202"/>
      <c r="U15" s="202"/>
      <c r="V15" s="202"/>
      <c r="W15" s="199">
        <f>S15</f>
        <v>45463.875</v>
      </c>
      <c r="X15" s="199"/>
      <c r="Y15" s="200" t="str">
        <f>Fixtures!M22</f>
        <v>Gelsenkirchen</v>
      </c>
      <c r="Z15" s="200"/>
      <c r="AA15" s="200"/>
      <c r="AB15" s="200"/>
      <c r="AC15" s="200"/>
      <c r="AD15" s="73"/>
      <c r="AE15" s="45"/>
      <c r="AF15" s="45"/>
      <c r="AG15" s="45"/>
      <c r="AH15" s="45"/>
      <c r="AI15" s="99" t="s">
        <v>0</v>
      </c>
      <c r="AJ15" s="194"/>
      <c r="AK15" s="194"/>
      <c r="AL15" s="99" t="s">
        <v>0</v>
      </c>
      <c r="AM15" s="45"/>
      <c r="AN15" s="45"/>
      <c r="AO15" s="45"/>
      <c r="AP15" s="45"/>
      <c r="AR15" s="118"/>
      <c r="AS15" s="1"/>
      <c r="AT15" s="1"/>
      <c r="AU15" s="1"/>
      <c r="AV15" s="1"/>
      <c r="BR15" s="1"/>
      <c r="BS15" s="84"/>
      <c r="BT15" s="85"/>
    </row>
    <row r="16" spans="1:80" s="68" customFormat="1" ht="13.9" customHeight="1" x14ac:dyDescent="0.2">
      <c r="A16" s="1"/>
      <c r="B16" s="73"/>
      <c r="C16" s="73"/>
      <c r="D16" s="198" t="str">
        <f>Fixtures!G19</f>
        <v>Scotland</v>
      </c>
      <c r="E16" s="198"/>
      <c r="F16" s="198"/>
      <c r="G16" s="198"/>
      <c r="H16" s="198"/>
      <c r="I16" s="193"/>
      <c r="J16" s="193"/>
      <c r="K16" s="205" t="str">
        <f>Fixtures!J19</f>
        <v>Switzerland</v>
      </c>
      <c r="L16" s="205"/>
      <c r="M16" s="205"/>
      <c r="N16" s="205"/>
      <c r="O16" s="205"/>
      <c r="P16" s="73"/>
      <c r="Q16" s="73"/>
      <c r="R16" s="198" t="str">
        <f>Fixtures!G22</f>
        <v>Spain</v>
      </c>
      <c r="S16" s="198"/>
      <c r="T16" s="198"/>
      <c r="U16" s="198"/>
      <c r="V16" s="198"/>
      <c r="W16" s="193"/>
      <c r="X16" s="193"/>
      <c r="Y16" s="205" t="str">
        <f>Fixtures!J22</f>
        <v>Italy</v>
      </c>
      <c r="Z16" s="205"/>
      <c r="AA16" s="205"/>
      <c r="AB16" s="205"/>
      <c r="AC16" s="205"/>
      <c r="AD16" s="73"/>
      <c r="AE16" s="72">
        <v>39</v>
      </c>
      <c r="AF16" s="201">
        <f>Fixtures!E46</f>
        <v>45473.875</v>
      </c>
      <c r="AG16" s="202"/>
      <c r="AH16" s="202"/>
      <c r="AI16" s="202"/>
      <c r="AJ16" s="212">
        <f>AF16</f>
        <v>45473.875</v>
      </c>
      <c r="AK16" s="212"/>
      <c r="AL16" s="200" t="str">
        <f>Fixtures!M46</f>
        <v>Cologne</v>
      </c>
      <c r="AM16" s="200"/>
      <c r="AN16" s="200"/>
      <c r="AO16" s="200"/>
      <c r="AP16" s="200"/>
      <c r="AR16" s="118"/>
      <c r="AS16" s="213" t="s">
        <v>871</v>
      </c>
      <c r="AT16" s="213"/>
      <c r="AU16" s="213"/>
      <c r="AV16" s="213"/>
      <c r="BR16" s="1"/>
      <c r="BS16" s="84"/>
      <c r="BT16" s="85"/>
    </row>
    <row r="17" spans="1:72" s="68" customFormat="1" ht="13.9" customHeight="1" x14ac:dyDescent="0.2">
      <c r="A17" s="1"/>
      <c r="B17" s="73"/>
      <c r="C17" s="73"/>
      <c r="D17" s="72">
        <v>25</v>
      </c>
      <c r="E17" s="201">
        <f>Fixtures!E31</f>
        <v>45466.875</v>
      </c>
      <c r="F17" s="202"/>
      <c r="G17" s="202"/>
      <c r="H17" s="202"/>
      <c r="I17" s="199">
        <f>E17</f>
        <v>45466.875</v>
      </c>
      <c r="J17" s="199"/>
      <c r="K17" s="200" t="str">
        <f>Fixtures!M31</f>
        <v>Frankfurt</v>
      </c>
      <c r="L17" s="200"/>
      <c r="M17" s="200"/>
      <c r="N17" s="200"/>
      <c r="O17" s="200"/>
      <c r="P17" s="73"/>
      <c r="Q17" s="73"/>
      <c r="R17" s="72">
        <v>27</v>
      </c>
      <c r="S17" s="201">
        <f>Fixtures!E33</f>
        <v>45467.875</v>
      </c>
      <c r="T17" s="202"/>
      <c r="U17" s="202"/>
      <c r="V17" s="202"/>
      <c r="W17" s="199">
        <f>S17</f>
        <v>45467.875</v>
      </c>
      <c r="X17" s="199"/>
      <c r="Y17" s="200" t="str">
        <f>Fixtures!M33</f>
        <v>Dusseldorf</v>
      </c>
      <c r="Z17" s="200"/>
      <c r="AA17" s="200"/>
      <c r="AB17" s="200"/>
      <c r="AC17" s="200"/>
      <c r="AD17" s="73"/>
      <c r="AE17" s="206" t="str">
        <f>Fixtures!G46</f>
        <v>Winner B</v>
      </c>
      <c r="AF17" s="206"/>
      <c r="AG17" s="206"/>
      <c r="AH17" s="206"/>
      <c r="AI17" s="207"/>
      <c r="AJ17" s="193"/>
      <c r="AK17" s="193"/>
      <c r="AL17" s="208" t="str">
        <f>Fixtures!J46</f>
        <v>3rd A/D/E/F</v>
      </c>
      <c r="AM17" s="209"/>
      <c r="AN17" s="209"/>
      <c r="AO17" s="209"/>
      <c r="AP17" s="209"/>
      <c r="AR17" s="118"/>
      <c r="AS17" s="1"/>
      <c r="AT17" s="1"/>
      <c r="AU17" s="1"/>
      <c r="AV17" s="1"/>
      <c r="BB17" s="73"/>
      <c r="BC17" s="73"/>
      <c r="BD17" s="73"/>
      <c r="BR17" s="1"/>
      <c r="BS17" s="84"/>
      <c r="BT17" s="85"/>
    </row>
    <row r="18" spans="1:72" s="68" customFormat="1" ht="13.9" customHeight="1" x14ac:dyDescent="0.2">
      <c r="A18" s="1"/>
      <c r="B18" s="1"/>
      <c r="C18" s="1"/>
      <c r="D18" s="198" t="str">
        <f>Fixtures!G31</f>
        <v>Switzerland</v>
      </c>
      <c r="E18" s="198"/>
      <c r="F18" s="198"/>
      <c r="G18" s="198"/>
      <c r="H18" s="198"/>
      <c r="I18" s="193"/>
      <c r="J18" s="193"/>
      <c r="K18" s="205" t="str">
        <f>Fixtures!J31</f>
        <v>Germany</v>
      </c>
      <c r="L18" s="205"/>
      <c r="M18" s="205"/>
      <c r="N18" s="205"/>
      <c r="O18" s="205"/>
      <c r="P18" s="1"/>
      <c r="Q18" s="1"/>
      <c r="R18" s="198" t="str">
        <f>Fixtures!G33</f>
        <v>Albania</v>
      </c>
      <c r="S18" s="198"/>
      <c r="T18" s="198"/>
      <c r="U18" s="198"/>
      <c r="V18" s="198"/>
      <c r="W18" s="193"/>
      <c r="X18" s="193"/>
      <c r="Y18" s="205" t="str">
        <f>Fixtures!J33</f>
        <v>Spain</v>
      </c>
      <c r="Z18" s="205"/>
      <c r="AA18" s="205"/>
      <c r="AB18" s="205"/>
      <c r="AC18" s="205"/>
      <c r="AD18" s="1"/>
      <c r="AE18" s="45"/>
      <c r="AF18" s="45"/>
      <c r="AG18" s="45"/>
      <c r="AH18" s="45"/>
      <c r="AI18" s="99" t="s">
        <v>0</v>
      </c>
      <c r="AJ18" s="194"/>
      <c r="AK18" s="194"/>
      <c r="AL18" s="99" t="s">
        <v>0</v>
      </c>
      <c r="AM18" s="45"/>
      <c r="AN18" s="45"/>
      <c r="AO18" s="45"/>
      <c r="AP18" s="45"/>
      <c r="AR18" s="118"/>
      <c r="AS18" s="213" t="s">
        <v>872</v>
      </c>
      <c r="AT18" s="213"/>
      <c r="AU18" s="213"/>
      <c r="AV18" s="213"/>
      <c r="BR18" s="1"/>
      <c r="BS18" s="84"/>
      <c r="BT18" s="85"/>
    </row>
    <row r="19" spans="1:72" s="68" customFormat="1" ht="13.9" customHeight="1" x14ac:dyDescent="0.2">
      <c r="A19" s="1"/>
      <c r="B19" s="73"/>
      <c r="C19" s="73"/>
      <c r="D19" s="72">
        <v>26</v>
      </c>
      <c r="E19" s="201">
        <f>Fixtures!E32</f>
        <v>45466.875</v>
      </c>
      <c r="F19" s="202"/>
      <c r="G19" s="202"/>
      <c r="H19" s="202"/>
      <c r="I19" s="199">
        <f>E19</f>
        <v>45466.875</v>
      </c>
      <c r="J19" s="199"/>
      <c r="K19" s="200" t="str">
        <f>Fixtures!M32</f>
        <v>Stuttgart</v>
      </c>
      <c r="L19" s="200"/>
      <c r="M19" s="200"/>
      <c r="N19" s="200"/>
      <c r="O19" s="200"/>
      <c r="P19" s="73"/>
      <c r="Q19" s="73"/>
      <c r="R19" s="72">
        <v>28</v>
      </c>
      <c r="S19" s="201">
        <f>Fixtures!E34</f>
        <v>45467.875</v>
      </c>
      <c r="T19" s="202"/>
      <c r="U19" s="202"/>
      <c r="V19" s="202"/>
      <c r="W19" s="199">
        <f>S19</f>
        <v>45467.875</v>
      </c>
      <c r="X19" s="199"/>
      <c r="Y19" s="200" t="str">
        <f>Fixtures!M34</f>
        <v>Leipzig</v>
      </c>
      <c r="Z19" s="200"/>
      <c r="AA19" s="200"/>
      <c r="AB19" s="200"/>
      <c r="AC19" s="200"/>
      <c r="AD19" s="73"/>
      <c r="AE19" s="72">
        <v>40</v>
      </c>
      <c r="AF19" s="201">
        <f>Fixtures!E47</f>
        <v>45473.75</v>
      </c>
      <c r="AG19" s="202"/>
      <c r="AH19" s="202"/>
      <c r="AI19" s="202" t="s">
        <v>856</v>
      </c>
      <c r="AJ19" s="212">
        <f>AF19</f>
        <v>45473.75</v>
      </c>
      <c r="AK19" s="212"/>
      <c r="AL19" s="200" t="str">
        <f>Fixtures!M47</f>
        <v>Gelsenkirchen</v>
      </c>
      <c r="AM19" s="200"/>
      <c r="AN19" s="200"/>
      <c r="AO19" s="200"/>
      <c r="AP19" s="200"/>
      <c r="AR19" s="118"/>
      <c r="AS19" s="1"/>
      <c r="AT19" s="1"/>
      <c r="AU19" s="1"/>
      <c r="AV19" s="1"/>
      <c r="BR19" s="1"/>
      <c r="BS19" s="84"/>
      <c r="BT19" s="85"/>
    </row>
    <row r="20" spans="1:72" s="68" customFormat="1" ht="13.9" customHeight="1" x14ac:dyDescent="0.2">
      <c r="A20" s="1"/>
      <c r="B20" s="1"/>
      <c r="C20" s="1"/>
      <c r="D20" s="210" t="str">
        <f>Fixtures!G32</f>
        <v>Scotland</v>
      </c>
      <c r="E20" s="210"/>
      <c r="F20" s="210"/>
      <c r="G20" s="210"/>
      <c r="H20" s="210"/>
      <c r="I20" s="193"/>
      <c r="J20" s="193"/>
      <c r="K20" s="211" t="str">
        <f>Fixtures!J32</f>
        <v>Hungary</v>
      </c>
      <c r="L20" s="211"/>
      <c r="M20" s="211"/>
      <c r="N20" s="211"/>
      <c r="O20" s="211"/>
      <c r="P20" s="1"/>
      <c r="Q20" s="1"/>
      <c r="R20" s="210" t="str">
        <f>Fixtures!G34</f>
        <v>Croatia</v>
      </c>
      <c r="S20" s="210"/>
      <c r="T20" s="210"/>
      <c r="U20" s="210"/>
      <c r="V20" s="210"/>
      <c r="W20" s="193"/>
      <c r="X20" s="193"/>
      <c r="Y20" s="211" t="str">
        <f>Fixtures!J34</f>
        <v>Italy</v>
      </c>
      <c r="Z20" s="211"/>
      <c r="AA20" s="211"/>
      <c r="AB20" s="211"/>
      <c r="AC20" s="211"/>
      <c r="AD20" s="1"/>
      <c r="AE20" s="206" t="str">
        <f>Fixtures!G47</f>
        <v>Winner C</v>
      </c>
      <c r="AF20" s="206"/>
      <c r="AG20" s="206"/>
      <c r="AH20" s="206"/>
      <c r="AI20" s="207"/>
      <c r="AJ20" s="193"/>
      <c r="AK20" s="193"/>
      <c r="AL20" s="208" t="str">
        <f>Fixtures!J47</f>
        <v>3rd D/E/F</v>
      </c>
      <c r="AM20" s="209"/>
      <c r="AN20" s="209"/>
      <c r="AO20" s="209"/>
      <c r="AP20" s="209"/>
      <c r="AR20" s="118"/>
      <c r="AS20" s="1"/>
      <c r="AT20" s="1"/>
      <c r="AU20" s="1"/>
      <c r="AV20" s="1"/>
      <c r="BR20" s="1"/>
      <c r="BS20" s="84"/>
      <c r="BT20" s="85"/>
    </row>
    <row r="21" spans="1:72" s="68" customFormat="1" ht="13.9" customHeight="1" x14ac:dyDescent="0.2">
      <c r="A21" s="1"/>
      <c r="B21" s="1"/>
      <c r="C21" s="97"/>
      <c r="I21" s="100" t="s">
        <v>861</v>
      </c>
      <c r="J21" s="100" t="s">
        <v>862</v>
      </c>
      <c r="K21" s="100" t="s">
        <v>863</v>
      </c>
      <c r="L21" s="100" t="s">
        <v>806</v>
      </c>
      <c r="M21" s="100" t="s">
        <v>864</v>
      </c>
      <c r="N21" s="100" t="s">
        <v>865</v>
      </c>
      <c r="O21" s="100" t="s">
        <v>866</v>
      </c>
      <c r="P21" s="1"/>
      <c r="Q21" s="95"/>
      <c r="W21" s="100" t="s">
        <v>861</v>
      </c>
      <c r="X21" s="100" t="s">
        <v>862</v>
      </c>
      <c r="Y21" s="100" t="s">
        <v>863</v>
      </c>
      <c r="Z21" s="100" t="s">
        <v>806</v>
      </c>
      <c r="AA21" s="100" t="s">
        <v>864</v>
      </c>
      <c r="AB21" s="100" t="s">
        <v>865</v>
      </c>
      <c r="AC21" s="100" t="s">
        <v>866</v>
      </c>
      <c r="AD21" s="1"/>
      <c r="AE21" s="45"/>
      <c r="AF21" s="45"/>
      <c r="AG21" s="45"/>
      <c r="AH21" s="45"/>
      <c r="AI21" s="99" t="s">
        <v>0</v>
      </c>
      <c r="AJ21" s="194"/>
      <c r="AK21" s="194"/>
      <c r="AL21" s="99" t="s">
        <v>0</v>
      </c>
      <c r="AM21" s="45"/>
      <c r="AN21" s="45"/>
      <c r="AO21" s="45"/>
      <c r="AP21" s="45"/>
      <c r="AR21" s="118"/>
      <c r="AS21" s="1"/>
      <c r="AT21" s="1"/>
      <c r="AU21" s="1"/>
      <c r="AV21" s="1"/>
      <c r="BR21" s="1"/>
      <c r="BS21" s="84"/>
      <c r="BT21" s="85"/>
    </row>
    <row r="22" spans="1:72" s="1" customFormat="1" ht="13.9" customHeight="1" x14ac:dyDescent="0.2">
      <c r="C22" s="97" t="s">
        <v>4</v>
      </c>
      <c r="D22" s="198" t="str">
        <f>Fixtures!P17</f>
        <v>England</v>
      </c>
      <c r="E22" s="198"/>
      <c r="F22" s="198"/>
      <c r="G22" s="198"/>
      <c r="H22" s="98" t="s">
        <v>851</v>
      </c>
      <c r="I22" s="101">
        <f>Fixtures!T17</f>
        <v>0</v>
      </c>
      <c r="J22" s="101">
        <f>Fixtures!U17</f>
        <v>0</v>
      </c>
      <c r="K22" s="101">
        <f>Fixtures!V17</f>
        <v>0</v>
      </c>
      <c r="L22" s="101">
        <f>Fixtures!W17</f>
        <v>0</v>
      </c>
      <c r="M22" s="101">
        <f>Fixtures!X17</f>
        <v>0</v>
      </c>
      <c r="N22" s="101">
        <f>Fixtures!Z17</f>
        <v>0</v>
      </c>
      <c r="O22" s="102">
        <f>Fixtures!AB17</f>
        <v>0</v>
      </c>
      <c r="Q22" s="95" t="s">
        <v>13</v>
      </c>
      <c r="R22" s="198" t="str">
        <f>Fixtures!P22</f>
        <v>France</v>
      </c>
      <c r="S22" s="198"/>
      <c r="T22" s="198"/>
      <c r="U22" s="198"/>
      <c r="V22" s="96" t="s">
        <v>851</v>
      </c>
      <c r="W22" s="101">
        <f>Fixtures!T22</f>
        <v>0</v>
      </c>
      <c r="X22" s="101">
        <f>Fixtures!U22</f>
        <v>0</v>
      </c>
      <c r="Y22" s="101">
        <f>Fixtures!V22</f>
        <v>0</v>
      </c>
      <c r="Z22" s="101">
        <f>Fixtures!W22</f>
        <v>0</v>
      </c>
      <c r="AA22" s="101">
        <f>Fixtures!X22</f>
        <v>0</v>
      </c>
      <c r="AB22" s="101">
        <f>Fixtures!Z22</f>
        <v>0</v>
      </c>
      <c r="AC22" s="102">
        <f>Fixtures!AB22</f>
        <v>0</v>
      </c>
      <c r="AD22" s="65"/>
      <c r="AE22" s="72">
        <v>41</v>
      </c>
      <c r="AF22" s="201">
        <f>Fixtures!E48</f>
        <v>45474.875</v>
      </c>
      <c r="AG22" s="202"/>
      <c r="AH22" s="202"/>
      <c r="AI22" s="202"/>
      <c r="AJ22" s="212">
        <f>AF22</f>
        <v>45474.875</v>
      </c>
      <c r="AK22" s="212"/>
      <c r="AL22" s="200" t="str">
        <f>Fixtures!M48</f>
        <v>Frankfurt</v>
      </c>
      <c r="AM22" s="200"/>
      <c r="AN22" s="200"/>
      <c r="AO22" s="200"/>
      <c r="AP22" s="200"/>
      <c r="AR22" s="116"/>
      <c r="BR22" s="88"/>
      <c r="BT22" s="68"/>
    </row>
    <row r="23" spans="1:72" s="68" customFormat="1" ht="13.9" customHeight="1" x14ac:dyDescent="0.2">
      <c r="A23" s="1"/>
      <c r="B23" s="1"/>
      <c r="C23" s="97"/>
      <c r="D23" s="198" t="str">
        <f>Fixtures!P18</f>
        <v>Denmark</v>
      </c>
      <c r="E23" s="198"/>
      <c r="F23" s="198"/>
      <c r="G23" s="198"/>
      <c r="H23" s="98" t="s">
        <v>852</v>
      </c>
      <c r="I23" s="101">
        <f>Fixtures!T18</f>
        <v>0</v>
      </c>
      <c r="J23" s="101">
        <f>Fixtures!U18</f>
        <v>0</v>
      </c>
      <c r="K23" s="101">
        <f>Fixtures!V18</f>
        <v>0</v>
      </c>
      <c r="L23" s="101">
        <f>Fixtures!W18</f>
        <v>0</v>
      </c>
      <c r="M23" s="101">
        <f>Fixtures!X18</f>
        <v>0</v>
      </c>
      <c r="N23" s="101">
        <f>Fixtures!Z18</f>
        <v>0</v>
      </c>
      <c r="O23" s="102">
        <f>Fixtures!AB18</f>
        <v>0</v>
      </c>
      <c r="P23" s="1"/>
      <c r="Q23" s="95"/>
      <c r="R23" s="198" t="str">
        <f>Fixtures!P23</f>
        <v>Netherlands</v>
      </c>
      <c r="S23" s="198"/>
      <c r="T23" s="198"/>
      <c r="U23" s="198"/>
      <c r="V23" s="96" t="s">
        <v>852</v>
      </c>
      <c r="W23" s="101">
        <f>Fixtures!T23</f>
        <v>0</v>
      </c>
      <c r="X23" s="101">
        <f>Fixtures!U23</f>
        <v>0</v>
      </c>
      <c r="Y23" s="101">
        <f>Fixtures!V23</f>
        <v>0</v>
      </c>
      <c r="Z23" s="101">
        <f>Fixtures!W23</f>
        <v>0</v>
      </c>
      <c r="AA23" s="101">
        <f>Fixtures!X23</f>
        <v>0</v>
      </c>
      <c r="AB23" s="101">
        <f>Fixtures!Z23</f>
        <v>0</v>
      </c>
      <c r="AC23" s="102">
        <f>Fixtures!AB23</f>
        <v>0</v>
      </c>
      <c r="AD23" s="1"/>
      <c r="AE23" s="206" t="str">
        <f>Fixtures!G48</f>
        <v>Winner F</v>
      </c>
      <c r="AF23" s="206"/>
      <c r="AG23" s="206"/>
      <c r="AH23" s="206"/>
      <c r="AI23" s="207"/>
      <c r="AJ23" s="193"/>
      <c r="AK23" s="193"/>
      <c r="AL23" s="208" t="str">
        <f>Fixtures!J48</f>
        <v>3rd A/B/C</v>
      </c>
      <c r="AM23" s="209"/>
      <c r="AN23" s="209"/>
      <c r="AO23" s="209"/>
      <c r="AP23" s="209"/>
      <c r="AR23" s="118"/>
      <c r="AS23" s="1"/>
      <c r="AT23" s="1"/>
      <c r="AU23" s="1"/>
      <c r="AV23" s="1"/>
      <c r="BR23" s="1"/>
      <c r="BT23" s="85"/>
    </row>
    <row r="24" spans="1:72" s="1" customFormat="1" ht="13.9" customHeight="1" x14ac:dyDescent="0.2">
      <c r="C24" s="97"/>
      <c r="D24" s="198" t="str">
        <f>Fixtures!P19</f>
        <v>Slovenia</v>
      </c>
      <c r="E24" s="198"/>
      <c r="F24" s="198"/>
      <c r="G24" s="198"/>
      <c r="H24" s="98" t="s">
        <v>853</v>
      </c>
      <c r="I24" s="101">
        <f>Fixtures!T19</f>
        <v>0</v>
      </c>
      <c r="J24" s="101">
        <f>Fixtures!U19</f>
        <v>0</v>
      </c>
      <c r="K24" s="101">
        <f>Fixtures!V19</f>
        <v>0</v>
      </c>
      <c r="L24" s="101">
        <f>Fixtures!W19</f>
        <v>0</v>
      </c>
      <c r="M24" s="101">
        <f>Fixtures!X19</f>
        <v>0</v>
      </c>
      <c r="N24" s="101">
        <f>Fixtures!Z19</f>
        <v>0</v>
      </c>
      <c r="O24" s="102">
        <f>Fixtures!AB19</f>
        <v>0</v>
      </c>
      <c r="Q24" s="95"/>
      <c r="R24" s="198" t="str">
        <f>Fixtures!P24</f>
        <v>Austria</v>
      </c>
      <c r="S24" s="198"/>
      <c r="T24" s="198"/>
      <c r="U24" s="198"/>
      <c r="V24" s="96" t="s">
        <v>853</v>
      </c>
      <c r="W24" s="101">
        <f>Fixtures!T24</f>
        <v>0</v>
      </c>
      <c r="X24" s="101">
        <f>Fixtures!U24</f>
        <v>0</v>
      </c>
      <c r="Y24" s="101">
        <f>Fixtures!V24</f>
        <v>0</v>
      </c>
      <c r="Z24" s="101">
        <f>Fixtures!W24</f>
        <v>0</v>
      </c>
      <c r="AA24" s="101">
        <f>Fixtures!X24</f>
        <v>0</v>
      </c>
      <c r="AB24" s="101">
        <f>Fixtures!Z24</f>
        <v>0</v>
      </c>
      <c r="AC24" s="102">
        <f>Fixtures!AB24</f>
        <v>0</v>
      </c>
      <c r="AE24" s="45"/>
      <c r="AF24" s="45"/>
      <c r="AG24" s="45"/>
      <c r="AH24" s="45"/>
      <c r="AI24" s="99" t="s">
        <v>0</v>
      </c>
      <c r="AJ24" s="194"/>
      <c r="AK24" s="194"/>
      <c r="AL24" s="99" t="s">
        <v>0</v>
      </c>
      <c r="AM24" s="45"/>
      <c r="AN24" s="45"/>
      <c r="AO24" s="45"/>
      <c r="AP24" s="45"/>
      <c r="AR24" s="116"/>
      <c r="BR24" s="88"/>
      <c r="BS24" s="89"/>
      <c r="BT24" s="68"/>
    </row>
    <row r="25" spans="1:72" s="1" customFormat="1" ht="13.9" customHeight="1" x14ac:dyDescent="0.2">
      <c r="C25" s="97"/>
      <c r="D25" s="198" t="str">
        <f>Fixtures!P20</f>
        <v>Serbia</v>
      </c>
      <c r="E25" s="198"/>
      <c r="F25" s="198"/>
      <c r="G25" s="198"/>
      <c r="H25" s="98"/>
      <c r="I25" s="101">
        <f>Fixtures!T20</f>
        <v>0</v>
      </c>
      <c r="J25" s="101">
        <f>Fixtures!U20</f>
        <v>0</v>
      </c>
      <c r="K25" s="101">
        <f>Fixtures!V20</f>
        <v>0</v>
      </c>
      <c r="L25" s="101">
        <f>Fixtures!W20</f>
        <v>0</v>
      </c>
      <c r="M25" s="101">
        <f>Fixtures!X20</f>
        <v>0</v>
      </c>
      <c r="N25" s="101">
        <f>Fixtures!Z20</f>
        <v>0</v>
      </c>
      <c r="O25" s="102">
        <f>Fixtures!AB20</f>
        <v>0</v>
      </c>
      <c r="Q25" s="95"/>
      <c r="R25" s="198" t="str">
        <f>Fixtures!P25</f>
        <v>Poland</v>
      </c>
      <c r="S25" s="198"/>
      <c r="T25" s="198"/>
      <c r="U25" s="198"/>
      <c r="V25" s="96"/>
      <c r="W25" s="101">
        <f>Fixtures!T25</f>
        <v>0</v>
      </c>
      <c r="X25" s="101">
        <f>Fixtures!U25</f>
        <v>0</v>
      </c>
      <c r="Y25" s="101">
        <f>Fixtures!V25</f>
        <v>0</v>
      </c>
      <c r="Z25" s="101">
        <f>Fixtures!W25</f>
        <v>0</v>
      </c>
      <c r="AA25" s="101">
        <f>Fixtures!X25</f>
        <v>0</v>
      </c>
      <c r="AB25" s="101">
        <f>Fixtures!Z25</f>
        <v>0</v>
      </c>
      <c r="AC25" s="102">
        <f>Fixtures!AB25</f>
        <v>0</v>
      </c>
      <c r="AE25" s="72">
        <v>42</v>
      </c>
      <c r="AF25" s="201">
        <f>Fixtures!E49</f>
        <v>45474.75</v>
      </c>
      <c r="AG25" s="202"/>
      <c r="AH25" s="202"/>
      <c r="AI25" s="202"/>
      <c r="AJ25" s="212">
        <f>AF25</f>
        <v>45474.75</v>
      </c>
      <c r="AK25" s="212"/>
      <c r="AL25" s="200" t="str">
        <f>Fixtures!M49</f>
        <v>Dusseldorf</v>
      </c>
      <c r="AM25" s="200"/>
      <c r="AN25" s="200"/>
      <c r="AO25" s="200"/>
      <c r="AP25" s="200"/>
      <c r="AR25" s="116"/>
      <c r="BR25" s="88"/>
      <c r="BS25" s="89"/>
      <c r="BT25" s="68"/>
    </row>
    <row r="26" spans="1:72" s="1" customFormat="1" ht="13.9" customHeight="1" x14ac:dyDescent="0.2">
      <c r="D26" s="66"/>
      <c r="E26" s="66"/>
      <c r="F26" s="66"/>
      <c r="G26" s="66"/>
      <c r="H26" s="66"/>
      <c r="I26" s="66"/>
      <c r="J26" s="66"/>
      <c r="K26" s="66"/>
      <c r="L26" s="66"/>
      <c r="M26" s="66"/>
      <c r="N26" s="66"/>
      <c r="O26" s="66"/>
      <c r="R26" s="66"/>
      <c r="S26" s="66"/>
      <c r="T26" s="66"/>
      <c r="U26" s="66"/>
      <c r="V26" s="66"/>
      <c r="W26" s="66"/>
      <c r="X26" s="66"/>
      <c r="Y26" s="66"/>
      <c r="Z26" s="66"/>
      <c r="AA26" s="66"/>
      <c r="AB26" s="66"/>
      <c r="AC26" s="66"/>
      <c r="AE26" s="206" t="str">
        <f>Fixtures!G49</f>
        <v>Runner Up D</v>
      </c>
      <c r="AF26" s="206"/>
      <c r="AG26" s="206"/>
      <c r="AH26" s="206"/>
      <c r="AI26" s="207"/>
      <c r="AJ26" s="193"/>
      <c r="AK26" s="193"/>
      <c r="AL26" s="208" t="str">
        <f>Fixtures!J49</f>
        <v>Runner Up E</v>
      </c>
      <c r="AM26" s="209"/>
      <c r="AN26" s="209"/>
      <c r="AO26" s="209"/>
      <c r="AP26" s="209"/>
      <c r="AR26" s="116"/>
      <c r="BR26" s="88"/>
      <c r="BS26" s="89"/>
      <c r="BT26" s="68"/>
    </row>
    <row r="27" spans="1:72" s="1" customFormat="1" ht="13.9" customHeight="1" x14ac:dyDescent="0.2">
      <c r="D27" s="72">
        <v>6</v>
      </c>
      <c r="E27" s="201">
        <f>Fixtures!E12</f>
        <v>45459.75</v>
      </c>
      <c r="F27" s="202"/>
      <c r="G27" s="202"/>
      <c r="H27" s="202"/>
      <c r="I27" s="199">
        <f>E27</f>
        <v>45459.75</v>
      </c>
      <c r="J27" s="199"/>
      <c r="K27" s="200" t="str">
        <f>Fixtures!M12</f>
        <v>Stuttgart</v>
      </c>
      <c r="L27" s="200"/>
      <c r="M27" s="200"/>
      <c r="N27" s="200"/>
      <c r="O27" s="200"/>
      <c r="P27" s="65"/>
      <c r="Q27" s="65"/>
      <c r="R27" s="72">
        <v>7</v>
      </c>
      <c r="S27" s="201">
        <f>Fixtures!E13</f>
        <v>45459.625</v>
      </c>
      <c r="T27" s="202"/>
      <c r="U27" s="202"/>
      <c r="V27" s="202"/>
      <c r="W27" s="199">
        <f>S27</f>
        <v>45459.625</v>
      </c>
      <c r="X27" s="199"/>
      <c r="Y27" s="200" t="str">
        <f>Fixtures!M13</f>
        <v>Hamburg</v>
      </c>
      <c r="Z27" s="200"/>
      <c r="AA27" s="200"/>
      <c r="AB27" s="200"/>
      <c r="AC27" s="200"/>
      <c r="AE27" s="45"/>
      <c r="AF27" s="45"/>
      <c r="AG27" s="45"/>
      <c r="AH27" s="45"/>
      <c r="AI27" s="99" t="s">
        <v>0</v>
      </c>
      <c r="AJ27" s="194"/>
      <c r="AK27" s="194"/>
      <c r="AL27" s="99" t="s">
        <v>0</v>
      </c>
      <c r="AM27" s="45"/>
      <c r="AN27" s="45"/>
      <c r="AO27" s="45"/>
      <c r="AP27" s="45"/>
      <c r="AR27" s="116"/>
      <c r="BR27" s="88"/>
      <c r="BS27" s="89"/>
      <c r="BT27" s="68"/>
    </row>
    <row r="28" spans="1:72" s="1" customFormat="1" ht="13.9" customHeight="1" x14ac:dyDescent="0.2">
      <c r="D28" s="198" t="str">
        <f>Fixtures!G12</f>
        <v>Slovenia</v>
      </c>
      <c r="E28" s="198"/>
      <c r="F28" s="198"/>
      <c r="G28" s="198"/>
      <c r="H28" s="198"/>
      <c r="I28" s="193"/>
      <c r="J28" s="193"/>
      <c r="K28" s="205" t="str">
        <f>Fixtures!J12</f>
        <v>Denmark</v>
      </c>
      <c r="L28" s="205"/>
      <c r="M28" s="205"/>
      <c r="N28" s="205"/>
      <c r="O28" s="205"/>
      <c r="P28" s="65"/>
      <c r="Q28" s="65"/>
      <c r="R28" s="198" t="str">
        <f>Fixtures!G13</f>
        <v>Poland</v>
      </c>
      <c r="S28" s="198"/>
      <c r="T28" s="198"/>
      <c r="U28" s="198"/>
      <c r="V28" s="198"/>
      <c r="W28" s="193"/>
      <c r="X28" s="193"/>
      <c r="Y28" s="205" t="str">
        <f>Fixtures!J13</f>
        <v>Netherlands</v>
      </c>
      <c r="Z28" s="205"/>
      <c r="AA28" s="205"/>
      <c r="AB28" s="205"/>
      <c r="AC28" s="205"/>
      <c r="AE28" s="72">
        <v>43</v>
      </c>
      <c r="AF28" s="201">
        <f>Fixtures!E50</f>
        <v>45475.75</v>
      </c>
      <c r="AG28" s="202"/>
      <c r="AH28" s="202"/>
      <c r="AI28" s="202"/>
      <c r="AJ28" s="212">
        <f>AF28</f>
        <v>45475.75</v>
      </c>
      <c r="AK28" s="212"/>
      <c r="AL28" s="200" t="str">
        <f>Fixtures!M50</f>
        <v>Munich</v>
      </c>
      <c r="AM28" s="200"/>
      <c r="AN28" s="200"/>
      <c r="AO28" s="200"/>
      <c r="AP28" s="200"/>
      <c r="AR28" s="116"/>
      <c r="BR28" s="88"/>
      <c r="BS28" s="89"/>
      <c r="BT28" s="68"/>
    </row>
    <row r="29" spans="1:72" s="1" customFormat="1" ht="13.9" customHeight="1" x14ac:dyDescent="0.2">
      <c r="D29" s="72">
        <v>5</v>
      </c>
      <c r="E29" s="201">
        <f>Fixtures!E11</f>
        <v>45459.875</v>
      </c>
      <c r="F29" s="202"/>
      <c r="G29" s="202"/>
      <c r="H29" s="202"/>
      <c r="I29" s="199">
        <f>E29</f>
        <v>45459.875</v>
      </c>
      <c r="J29" s="199"/>
      <c r="K29" s="200" t="str">
        <f>Fixtures!M11</f>
        <v>Gelsenkirchen</v>
      </c>
      <c r="L29" s="200"/>
      <c r="M29" s="200"/>
      <c r="N29" s="200"/>
      <c r="O29" s="200"/>
      <c r="P29" s="65"/>
      <c r="Q29" s="65"/>
      <c r="R29" s="72">
        <v>8</v>
      </c>
      <c r="S29" s="201">
        <f>Fixtures!E14</f>
        <v>45460.875</v>
      </c>
      <c r="T29" s="202"/>
      <c r="U29" s="202"/>
      <c r="V29" s="202"/>
      <c r="W29" s="199">
        <f>S29</f>
        <v>45460.875</v>
      </c>
      <c r="X29" s="199"/>
      <c r="Y29" s="200" t="str">
        <f>Fixtures!M14</f>
        <v>Dusseldorf</v>
      </c>
      <c r="Z29" s="200"/>
      <c r="AA29" s="200"/>
      <c r="AB29" s="200"/>
      <c r="AC29" s="200"/>
      <c r="AD29" s="65"/>
      <c r="AE29" s="206" t="str">
        <f>Fixtures!G50</f>
        <v>Winner E</v>
      </c>
      <c r="AF29" s="206"/>
      <c r="AG29" s="206"/>
      <c r="AH29" s="206"/>
      <c r="AI29" s="207"/>
      <c r="AJ29" s="193"/>
      <c r="AK29" s="193"/>
      <c r="AL29" s="208" t="str">
        <f>Fixtures!J50</f>
        <v>3rd A/B/C/D</v>
      </c>
      <c r="AM29" s="209"/>
      <c r="AN29" s="209"/>
      <c r="AO29" s="209"/>
      <c r="AP29" s="209"/>
      <c r="AR29" s="116"/>
      <c r="BR29" s="88"/>
      <c r="BS29" s="89"/>
      <c r="BT29" s="68"/>
    </row>
    <row r="30" spans="1:72" s="1" customFormat="1" ht="13.9" customHeight="1" x14ac:dyDescent="0.2">
      <c r="D30" s="198" t="str">
        <f>Fixtures!G11</f>
        <v>Serbia</v>
      </c>
      <c r="E30" s="198"/>
      <c r="F30" s="198"/>
      <c r="G30" s="198"/>
      <c r="H30" s="198"/>
      <c r="I30" s="193"/>
      <c r="J30" s="193"/>
      <c r="K30" s="205" t="str">
        <f>Fixtures!J11</f>
        <v>England</v>
      </c>
      <c r="L30" s="205"/>
      <c r="M30" s="205"/>
      <c r="N30" s="205"/>
      <c r="O30" s="205"/>
      <c r="P30" s="65"/>
      <c r="Q30" s="65"/>
      <c r="R30" s="198" t="str">
        <f>Fixtures!G14</f>
        <v>Austria</v>
      </c>
      <c r="S30" s="198"/>
      <c r="T30" s="198"/>
      <c r="U30" s="198"/>
      <c r="V30" s="198"/>
      <c r="W30" s="193"/>
      <c r="X30" s="193"/>
      <c r="Y30" s="205" t="str">
        <f>Fixtures!J14</f>
        <v>France</v>
      </c>
      <c r="Z30" s="205"/>
      <c r="AA30" s="205"/>
      <c r="AB30" s="205"/>
      <c r="AC30" s="205"/>
      <c r="AD30" s="65"/>
      <c r="AE30" s="45"/>
      <c r="AF30" s="45"/>
      <c r="AG30" s="45"/>
      <c r="AH30" s="45"/>
      <c r="AI30" s="99" t="s">
        <v>0</v>
      </c>
      <c r="AJ30" s="194"/>
      <c r="AK30" s="194"/>
      <c r="AL30" s="99" t="s">
        <v>0</v>
      </c>
      <c r="AM30" s="45"/>
      <c r="AN30" s="45"/>
      <c r="AO30" s="45"/>
      <c r="AP30" s="45"/>
      <c r="AR30" s="116"/>
      <c r="BR30" s="88"/>
      <c r="BS30" s="89"/>
      <c r="BT30" s="68"/>
    </row>
    <row r="31" spans="1:72" s="1" customFormat="1" ht="13.9" customHeight="1" x14ac:dyDescent="0.2">
      <c r="D31" s="72">
        <v>18</v>
      </c>
      <c r="E31" s="201">
        <f>Fixtures!E24</f>
        <v>45463.625</v>
      </c>
      <c r="F31" s="202"/>
      <c r="G31" s="202"/>
      <c r="H31" s="202"/>
      <c r="I31" s="199">
        <f>E31</f>
        <v>45463.625</v>
      </c>
      <c r="J31" s="199"/>
      <c r="K31" s="200" t="str">
        <f>Fixtures!M24</f>
        <v>Munich</v>
      </c>
      <c r="L31" s="200"/>
      <c r="M31" s="200"/>
      <c r="N31" s="200"/>
      <c r="O31" s="200"/>
      <c r="P31" s="65"/>
      <c r="Q31" s="65"/>
      <c r="R31" s="72">
        <v>19</v>
      </c>
      <c r="S31" s="201">
        <f>Fixtures!E25</f>
        <v>45464.75</v>
      </c>
      <c r="T31" s="202"/>
      <c r="U31" s="202"/>
      <c r="V31" s="202"/>
      <c r="W31" s="199">
        <f>S31</f>
        <v>45464.75</v>
      </c>
      <c r="X31" s="199"/>
      <c r="Y31" s="200" t="str">
        <f>Fixtures!M25</f>
        <v>Berlin</v>
      </c>
      <c r="Z31" s="200"/>
      <c r="AA31" s="200"/>
      <c r="AB31" s="200"/>
      <c r="AC31" s="200"/>
      <c r="AD31" s="65"/>
      <c r="AE31" s="72">
        <v>44</v>
      </c>
      <c r="AF31" s="201">
        <f>Fixtures!E51</f>
        <v>45475.875</v>
      </c>
      <c r="AG31" s="202"/>
      <c r="AH31" s="202"/>
      <c r="AI31" s="202" t="s">
        <v>856</v>
      </c>
      <c r="AJ31" s="212">
        <f>AF31</f>
        <v>45475.875</v>
      </c>
      <c r="AK31" s="212"/>
      <c r="AL31" s="200" t="str">
        <f>Fixtures!M51</f>
        <v>Leipzig</v>
      </c>
      <c r="AM31" s="200"/>
      <c r="AN31" s="200"/>
      <c r="AO31" s="200"/>
      <c r="AP31" s="200"/>
      <c r="AR31" s="116"/>
      <c r="BR31" s="88"/>
      <c r="BS31" s="89"/>
      <c r="BT31" s="68"/>
    </row>
    <row r="32" spans="1:72" s="1" customFormat="1" ht="13.9" customHeight="1" x14ac:dyDescent="0.2">
      <c r="D32" s="198" t="str">
        <f>Fixtures!G24</f>
        <v>Slovenia</v>
      </c>
      <c r="E32" s="198"/>
      <c r="F32" s="198"/>
      <c r="G32" s="198"/>
      <c r="H32" s="198"/>
      <c r="I32" s="193"/>
      <c r="J32" s="193"/>
      <c r="K32" s="205" t="str">
        <f>Fixtures!J24</f>
        <v>Serbia</v>
      </c>
      <c r="L32" s="205"/>
      <c r="M32" s="205"/>
      <c r="N32" s="205"/>
      <c r="O32" s="205"/>
      <c r="P32" s="73"/>
      <c r="Q32" s="73"/>
      <c r="R32" s="198" t="str">
        <f>Fixtures!G25</f>
        <v>Poland</v>
      </c>
      <c r="S32" s="198"/>
      <c r="T32" s="198"/>
      <c r="U32" s="198"/>
      <c r="V32" s="198"/>
      <c r="W32" s="193"/>
      <c r="X32" s="193"/>
      <c r="Y32" s="205" t="str">
        <f>Fixtures!J25</f>
        <v>Austria</v>
      </c>
      <c r="Z32" s="205"/>
      <c r="AA32" s="205"/>
      <c r="AB32" s="205"/>
      <c r="AC32" s="205"/>
      <c r="AD32" s="65"/>
      <c r="AE32" s="206" t="str">
        <f>Fixtures!G51</f>
        <v>Winner D</v>
      </c>
      <c r="AF32" s="206"/>
      <c r="AG32" s="206"/>
      <c r="AH32" s="206"/>
      <c r="AI32" s="207"/>
      <c r="AJ32" s="193"/>
      <c r="AK32" s="193"/>
      <c r="AL32" s="208" t="str">
        <f>Fixtures!J51</f>
        <v>Runner Up F</v>
      </c>
      <c r="AM32" s="209"/>
      <c r="AN32" s="209"/>
      <c r="AO32" s="209"/>
      <c r="AP32" s="209"/>
      <c r="AR32" s="116"/>
      <c r="BR32" s="88"/>
      <c r="BS32" s="89"/>
      <c r="BT32" s="68"/>
    </row>
    <row r="33" spans="1:72" s="1" customFormat="1" ht="13.9" customHeight="1" x14ac:dyDescent="0.2">
      <c r="D33" s="72">
        <v>17</v>
      </c>
      <c r="E33" s="201">
        <f>Fixtures!E23</f>
        <v>45463.75</v>
      </c>
      <c r="F33" s="202"/>
      <c r="G33" s="202"/>
      <c r="H33" s="202"/>
      <c r="I33" s="199">
        <f>E33</f>
        <v>45463.75</v>
      </c>
      <c r="J33" s="199"/>
      <c r="K33" s="200" t="str">
        <f>Fixtures!M23</f>
        <v>Frankfurt</v>
      </c>
      <c r="L33" s="200"/>
      <c r="M33" s="200"/>
      <c r="N33" s="200"/>
      <c r="O33" s="200"/>
      <c r="P33" s="73"/>
      <c r="Q33" s="73"/>
      <c r="R33" s="72">
        <v>20</v>
      </c>
      <c r="S33" s="201">
        <f>Fixtures!E26</f>
        <v>45464.875</v>
      </c>
      <c r="T33" s="202"/>
      <c r="U33" s="202"/>
      <c r="V33" s="202"/>
      <c r="W33" s="199">
        <f>S33</f>
        <v>45464.875</v>
      </c>
      <c r="X33" s="199"/>
      <c r="Y33" s="200" t="str">
        <f>Fixtures!M26</f>
        <v>Leipzig</v>
      </c>
      <c r="Z33" s="200"/>
      <c r="AA33" s="200"/>
      <c r="AB33" s="200"/>
      <c r="AC33" s="200"/>
      <c r="AD33" s="65"/>
      <c r="AE33" s="75"/>
      <c r="AF33" s="76"/>
      <c r="AG33" s="76"/>
      <c r="AH33" s="76"/>
      <c r="AI33" s="99" t="s">
        <v>0</v>
      </c>
      <c r="AJ33" s="194"/>
      <c r="AK33" s="194"/>
      <c r="AL33" s="99" t="s">
        <v>0</v>
      </c>
      <c r="AM33" s="77"/>
      <c r="AN33" s="77"/>
      <c r="AO33" s="77"/>
      <c r="AP33" s="42"/>
      <c r="AR33" s="116"/>
      <c r="BR33" s="88"/>
      <c r="BS33" s="89"/>
      <c r="BT33" s="68"/>
    </row>
    <row r="34" spans="1:72" s="1" customFormat="1" ht="13.9" customHeight="1" x14ac:dyDescent="0.2">
      <c r="D34" s="198" t="str">
        <f>Fixtures!G23</f>
        <v>Denmark</v>
      </c>
      <c r="E34" s="198"/>
      <c r="F34" s="198"/>
      <c r="G34" s="198"/>
      <c r="H34" s="198"/>
      <c r="I34" s="193"/>
      <c r="J34" s="193"/>
      <c r="K34" s="205" t="str">
        <f>Fixtures!J23</f>
        <v>England</v>
      </c>
      <c r="L34" s="205"/>
      <c r="M34" s="205"/>
      <c r="N34" s="205"/>
      <c r="O34" s="205"/>
      <c r="P34" s="73"/>
      <c r="Q34" s="73"/>
      <c r="R34" s="198" t="str">
        <f>Fixtures!G26</f>
        <v>Netherlands</v>
      </c>
      <c r="S34" s="198"/>
      <c r="T34" s="198"/>
      <c r="U34" s="198"/>
      <c r="V34" s="198"/>
      <c r="W34" s="193"/>
      <c r="X34" s="193"/>
      <c r="Y34" s="205" t="str">
        <f>Fixtures!J26</f>
        <v>France</v>
      </c>
      <c r="Z34" s="205"/>
      <c r="AA34" s="205"/>
      <c r="AB34" s="205"/>
      <c r="AC34" s="205"/>
      <c r="AD34" s="73"/>
      <c r="AE34" s="71" t="str">
        <f>UPPER(Fixtures!C52)</f>
        <v>QUARTER FINALS</v>
      </c>
      <c r="AF34" s="71"/>
      <c r="AG34" s="71"/>
      <c r="AH34" s="71"/>
      <c r="AI34" s="71"/>
      <c r="AJ34" s="71"/>
      <c r="AK34" s="71"/>
      <c r="AL34" s="71"/>
      <c r="AM34" s="71"/>
      <c r="AN34" s="71"/>
      <c r="AO34" s="71"/>
      <c r="AP34" s="71"/>
      <c r="AR34" s="116"/>
      <c r="BR34" s="88"/>
      <c r="BS34" s="89"/>
      <c r="BT34" s="68"/>
    </row>
    <row r="35" spans="1:72" s="1" customFormat="1" ht="13.9" customHeight="1" x14ac:dyDescent="0.2">
      <c r="D35" s="72">
        <v>29</v>
      </c>
      <c r="E35" s="201">
        <f>Fixtures!E35</f>
        <v>45468.875</v>
      </c>
      <c r="F35" s="202"/>
      <c r="G35" s="202"/>
      <c r="H35" s="202"/>
      <c r="I35" s="199">
        <f>E35</f>
        <v>45468.875</v>
      </c>
      <c r="J35" s="199"/>
      <c r="K35" s="200" t="str">
        <f>Fixtures!M35</f>
        <v>Cologne</v>
      </c>
      <c r="L35" s="200"/>
      <c r="M35" s="200"/>
      <c r="N35" s="200"/>
      <c r="O35" s="200"/>
      <c r="P35" s="73"/>
      <c r="Q35" s="73"/>
      <c r="R35" s="72">
        <v>31</v>
      </c>
      <c r="S35" s="201">
        <f>Fixtures!E37</f>
        <v>45468.75</v>
      </c>
      <c r="T35" s="202"/>
      <c r="U35" s="202"/>
      <c r="V35" s="202"/>
      <c r="W35" s="199">
        <f>S35</f>
        <v>45468.75</v>
      </c>
      <c r="X35" s="199"/>
      <c r="Y35" s="200" t="str">
        <f>Fixtures!M37</f>
        <v>Berlin</v>
      </c>
      <c r="Z35" s="200"/>
      <c r="AA35" s="200"/>
      <c r="AB35" s="200"/>
      <c r="AC35" s="200"/>
      <c r="AD35" s="73"/>
      <c r="AE35" s="72">
        <v>45</v>
      </c>
      <c r="AF35" s="201">
        <f>Fixtures!E52</f>
        <v>45478.75</v>
      </c>
      <c r="AG35" s="202"/>
      <c r="AH35" s="202"/>
      <c r="AI35" s="202"/>
      <c r="AJ35" s="212">
        <f>AF35</f>
        <v>45478.75</v>
      </c>
      <c r="AK35" s="212"/>
      <c r="AL35" s="200" t="str">
        <f>Fixtures!M52</f>
        <v>Stuttgart</v>
      </c>
      <c r="AM35" s="200"/>
      <c r="AN35" s="200"/>
      <c r="AO35" s="200"/>
      <c r="AP35" s="200"/>
      <c r="AR35" s="116"/>
      <c r="BR35" s="88"/>
      <c r="BS35" s="89"/>
      <c r="BT35" s="68"/>
    </row>
    <row r="36" spans="1:72" s="42" customFormat="1" ht="13.9" customHeight="1" x14ac:dyDescent="0.2">
      <c r="A36" s="1"/>
      <c r="B36" s="1"/>
      <c r="C36" s="1"/>
      <c r="D36" s="198" t="str">
        <f>Fixtures!G35</f>
        <v>England</v>
      </c>
      <c r="E36" s="198"/>
      <c r="F36" s="198"/>
      <c r="G36" s="198"/>
      <c r="H36" s="198"/>
      <c r="I36" s="193"/>
      <c r="J36" s="193"/>
      <c r="K36" s="205" t="str">
        <f>Fixtures!J35</f>
        <v>Slovenia</v>
      </c>
      <c r="L36" s="205"/>
      <c r="M36" s="205"/>
      <c r="N36" s="205"/>
      <c r="O36" s="205"/>
      <c r="P36" s="1"/>
      <c r="Q36" s="1"/>
      <c r="R36" s="198" t="str">
        <f>Fixtures!G37</f>
        <v>Netherlands</v>
      </c>
      <c r="S36" s="198"/>
      <c r="T36" s="198"/>
      <c r="U36" s="198"/>
      <c r="V36" s="198"/>
      <c r="W36" s="193"/>
      <c r="X36" s="193"/>
      <c r="Y36" s="205" t="str">
        <f>Fixtures!J37</f>
        <v>Austria</v>
      </c>
      <c r="Z36" s="205"/>
      <c r="AA36" s="205"/>
      <c r="AB36" s="205"/>
      <c r="AC36" s="205"/>
      <c r="AD36" s="73"/>
      <c r="AE36" s="206" t="str">
        <f>Fixtures!G52</f>
        <v>Winner #39</v>
      </c>
      <c r="AF36" s="206"/>
      <c r="AG36" s="206"/>
      <c r="AH36" s="206"/>
      <c r="AI36" s="207"/>
      <c r="AJ36" s="193"/>
      <c r="AK36" s="193"/>
      <c r="AL36" s="208" t="str">
        <f>Fixtures!J52</f>
        <v>Winner #37</v>
      </c>
      <c r="AM36" s="209"/>
      <c r="AN36" s="209"/>
      <c r="AO36" s="209"/>
      <c r="AP36" s="209"/>
      <c r="AQ36" s="81"/>
      <c r="AR36" s="119"/>
      <c r="AS36" s="81"/>
      <c r="AT36" s="81"/>
      <c r="AU36" s="81"/>
      <c r="AV36" s="45"/>
      <c r="AW36" s="45"/>
      <c r="AX36" s="45"/>
      <c r="AY36" s="45"/>
      <c r="AZ36" s="45"/>
      <c r="BA36" s="45"/>
      <c r="BB36" s="45"/>
      <c r="BC36" s="45"/>
      <c r="BD36" s="45"/>
      <c r="BE36" s="45"/>
      <c r="BF36" s="45"/>
      <c r="BG36" s="45"/>
      <c r="BH36" s="45"/>
      <c r="BI36" s="45"/>
      <c r="BJ36" s="45"/>
      <c r="BK36" s="45"/>
      <c r="BL36" s="45"/>
      <c r="BM36" s="45"/>
      <c r="BN36" s="45"/>
      <c r="BO36" s="45"/>
      <c r="BP36" s="45"/>
      <c r="BQ36" s="45"/>
      <c r="BR36" s="88"/>
      <c r="BS36" s="90"/>
      <c r="BT36" s="68"/>
    </row>
    <row r="37" spans="1:72" s="42" customFormat="1" ht="13.9" customHeight="1" x14ac:dyDescent="0.2">
      <c r="A37" s="1"/>
      <c r="B37" s="1"/>
      <c r="C37" s="1"/>
      <c r="D37" s="72">
        <v>30</v>
      </c>
      <c r="E37" s="201">
        <f>Fixtures!E36</f>
        <v>45468.875</v>
      </c>
      <c r="F37" s="202"/>
      <c r="G37" s="202"/>
      <c r="H37" s="202"/>
      <c r="I37" s="199">
        <f>E37</f>
        <v>45468.875</v>
      </c>
      <c r="J37" s="199"/>
      <c r="K37" s="200" t="str">
        <f>Fixtures!M36</f>
        <v>Munich</v>
      </c>
      <c r="L37" s="200"/>
      <c r="M37" s="200"/>
      <c r="N37" s="200"/>
      <c r="O37" s="200"/>
      <c r="P37" s="73"/>
      <c r="Q37" s="73"/>
      <c r="R37" s="72">
        <v>32</v>
      </c>
      <c r="S37" s="201">
        <f>Fixtures!E38</f>
        <v>45468.75</v>
      </c>
      <c r="T37" s="202"/>
      <c r="U37" s="202"/>
      <c r="V37" s="202"/>
      <c r="W37" s="199">
        <f>S37</f>
        <v>45468.75</v>
      </c>
      <c r="X37" s="199"/>
      <c r="Y37" s="200" t="str">
        <f>Fixtures!M38</f>
        <v>Dortmund</v>
      </c>
      <c r="Z37" s="200"/>
      <c r="AA37" s="200"/>
      <c r="AB37" s="200"/>
      <c r="AC37" s="200"/>
      <c r="AD37" s="73"/>
      <c r="AE37" s="75"/>
      <c r="AF37" s="76"/>
      <c r="AG37" s="76"/>
      <c r="AH37" s="76"/>
      <c r="AI37" s="99" t="s">
        <v>0</v>
      </c>
      <c r="AJ37" s="194"/>
      <c r="AK37" s="194"/>
      <c r="AL37" s="99" t="s">
        <v>0</v>
      </c>
      <c r="AM37" s="77"/>
      <c r="AN37" s="77"/>
      <c r="AO37" s="77"/>
      <c r="AQ37" s="81"/>
      <c r="AR37" s="119"/>
      <c r="AS37" s="81"/>
      <c r="AT37" s="81"/>
      <c r="AU37" s="81"/>
      <c r="AV37" s="45"/>
      <c r="AW37" s="45"/>
      <c r="AX37" s="45"/>
      <c r="AY37" s="45"/>
      <c r="AZ37" s="45"/>
      <c r="BA37" s="45"/>
      <c r="BB37" s="45"/>
      <c r="BC37" s="45"/>
      <c r="BD37" s="45"/>
      <c r="BE37" s="45"/>
      <c r="BF37" s="45"/>
      <c r="BG37" s="45"/>
      <c r="BH37" s="45"/>
      <c r="BI37" s="45"/>
      <c r="BJ37" s="45"/>
      <c r="BK37" s="45"/>
      <c r="BL37" s="45"/>
      <c r="BM37" s="45"/>
      <c r="BN37" s="45"/>
      <c r="BO37" s="45"/>
      <c r="BP37" s="45"/>
      <c r="BQ37" s="45"/>
      <c r="BR37" s="88"/>
      <c r="BS37" s="90"/>
      <c r="BT37" s="68"/>
    </row>
    <row r="38" spans="1:72" s="42" customFormat="1" ht="13.9" customHeight="1" x14ac:dyDescent="0.2">
      <c r="A38" s="1"/>
      <c r="B38" s="1"/>
      <c r="C38" s="1"/>
      <c r="D38" s="210" t="str">
        <f>Fixtures!G36</f>
        <v>Denmark</v>
      </c>
      <c r="E38" s="210"/>
      <c r="F38" s="210"/>
      <c r="G38" s="210"/>
      <c r="H38" s="210"/>
      <c r="I38" s="193"/>
      <c r="J38" s="193"/>
      <c r="K38" s="211" t="str">
        <f>Fixtures!J36</f>
        <v>Serbia</v>
      </c>
      <c r="L38" s="211"/>
      <c r="M38" s="211"/>
      <c r="N38" s="211"/>
      <c r="O38" s="211"/>
      <c r="P38" s="1"/>
      <c r="Q38" s="1"/>
      <c r="R38" s="210" t="str">
        <f>Fixtures!G38</f>
        <v>France</v>
      </c>
      <c r="S38" s="210"/>
      <c r="T38" s="210"/>
      <c r="U38" s="210"/>
      <c r="V38" s="210"/>
      <c r="W38" s="193"/>
      <c r="X38" s="193"/>
      <c r="Y38" s="211" t="str">
        <f>Fixtures!J38</f>
        <v>Poland</v>
      </c>
      <c r="Z38" s="211"/>
      <c r="AA38" s="211"/>
      <c r="AB38" s="211"/>
      <c r="AC38" s="211"/>
      <c r="AD38" s="1"/>
      <c r="AE38" s="72">
        <v>46</v>
      </c>
      <c r="AF38" s="201">
        <f>Fixtures!E53</f>
        <v>45478.875</v>
      </c>
      <c r="AG38" s="202"/>
      <c r="AH38" s="202"/>
      <c r="AI38" s="202"/>
      <c r="AJ38" s="212">
        <f>AF38</f>
        <v>45478.875</v>
      </c>
      <c r="AK38" s="212"/>
      <c r="AL38" s="200" t="str">
        <f>Fixtures!M53</f>
        <v>Hamburg</v>
      </c>
      <c r="AM38" s="200"/>
      <c r="AN38" s="200"/>
      <c r="AO38" s="200"/>
      <c r="AP38" s="200"/>
      <c r="AQ38" s="81"/>
      <c r="AR38" s="119"/>
      <c r="AS38" s="81"/>
      <c r="AT38" s="81"/>
      <c r="AU38" s="81"/>
      <c r="AV38" s="45"/>
      <c r="AW38" s="45"/>
      <c r="AX38" s="45"/>
      <c r="AY38" s="45"/>
      <c r="AZ38" s="45"/>
      <c r="BA38" s="45"/>
      <c r="BB38" s="45"/>
      <c r="BC38" s="45"/>
      <c r="BD38" s="45"/>
      <c r="BE38" s="45"/>
      <c r="BF38" s="45"/>
      <c r="BG38" s="45"/>
      <c r="BH38" s="45"/>
      <c r="BI38" s="45"/>
      <c r="BJ38" s="45"/>
      <c r="BK38" s="45"/>
      <c r="BL38" s="45"/>
      <c r="BM38" s="45"/>
      <c r="BN38" s="45"/>
      <c r="BO38" s="45"/>
      <c r="BP38" s="45"/>
      <c r="BQ38" s="45"/>
      <c r="BR38" s="88"/>
      <c r="BS38" s="91"/>
      <c r="BT38" s="68"/>
    </row>
    <row r="39" spans="1:72" s="42" customFormat="1" ht="13.9" customHeight="1" x14ac:dyDescent="0.2">
      <c r="A39" s="1"/>
      <c r="B39" s="45"/>
      <c r="C39" s="93"/>
      <c r="D39" s="74"/>
      <c r="E39" s="74"/>
      <c r="F39" s="74"/>
      <c r="G39" s="74"/>
      <c r="H39" s="74"/>
      <c r="I39" s="100" t="s">
        <v>861</v>
      </c>
      <c r="J39" s="100" t="s">
        <v>862</v>
      </c>
      <c r="K39" s="100" t="s">
        <v>863</v>
      </c>
      <c r="L39" s="100" t="s">
        <v>806</v>
      </c>
      <c r="M39" s="100" t="s">
        <v>864</v>
      </c>
      <c r="N39" s="100" t="s">
        <v>865</v>
      </c>
      <c r="O39" s="100" t="s">
        <v>866</v>
      </c>
      <c r="P39" s="45"/>
      <c r="Q39" s="94"/>
      <c r="R39" s="74"/>
      <c r="S39" s="74"/>
      <c r="T39" s="74"/>
      <c r="U39" s="74"/>
      <c r="V39" s="74"/>
      <c r="W39" s="100" t="s">
        <v>861</v>
      </c>
      <c r="X39" s="100" t="s">
        <v>862</v>
      </c>
      <c r="Y39" s="100" t="s">
        <v>863</v>
      </c>
      <c r="Z39" s="100" t="s">
        <v>806</v>
      </c>
      <c r="AA39" s="100" t="s">
        <v>864</v>
      </c>
      <c r="AB39" s="100" t="s">
        <v>865</v>
      </c>
      <c r="AC39" s="100" t="s">
        <v>866</v>
      </c>
      <c r="AD39" s="73"/>
      <c r="AE39" s="206" t="str">
        <f>Fixtures!G53</f>
        <v>Winner #41</v>
      </c>
      <c r="AF39" s="206"/>
      <c r="AG39" s="206"/>
      <c r="AH39" s="206"/>
      <c r="AI39" s="207"/>
      <c r="AJ39" s="193"/>
      <c r="AK39" s="193"/>
      <c r="AL39" s="208" t="str">
        <f>Fixtures!J53</f>
        <v>Winner #42</v>
      </c>
      <c r="AM39" s="209"/>
      <c r="AN39" s="209"/>
      <c r="AO39" s="209"/>
      <c r="AP39" s="209"/>
      <c r="AQ39" s="81"/>
      <c r="AR39" s="119"/>
      <c r="AS39" s="81"/>
      <c r="AT39" s="81"/>
      <c r="AU39" s="81"/>
      <c r="AV39" s="45"/>
      <c r="AW39" s="45"/>
      <c r="AX39" s="45"/>
      <c r="AY39" s="45"/>
      <c r="AZ39" s="45"/>
      <c r="BA39" s="45"/>
      <c r="BB39" s="45"/>
      <c r="BC39" s="45"/>
      <c r="BD39" s="45"/>
      <c r="BE39" s="45"/>
      <c r="BF39" s="45"/>
      <c r="BG39" s="45"/>
      <c r="BH39" s="45"/>
      <c r="BI39" s="45"/>
      <c r="BJ39" s="45"/>
      <c r="BK39" s="45"/>
      <c r="BL39" s="45"/>
      <c r="BM39" s="45"/>
      <c r="BN39" s="45"/>
      <c r="BO39" s="45"/>
      <c r="BP39" s="45"/>
      <c r="BQ39" s="45"/>
      <c r="BR39" s="88"/>
      <c r="BS39" s="91"/>
      <c r="BT39" s="68"/>
    </row>
    <row r="40" spans="1:72" s="42" customFormat="1" ht="13.9" customHeight="1" x14ac:dyDescent="0.2">
      <c r="A40" s="1"/>
      <c r="B40" s="45"/>
      <c r="C40" s="93" t="s">
        <v>108</v>
      </c>
      <c r="D40" s="198" t="str">
        <f>Fixtures!P27</f>
        <v>Belgium</v>
      </c>
      <c r="E40" s="198"/>
      <c r="F40" s="198"/>
      <c r="G40" s="198"/>
      <c r="H40" s="82" t="s">
        <v>851</v>
      </c>
      <c r="I40" s="101">
        <f>Fixtures!T27</f>
        <v>0</v>
      </c>
      <c r="J40" s="101">
        <f>Fixtures!U27</f>
        <v>0</v>
      </c>
      <c r="K40" s="101">
        <f>Fixtures!V27</f>
        <v>0</v>
      </c>
      <c r="L40" s="101">
        <f>Fixtures!W27</f>
        <v>0</v>
      </c>
      <c r="M40" s="101">
        <f>Fixtures!X27</f>
        <v>0</v>
      </c>
      <c r="N40" s="101">
        <f>Fixtures!Z27</f>
        <v>0</v>
      </c>
      <c r="O40" s="102">
        <f>Fixtures!AB27</f>
        <v>0</v>
      </c>
      <c r="P40" s="65"/>
      <c r="Q40" s="94" t="s">
        <v>113</v>
      </c>
      <c r="R40" s="198" t="str">
        <f>Fixtures!P32</f>
        <v>Portugal</v>
      </c>
      <c r="S40" s="198"/>
      <c r="T40" s="198"/>
      <c r="U40" s="198"/>
      <c r="V40" s="79" t="s">
        <v>851</v>
      </c>
      <c r="W40" s="101">
        <f>Fixtures!T32</f>
        <v>0</v>
      </c>
      <c r="X40" s="101">
        <f>Fixtures!U32</f>
        <v>0</v>
      </c>
      <c r="Y40" s="101">
        <f>Fixtures!V32</f>
        <v>0</v>
      </c>
      <c r="Z40" s="101">
        <f>Fixtures!W32</f>
        <v>0</v>
      </c>
      <c r="AA40" s="101">
        <f>Fixtures!X32</f>
        <v>0</v>
      </c>
      <c r="AB40" s="101">
        <f>Fixtures!Z32</f>
        <v>0</v>
      </c>
      <c r="AC40" s="102">
        <f>Fixtures!AB32</f>
        <v>0</v>
      </c>
      <c r="AD40" s="45"/>
      <c r="AE40" s="75"/>
      <c r="AF40" s="76"/>
      <c r="AG40" s="76"/>
      <c r="AH40" s="76"/>
      <c r="AI40" s="99" t="s">
        <v>0</v>
      </c>
      <c r="AJ40" s="194"/>
      <c r="AK40" s="194"/>
      <c r="AL40" s="99" t="s">
        <v>0</v>
      </c>
      <c r="AM40" s="77"/>
      <c r="AN40" s="77"/>
      <c r="AO40" s="77"/>
      <c r="AQ40" s="81"/>
      <c r="AR40" s="119"/>
      <c r="AS40" s="81"/>
      <c r="AT40" s="81"/>
      <c r="AU40" s="81"/>
      <c r="AV40" s="45"/>
      <c r="AW40" s="45"/>
      <c r="AX40" s="45"/>
      <c r="AY40" s="45"/>
      <c r="AZ40" s="45"/>
      <c r="BA40" s="45"/>
      <c r="BB40" s="45"/>
      <c r="BC40" s="45"/>
      <c r="BD40" s="45"/>
      <c r="BE40" s="45"/>
      <c r="BF40" s="45"/>
      <c r="BG40" s="45"/>
      <c r="BH40" s="45"/>
      <c r="BI40" s="45"/>
      <c r="BJ40" s="45"/>
      <c r="BK40" s="45"/>
      <c r="BL40" s="45"/>
      <c r="BM40" s="45"/>
      <c r="BN40" s="45"/>
      <c r="BO40" s="45"/>
      <c r="BP40" s="45"/>
      <c r="BQ40" s="45"/>
      <c r="BR40" s="88"/>
      <c r="BS40" s="91"/>
      <c r="BT40" s="68"/>
    </row>
    <row r="41" spans="1:72" s="42" customFormat="1" ht="13.9" customHeight="1" x14ac:dyDescent="0.2">
      <c r="A41" s="1"/>
      <c r="B41" s="45"/>
      <c r="C41" s="93"/>
      <c r="D41" s="198" t="str">
        <f>Fixtures!P28</f>
        <v>Romania</v>
      </c>
      <c r="E41" s="198"/>
      <c r="F41" s="198"/>
      <c r="G41" s="198"/>
      <c r="H41" s="82" t="s">
        <v>852</v>
      </c>
      <c r="I41" s="101">
        <f>Fixtures!T28</f>
        <v>0</v>
      </c>
      <c r="J41" s="101">
        <f>Fixtures!U28</f>
        <v>0</v>
      </c>
      <c r="K41" s="101">
        <f>Fixtures!V28</f>
        <v>0</v>
      </c>
      <c r="L41" s="101">
        <f>Fixtures!W28</f>
        <v>0</v>
      </c>
      <c r="M41" s="101">
        <f>Fixtures!X28</f>
        <v>0</v>
      </c>
      <c r="N41" s="101">
        <f>Fixtures!Z28</f>
        <v>0</v>
      </c>
      <c r="O41" s="102">
        <f>Fixtures!AB28</f>
        <v>0</v>
      </c>
      <c r="P41" s="45"/>
      <c r="Q41" s="94"/>
      <c r="R41" s="198" t="str">
        <f>Fixtures!P33</f>
        <v>Türkiye</v>
      </c>
      <c r="S41" s="198"/>
      <c r="T41" s="198"/>
      <c r="U41" s="198"/>
      <c r="V41" s="79" t="s">
        <v>852</v>
      </c>
      <c r="W41" s="101">
        <f>Fixtures!T33</f>
        <v>0</v>
      </c>
      <c r="X41" s="101">
        <f>Fixtures!U33</f>
        <v>0</v>
      </c>
      <c r="Y41" s="101">
        <f>Fixtures!V33</f>
        <v>0</v>
      </c>
      <c r="Z41" s="101">
        <f>Fixtures!W33</f>
        <v>0</v>
      </c>
      <c r="AA41" s="101">
        <f>Fixtures!X33</f>
        <v>0</v>
      </c>
      <c r="AB41" s="101">
        <f>Fixtures!Z33</f>
        <v>0</v>
      </c>
      <c r="AC41" s="102">
        <f>Fixtures!AB33</f>
        <v>0</v>
      </c>
      <c r="AD41" s="45"/>
      <c r="AE41" s="72">
        <v>47</v>
      </c>
      <c r="AF41" s="201">
        <f>Fixtures!E54</f>
        <v>45479.875</v>
      </c>
      <c r="AG41" s="202"/>
      <c r="AH41" s="202"/>
      <c r="AI41" s="202"/>
      <c r="AJ41" s="212">
        <f>AF41</f>
        <v>45479.875</v>
      </c>
      <c r="AK41" s="212"/>
      <c r="AL41" s="200" t="str">
        <f>Fixtures!M54</f>
        <v>Berlin</v>
      </c>
      <c r="AM41" s="200"/>
      <c r="AN41" s="200"/>
      <c r="AO41" s="200"/>
      <c r="AP41" s="200"/>
      <c r="AQ41" s="81"/>
      <c r="AR41" s="119"/>
      <c r="AS41" s="81"/>
      <c r="AT41" s="81"/>
      <c r="AU41" s="81"/>
      <c r="AV41" s="45"/>
      <c r="AW41" s="45"/>
      <c r="AX41" s="45"/>
      <c r="AY41" s="45"/>
      <c r="AZ41" s="45"/>
      <c r="BA41" s="45"/>
      <c r="BB41" s="45"/>
      <c r="BC41" s="45"/>
      <c r="BD41" s="45"/>
      <c r="BE41" s="45"/>
      <c r="BF41" s="45"/>
      <c r="BG41" s="45"/>
      <c r="BH41" s="45"/>
      <c r="BI41" s="45"/>
      <c r="BJ41" s="45"/>
      <c r="BK41" s="45"/>
      <c r="BL41" s="45"/>
      <c r="BM41" s="45"/>
      <c r="BN41" s="45"/>
      <c r="BO41" s="45"/>
      <c r="BP41" s="45"/>
      <c r="BQ41" s="45"/>
      <c r="BR41" s="88"/>
      <c r="BS41" s="91"/>
      <c r="BT41" s="68"/>
    </row>
    <row r="42" spans="1:72" s="42" customFormat="1" ht="13.9" customHeight="1" x14ac:dyDescent="0.2">
      <c r="A42" s="1"/>
      <c r="B42" s="45"/>
      <c r="C42" s="93"/>
      <c r="D42" s="198" t="str">
        <f>Fixtures!P29</f>
        <v>Slovakia</v>
      </c>
      <c r="E42" s="198"/>
      <c r="F42" s="198"/>
      <c r="G42" s="198"/>
      <c r="H42" s="82" t="s">
        <v>853</v>
      </c>
      <c r="I42" s="101">
        <f>Fixtures!T29</f>
        <v>0</v>
      </c>
      <c r="J42" s="101">
        <f>Fixtures!U29</f>
        <v>0</v>
      </c>
      <c r="K42" s="101">
        <f>Fixtures!V29</f>
        <v>0</v>
      </c>
      <c r="L42" s="101">
        <f>Fixtures!W29</f>
        <v>0</v>
      </c>
      <c r="M42" s="101">
        <f>Fixtures!X29</f>
        <v>0</v>
      </c>
      <c r="N42" s="101">
        <f>Fixtures!Z29</f>
        <v>0</v>
      </c>
      <c r="O42" s="102">
        <f>Fixtures!AB29</f>
        <v>0</v>
      </c>
      <c r="P42" s="45"/>
      <c r="Q42" s="94"/>
      <c r="R42" s="198" t="str">
        <f>Fixtures!P34</f>
        <v>Czechia</v>
      </c>
      <c r="S42" s="198"/>
      <c r="T42" s="198"/>
      <c r="U42" s="198"/>
      <c r="V42" s="79" t="s">
        <v>853</v>
      </c>
      <c r="W42" s="101">
        <f>Fixtures!T34</f>
        <v>0</v>
      </c>
      <c r="X42" s="101">
        <f>Fixtures!U34</f>
        <v>0</v>
      </c>
      <c r="Y42" s="101">
        <f>Fixtures!V34</f>
        <v>0</v>
      </c>
      <c r="Z42" s="101">
        <f>Fixtures!W34</f>
        <v>0</v>
      </c>
      <c r="AA42" s="101">
        <f>Fixtures!X34</f>
        <v>0</v>
      </c>
      <c r="AB42" s="101">
        <f>Fixtures!Z34</f>
        <v>0</v>
      </c>
      <c r="AC42" s="102">
        <f>Fixtures!AB34</f>
        <v>0</v>
      </c>
      <c r="AD42" s="78"/>
      <c r="AE42" s="206" t="str">
        <f>Fixtures!G54</f>
        <v>Winner #43</v>
      </c>
      <c r="AF42" s="206"/>
      <c r="AG42" s="206"/>
      <c r="AH42" s="206"/>
      <c r="AI42" s="207"/>
      <c r="AJ42" s="193"/>
      <c r="AK42" s="193"/>
      <c r="AL42" s="208" t="str">
        <f>Fixtures!J54</f>
        <v>Winner #44</v>
      </c>
      <c r="AM42" s="209"/>
      <c r="AN42" s="209"/>
      <c r="AO42" s="209"/>
      <c r="AP42" s="209"/>
      <c r="AQ42" s="81"/>
      <c r="AR42" s="119"/>
      <c r="AS42" s="81"/>
      <c r="AT42" s="81"/>
      <c r="AU42" s="81"/>
      <c r="AV42" s="45"/>
      <c r="AW42" s="45"/>
      <c r="AX42" s="45"/>
      <c r="AY42" s="45"/>
      <c r="AZ42" s="45"/>
      <c r="BA42" s="45"/>
      <c r="BB42" s="45"/>
      <c r="BC42" s="45"/>
      <c r="BD42" s="45"/>
      <c r="BE42" s="45"/>
      <c r="BF42" s="45"/>
      <c r="BG42" s="45"/>
      <c r="BH42" s="45"/>
      <c r="BI42" s="45"/>
      <c r="BJ42" s="45"/>
      <c r="BK42" s="45"/>
      <c r="BL42" s="45"/>
      <c r="BM42" s="45"/>
      <c r="BN42" s="45"/>
      <c r="BO42" s="45"/>
      <c r="BP42" s="45"/>
      <c r="BQ42" s="45"/>
      <c r="BR42" s="88"/>
      <c r="BS42" s="91"/>
      <c r="BT42" s="68"/>
    </row>
    <row r="43" spans="1:72" s="42" customFormat="1" ht="13.9" customHeight="1" x14ac:dyDescent="0.2">
      <c r="A43" s="45"/>
      <c r="C43" s="93"/>
      <c r="D43" s="198" t="str">
        <f>Fixtures!P30</f>
        <v>Ukraine</v>
      </c>
      <c r="E43" s="198"/>
      <c r="F43" s="198"/>
      <c r="G43" s="198"/>
      <c r="H43" s="82"/>
      <c r="I43" s="101">
        <f>Fixtures!T30</f>
        <v>0</v>
      </c>
      <c r="J43" s="101">
        <f>Fixtures!U30</f>
        <v>0</v>
      </c>
      <c r="K43" s="101">
        <f>Fixtures!V30</f>
        <v>0</v>
      </c>
      <c r="L43" s="101">
        <f>Fixtures!W30</f>
        <v>0</v>
      </c>
      <c r="M43" s="101">
        <f>Fixtures!X30</f>
        <v>0</v>
      </c>
      <c r="N43" s="101">
        <f>Fixtures!Z30</f>
        <v>0</v>
      </c>
      <c r="O43" s="102">
        <f>Fixtures!AB30</f>
        <v>0</v>
      </c>
      <c r="P43" s="45"/>
      <c r="Q43" s="94"/>
      <c r="R43" s="198" t="str">
        <f>Fixtures!P35</f>
        <v>Georgia</v>
      </c>
      <c r="S43" s="198"/>
      <c r="T43" s="198"/>
      <c r="U43" s="198"/>
      <c r="V43" s="79"/>
      <c r="W43" s="101">
        <f>Fixtures!T35</f>
        <v>0</v>
      </c>
      <c r="X43" s="101">
        <f>Fixtures!U35</f>
        <v>0</v>
      </c>
      <c r="Y43" s="101">
        <f>Fixtures!V35</f>
        <v>0</v>
      </c>
      <c r="Z43" s="101">
        <f>Fixtures!W35</f>
        <v>0</v>
      </c>
      <c r="AA43" s="101">
        <f>Fixtures!X35</f>
        <v>0</v>
      </c>
      <c r="AB43" s="101">
        <f>Fixtures!Z35</f>
        <v>0</v>
      </c>
      <c r="AC43" s="102">
        <f>Fixtures!AB35</f>
        <v>0</v>
      </c>
      <c r="AD43" s="78"/>
      <c r="AE43" s="75"/>
      <c r="AF43" s="76"/>
      <c r="AG43" s="76"/>
      <c r="AH43" s="76"/>
      <c r="AI43" s="99" t="s">
        <v>0</v>
      </c>
      <c r="AJ43" s="194"/>
      <c r="AK43" s="194"/>
      <c r="AL43" s="99" t="s">
        <v>0</v>
      </c>
      <c r="AM43" s="77"/>
      <c r="AN43" s="77"/>
      <c r="AO43" s="77"/>
      <c r="AQ43" s="45"/>
      <c r="AR43" s="120"/>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88"/>
      <c r="BS43" s="91"/>
      <c r="BT43" s="68"/>
    </row>
    <row r="44" spans="1:72" s="42" customFormat="1" ht="13.9" customHeight="1" x14ac:dyDescent="0.2">
      <c r="A44" s="45"/>
      <c r="B44" s="67"/>
      <c r="C44" s="67"/>
      <c r="D44" s="66"/>
      <c r="E44" s="66"/>
      <c r="F44" s="66"/>
      <c r="G44" s="66"/>
      <c r="H44" s="66"/>
      <c r="I44" s="66"/>
      <c r="J44" s="66"/>
      <c r="K44" s="66"/>
      <c r="L44" s="66"/>
      <c r="M44" s="66"/>
      <c r="N44" s="66"/>
      <c r="O44" s="66"/>
      <c r="P44" s="45"/>
      <c r="Q44" s="45"/>
      <c r="R44" s="66"/>
      <c r="S44" s="66"/>
      <c r="T44" s="66"/>
      <c r="U44" s="66"/>
      <c r="V44" s="66"/>
      <c r="W44" s="66"/>
      <c r="X44" s="66"/>
      <c r="Y44" s="66"/>
      <c r="Z44" s="66"/>
      <c r="AA44" s="66"/>
      <c r="AB44" s="66"/>
      <c r="AC44" s="66"/>
      <c r="AD44" s="45"/>
      <c r="AE44" s="72">
        <v>48</v>
      </c>
      <c r="AF44" s="201">
        <f>Fixtures!E55</f>
        <v>45479.75</v>
      </c>
      <c r="AG44" s="202"/>
      <c r="AH44" s="202"/>
      <c r="AI44" s="202" t="s">
        <v>857</v>
      </c>
      <c r="AJ44" s="212">
        <f>AF44</f>
        <v>45479.75</v>
      </c>
      <c r="AK44" s="212"/>
      <c r="AL44" s="200" t="str">
        <f>Fixtures!M55</f>
        <v>Dusseldorf</v>
      </c>
      <c r="AM44" s="200"/>
      <c r="AN44" s="200"/>
      <c r="AO44" s="200"/>
      <c r="AP44" s="200"/>
      <c r="AQ44" s="81"/>
      <c r="AR44" s="119"/>
      <c r="AS44" s="81"/>
      <c r="AT44" s="81"/>
      <c r="AU44" s="81"/>
      <c r="AV44" s="45"/>
      <c r="AW44" s="45"/>
      <c r="AX44" s="45"/>
      <c r="AY44" s="45"/>
      <c r="AZ44" s="45"/>
      <c r="BA44" s="45"/>
      <c r="BB44" s="45"/>
      <c r="BC44" s="45"/>
      <c r="BD44" s="45"/>
      <c r="BE44" s="45"/>
      <c r="BF44" s="45"/>
      <c r="BG44" s="45"/>
      <c r="BH44" s="45"/>
      <c r="BI44" s="45"/>
      <c r="BJ44" s="45"/>
      <c r="BK44" s="45"/>
      <c r="BL44" s="45"/>
      <c r="BM44" s="45"/>
      <c r="BN44" s="45"/>
      <c r="BO44" s="45"/>
      <c r="BP44" s="45"/>
      <c r="BQ44" s="45"/>
      <c r="BR44" s="88"/>
      <c r="BS44" s="88"/>
      <c r="BT44" s="68"/>
    </row>
    <row r="45" spans="1:72" s="42" customFormat="1" ht="13.9" customHeight="1" x14ac:dyDescent="0.2">
      <c r="A45" s="45"/>
      <c r="B45" s="66"/>
      <c r="C45" s="66"/>
      <c r="D45" s="72">
        <v>10</v>
      </c>
      <c r="E45" s="201">
        <f>Fixtures!E16</f>
        <v>45460.625</v>
      </c>
      <c r="F45" s="202"/>
      <c r="G45" s="202"/>
      <c r="H45" s="202"/>
      <c r="I45" s="199">
        <f>E45</f>
        <v>45460.625</v>
      </c>
      <c r="J45" s="199"/>
      <c r="K45" s="200" t="str">
        <f>Fixtures!M16</f>
        <v>Munich</v>
      </c>
      <c r="L45" s="200"/>
      <c r="M45" s="200"/>
      <c r="N45" s="200"/>
      <c r="O45" s="200"/>
      <c r="P45" s="45"/>
      <c r="Q45" s="45"/>
      <c r="R45" s="72">
        <v>11</v>
      </c>
      <c r="S45" s="201">
        <f>Fixtures!E17</f>
        <v>45461.75</v>
      </c>
      <c r="T45" s="202"/>
      <c r="U45" s="202"/>
      <c r="V45" s="202"/>
      <c r="W45" s="199">
        <f>S45</f>
        <v>45461.75</v>
      </c>
      <c r="X45" s="199"/>
      <c r="Y45" s="200" t="str">
        <f>Fixtures!M17</f>
        <v>Dortmund</v>
      </c>
      <c r="Z45" s="200"/>
      <c r="AA45" s="200"/>
      <c r="AB45" s="200"/>
      <c r="AC45" s="200"/>
      <c r="AD45" s="45"/>
      <c r="AE45" s="206" t="str">
        <f>Fixtures!G55</f>
        <v>Winner #40</v>
      </c>
      <c r="AF45" s="206"/>
      <c r="AG45" s="206"/>
      <c r="AH45" s="206"/>
      <c r="AI45" s="207"/>
      <c r="AJ45" s="193"/>
      <c r="AK45" s="193"/>
      <c r="AL45" s="208" t="str">
        <f>Fixtures!J55</f>
        <v>Winner #38</v>
      </c>
      <c r="AM45" s="209"/>
      <c r="AN45" s="209"/>
      <c r="AO45" s="209"/>
      <c r="AP45" s="209"/>
      <c r="AQ45" s="81"/>
      <c r="AR45" s="119"/>
      <c r="AS45" s="81"/>
      <c r="AT45" s="81"/>
      <c r="AU45" s="81"/>
      <c r="AV45" s="45"/>
      <c r="AW45" s="45"/>
      <c r="AX45" s="45"/>
      <c r="AY45" s="45"/>
      <c r="AZ45" s="45"/>
      <c r="BA45" s="45"/>
      <c r="BB45" s="45"/>
      <c r="BC45" s="45"/>
      <c r="BD45" s="45"/>
      <c r="BE45" s="45"/>
      <c r="BF45" s="45"/>
      <c r="BG45" s="45"/>
      <c r="BH45" s="45"/>
      <c r="BI45" s="45"/>
      <c r="BJ45" s="45"/>
      <c r="BK45" s="45"/>
      <c r="BL45" s="45"/>
      <c r="BM45" s="45"/>
      <c r="BN45" s="45"/>
      <c r="BO45" s="45"/>
      <c r="BP45" s="45"/>
      <c r="BQ45" s="45"/>
      <c r="BR45" s="88"/>
      <c r="BS45" s="88"/>
      <c r="BT45" s="68"/>
    </row>
    <row r="46" spans="1:72" s="42" customFormat="1" ht="13.9" customHeight="1" x14ac:dyDescent="0.2">
      <c r="A46" s="45"/>
      <c r="B46" s="66"/>
      <c r="C46" s="66"/>
      <c r="D46" s="198" t="str">
        <f>Fixtures!G16</f>
        <v>Romania</v>
      </c>
      <c r="E46" s="198"/>
      <c r="F46" s="198"/>
      <c r="G46" s="198"/>
      <c r="H46" s="198"/>
      <c r="I46" s="193"/>
      <c r="J46" s="193"/>
      <c r="K46" s="205" t="str">
        <f>Fixtures!J16</f>
        <v>Ukraine</v>
      </c>
      <c r="L46" s="205"/>
      <c r="M46" s="205"/>
      <c r="N46" s="205"/>
      <c r="O46" s="205"/>
      <c r="P46" s="45"/>
      <c r="Q46" s="45"/>
      <c r="R46" s="198" t="str">
        <f>Fixtures!G17</f>
        <v>Türkiye</v>
      </c>
      <c r="S46" s="198"/>
      <c r="T46" s="198"/>
      <c r="U46" s="198"/>
      <c r="V46" s="198"/>
      <c r="W46" s="193"/>
      <c r="X46" s="193"/>
      <c r="Y46" s="205" t="str">
        <f>Fixtures!J17</f>
        <v>Georgia</v>
      </c>
      <c r="Z46" s="205"/>
      <c r="AA46" s="205"/>
      <c r="AB46" s="205"/>
      <c r="AC46" s="205"/>
      <c r="AD46" s="45"/>
      <c r="AE46" s="75"/>
      <c r="AF46" s="76"/>
      <c r="AG46" s="76"/>
      <c r="AH46" s="76"/>
      <c r="AI46" s="99" t="s">
        <v>0</v>
      </c>
      <c r="AJ46" s="194"/>
      <c r="AK46" s="194"/>
      <c r="AL46" s="99" t="s">
        <v>0</v>
      </c>
      <c r="AM46" s="77"/>
      <c r="AN46" s="77"/>
      <c r="AO46" s="77"/>
      <c r="AQ46" s="81"/>
      <c r="AR46" s="119"/>
      <c r="AS46" s="81"/>
      <c r="AT46" s="81"/>
      <c r="AU46" s="81"/>
      <c r="AV46" s="45"/>
      <c r="AW46" s="45"/>
      <c r="AX46" s="45"/>
      <c r="AY46" s="45"/>
      <c r="AZ46" s="45"/>
      <c r="BA46" s="45"/>
      <c r="BB46" s="45"/>
      <c r="BC46" s="45"/>
      <c r="BD46" s="45"/>
      <c r="BE46" s="45"/>
      <c r="BF46" s="45"/>
      <c r="BG46" s="45"/>
      <c r="BH46" s="45"/>
      <c r="BI46" s="45"/>
      <c r="BJ46" s="45"/>
      <c r="BK46" s="45"/>
      <c r="BL46" s="45"/>
      <c r="BM46" s="45"/>
      <c r="BN46" s="45"/>
      <c r="BO46" s="45"/>
      <c r="BP46" s="45"/>
      <c r="BR46" s="88"/>
      <c r="BS46" s="91"/>
      <c r="BT46" s="68"/>
    </row>
    <row r="47" spans="1:72" s="42" customFormat="1" ht="13.9" customHeight="1" x14ac:dyDescent="0.2">
      <c r="A47" s="45"/>
      <c r="B47" s="66"/>
      <c r="C47" s="66"/>
      <c r="D47" s="72">
        <v>9</v>
      </c>
      <c r="E47" s="201">
        <f>Fixtures!E15</f>
        <v>45460.75</v>
      </c>
      <c r="F47" s="202"/>
      <c r="G47" s="202"/>
      <c r="H47" s="202"/>
      <c r="I47" s="199">
        <f>E47</f>
        <v>45460.75</v>
      </c>
      <c r="J47" s="199"/>
      <c r="K47" s="200" t="str">
        <f>Fixtures!M15</f>
        <v>Frankfurt</v>
      </c>
      <c r="L47" s="200"/>
      <c r="M47" s="200"/>
      <c r="N47" s="200"/>
      <c r="O47" s="200"/>
      <c r="P47" s="45"/>
      <c r="Q47" s="45"/>
      <c r="R47" s="72">
        <v>12</v>
      </c>
      <c r="S47" s="201">
        <f>Fixtures!E18</f>
        <v>45461.875</v>
      </c>
      <c r="T47" s="202"/>
      <c r="U47" s="202"/>
      <c r="V47" s="202"/>
      <c r="W47" s="199">
        <f>S47</f>
        <v>45461.875</v>
      </c>
      <c r="X47" s="199"/>
      <c r="Y47" s="200" t="str">
        <f>Fixtures!M18</f>
        <v>Leipzig</v>
      </c>
      <c r="Z47" s="200"/>
      <c r="AA47" s="200"/>
      <c r="AB47" s="200"/>
      <c r="AC47" s="200"/>
      <c r="AD47" s="45"/>
      <c r="AE47" s="71" t="str">
        <f>UPPER(Fixtures!C56)</f>
        <v>SEMI FINALS</v>
      </c>
      <c r="AF47" s="71"/>
      <c r="AG47" s="71"/>
      <c r="AH47" s="71"/>
      <c r="AI47" s="71"/>
      <c r="AJ47" s="71"/>
      <c r="AK47" s="71"/>
      <c r="AL47" s="71"/>
      <c r="AM47" s="71"/>
      <c r="AN47" s="71"/>
      <c r="AO47" s="71"/>
      <c r="AP47" s="71"/>
      <c r="AQ47" s="81"/>
      <c r="AR47" s="119"/>
      <c r="AS47" s="81"/>
      <c r="AT47" s="81"/>
      <c r="AU47" s="81"/>
      <c r="AV47" s="45"/>
      <c r="AW47" s="45"/>
      <c r="AX47" s="45"/>
      <c r="AY47" s="45"/>
      <c r="AZ47" s="45"/>
      <c r="BA47" s="45"/>
      <c r="BB47" s="45"/>
      <c r="BC47" s="45"/>
      <c r="BD47" s="45"/>
      <c r="BE47" s="45"/>
      <c r="BF47" s="45"/>
      <c r="BG47" s="45"/>
      <c r="BH47" s="45"/>
      <c r="BI47" s="45"/>
      <c r="BJ47" s="45"/>
      <c r="BK47" s="45"/>
      <c r="BL47" s="45"/>
      <c r="BM47" s="45"/>
      <c r="BN47" s="45"/>
      <c r="BO47" s="45"/>
      <c r="BP47" s="45"/>
      <c r="BR47" s="88"/>
      <c r="BS47" s="91"/>
      <c r="BT47" s="68"/>
    </row>
    <row r="48" spans="1:72" s="42" customFormat="1" ht="13.9" customHeight="1" x14ac:dyDescent="0.2">
      <c r="A48" s="45"/>
      <c r="B48" s="66"/>
      <c r="C48" s="66"/>
      <c r="D48" s="198" t="str">
        <f>Fixtures!G15</f>
        <v>Belgium</v>
      </c>
      <c r="E48" s="198"/>
      <c r="F48" s="198"/>
      <c r="G48" s="198"/>
      <c r="H48" s="198"/>
      <c r="I48" s="193"/>
      <c r="J48" s="193"/>
      <c r="K48" s="205" t="str">
        <f>Fixtures!J15</f>
        <v>Slovakia</v>
      </c>
      <c r="L48" s="205"/>
      <c r="M48" s="205"/>
      <c r="N48" s="205"/>
      <c r="O48" s="205"/>
      <c r="P48" s="45"/>
      <c r="Q48" s="45"/>
      <c r="R48" s="198" t="str">
        <f>Fixtures!G18</f>
        <v>Portugal</v>
      </c>
      <c r="S48" s="198"/>
      <c r="T48" s="198"/>
      <c r="U48" s="198"/>
      <c r="V48" s="198"/>
      <c r="W48" s="193"/>
      <c r="X48" s="193"/>
      <c r="Y48" s="205" t="str">
        <f>Fixtures!J18</f>
        <v>Czechia</v>
      </c>
      <c r="Z48" s="205"/>
      <c r="AA48" s="205"/>
      <c r="AB48" s="205"/>
      <c r="AC48" s="205"/>
      <c r="AD48" s="45"/>
      <c r="AE48" s="72">
        <v>49</v>
      </c>
      <c r="AF48" s="201">
        <f>Fixtures!E56</f>
        <v>45482.875</v>
      </c>
      <c r="AG48" s="202"/>
      <c r="AH48" s="202"/>
      <c r="AI48" s="202"/>
      <c r="AJ48" s="212">
        <f>AF48</f>
        <v>45482.875</v>
      </c>
      <c r="AK48" s="212"/>
      <c r="AL48" s="200" t="str">
        <f>Fixtures!M56</f>
        <v>Munich</v>
      </c>
      <c r="AM48" s="200"/>
      <c r="AN48" s="200"/>
      <c r="AO48" s="200"/>
      <c r="AP48" s="200"/>
      <c r="AQ48" s="81"/>
      <c r="AR48" s="119"/>
      <c r="AS48" s="81"/>
      <c r="AT48" s="81"/>
      <c r="AU48" s="81"/>
      <c r="AV48" s="45"/>
      <c r="AW48" s="45"/>
      <c r="AX48" s="45"/>
      <c r="AY48" s="45"/>
      <c r="AZ48" s="45"/>
      <c r="BA48" s="45"/>
      <c r="BB48" s="45"/>
      <c r="BC48" s="45"/>
      <c r="BD48" s="45"/>
      <c r="BE48" s="45"/>
      <c r="BF48" s="45"/>
      <c r="BG48" s="45"/>
      <c r="BH48" s="45"/>
      <c r="BI48" s="45"/>
      <c r="BJ48" s="45"/>
      <c r="BK48" s="45"/>
      <c r="BL48" s="45"/>
      <c r="BM48" s="45"/>
      <c r="BN48" s="45"/>
      <c r="BO48" s="45"/>
      <c r="BP48" s="45"/>
      <c r="BR48" s="88"/>
      <c r="BS48" s="91"/>
      <c r="BT48" s="68"/>
    </row>
    <row r="49" spans="1:72" s="42" customFormat="1" ht="13.9" customHeight="1" x14ac:dyDescent="0.2">
      <c r="A49" s="45"/>
      <c r="B49" s="67"/>
      <c r="C49" s="67"/>
      <c r="D49" s="72">
        <v>21</v>
      </c>
      <c r="E49" s="201">
        <f>Fixtures!E27</f>
        <v>45464.625</v>
      </c>
      <c r="F49" s="202"/>
      <c r="G49" s="202"/>
      <c r="H49" s="202"/>
      <c r="I49" s="199">
        <f>E49</f>
        <v>45464.625</v>
      </c>
      <c r="J49" s="199"/>
      <c r="K49" s="200" t="str">
        <f>Fixtures!M27</f>
        <v>Dusseldorf</v>
      </c>
      <c r="L49" s="200" t="s">
        <v>854</v>
      </c>
      <c r="M49" s="200"/>
      <c r="N49" s="200"/>
      <c r="O49" s="200"/>
      <c r="P49" s="45"/>
      <c r="Q49" s="45"/>
      <c r="R49" s="72">
        <v>24</v>
      </c>
      <c r="S49" s="201">
        <f>Fixtures!E30</f>
        <v>45465.625</v>
      </c>
      <c r="T49" s="202"/>
      <c r="U49" s="202"/>
      <c r="V49" s="202"/>
      <c r="W49" s="199">
        <f>S49</f>
        <v>45465.625</v>
      </c>
      <c r="X49" s="199"/>
      <c r="Y49" s="200" t="str">
        <f>Fixtures!M30</f>
        <v>Hamburg</v>
      </c>
      <c r="Z49" s="200"/>
      <c r="AA49" s="200"/>
      <c r="AB49" s="200"/>
      <c r="AC49" s="200"/>
      <c r="AD49" s="45"/>
      <c r="AE49" s="206" t="str">
        <f>Fixtures!G56</f>
        <v>Winner #45</v>
      </c>
      <c r="AF49" s="206"/>
      <c r="AG49" s="206"/>
      <c r="AH49" s="206"/>
      <c r="AI49" s="207"/>
      <c r="AJ49" s="193"/>
      <c r="AK49" s="193"/>
      <c r="AL49" s="208" t="str">
        <f>Fixtures!J56</f>
        <v>Winner #46</v>
      </c>
      <c r="AM49" s="209"/>
      <c r="AN49" s="209"/>
      <c r="AO49" s="209"/>
      <c r="AP49" s="209"/>
      <c r="AQ49" s="81"/>
      <c r="AR49" s="119"/>
      <c r="AS49" s="81"/>
      <c r="AT49" s="81"/>
      <c r="AU49" s="81"/>
      <c r="AV49" s="45"/>
      <c r="AW49" s="45"/>
      <c r="AX49" s="45"/>
      <c r="AY49" s="45"/>
      <c r="AZ49" s="45"/>
      <c r="BA49" s="45"/>
      <c r="BB49" s="45"/>
      <c r="BC49" s="45"/>
      <c r="BD49" s="45"/>
      <c r="BE49" s="45"/>
      <c r="BF49" s="45"/>
      <c r="BG49" s="45"/>
      <c r="BH49" s="45"/>
      <c r="BI49" s="45"/>
      <c r="BJ49" s="45"/>
      <c r="BK49" s="45"/>
      <c r="BL49" s="45"/>
      <c r="BM49" s="45"/>
      <c r="BN49" s="45"/>
      <c r="BO49" s="45"/>
      <c r="BP49" s="45"/>
      <c r="BR49" s="88"/>
      <c r="BS49" s="91"/>
      <c r="BT49" s="68"/>
    </row>
    <row r="50" spans="1:72" s="42" customFormat="1" ht="13.9" customHeight="1" x14ac:dyDescent="0.2">
      <c r="A50" s="45"/>
      <c r="B50" s="67"/>
      <c r="C50" s="67"/>
      <c r="D50" s="198" t="str">
        <f>Fixtures!G27</f>
        <v>Slovakia</v>
      </c>
      <c r="E50" s="198"/>
      <c r="F50" s="198"/>
      <c r="G50" s="198"/>
      <c r="H50" s="198"/>
      <c r="I50" s="193"/>
      <c r="J50" s="193"/>
      <c r="K50" s="205" t="str">
        <f>Fixtures!J27</f>
        <v>Ukraine</v>
      </c>
      <c r="L50" s="205"/>
      <c r="M50" s="205"/>
      <c r="N50" s="205"/>
      <c r="O50" s="205"/>
      <c r="P50" s="45"/>
      <c r="Q50" s="45"/>
      <c r="R50" s="198" t="str">
        <f>Fixtures!G30</f>
        <v>Georgia</v>
      </c>
      <c r="S50" s="198"/>
      <c r="T50" s="198"/>
      <c r="U50" s="198"/>
      <c r="V50" s="198"/>
      <c r="W50" s="193"/>
      <c r="X50" s="193"/>
      <c r="Y50" s="205" t="str">
        <f>Fixtures!J30</f>
        <v>Czechia</v>
      </c>
      <c r="Z50" s="205"/>
      <c r="AA50" s="205"/>
      <c r="AB50" s="205"/>
      <c r="AC50" s="205"/>
      <c r="AD50" s="45"/>
      <c r="AE50" s="75"/>
      <c r="AF50" s="76"/>
      <c r="AG50" s="76"/>
      <c r="AH50" s="76"/>
      <c r="AI50" s="99" t="s">
        <v>0</v>
      </c>
      <c r="AJ50" s="194"/>
      <c r="AK50" s="194"/>
      <c r="AL50" s="99" t="s">
        <v>0</v>
      </c>
      <c r="AM50" s="77"/>
      <c r="AN50" s="77"/>
      <c r="AO50" s="77"/>
      <c r="AQ50" s="81"/>
      <c r="AR50" s="119"/>
      <c r="AS50" s="81"/>
      <c r="AT50" s="81"/>
      <c r="AU50" s="81"/>
      <c r="AV50" s="45"/>
      <c r="AW50" s="45"/>
      <c r="AX50" s="45"/>
      <c r="AY50" s="45"/>
      <c r="AZ50" s="45"/>
      <c r="BA50" s="45"/>
      <c r="BB50" s="45"/>
      <c r="BC50" s="45"/>
      <c r="BD50" s="45"/>
      <c r="BE50" s="45"/>
      <c r="BF50" s="45"/>
      <c r="BG50" s="45"/>
      <c r="BH50" s="45"/>
      <c r="BI50" s="45"/>
      <c r="BJ50" s="45"/>
      <c r="BK50" s="45"/>
      <c r="BL50" s="45"/>
      <c r="BM50" s="45"/>
      <c r="BN50" s="45"/>
      <c r="BO50" s="45"/>
      <c r="BP50" s="45"/>
      <c r="BR50" s="88"/>
      <c r="BS50" s="91"/>
      <c r="BT50" s="68"/>
    </row>
    <row r="51" spans="1:72" s="42" customFormat="1" ht="13.9" customHeight="1" x14ac:dyDescent="0.2">
      <c r="A51" s="45"/>
      <c r="B51" s="67"/>
      <c r="C51" s="67"/>
      <c r="D51" s="72">
        <v>22</v>
      </c>
      <c r="E51" s="201">
        <f>Fixtures!E28</f>
        <v>45465.875</v>
      </c>
      <c r="F51" s="202"/>
      <c r="G51" s="202"/>
      <c r="H51" s="202"/>
      <c r="I51" s="199">
        <f>E51</f>
        <v>45465.875</v>
      </c>
      <c r="J51" s="199"/>
      <c r="K51" s="200" t="str">
        <f>Fixtures!M28</f>
        <v>Cologne</v>
      </c>
      <c r="L51" s="200"/>
      <c r="M51" s="200"/>
      <c r="N51" s="200"/>
      <c r="O51" s="200"/>
      <c r="P51" s="45"/>
      <c r="Q51" s="45"/>
      <c r="R51" s="72">
        <v>23</v>
      </c>
      <c r="S51" s="201">
        <f>Fixtures!E29</f>
        <v>45465.75</v>
      </c>
      <c r="T51" s="202"/>
      <c r="U51" s="202"/>
      <c r="V51" s="202"/>
      <c r="W51" s="199">
        <f>S51</f>
        <v>45465.75</v>
      </c>
      <c r="X51" s="199"/>
      <c r="Y51" s="200" t="str">
        <f>Fixtures!M29</f>
        <v>Dortmund</v>
      </c>
      <c r="Z51" s="200"/>
      <c r="AA51" s="200"/>
      <c r="AB51" s="200"/>
      <c r="AC51" s="200"/>
      <c r="AD51" s="45"/>
      <c r="AE51" s="72">
        <v>50</v>
      </c>
      <c r="AF51" s="201">
        <f>Fixtures!E57</f>
        <v>45483.875</v>
      </c>
      <c r="AG51" s="202"/>
      <c r="AH51" s="202"/>
      <c r="AI51" s="202"/>
      <c r="AJ51" s="212">
        <f>AF51</f>
        <v>45483.875</v>
      </c>
      <c r="AK51" s="212"/>
      <c r="AL51" s="200" t="str">
        <f>Fixtures!M57</f>
        <v>Dortmund</v>
      </c>
      <c r="AM51" s="200"/>
      <c r="AN51" s="200"/>
      <c r="AO51" s="200"/>
      <c r="AP51" s="200"/>
      <c r="AQ51" s="81"/>
      <c r="AR51" s="119"/>
      <c r="AS51" s="81"/>
      <c r="AT51" s="81"/>
      <c r="AU51" s="81"/>
      <c r="AV51" s="45"/>
      <c r="AW51" s="45"/>
      <c r="AX51" s="45"/>
      <c r="AY51" s="45"/>
      <c r="AZ51" s="45"/>
      <c r="BA51" s="45"/>
      <c r="BB51" s="45"/>
      <c r="BC51" s="45"/>
      <c r="BD51" s="45"/>
      <c r="BE51" s="45"/>
      <c r="BF51" s="45"/>
      <c r="BG51" s="45"/>
      <c r="BH51" s="45"/>
      <c r="BI51" s="45"/>
      <c r="BJ51" s="45"/>
      <c r="BK51" s="45"/>
      <c r="BL51" s="45"/>
      <c r="BM51" s="45"/>
      <c r="BN51" s="45"/>
      <c r="BO51" s="45"/>
      <c r="BP51" s="45"/>
      <c r="BR51" s="88"/>
      <c r="BS51" s="91"/>
      <c r="BT51" s="68"/>
    </row>
    <row r="52" spans="1:72" s="42" customFormat="1" ht="13.9" customHeight="1" x14ac:dyDescent="0.2">
      <c r="A52" s="45"/>
      <c r="B52" s="67"/>
      <c r="C52" s="67"/>
      <c r="D52" s="198" t="str">
        <f>Fixtures!G28</f>
        <v>Belgium</v>
      </c>
      <c r="E52" s="198"/>
      <c r="F52" s="198"/>
      <c r="G52" s="198"/>
      <c r="H52" s="198"/>
      <c r="I52" s="193"/>
      <c r="J52" s="193"/>
      <c r="K52" s="205" t="str">
        <f>Fixtures!J28</f>
        <v>Romania</v>
      </c>
      <c r="L52" s="205"/>
      <c r="M52" s="205"/>
      <c r="N52" s="205"/>
      <c r="O52" s="205"/>
      <c r="P52" s="45"/>
      <c r="Q52" s="45"/>
      <c r="R52" s="198" t="str">
        <f>Fixtures!G29</f>
        <v>Türkiye</v>
      </c>
      <c r="S52" s="198"/>
      <c r="T52" s="198"/>
      <c r="U52" s="198"/>
      <c r="V52" s="198"/>
      <c r="W52" s="193"/>
      <c r="X52" s="193"/>
      <c r="Y52" s="205" t="str">
        <f>Fixtures!J29</f>
        <v>Portugal</v>
      </c>
      <c r="Z52" s="205"/>
      <c r="AA52" s="205"/>
      <c r="AB52" s="205"/>
      <c r="AC52" s="205"/>
      <c r="AD52" s="78"/>
      <c r="AE52" s="206" t="str">
        <f>Fixtures!G57</f>
        <v>Winner #47</v>
      </c>
      <c r="AF52" s="206"/>
      <c r="AG52" s="206"/>
      <c r="AH52" s="206"/>
      <c r="AI52" s="207"/>
      <c r="AJ52" s="193"/>
      <c r="AK52" s="193"/>
      <c r="AL52" s="208" t="str">
        <f>Fixtures!J57</f>
        <v>Winner #48</v>
      </c>
      <c r="AM52" s="209"/>
      <c r="AN52" s="209"/>
      <c r="AO52" s="209"/>
      <c r="AP52" s="209"/>
      <c r="AQ52" s="81"/>
      <c r="AR52" s="119"/>
      <c r="AS52" s="81"/>
      <c r="AT52" s="81"/>
      <c r="AU52" s="81"/>
      <c r="AV52" s="45"/>
      <c r="AW52" s="45"/>
      <c r="AX52" s="45"/>
      <c r="AY52" s="45"/>
      <c r="AZ52" s="45"/>
      <c r="BA52" s="45"/>
      <c r="BB52" s="45"/>
      <c r="BC52" s="45"/>
      <c r="BD52" s="45"/>
      <c r="BE52" s="45"/>
      <c r="BF52" s="45"/>
      <c r="BG52" s="45"/>
      <c r="BH52" s="45"/>
      <c r="BI52" s="45"/>
      <c r="BJ52" s="45"/>
      <c r="BK52" s="45"/>
      <c r="BL52" s="45"/>
      <c r="BM52" s="45"/>
      <c r="BN52" s="45"/>
      <c r="BO52" s="45"/>
      <c r="BP52" s="45"/>
      <c r="BR52" s="88"/>
      <c r="BS52" s="91"/>
      <c r="BT52" s="68"/>
    </row>
    <row r="53" spans="1:72" s="42" customFormat="1" ht="13.9" customHeight="1" x14ac:dyDescent="0.2">
      <c r="A53" s="45"/>
      <c r="B53" s="45"/>
      <c r="C53" s="45"/>
      <c r="D53" s="72">
        <v>33</v>
      </c>
      <c r="E53" s="201">
        <f>Fixtures!E39</f>
        <v>45469.75</v>
      </c>
      <c r="F53" s="202"/>
      <c r="G53" s="202"/>
      <c r="H53" s="202"/>
      <c r="I53" s="199">
        <f>E53</f>
        <v>45469.75</v>
      </c>
      <c r="J53" s="199"/>
      <c r="K53" s="200" t="str">
        <f>Fixtures!M39</f>
        <v>Frankfurt</v>
      </c>
      <c r="L53" s="200"/>
      <c r="M53" s="200"/>
      <c r="N53" s="200"/>
      <c r="O53" s="200"/>
      <c r="P53" s="45"/>
      <c r="Q53" s="45"/>
      <c r="R53" s="72">
        <v>35</v>
      </c>
      <c r="S53" s="201">
        <f>Fixtures!E41</f>
        <v>45469.875</v>
      </c>
      <c r="T53" s="202"/>
      <c r="U53" s="202"/>
      <c r="V53" s="202"/>
      <c r="W53" s="199">
        <f>S53</f>
        <v>45469.875</v>
      </c>
      <c r="X53" s="199"/>
      <c r="Y53" s="200" t="str">
        <f>Fixtures!M41</f>
        <v>Gelsenkirchen</v>
      </c>
      <c r="Z53" s="200"/>
      <c r="AA53" s="200"/>
      <c r="AB53" s="200"/>
      <c r="AC53" s="200"/>
      <c r="AD53" s="78"/>
      <c r="AE53" s="75"/>
      <c r="AF53" s="76"/>
      <c r="AG53" s="76"/>
      <c r="AH53" s="76"/>
      <c r="AI53" s="99" t="s">
        <v>0</v>
      </c>
      <c r="AJ53" s="194"/>
      <c r="AK53" s="194"/>
      <c r="AL53" s="99" t="s">
        <v>0</v>
      </c>
      <c r="AM53" s="77"/>
      <c r="AN53" s="77"/>
      <c r="AO53" s="77"/>
      <c r="AQ53" s="81"/>
      <c r="AR53" s="119"/>
      <c r="AS53" s="81"/>
      <c r="AT53" s="81"/>
      <c r="AU53" s="81"/>
      <c r="AV53" s="45"/>
      <c r="AW53" s="45"/>
      <c r="AX53" s="45"/>
      <c r="AY53" s="45"/>
      <c r="AZ53" s="45"/>
      <c r="BA53" s="45"/>
      <c r="BB53" s="45"/>
      <c r="BC53" s="45"/>
      <c r="BD53" s="45"/>
      <c r="BE53" s="45"/>
      <c r="BF53" s="45"/>
      <c r="BG53" s="45"/>
      <c r="BH53" s="45"/>
      <c r="BI53" s="45"/>
      <c r="BJ53" s="45"/>
      <c r="BK53" s="45"/>
      <c r="BL53" s="45"/>
      <c r="BM53" s="45"/>
      <c r="BN53" s="45"/>
      <c r="BO53" s="45"/>
      <c r="BP53" s="45"/>
      <c r="BR53" s="88"/>
      <c r="BS53" s="91"/>
      <c r="BT53" s="68"/>
    </row>
    <row r="54" spans="1:72" s="42" customFormat="1" ht="13.9" customHeight="1" x14ac:dyDescent="0.2">
      <c r="A54" s="45"/>
      <c r="B54" s="67"/>
      <c r="C54" s="67"/>
      <c r="D54" s="198" t="str">
        <f>Fixtures!G39</f>
        <v>Slovakia</v>
      </c>
      <c r="E54" s="198"/>
      <c r="F54" s="198"/>
      <c r="G54" s="198"/>
      <c r="H54" s="198"/>
      <c r="I54" s="193"/>
      <c r="J54" s="193"/>
      <c r="K54" s="205" t="str">
        <f>Fixtures!J39</f>
        <v>Romania</v>
      </c>
      <c r="L54" s="205"/>
      <c r="M54" s="205"/>
      <c r="N54" s="205"/>
      <c r="O54" s="205"/>
      <c r="P54" s="45"/>
      <c r="Q54" s="45"/>
      <c r="R54" s="198" t="str">
        <f>Fixtures!G41</f>
        <v>Georgia</v>
      </c>
      <c r="S54" s="198"/>
      <c r="T54" s="198"/>
      <c r="U54" s="198"/>
      <c r="V54" s="198"/>
      <c r="W54" s="193"/>
      <c r="X54" s="193"/>
      <c r="Y54" s="205" t="str">
        <f>Fixtures!J41</f>
        <v>Portugal</v>
      </c>
      <c r="Z54" s="205"/>
      <c r="AA54" s="205"/>
      <c r="AB54" s="205"/>
      <c r="AC54" s="205"/>
      <c r="AD54" s="45"/>
      <c r="AE54" s="71" t="str">
        <f>UPPER(Fixtures!C58)</f>
        <v>FINAL</v>
      </c>
      <c r="AF54" s="71"/>
      <c r="AG54" s="71"/>
      <c r="AH54" s="71"/>
      <c r="AI54" s="71"/>
      <c r="AJ54" s="71"/>
      <c r="AK54" s="71"/>
      <c r="AL54" s="71"/>
      <c r="AM54" s="71"/>
      <c r="AN54" s="71"/>
      <c r="AO54" s="71"/>
      <c r="AP54" s="71"/>
      <c r="AQ54" s="81"/>
      <c r="AR54" s="119"/>
      <c r="AS54" s="81"/>
      <c r="AT54" s="81"/>
      <c r="AU54" s="81"/>
      <c r="AV54" s="45"/>
      <c r="AW54" s="45"/>
      <c r="AX54" s="45"/>
      <c r="AY54" s="45"/>
      <c r="AZ54" s="45"/>
      <c r="BA54" s="45"/>
      <c r="BB54" s="45"/>
      <c r="BC54" s="45"/>
      <c r="BD54" s="45"/>
      <c r="BE54" s="45"/>
      <c r="BF54" s="45"/>
      <c r="BG54" s="45"/>
      <c r="BH54" s="45"/>
      <c r="BI54" s="45"/>
      <c r="BJ54" s="45"/>
      <c r="BK54" s="45"/>
      <c r="BL54" s="45"/>
      <c r="BM54" s="45"/>
      <c r="BN54" s="45"/>
      <c r="BO54" s="45"/>
      <c r="BP54" s="45"/>
      <c r="BR54" s="88"/>
      <c r="BS54" s="88"/>
      <c r="BT54" s="68"/>
    </row>
    <row r="55" spans="1:72" s="42" customFormat="1" ht="13.9" customHeight="1" x14ac:dyDescent="0.2">
      <c r="A55" s="45"/>
      <c r="B55" s="66"/>
      <c r="C55" s="66"/>
      <c r="D55" s="72">
        <v>34</v>
      </c>
      <c r="E55" s="201">
        <f>Fixtures!E40</f>
        <v>45469.75</v>
      </c>
      <c r="F55" s="202"/>
      <c r="G55" s="202"/>
      <c r="H55" s="202"/>
      <c r="I55" s="199">
        <f>E55</f>
        <v>45469.75</v>
      </c>
      <c r="J55" s="199"/>
      <c r="K55" s="200" t="str">
        <f>Fixtures!M40</f>
        <v>Stuttgart</v>
      </c>
      <c r="L55" s="200"/>
      <c r="M55" s="200"/>
      <c r="N55" s="200"/>
      <c r="O55" s="200"/>
      <c r="P55" s="45"/>
      <c r="Q55" s="45"/>
      <c r="R55" s="72">
        <v>36</v>
      </c>
      <c r="S55" s="201">
        <f>Fixtures!E42</f>
        <v>45469.875</v>
      </c>
      <c r="T55" s="202"/>
      <c r="U55" s="202"/>
      <c r="V55" s="202"/>
      <c r="W55" s="199">
        <f>S55</f>
        <v>45469.875</v>
      </c>
      <c r="X55" s="199"/>
      <c r="Y55" s="200" t="str">
        <f>Fixtures!M42</f>
        <v>Hamburg</v>
      </c>
      <c r="Z55" s="200"/>
      <c r="AA55" s="200"/>
      <c r="AB55" s="200"/>
      <c r="AC55" s="200"/>
      <c r="AD55" s="45"/>
      <c r="AE55" s="72">
        <v>51</v>
      </c>
      <c r="AF55" s="201">
        <f>Fixtures!E58</f>
        <v>45487.875</v>
      </c>
      <c r="AG55" s="202"/>
      <c r="AH55" s="202"/>
      <c r="AI55" s="202"/>
      <c r="AJ55" s="212">
        <f>AF55</f>
        <v>45487.875</v>
      </c>
      <c r="AK55" s="212"/>
      <c r="AL55" s="200" t="str">
        <f>Fixtures!M58</f>
        <v>Berlin</v>
      </c>
      <c r="AM55" s="200"/>
      <c r="AN55" s="200"/>
      <c r="AO55" s="200"/>
      <c r="AP55" s="200"/>
      <c r="AQ55" s="81"/>
      <c r="AR55" s="119"/>
      <c r="AS55" s="81"/>
      <c r="AT55" s="81"/>
      <c r="AU55" s="81"/>
      <c r="AV55" s="45"/>
      <c r="AW55" s="45"/>
      <c r="AX55" s="45"/>
      <c r="AY55" s="45"/>
      <c r="AZ55" s="45"/>
      <c r="BA55" s="45"/>
      <c r="BB55" s="45"/>
      <c r="BC55" s="45"/>
      <c r="BD55" s="45"/>
      <c r="BE55" s="45"/>
      <c r="BF55" s="45"/>
      <c r="BG55" s="45"/>
      <c r="BH55" s="45"/>
      <c r="BI55" s="45"/>
      <c r="BJ55" s="45"/>
      <c r="BK55" s="45"/>
      <c r="BL55" s="45"/>
      <c r="BM55" s="45"/>
      <c r="BN55" s="45"/>
      <c r="BO55" s="45"/>
      <c r="BP55" s="45"/>
      <c r="BR55" s="88"/>
      <c r="BS55" s="88"/>
      <c r="BT55" s="68"/>
    </row>
    <row r="56" spans="1:72" s="42" customFormat="1" ht="13.9" customHeight="1" x14ac:dyDescent="0.2">
      <c r="A56" s="45"/>
      <c r="B56" s="68"/>
      <c r="C56" s="68"/>
      <c r="D56" s="210" t="str">
        <f>Fixtures!G40</f>
        <v>Ukraine</v>
      </c>
      <c r="E56" s="210"/>
      <c r="F56" s="210"/>
      <c r="G56" s="210"/>
      <c r="H56" s="210"/>
      <c r="I56" s="193"/>
      <c r="J56" s="193"/>
      <c r="K56" s="211" t="str">
        <f>Fixtures!J40</f>
        <v>Belgium</v>
      </c>
      <c r="L56" s="211"/>
      <c r="M56" s="211"/>
      <c r="N56" s="211"/>
      <c r="O56" s="211"/>
      <c r="P56" s="45"/>
      <c r="Q56" s="45"/>
      <c r="R56" s="210" t="str">
        <f>Fixtures!G42</f>
        <v>Czechia</v>
      </c>
      <c r="S56" s="210"/>
      <c r="T56" s="210"/>
      <c r="U56" s="210"/>
      <c r="V56" s="210"/>
      <c r="W56" s="193"/>
      <c r="X56" s="193"/>
      <c r="Y56" s="211" t="str">
        <f>Fixtures!J42</f>
        <v>Türkiye</v>
      </c>
      <c r="Z56" s="211"/>
      <c r="AA56" s="211"/>
      <c r="AB56" s="211"/>
      <c r="AC56" s="211"/>
      <c r="AD56" s="45"/>
      <c r="AE56" s="206" t="str">
        <f>Fixtures!G58</f>
        <v>Winner #49</v>
      </c>
      <c r="AF56" s="206"/>
      <c r="AG56" s="206"/>
      <c r="AH56" s="206"/>
      <c r="AI56" s="207"/>
      <c r="AJ56" s="193"/>
      <c r="AK56" s="193"/>
      <c r="AL56" s="208" t="str">
        <f>Fixtures!J58</f>
        <v>Winner #50</v>
      </c>
      <c r="AM56" s="209"/>
      <c r="AN56" s="209"/>
      <c r="AO56" s="209"/>
      <c r="AP56" s="209"/>
      <c r="AQ56" s="81"/>
      <c r="AR56" s="119"/>
      <c r="AS56" s="81"/>
      <c r="AT56" s="81"/>
      <c r="AU56" s="81"/>
      <c r="AV56" s="45"/>
      <c r="AW56" s="45"/>
      <c r="AX56" s="45"/>
      <c r="AY56" s="45"/>
      <c r="AZ56" s="45"/>
      <c r="BA56" s="45"/>
      <c r="BB56" s="45"/>
      <c r="BC56" s="45"/>
      <c r="BD56" s="45"/>
      <c r="BE56" s="45"/>
      <c r="BF56" s="45"/>
      <c r="BG56" s="45"/>
      <c r="BH56" s="45"/>
      <c r="BI56" s="45"/>
      <c r="BJ56" s="45"/>
      <c r="BK56" s="45"/>
      <c r="BL56" s="45"/>
      <c r="BM56" s="45"/>
      <c r="BN56" s="45"/>
      <c r="BO56" s="45"/>
      <c r="BP56" s="45"/>
      <c r="BR56" s="88"/>
      <c r="BS56" s="88"/>
      <c r="BT56" s="68"/>
    </row>
    <row r="57" spans="1:72" s="42" customFormat="1" ht="13.9" customHeight="1" x14ac:dyDescent="0.2">
      <c r="A57" s="45"/>
      <c r="B57" s="68"/>
      <c r="C57" s="68"/>
      <c r="D57" s="45"/>
      <c r="E57" s="45"/>
      <c r="F57" s="80"/>
      <c r="G57" s="80"/>
      <c r="H57" s="45"/>
      <c r="I57" s="45"/>
      <c r="J57" s="81"/>
      <c r="K57" s="81"/>
      <c r="L57" s="81"/>
      <c r="M57" s="81"/>
      <c r="N57" s="81"/>
      <c r="O57" s="45"/>
      <c r="P57" s="45"/>
      <c r="Q57" s="45"/>
      <c r="R57" s="45"/>
      <c r="S57" s="45"/>
      <c r="T57" s="45"/>
      <c r="U57" s="45"/>
      <c r="V57" s="45"/>
      <c r="W57" s="45"/>
      <c r="X57" s="45"/>
      <c r="Y57" s="45"/>
      <c r="Z57" s="45"/>
      <c r="AA57" s="45"/>
      <c r="AB57" s="45"/>
      <c r="AC57" s="45"/>
      <c r="AD57" s="45"/>
      <c r="AE57" s="75"/>
      <c r="AF57" s="76"/>
      <c r="AG57" s="76"/>
      <c r="AH57" s="76"/>
      <c r="AI57" s="99" t="s">
        <v>0</v>
      </c>
      <c r="AJ57" s="194"/>
      <c r="AK57" s="194"/>
      <c r="AL57" s="99" t="s">
        <v>0</v>
      </c>
      <c r="AM57" s="77"/>
      <c r="AN57" s="77"/>
      <c r="AO57" s="77"/>
      <c r="AQ57" s="68"/>
      <c r="AR57" s="118"/>
      <c r="AS57" s="1"/>
      <c r="AT57" s="1"/>
      <c r="AU57" s="1"/>
      <c r="AV57" s="1"/>
      <c r="AW57" s="68"/>
      <c r="AX57" s="68"/>
      <c r="AY57" s="68"/>
      <c r="AZ57" s="68"/>
      <c r="BA57" s="68"/>
      <c r="BB57" s="45"/>
      <c r="BC57" s="45"/>
      <c r="BD57" s="45"/>
      <c r="BE57" s="68"/>
      <c r="BF57" s="68"/>
      <c r="BG57" s="68"/>
      <c r="BH57" s="68"/>
      <c r="BI57" s="68"/>
      <c r="BJ57" s="68"/>
      <c r="BK57" s="68"/>
      <c r="BL57" s="68"/>
      <c r="BM57" s="68"/>
      <c r="BN57" s="68"/>
      <c r="BO57" s="68"/>
      <c r="BP57" s="68"/>
      <c r="BQ57" s="45"/>
      <c r="BR57" s="88"/>
      <c r="BS57" s="91"/>
      <c r="BT57" s="68"/>
    </row>
    <row r="58" spans="1:72" s="42" customFormat="1" ht="14.1" customHeight="1" x14ac:dyDescent="0.2">
      <c r="A58" s="45"/>
      <c r="B58" s="68"/>
      <c r="C58" s="104"/>
      <c r="D58" s="218" t="s">
        <v>855</v>
      </c>
      <c r="E58" s="218"/>
      <c r="F58" s="218"/>
      <c r="G58" s="218"/>
      <c r="H58" s="218"/>
      <c r="I58" s="218"/>
      <c r="J58" s="218"/>
      <c r="K58" s="218"/>
      <c r="L58" s="218"/>
      <c r="M58" s="218"/>
      <c r="N58" s="218"/>
      <c r="O58" s="218"/>
      <c r="P58" s="218"/>
      <c r="Q58" s="218"/>
      <c r="R58" s="214" t="str">
        <f>Fixtures!O48</f>
        <v>WINNER #51</v>
      </c>
      <c r="S58" s="214"/>
      <c r="T58" s="214"/>
      <c r="U58" s="214"/>
      <c r="V58" s="214"/>
      <c r="W58" s="214"/>
      <c r="X58" s="214"/>
      <c r="Y58" s="214"/>
      <c r="Z58" s="214"/>
      <c r="AA58" s="214"/>
      <c r="AB58" s="214"/>
      <c r="AC58" s="214"/>
      <c r="AD58" s="214"/>
      <c r="AE58" s="214"/>
      <c r="AF58" s="214"/>
      <c r="AG58" s="214"/>
      <c r="AH58" s="214"/>
      <c r="AI58" s="214"/>
      <c r="AJ58" s="214"/>
      <c r="AK58" s="214"/>
      <c r="AL58" s="214"/>
      <c r="AM58" s="214"/>
      <c r="AN58" s="214"/>
      <c r="AO58" s="214"/>
      <c r="AP58" s="215"/>
      <c r="AQ58" s="81"/>
      <c r="AR58" s="119"/>
      <c r="AS58" s="81"/>
      <c r="AT58" s="81"/>
      <c r="AU58" s="81"/>
      <c r="AV58" s="45"/>
      <c r="AW58" s="45"/>
      <c r="AX58" s="45"/>
      <c r="AY58" s="45"/>
      <c r="AZ58" s="45"/>
      <c r="BA58" s="45"/>
      <c r="BB58" s="45"/>
      <c r="BC58" s="45"/>
      <c r="BD58" s="45"/>
      <c r="BE58" s="45"/>
      <c r="BF58" s="45"/>
      <c r="BG58" s="45"/>
      <c r="BH58" s="45"/>
      <c r="BI58" s="45"/>
      <c r="BJ58" s="45"/>
      <c r="BK58" s="45"/>
      <c r="BL58" s="45"/>
      <c r="BM58" s="45"/>
      <c r="BN58" s="45"/>
      <c r="BO58" s="45"/>
      <c r="BP58" s="45"/>
      <c r="BQ58" s="45"/>
      <c r="BR58" s="88"/>
      <c r="BS58" s="91"/>
      <c r="BT58" s="68"/>
    </row>
    <row r="59" spans="1:72" s="42" customFormat="1" ht="14.1" customHeight="1" x14ac:dyDescent="0.2">
      <c r="A59" s="45"/>
      <c r="B59" s="68"/>
      <c r="C59" s="105"/>
      <c r="D59" s="219"/>
      <c r="E59" s="219"/>
      <c r="F59" s="219"/>
      <c r="G59" s="219"/>
      <c r="H59" s="219"/>
      <c r="I59" s="219"/>
      <c r="J59" s="219"/>
      <c r="K59" s="219"/>
      <c r="L59" s="219"/>
      <c r="M59" s="219"/>
      <c r="N59" s="219"/>
      <c r="O59" s="219"/>
      <c r="P59" s="219"/>
      <c r="Q59" s="219"/>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7"/>
      <c r="AQ59" s="81"/>
      <c r="AR59" s="119"/>
      <c r="AS59" s="81"/>
      <c r="AT59" s="81"/>
      <c r="AU59" s="81"/>
      <c r="AV59" s="45"/>
      <c r="AW59" s="45"/>
      <c r="AX59" s="45"/>
      <c r="AY59" s="45"/>
      <c r="AZ59" s="45"/>
      <c r="BA59" s="45"/>
      <c r="BB59" s="45"/>
      <c r="BC59" s="45"/>
      <c r="BD59" s="45"/>
      <c r="BE59" s="45"/>
      <c r="BF59" s="45"/>
      <c r="BG59" s="45"/>
      <c r="BH59" s="45"/>
      <c r="BI59" s="45"/>
      <c r="BJ59" s="45"/>
      <c r="BK59" s="45"/>
      <c r="BL59" s="45"/>
      <c r="BM59" s="45"/>
      <c r="BN59" s="45"/>
      <c r="BO59" s="45"/>
      <c r="BP59" s="45"/>
      <c r="BQ59" s="45"/>
      <c r="BR59" s="88"/>
      <c r="BS59" s="91"/>
      <c r="BT59" s="68"/>
    </row>
    <row r="60" spans="1:72" s="42" customFormat="1" ht="5.0999999999999996" customHeight="1" x14ac:dyDescent="0.2">
      <c r="A60" s="45"/>
      <c r="B60" s="45"/>
      <c r="C60" s="45"/>
      <c r="D60" s="45"/>
      <c r="E60" s="45"/>
      <c r="F60" s="80"/>
      <c r="G60" s="80"/>
      <c r="H60" s="45"/>
      <c r="I60" s="45"/>
      <c r="J60" s="81"/>
      <c r="K60" s="81"/>
      <c r="L60" s="81"/>
      <c r="M60" s="81"/>
      <c r="N60" s="81"/>
      <c r="O60" s="45"/>
      <c r="P60" s="45"/>
      <c r="Q60" s="45"/>
      <c r="R60" s="45"/>
      <c r="S60" s="45"/>
      <c r="T60" s="45"/>
      <c r="U60" s="45"/>
      <c r="V60" s="45"/>
      <c r="W60" s="45"/>
      <c r="X60" s="45"/>
      <c r="Y60" s="45"/>
      <c r="Z60" s="45"/>
      <c r="AA60" s="45"/>
      <c r="AB60" s="45"/>
      <c r="AC60" s="45"/>
      <c r="AD60" s="78"/>
      <c r="AE60" s="66"/>
      <c r="AF60" s="78"/>
      <c r="AG60" s="78"/>
      <c r="AH60" s="78"/>
      <c r="AI60" s="78"/>
      <c r="AJ60" s="78"/>
      <c r="AK60" s="78"/>
      <c r="AL60" s="78"/>
      <c r="AM60" s="78"/>
      <c r="AN60" s="78"/>
      <c r="AO60" s="78"/>
      <c r="AP60" s="78"/>
      <c r="AQ60" s="81"/>
      <c r="AR60" s="119"/>
      <c r="AS60" s="81"/>
      <c r="AT60" s="81"/>
      <c r="AU60" s="81"/>
      <c r="AV60" s="45"/>
      <c r="AW60" s="45"/>
      <c r="AX60" s="45"/>
      <c r="AY60" s="45"/>
      <c r="AZ60" s="45"/>
      <c r="BA60" s="45"/>
      <c r="BB60" s="45"/>
      <c r="BC60" s="45"/>
      <c r="BD60" s="45"/>
      <c r="BE60" s="45"/>
      <c r="BF60" s="45"/>
      <c r="BG60" s="45"/>
      <c r="BH60" s="45"/>
      <c r="BI60" s="45"/>
      <c r="BJ60" s="45"/>
      <c r="BK60" s="45"/>
      <c r="BL60" s="45"/>
      <c r="BM60" s="45"/>
      <c r="BN60" s="45"/>
      <c r="BO60" s="45"/>
      <c r="BP60" s="45"/>
      <c r="BR60" s="88"/>
      <c r="BS60" s="91"/>
      <c r="BT60" s="68"/>
    </row>
    <row r="61" spans="1:72" x14ac:dyDescent="0.2">
      <c r="B61" s="68"/>
      <c r="C61" s="45" t="s">
        <v>875</v>
      </c>
      <c r="F61" s="45"/>
      <c r="G61" s="45"/>
      <c r="J61" s="45"/>
      <c r="K61" s="45"/>
      <c r="L61" s="45"/>
      <c r="M61" s="45"/>
      <c r="N61" s="45"/>
      <c r="Z61" s="42"/>
      <c r="AA61" s="42"/>
      <c r="AB61" s="42"/>
      <c r="AC61" s="42"/>
      <c r="AD61" s="1"/>
      <c r="AE61" s="68"/>
      <c r="AF61" s="68"/>
      <c r="AG61" s="68"/>
      <c r="AH61" s="68"/>
      <c r="AI61" s="68"/>
      <c r="AJ61" s="68"/>
      <c r="AK61" s="68"/>
      <c r="AL61" s="68"/>
      <c r="AM61" s="68"/>
      <c r="AN61" s="68"/>
      <c r="AO61" s="68"/>
      <c r="AP61" s="68"/>
    </row>
    <row r="62" spans="1:72" x14ac:dyDescent="0.2">
      <c r="B62" s="68"/>
      <c r="C62" s="68"/>
      <c r="F62" s="45"/>
      <c r="G62" s="45"/>
      <c r="J62" s="45"/>
      <c r="K62" s="45"/>
      <c r="L62" s="45"/>
      <c r="M62" s="45"/>
      <c r="N62" s="45"/>
      <c r="Z62" s="42"/>
      <c r="AA62" s="42"/>
      <c r="AB62" s="42"/>
      <c r="AC62" s="42"/>
      <c r="AG62" s="80"/>
      <c r="AH62" s="80"/>
      <c r="AK62" s="81"/>
      <c r="AL62" s="81"/>
      <c r="AM62" s="81"/>
      <c r="AN62" s="81"/>
      <c r="AO62" s="81"/>
    </row>
    <row r="63" spans="1:72" x14ac:dyDescent="0.2">
      <c r="B63" s="68"/>
      <c r="C63" s="68"/>
      <c r="F63" s="45"/>
      <c r="G63" s="45"/>
      <c r="J63" s="45"/>
      <c r="K63" s="45"/>
      <c r="L63" s="45"/>
      <c r="M63" s="45"/>
      <c r="N63" s="45"/>
      <c r="Z63" s="42"/>
      <c r="AA63" s="42"/>
      <c r="AB63" s="42"/>
      <c r="AC63" s="42"/>
      <c r="AD63" s="65"/>
      <c r="AG63" s="80"/>
      <c r="AH63" s="80"/>
      <c r="AK63" s="81"/>
      <c r="AL63" s="81"/>
      <c r="AM63" s="81"/>
      <c r="AN63" s="81"/>
      <c r="AO63" s="81"/>
    </row>
    <row r="64" spans="1:72" x14ac:dyDescent="0.2">
      <c r="B64" s="68"/>
      <c r="C64" s="68"/>
      <c r="F64" s="45"/>
      <c r="G64" s="45"/>
      <c r="J64" s="45"/>
      <c r="K64" s="45"/>
      <c r="L64" s="45"/>
      <c r="M64" s="45"/>
      <c r="N64" s="45"/>
      <c r="Z64" s="42"/>
      <c r="AA64" s="42"/>
      <c r="AB64" s="42"/>
      <c r="AC64" s="42"/>
      <c r="AD64" s="1"/>
      <c r="AG64" s="80"/>
      <c r="AH64" s="80"/>
      <c r="AK64" s="81"/>
      <c r="AL64" s="81"/>
      <c r="AM64" s="81"/>
      <c r="AN64" s="81"/>
      <c r="AO64" s="81"/>
    </row>
    <row r="65" spans="2:42" x14ac:dyDescent="0.2">
      <c r="B65" s="68"/>
      <c r="C65" s="68"/>
      <c r="F65" s="45"/>
      <c r="G65" s="45"/>
      <c r="J65" s="45"/>
      <c r="K65" s="45"/>
      <c r="L65" s="45"/>
      <c r="M65" s="45"/>
      <c r="N65" s="45"/>
      <c r="Z65" s="42"/>
      <c r="AA65" s="42"/>
      <c r="AB65" s="42"/>
      <c r="AC65" s="42"/>
      <c r="AD65" s="42"/>
      <c r="AG65" s="80"/>
      <c r="AH65" s="80"/>
      <c r="AK65" s="81"/>
      <c r="AL65" s="81"/>
      <c r="AM65" s="81"/>
      <c r="AN65" s="81"/>
      <c r="AO65" s="81"/>
    </row>
    <row r="66" spans="2:42" x14ac:dyDescent="0.2">
      <c r="B66" s="68"/>
      <c r="C66" s="68"/>
      <c r="F66" s="45"/>
      <c r="G66" s="45"/>
      <c r="J66" s="45"/>
      <c r="K66" s="45"/>
      <c r="L66" s="45"/>
      <c r="M66" s="45"/>
      <c r="N66" s="45"/>
      <c r="Z66" s="42"/>
      <c r="AA66" s="42"/>
      <c r="AB66" s="42"/>
      <c r="AC66" s="42"/>
      <c r="AD66" s="42"/>
      <c r="AF66" s="78" t="s">
        <v>858</v>
      </c>
      <c r="AG66" s="78"/>
      <c r="AH66" s="78"/>
      <c r="AI66" s="78"/>
      <c r="AJ66" s="78"/>
      <c r="AK66" s="78"/>
      <c r="AL66" s="78"/>
      <c r="AM66" s="78"/>
      <c r="AN66" s="78"/>
      <c r="AO66" s="78"/>
      <c r="AP66" s="1"/>
    </row>
    <row r="67" spans="2:42" x14ac:dyDescent="0.2">
      <c r="F67" s="45"/>
      <c r="G67" s="45"/>
      <c r="J67" s="45"/>
      <c r="K67" s="45"/>
      <c r="L67" s="45"/>
      <c r="M67" s="45"/>
      <c r="N67" s="45"/>
      <c r="Z67" s="42"/>
      <c r="AA67" s="42"/>
      <c r="AB67" s="42"/>
      <c r="AC67" s="42"/>
      <c r="AD67" s="42"/>
      <c r="AF67" s="78"/>
      <c r="AG67" s="78"/>
      <c r="AH67" s="78"/>
      <c r="AI67" s="78"/>
      <c r="AJ67" s="78"/>
      <c r="AK67" s="78"/>
      <c r="AL67" s="78"/>
      <c r="AM67" s="78"/>
      <c r="AN67" s="78"/>
      <c r="AO67" s="78"/>
      <c r="AP67" s="1"/>
    </row>
    <row r="68" spans="2:42" x14ac:dyDescent="0.2">
      <c r="F68" s="45"/>
      <c r="G68" s="45"/>
      <c r="J68" s="45"/>
      <c r="K68" s="45"/>
      <c r="L68" s="45"/>
      <c r="M68" s="45"/>
      <c r="N68" s="45"/>
      <c r="Z68" s="42"/>
      <c r="AA68" s="42"/>
      <c r="AB68" s="42"/>
      <c r="AC68" s="42"/>
      <c r="AD68" s="42"/>
      <c r="AF68" s="204" t="s">
        <v>859</v>
      </c>
      <c r="AG68" s="204"/>
      <c r="AH68" s="204"/>
      <c r="AI68" s="204"/>
      <c r="AJ68" s="204"/>
      <c r="AK68" s="204"/>
      <c r="AL68" s="204"/>
      <c r="AM68" s="204"/>
      <c r="AN68" s="204"/>
      <c r="AO68" s="204"/>
      <c r="AP68" s="1"/>
    </row>
    <row r="69" spans="2:42" x14ac:dyDescent="0.2">
      <c r="F69" s="45"/>
      <c r="G69" s="45"/>
      <c r="J69" s="45"/>
      <c r="K69" s="45"/>
      <c r="L69" s="45"/>
      <c r="M69" s="45"/>
      <c r="N69" s="45"/>
      <c r="Z69" s="42"/>
      <c r="AA69" s="42"/>
      <c r="AB69" s="42"/>
      <c r="AC69" s="42"/>
      <c r="AD69" s="42"/>
      <c r="AF69" s="204"/>
      <c r="AG69" s="204"/>
      <c r="AH69" s="204"/>
      <c r="AI69" s="204"/>
      <c r="AJ69" s="204"/>
      <c r="AK69" s="204"/>
      <c r="AL69" s="204"/>
      <c r="AM69" s="204"/>
      <c r="AN69" s="204"/>
      <c r="AO69" s="204"/>
      <c r="AP69" s="1"/>
    </row>
    <row r="70" spans="2:42" x14ac:dyDescent="0.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F70" s="204" t="s">
        <v>860</v>
      </c>
      <c r="AG70" s="204"/>
      <c r="AH70" s="204"/>
      <c r="AI70" s="204"/>
      <c r="AJ70" s="204"/>
      <c r="AK70" s="204"/>
      <c r="AL70" s="204"/>
      <c r="AM70" s="204"/>
      <c r="AN70" s="204"/>
      <c r="AO70" s="204"/>
      <c r="AP70" s="1"/>
    </row>
    <row r="71" spans="2:42" x14ac:dyDescent="0.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F71" s="204"/>
      <c r="AG71" s="204"/>
      <c r="AH71" s="204"/>
      <c r="AI71" s="204"/>
      <c r="AJ71" s="204"/>
      <c r="AK71" s="204"/>
      <c r="AL71" s="204"/>
      <c r="AM71" s="204"/>
      <c r="AN71" s="204"/>
      <c r="AO71" s="204"/>
      <c r="AP71" s="1"/>
    </row>
    <row r="72" spans="2:42" x14ac:dyDescent="0.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row>
    <row r="73" spans="2:42" x14ac:dyDescent="0.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row>
    <row r="74" spans="2:42" x14ac:dyDescent="0.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row>
    <row r="75" spans="2:42" x14ac:dyDescent="0.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row>
    <row r="76" spans="2:42" x14ac:dyDescent="0.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row>
    <row r="77" spans="2:42" x14ac:dyDescent="0.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row>
    <row r="78" spans="2:42" x14ac:dyDescent="0.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spans="2:42" x14ac:dyDescent="0.2">
      <c r="E79" s="42"/>
      <c r="F79" s="42"/>
      <c r="G79" s="42"/>
      <c r="H79" s="42"/>
      <c r="I79" s="42"/>
      <c r="J79" s="42"/>
      <c r="K79" s="42"/>
      <c r="L79" s="42"/>
      <c r="M79" s="42"/>
      <c r="N79" s="42"/>
      <c r="O79" s="42"/>
      <c r="P79" s="42"/>
      <c r="Q79" s="42"/>
      <c r="R79" s="42"/>
      <c r="S79" s="42"/>
      <c r="T79" s="42"/>
      <c r="U79" s="42"/>
      <c r="V79" s="42"/>
      <c r="W79" s="42"/>
      <c r="X79" s="42"/>
      <c r="AD79" s="42"/>
    </row>
    <row r="80" spans="2:42" x14ac:dyDescent="0.2">
      <c r="E80" s="42"/>
      <c r="F80" s="42"/>
      <c r="G80" s="42"/>
      <c r="H80" s="42"/>
      <c r="I80" s="42"/>
      <c r="J80" s="42"/>
      <c r="K80" s="42"/>
      <c r="L80" s="42"/>
      <c r="M80" s="42"/>
      <c r="N80" s="42"/>
      <c r="O80" s="42"/>
      <c r="P80" s="42"/>
      <c r="Q80" s="42"/>
      <c r="R80" s="42"/>
      <c r="S80" s="42"/>
      <c r="T80" s="42"/>
      <c r="U80" s="42"/>
      <c r="V80" s="42"/>
      <c r="W80" s="42"/>
      <c r="X80" s="42"/>
      <c r="AD80" s="42"/>
    </row>
    <row r="81" spans="5:30" x14ac:dyDescent="0.2">
      <c r="E81" s="42"/>
      <c r="F81" s="42"/>
      <c r="G81" s="42"/>
      <c r="H81" s="42"/>
      <c r="I81" s="42"/>
      <c r="J81" s="42"/>
      <c r="K81" s="42"/>
      <c r="L81" s="42"/>
      <c r="M81" s="42"/>
      <c r="N81" s="42"/>
      <c r="O81" s="42"/>
      <c r="P81" s="42"/>
      <c r="Q81" s="42"/>
      <c r="R81" s="42"/>
      <c r="S81" s="42"/>
      <c r="T81" s="42"/>
      <c r="U81" s="42"/>
      <c r="V81" s="42"/>
      <c r="W81" s="42"/>
      <c r="X81" s="42"/>
      <c r="AD81" s="42"/>
    </row>
    <row r="82" spans="5:30" x14ac:dyDescent="0.2">
      <c r="E82" s="42"/>
      <c r="F82" s="42"/>
      <c r="G82" s="42"/>
      <c r="H82" s="42"/>
      <c r="I82" s="42"/>
      <c r="J82" s="42"/>
      <c r="K82" s="42"/>
      <c r="L82" s="42"/>
      <c r="M82" s="42"/>
      <c r="N82" s="42"/>
      <c r="O82" s="42"/>
      <c r="P82" s="42"/>
      <c r="Q82" s="42"/>
      <c r="R82" s="42"/>
      <c r="S82" s="42"/>
      <c r="T82" s="42"/>
      <c r="U82" s="42"/>
      <c r="V82" s="42"/>
      <c r="W82" s="42"/>
      <c r="X82" s="42"/>
      <c r="AD82" s="42"/>
    </row>
    <row r="83" spans="5:30" x14ac:dyDescent="0.2">
      <c r="E83" s="42"/>
      <c r="F83" s="42"/>
      <c r="G83" s="42"/>
      <c r="H83" s="42"/>
      <c r="I83" s="42"/>
      <c r="J83" s="42"/>
      <c r="K83" s="42"/>
      <c r="L83" s="42"/>
      <c r="M83" s="42"/>
      <c r="N83" s="42"/>
      <c r="O83" s="42"/>
      <c r="P83" s="42"/>
      <c r="Q83" s="42"/>
      <c r="R83" s="42"/>
      <c r="S83" s="42"/>
      <c r="T83" s="42"/>
      <c r="U83" s="42"/>
      <c r="V83" s="42"/>
      <c r="W83" s="42"/>
      <c r="X83" s="42"/>
    </row>
    <row r="84" spans="5:30" x14ac:dyDescent="0.2">
      <c r="E84" s="42"/>
      <c r="F84" s="42"/>
      <c r="G84" s="42"/>
      <c r="H84" s="42"/>
      <c r="I84" s="42"/>
      <c r="J84" s="42"/>
      <c r="K84" s="42"/>
      <c r="L84" s="42"/>
      <c r="M84" s="42"/>
      <c r="N84" s="42"/>
      <c r="O84" s="42"/>
      <c r="P84" s="42"/>
      <c r="Q84" s="42"/>
      <c r="R84" s="42"/>
      <c r="S84" s="42"/>
      <c r="T84" s="42"/>
      <c r="U84" s="42"/>
      <c r="V84" s="42"/>
      <c r="W84" s="42"/>
      <c r="X84" s="42"/>
    </row>
    <row r="85" spans="5:30" x14ac:dyDescent="0.2">
      <c r="E85" s="42"/>
      <c r="F85" s="42"/>
      <c r="G85" s="42"/>
      <c r="H85" s="42"/>
      <c r="I85" s="42"/>
      <c r="J85" s="42"/>
      <c r="K85" s="42"/>
      <c r="L85" s="42"/>
      <c r="M85" s="42"/>
      <c r="N85" s="42"/>
      <c r="O85" s="42"/>
      <c r="P85" s="42"/>
      <c r="Q85" s="42"/>
      <c r="R85" s="42"/>
      <c r="S85" s="42"/>
      <c r="T85" s="42"/>
      <c r="U85" s="42"/>
      <c r="V85" s="42"/>
      <c r="W85" s="42"/>
      <c r="X85" s="42"/>
    </row>
    <row r="86" spans="5:30" x14ac:dyDescent="0.2">
      <c r="E86" s="42"/>
      <c r="F86" s="42"/>
      <c r="G86" s="42"/>
      <c r="H86" s="42"/>
      <c r="I86" s="42"/>
      <c r="J86" s="42"/>
      <c r="K86" s="42"/>
      <c r="L86" s="42"/>
      <c r="M86" s="42"/>
      <c r="N86" s="42"/>
      <c r="O86" s="42"/>
      <c r="P86" s="42"/>
      <c r="Q86" s="42"/>
      <c r="R86" s="42"/>
      <c r="S86" s="42"/>
      <c r="T86" s="42"/>
      <c r="U86" s="42"/>
      <c r="V86" s="42"/>
      <c r="W86" s="42"/>
      <c r="X86" s="42"/>
    </row>
    <row r="87" spans="5:30" x14ac:dyDescent="0.2">
      <c r="E87" s="42"/>
      <c r="F87" s="42"/>
      <c r="G87" s="42"/>
      <c r="H87" s="42"/>
      <c r="I87" s="42"/>
      <c r="J87" s="42"/>
      <c r="K87" s="42"/>
      <c r="L87" s="42"/>
      <c r="M87" s="42"/>
      <c r="N87" s="42"/>
      <c r="O87" s="42"/>
      <c r="P87" s="42"/>
      <c r="Q87" s="42"/>
      <c r="R87" s="42"/>
      <c r="S87" s="42"/>
      <c r="T87" s="42"/>
      <c r="U87" s="42"/>
      <c r="V87" s="42"/>
      <c r="W87" s="42"/>
      <c r="X87" s="42"/>
      <c r="Y87" s="42"/>
    </row>
    <row r="88" spans="5:30" x14ac:dyDescent="0.2">
      <c r="Y88" s="42"/>
    </row>
  </sheetData>
  <mergeCells count="288">
    <mergeCell ref="AE11:AI11"/>
    <mergeCell ref="AL11:AP11"/>
    <mergeCell ref="AE14:AI14"/>
    <mergeCell ref="AL14:AP14"/>
    <mergeCell ref="AE17:AI17"/>
    <mergeCell ref="AL17:AP17"/>
    <mergeCell ref="AE20:AI20"/>
    <mergeCell ref="AL20:AP20"/>
    <mergeCell ref="AE23:AI23"/>
    <mergeCell ref="AS16:AV16"/>
    <mergeCell ref="AS18:AV18"/>
    <mergeCell ref="R58:AP59"/>
    <mergeCell ref="D58:Q59"/>
    <mergeCell ref="AE29:AI29"/>
    <mergeCell ref="AL29:AP29"/>
    <mergeCell ref="AE32:AI32"/>
    <mergeCell ref="AL32:AP32"/>
    <mergeCell ref="AE36:AI36"/>
    <mergeCell ref="AL36:AP36"/>
    <mergeCell ref="AE39:AI39"/>
    <mergeCell ref="AE42:AI42"/>
    <mergeCell ref="AL42:AP42"/>
    <mergeCell ref="AL45:AP45"/>
    <mergeCell ref="AF38:AI38"/>
    <mergeCell ref="AJ38:AK38"/>
    <mergeCell ref="AL38:AP38"/>
    <mergeCell ref="AF44:AI44"/>
    <mergeCell ref="AJ44:AK44"/>
    <mergeCell ref="AL44:AP44"/>
    <mergeCell ref="AE45:AI45"/>
    <mergeCell ref="AL39:AP39"/>
    <mergeCell ref="AF41:AI41"/>
    <mergeCell ref="AJ41:AK41"/>
    <mergeCell ref="AL41:AP41"/>
    <mergeCell ref="AF48:AI48"/>
    <mergeCell ref="AJ48:AK48"/>
    <mergeCell ref="AL48:AP48"/>
    <mergeCell ref="AF51:AI51"/>
    <mergeCell ref="AJ51:AK51"/>
    <mergeCell ref="AL51:AP51"/>
    <mergeCell ref="AF55:AI55"/>
    <mergeCell ref="AJ55:AK55"/>
    <mergeCell ref="AL55:AP55"/>
    <mergeCell ref="AE49:AI49"/>
    <mergeCell ref="AL49:AP49"/>
    <mergeCell ref="AE52:AI52"/>
    <mergeCell ref="AL52:AP52"/>
    <mergeCell ref="AF31:AI31"/>
    <mergeCell ref="AJ31:AK31"/>
    <mergeCell ref="AL31:AP31"/>
    <mergeCell ref="AF35:AI35"/>
    <mergeCell ref="AJ35:AK35"/>
    <mergeCell ref="AL35:AP35"/>
    <mergeCell ref="AF22:AI22"/>
    <mergeCell ref="AJ22:AK22"/>
    <mergeCell ref="AL22:AP22"/>
    <mergeCell ref="AF25:AI25"/>
    <mergeCell ref="AJ25:AK25"/>
    <mergeCell ref="AL25:AP25"/>
    <mergeCell ref="AF28:AI28"/>
    <mergeCell ref="AJ28:AK28"/>
    <mergeCell ref="AL28:AP28"/>
    <mergeCell ref="AE26:AI26"/>
    <mergeCell ref="AL26:AP26"/>
    <mergeCell ref="AL23:AP23"/>
    <mergeCell ref="AF13:AI13"/>
    <mergeCell ref="AJ13:AK13"/>
    <mergeCell ref="AL13:AP13"/>
    <mergeCell ref="AF16:AI16"/>
    <mergeCell ref="AJ16:AK16"/>
    <mergeCell ref="AL16:AP16"/>
    <mergeCell ref="AF19:AI19"/>
    <mergeCell ref="AJ19:AK19"/>
    <mergeCell ref="AL19:AP19"/>
    <mergeCell ref="I9:J9"/>
    <mergeCell ref="K9:O9"/>
    <mergeCell ref="S9:V9"/>
    <mergeCell ref="W9:X9"/>
    <mergeCell ref="Y9:AC9"/>
    <mergeCell ref="AF10:AI10"/>
    <mergeCell ref="AL10:AP10"/>
    <mergeCell ref="AJ10:AK10"/>
    <mergeCell ref="D10:H10"/>
    <mergeCell ref="K10:O10"/>
    <mergeCell ref="R10:V10"/>
    <mergeCell ref="Y10:AC10"/>
    <mergeCell ref="I11:J11"/>
    <mergeCell ref="K11:O11"/>
    <mergeCell ref="S11:V11"/>
    <mergeCell ref="W11:X11"/>
    <mergeCell ref="Y11:AC11"/>
    <mergeCell ref="D12:H12"/>
    <mergeCell ref="K12:O12"/>
    <mergeCell ref="R12:V12"/>
    <mergeCell ref="Y12:AC12"/>
    <mergeCell ref="I13:J13"/>
    <mergeCell ref="K13:O13"/>
    <mergeCell ref="S13:V13"/>
    <mergeCell ref="W13:X13"/>
    <mergeCell ref="Y13:AC13"/>
    <mergeCell ref="D14:H14"/>
    <mergeCell ref="K14:O14"/>
    <mergeCell ref="R14:V14"/>
    <mergeCell ref="Y14:AC14"/>
    <mergeCell ref="I15:J15"/>
    <mergeCell ref="K15:O15"/>
    <mergeCell ref="S15:V15"/>
    <mergeCell ref="W15:X15"/>
    <mergeCell ref="Y15:AC15"/>
    <mergeCell ref="D16:H16"/>
    <mergeCell ref="K16:O16"/>
    <mergeCell ref="R16:V16"/>
    <mergeCell ref="Y16:AC16"/>
    <mergeCell ref="I17:J17"/>
    <mergeCell ref="K17:O17"/>
    <mergeCell ref="S17:V17"/>
    <mergeCell ref="W17:X17"/>
    <mergeCell ref="Y17:AC17"/>
    <mergeCell ref="D18:H18"/>
    <mergeCell ref="K18:O18"/>
    <mergeCell ref="R18:V18"/>
    <mergeCell ref="Y18:AC18"/>
    <mergeCell ref="I19:J19"/>
    <mergeCell ref="K19:O19"/>
    <mergeCell ref="S19:V19"/>
    <mergeCell ref="W19:X19"/>
    <mergeCell ref="Y19:AC19"/>
    <mergeCell ref="D20:H20"/>
    <mergeCell ref="K20:O20"/>
    <mergeCell ref="R20:V20"/>
    <mergeCell ref="Y20:AC20"/>
    <mergeCell ref="W29:X29"/>
    <mergeCell ref="Y29:AC29"/>
    <mergeCell ref="D30:H30"/>
    <mergeCell ref="K30:O30"/>
    <mergeCell ref="R30:V30"/>
    <mergeCell ref="Y30:AC30"/>
    <mergeCell ref="E27:H27"/>
    <mergeCell ref="I27:J27"/>
    <mergeCell ref="K27:O27"/>
    <mergeCell ref="S27:V27"/>
    <mergeCell ref="W27:X27"/>
    <mergeCell ref="Y27:AC27"/>
    <mergeCell ref="D28:H28"/>
    <mergeCell ref="K28:O28"/>
    <mergeCell ref="R28:V28"/>
    <mergeCell ref="Y28:AC28"/>
    <mergeCell ref="W33:X33"/>
    <mergeCell ref="Y33:AC33"/>
    <mergeCell ref="D34:H34"/>
    <mergeCell ref="K34:O34"/>
    <mergeCell ref="R34:V34"/>
    <mergeCell ref="Y34:AC34"/>
    <mergeCell ref="E31:H31"/>
    <mergeCell ref="I31:J31"/>
    <mergeCell ref="K31:O31"/>
    <mergeCell ref="S31:V31"/>
    <mergeCell ref="W31:X31"/>
    <mergeCell ref="Y31:AC31"/>
    <mergeCell ref="D32:H32"/>
    <mergeCell ref="K32:O32"/>
    <mergeCell ref="R32:V32"/>
    <mergeCell ref="Y32:AC32"/>
    <mergeCell ref="W37:X37"/>
    <mergeCell ref="Y37:AC37"/>
    <mergeCell ref="D38:H38"/>
    <mergeCell ref="K38:O38"/>
    <mergeCell ref="R38:V38"/>
    <mergeCell ref="Y38:AC38"/>
    <mergeCell ref="E35:H35"/>
    <mergeCell ref="I35:J35"/>
    <mergeCell ref="K35:O35"/>
    <mergeCell ref="S35:V35"/>
    <mergeCell ref="W35:X35"/>
    <mergeCell ref="Y35:AC35"/>
    <mergeCell ref="D36:H36"/>
    <mergeCell ref="K36:O36"/>
    <mergeCell ref="R36:V36"/>
    <mergeCell ref="Y36:AC36"/>
    <mergeCell ref="E45:H45"/>
    <mergeCell ref="I45:J45"/>
    <mergeCell ref="K45:O45"/>
    <mergeCell ref="S45:V45"/>
    <mergeCell ref="W45:X45"/>
    <mergeCell ref="Y45:AC45"/>
    <mergeCell ref="D46:H46"/>
    <mergeCell ref="K46:O46"/>
    <mergeCell ref="R46:V46"/>
    <mergeCell ref="Y46:AC46"/>
    <mergeCell ref="E47:H47"/>
    <mergeCell ref="I47:J47"/>
    <mergeCell ref="K47:O47"/>
    <mergeCell ref="S47:V47"/>
    <mergeCell ref="W47:X47"/>
    <mergeCell ref="Y47:AC47"/>
    <mergeCell ref="D48:H48"/>
    <mergeCell ref="K48:O48"/>
    <mergeCell ref="R48:V48"/>
    <mergeCell ref="Y48:AC48"/>
    <mergeCell ref="E49:H49"/>
    <mergeCell ref="I49:J49"/>
    <mergeCell ref="K49:O49"/>
    <mergeCell ref="S49:V49"/>
    <mergeCell ref="W49:X49"/>
    <mergeCell ref="Y49:AC49"/>
    <mergeCell ref="D50:H50"/>
    <mergeCell ref="K50:O50"/>
    <mergeCell ref="R50:V50"/>
    <mergeCell ref="Y50:AC50"/>
    <mergeCell ref="W53:X53"/>
    <mergeCell ref="Y53:AC53"/>
    <mergeCell ref="D56:H56"/>
    <mergeCell ref="K56:O56"/>
    <mergeCell ref="R56:V56"/>
    <mergeCell ref="Y56:AC56"/>
    <mergeCell ref="E51:H51"/>
    <mergeCell ref="I51:J51"/>
    <mergeCell ref="K51:O51"/>
    <mergeCell ref="S51:V51"/>
    <mergeCell ref="W51:X51"/>
    <mergeCell ref="Y51:AC51"/>
    <mergeCell ref="D52:H52"/>
    <mergeCell ref="K52:O52"/>
    <mergeCell ref="R52:V52"/>
    <mergeCell ref="Y52:AC52"/>
    <mergeCell ref="R4:U4"/>
    <mergeCell ref="R5:U5"/>
    <mergeCell ref="R6:U6"/>
    <mergeCell ref="R7:U7"/>
    <mergeCell ref="R22:U22"/>
    <mergeCell ref="AS11:AV13"/>
    <mergeCell ref="AF68:AO69"/>
    <mergeCell ref="AF70:AO71"/>
    <mergeCell ref="D54:H54"/>
    <mergeCell ref="K54:O54"/>
    <mergeCell ref="R54:V54"/>
    <mergeCell ref="Y54:AC54"/>
    <mergeCell ref="E55:H55"/>
    <mergeCell ref="I55:J55"/>
    <mergeCell ref="K55:O55"/>
    <mergeCell ref="S55:V55"/>
    <mergeCell ref="W55:X55"/>
    <mergeCell ref="Y55:AC55"/>
    <mergeCell ref="AE56:AI56"/>
    <mergeCell ref="AL56:AP56"/>
    <mergeCell ref="E53:H53"/>
    <mergeCell ref="I53:J53"/>
    <mergeCell ref="K53:O53"/>
    <mergeCell ref="S53:V53"/>
    <mergeCell ref="D40:G40"/>
    <mergeCell ref="D41:G41"/>
    <mergeCell ref="D4:G4"/>
    <mergeCell ref="D5:G5"/>
    <mergeCell ref="D6:G6"/>
    <mergeCell ref="D7:G7"/>
    <mergeCell ref="E37:H37"/>
    <mergeCell ref="E33:H33"/>
    <mergeCell ref="E29:H29"/>
    <mergeCell ref="E19:H19"/>
    <mergeCell ref="E17:H17"/>
    <mergeCell ref="E15:H15"/>
    <mergeCell ref="E13:H13"/>
    <mergeCell ref="E11:H11"/>
    <mergeCell ref="E9:H9"/>
    <mergeCell ref="AE3:AL4"/>
    <mergeCell ref="AE5:AL7"/>
    <mergeCell ref="D42:G42"/>
    <mergeCell ref="D43:G43"/>
    <mergeCell ref="R40:U40"/>
    <mergeCell ref="R41:U41"/>
    <mergeCell ref="R42:U42"/>
    <mergeCell ref="R43:U43"/>
    <mergeCell ref="R23:U23"/>
    <mergeCell ref="R24:U24"/>
    <mergeCell ref="R25:U25"/>
    <mergeCell ref="I37:J37"/>
    <mergeCell ref="K37:O37"/>
    <mergeCell ref="S37:V37"/>
    <mergeCell ref="I33:J33"/>
    <mergeCell ref="K33:O33"/>
    <mergeCell ref="S33:V33"/>
    <mergeCell ref="I29:J29"/>
    <mergeCell ref="K29:O29"/>
    <mergeCell ref="S29:V29"/>
    <mergeCell ref="D22:G22"/>
    <mergeCell ref="D23:G23"/>
    <mergeCell ref="D24:G24"/>
    <mergeCell ref="D25:G25"/>
  </mergeCells>
  <conditionalFormatting sqref="H6">
    <cfRule type="expression" dxfId="87" priority="27">
      <formula>ISNA(MATCH(D6,$AS$4:$AS$7,0))</formula>
    </cfRule>
  </conditionalFormatting>
  <conditionalFormatting sqref="H24">
    <cfRule type="expression" dxfId="86" priority="24">
      <formula>ISNA(MATCH(D24,$AS$4:$AS$7,0))</formula>
    </cfRule>
  </conditionalFormatting>
  <conditionalFormatting sqref="H42">
    <cfRule type="expression" dxfId="85" priority="23">
      <formula>ISNA(MATCH(D42,$AS$4:$AS$7,0))</formula>
    </cfRule>
  </conditionalFormatting>
  <conditionalFormatting sqref="V6">
    <cfRule type="expression" dxfId="84" priority="26">
      <formula>ISNA(MATCH(R6,$AS$4:$AS$7,0))</formula>
    </cfRule>
  </conditionalFormatting>
  <conditionalFormatting sqref="V24">
    <cfRule type="expression" dxfId="83" priority="25">
      <formula>ISNA(MATCH(R24,$AS$4:$AS$7,0))</formula>
    </cfRule>
  </conditionalFormatting>
  <conditionalFormatting sqref="V42">
    <cfRule type="expression" dxfId="82" priority="22">
      <formula>ISNA(MATCH(R42,$AS$4:$AS$7,0))</formula>
    </cfRule>
  </conditionalFormatting>
  <conditionalFormatting sqref="AE11:AP55 AE56:AI56 AL56:AP56 AJ56:AK57">
    <cfRule type="expression" dxfId="81" priority="17">
      <formula>AND(KOColo="Yes",MATCH(AE11,GroupD,0))</formula>
    </cfRule>
    <cfRule type="expression" dxfId="80" priority="16">
      <formula>AND(KOColo="Yes",MATCH(AE11,GroupE,0))</formula>
    </cfRule>
    <cfRule type="expression" dxfId="79" priority="18">
      <formula>AND(KOColo="Yes",MATCH(AE11,GroupC,0))</formula>
    </cfRule>
    <cfRule type="expression" dxfId="78" priority="19">
      <formula>AND(KOColo="Yes",MATCH(AE11,GroupB,0))</formula>
    </cfRule>
    <cfRule type="expression" dxfId="77" priority="20">
      <formula>AND(KOColo="Yes",MATCH(AE11,GroupA,0))</formula>
    </cfRule>
  </conditionalFormatting>
  <conditionalFormatting sqref="AE11:AP55 AJ56:AK57 AE56:AI56 AL56:AP56">
    <cfRule type="expression" dxfId="76" priority="15">
      <formula>AND(KOColo="Yes",MATCH(AE11,GroupF,0))</formula>
    </cfRule>
  </conditionalFormatting>
  <conditionalFormatting sqref="AI12">
    <cfRule type="expression" dxfId="75" priority="155">
      <formula>AND(AJ12&lt;&gt;"",AK12&lt;&gt;"",AJ12&gt;AK12)</formula>
    </cfRule>
  </conditionalFormatting>
  <conditionalFormatting sqref="AI15">
    <cfRule type="expression" dxfId="74" priority="68">
      <formula>AND(AJ15&lt;&gt;"",AK15&lt;&gt;"",AJ15&gt;AK15)</formula>
    </cfRule>
  </conditionalFormatting>
  <conditionalFormatting sqref="AI18">
    <cfRule type="expression" dxfId="73" priority="65">
      <formula>AND(AJ18&lt;&gt;"",AK18&lt;&gt;"",AJ18&gt;AK18)</formula>
    </cfRule>
  </conditionalFormatting>
  <conditionalFormatting sqref="AI21">
    <cfRule type="expression" dxfId="72" priority="62">
      <formula>AND(AJ21&lt;&gt;"",AK21&lt;&gt;"",AJ21&gt;AK21)</formula>
    </cfRule>
  </conditionalFormatting>
  <conditionalFormatting sqref="AI24">
    <cfRule type="expression" dxfId="71" priority="59">
      <formula>AND(AJ24&lt;&gt;"",AK24&lt;&gt;"",AJ24&gt;AK24)</formula>
    </cfRule>
  </conditionalFormatting>
  <conditionalFormatting sqref="AI27">
    <cfRule type="expression" dxfId="70" priority="56">
      <formula>AND(AJ27&lt;&gt;"",AK27&lt;&gt;"",AJ27&gt;AK27)</formula>
    </cfRule>
  </conditionalFormatting>
  <conditionalFormatting sqref="AI30">
    <cfRule type="expression" dxfId="69" priority="53">
      <formula>AND(AJ30&lt;&gt;"",AK30&lt;&gt;"",AJ30&gt;AK30)</formula>
    </cfRule>
  </conditionalFormatting>
  <conditionalFormatting sqref="AI33">
    <cfRule type="expression" dxfId="68" priority="50">
      <formula>AND(AJ33&lt;&gt;"",AK33&lt;&gt;"",AJ33&gt;AK33)</formula>
    </cfRule>
  </conditionalFormatting>
  <conditionalFormatting sqref="AI37">
    <cfRule type="expression" dxfId="67" priority="47">
      <formula>AND(AJ37&lt;&gt;"",AK37&lt;&gt;"",AJ37&gt;AK37)</formula>
    </cfRule>
  </conditionalFormatting>
  <conditionalFormatting sqref="AI40">
    <cfRule type="expression" dxfId="66" priority="44">
      <formula>AND(AJ40&lt;&gt;"",AK40&lt;&gt;"",AJ40&gt;AK40)</formula>
    </cfRule>
  </conditionalFormatting>
  <conditionalFormatting sqref="AI43">
    <cfRule type="expression" dxfId="65" priority="41">
      <formula>AND(AJ43&lt;&gt;"",AK43&lt;&gt;"",AJ43&gt;AK43)</formula>
    </cfRule>
  </conditionalFormatting>
  <conditionalFormatting sqref="AI46">
    <cfRule type="expression" dxfId="64" priority="38">
      <formula>AND(AJ46&lt;&gt;"",AK46&lt;&gt;"",AJ46&gt;AK46)</formula>
    </cfRule>
  </conditionalFormatting>
  <conditionalFormatting sqref="AI50">
    <cfRule type="expression" dxfId="63" priority="35">
      <formula>AND(AJ50&lt;&gt;"",AK50&lt;&gt;"",AJ50&gt;AK50)</formula>
    </cfRule>
  </conditionalFormatting>
  <conditionalFormatting sqref="AI53">
    <cfRule type="expression" dxfId="62" priority="32">
      <formula>AND(AJ53&lt;&gt;"",AK53&lt;&gt;"",AJ53&gt;AK53)</formula>
    </cfRule>
  </conditionalFormatting>
  <conditionalFormatting sqref="AI57">
    <cfRule type="expression" dxfId="61" priority="29">
      <formula>AND(AJ57&lt;&gt;"",AK57&lt;&gt;"",AJ57&gt;AK57)</formula>
    </cfRule>
  </conditionalFormatting>
  <conditionalFormatting sqref="AJ12:AK12">
    <cfRule type="expression" dxfId="60" priority="156">
      <formula>AND($AJ11&lt;&gt;"",$AK11&lt;&gt;"",$AJ11=$AK11)</formula>
    </cfRule>
  </conditionalFormatting>
  <conditionalFormatting sqref="AJ15:AK15">
    <cfRule type="expression" dxfId="59" priority="14">
      <formula>AND($AJ14&lt;&gt;"",$AK14&lt;&gt;"",$AJ14=$AK14)</formula>
    </cfRule>
    <cfRule type="expression" dxfId="58" priority="69">
      <formula>AND($AJ14&lt;&gt;"",$AK14&lt;&gt;"",$AJ14=$AK14)</formula>
    </cfRule>
  </conditionalFormatting>
  <conditionalFormatting sqref="AJ18:AK18">
    <cfRule type="expression" dxfId="57" priority="13">
      <formula>AND($AJ17&lt;&gt;"",$AK17&lt;&gt;"",$AJ17=$AK17)</formula>
    </cfRule>
    <cfRule type="expression" dxfId="56" priority="66">
      <formula>AND($AJ17&lt;&gt;"",$AK17&lt;&gt;"",$AJ17=$AK17)</formula>
    </cfRule>
  </conditionalFormatting>
  <conditionalFormatting sqref="AJ21:AK21">
    <cfRule type="expression" dxfId="55" priority="63">
      <formula>AND($AJ20&lt;&gt;"",$AK20&lt;&gt;"",$AJ20=$AK20)</formula>
    </cfRule>
    <cfRule type="expression" dxfId="54" priority="12">
      <formula>AND($AJ20&lt;&gt;"",$AK20&lt;&gt;"",$AJ20=$AK20)</formula>
    </cfRule>
  </conditionalFormatting>
  <conditionalFormatting sqref="AJ24:AK24">
    <cfRule type="expression" dxfId="53" priority="60">
      <formula>AND($AJ23&lt;&gt;"",$AK23&lt;&gt;"",$AJ23=$AK23)</formula>
    </cfRule>
    <cfRule type="expression" dxfId="52" priority="11">
      <formula>AND($AJ23&lt;&gt;"",$AK23&lt;&gt;"",$AJ23=$AK23)</formula>
    </cfRule>
  </conditionalFormatting>
  <conditionalFormatting sqref="AJ27:AK27">
    <cfRule type="expression" dxfId="51" priority="10">
      <formula>AND($AJ26&lt;&gt;"",$AK26&lt;&gt;"",$AJ26=$AK26)</formula>
    </cfRule>
    <cfRule type="expression" dxfId="50" priority="57">
      <formula>AND($AJ26&lt;&gt;"",$AK26&lt;&gt;"",$AJ26=$AK26)</formula>
    </cfRule>
  </conditionalFormatting>
  <conditionalFormatting sqref="AJ30:AK30">
    <cfRule type="expression" dxfId="49" priority="54">
      <formula>AND($AJ29&lt;&gt;"",$AK29&lt;&gt;"",$AJ29=$AK29)</formula>
    </cfRule>
    <cfRule type="expression" dxfId="48" priority="9">
      <formula>AND($AJ29&lt;&gt;"",$AK29&lt;&gt;"",$AJ29=$AK29)</formula>
    </cfRule>
  </conditionalFormatting>
  <conditionalFormatting sqref="AJ33:AK33">
    <cfRule type="expression" dxfId="47" priority="8">
      <formula>AND($AJ32&lt;&gt;"",$AK32&lt;&gt;"",$AJ32=$AK32)</formula>
    </cfRule>
    <cfRule type="expression" dxfId="46" priority="51">
      <formula>AND($AJ32&lt;&gt;"",$AK32&lt;&gt;"",$AJ32=$AK32)</formula>
    </cfRule>
  </conditionalFormatting>
  <conditionalFormatting sqref="AJ37:AK37">
    <cfRule type="expression" dxfId="45" priority="7">
      <formula>AND($AJ36&lt;&gt;"",$AK36&lt;&gt;"",$AJ36=$AK36)</formula>
    </cfRule>
    <cfRule type="expression" dxfId="44" priority="48">
      <formula>AND($AJ36&lt;&gt;"",$AK36&lt;&gt;"",$AJ36=$AK36)</formula>
    </cfRule>
  </conditionalFormatting>
  <conditionalFormatting sqref="AJ40:AK40">
    <cfRule type="expression" dxfId="43" priority="6">
      <formula>AND($AJ39&lt;&gt;"",$AK39&lt;&gt;"",$AJ39=$AK39)</formula>
    </cfRule>
    <cfRule type="expression" dxfId="42" priority="45">
      <formula>AND($AJ39&lt;&gt;"",$AK39&lt;&gt;"",$AJ39=$AK39)</formula>
    </cfRule>
  </conditionalFormatting>
  <conditionalFormatting sqref="AJ43:AK43">
    <cfRule type="expression" dxfId="41" priority="5">
      <formula>AND($AJ42&lt;&gt;"",$AK42&lt;&gt;"",$AJ42=$AK42)</formula>
    </cfRule>
    <cfRule type="expression" dxfId="40" priority="42">
      <formula>AND($AJ42&lt;&gt;"",$AK42&lt;&gt;"",$AJ42=$AK42)</formula>
    </cfRule>
  </conditionalFormatting>
  <conditionalFormatting sqref="AJ46:AK46">
    <cfRule type="expression" dxfId="39" priority="4">
      <formula>AND($AJ45&lt;&gt;"",$AK45&lt;&gt;"",$AJ45=$AK45)</formula>
    </cfRule>
    <cfRule type="expression" dxfId="38" priority="39">
      <formula>AND($AJ45&lt;&gt;"",$AK45&lt;&gt;"",$AJ45=$AK45)</formula>
    </cfRule>
  </conditionalFormatting>
  <conditionalFormatting sqref="AJ50:AK50">
    <cfRule type="expression" dxfId="37" priority="3">
      <formula>AND($AJ49&lt;&gt;"",$AK49&lt;&gt;"",$AJ49=$AK49)</formula>
    </cfRule>
    <cfRule type="expression" dxfId="36" priority="36">
      <formula>AND($AJ49&lt;&gt;"",$AK49&lt;&gt;"",$AJ49=$AK49)</formula>
    </cfRule>
  </conditionalFormatting>
  <conditionalFormatting sqref="AJ53:AK53">
    <cfRule type="expression" dxfId="35" priority="2">
      <formula>AND($AJ52&lt;&gt;"",$AK52&lt;&gt;"",$AJ52=$AK52)</formula>
    </cfRule>
    <cfRule type="expression" dxfId="34" priority="33">
      <formula>AND($AJ52&lt;&gt;"",$AK52&lt;&gt;"",$AJ52=$AK52)</formula>
    </cfRule>
  </conditionalFormatting>
  <conditionalFormatting sqref="AJ57:AK57">
    <cfRule type="expression" dxfId="33" priority="1">
      <formula>AND($AJ56&lt;&gt;"",$AK56&lt;&gt;"",$AJ56=$AK56)</formula>
    </cfRule>
  </conditionalFormatting>
  <conditionalFormatting sqref="AL12">
    <cfRule type="expression" dxfId="32" priority="154">
      <formula>AND(AJ12&lt;&gt;"",AK12&lt;&gt;"",AJ12&lt;AK12)</formula>
    </cfRule>
  </conditionalFormatting>
  <conditionalFormatting sqref="AL15">
    <cfRule type="expression" dxfId="31" priority="67">
      <formula>AND(AJ15&lt;&gt;"",AK15&lt;&gt;"",AJ15&lt;AK15)</formula>
    </cfRule>
  </conditionalFormatting>
  <conditionalFormatting sqref="AL18">
    <cfRule type="expression" dxfId="30" priority="64">
      <formula>AND(AJ18&lt;&gt;"",AK18&lt;&gt;"",AJ18&lt;AK18)</formula>
    </cfRule>
  </conditionalFormatting>
  <conditionalFormatting sqref="AL21">
    <cfRule type="expression" dxfId="29" priority="61">
      <formula>AND(AJ21&lt;&gt;"",AK21&lt;&gt;"",AJ21&lt;AK21)</formula>
    </cfRule>
  </conditionalFormatting>
  <conditionalFormatting sqref="AL24">
    <cfRule type="expression" dxfId="28" priority="58">
      <formula>AND(AJ24&lt;&gt;"",AK24&lt;&gt;"",AJ24&lt;AK24)</formula>
    </cfRule>
  </conditionalFormatting>
  <conditionalFormatting sqref="AL27">
    <cfRule type="expression" dxfId="27" priority="55">
      <formula>AND(AJ27&lt;&gt;"",AK27&lt;&gt;"",AJ27&lt;AK27)</formula>
    </cfRule>
  </conditionalFormatting>
  <conditionalFormatting sqref="AL30">
    <cfRule type="expression" dxfId="26" priority="52">
      <formula>AND(AJ30&lt;&gt;"",AK30&lt;&gt;"",AJ30&lt;AK30)</formula>
    </cfRule>
  </conditionalFormatting>
  <conditionalFormatting sqref="AL33">
    <cfRule type="expression" dxfId="25" priority="49">
      <formula>AND(AJ33&lt;&gt;"",AK33&lt;&gt;"",AJ33&lt;AK33)</formula>
    </cfRule>
  </conditionalFormatting>
  <conditionalFormatting sqref="AL37">
    <cfRule type="expression" dxfId="24" priority="46">
      <formula>AND(AJ37&lt;&gt;"",AK37&lt;&gt;"",AJ37&lt;AK37)</formula>
    </cfRule>
  </conditionalFormatting>
  <conditionalFormatting sqref="AL40">
    <cfRule type="expression" dxfId="23" priority="43">
      <formula>AND(AJ40&lt;&gt;"",AK40&lt;&gt;"",AJ40&lt;AK40)</formula>
    </cfRule>
  </conditionalFormatting>
  <conditionalFormatting sqref="AL43">
    <cfRule type="expression" dxfId="22" priority="40">
      <formula>AND(AJ43&lt;&gt;"",AK43&lt;&gt;"",AJ43&lt;AK43)</formula>
    </cfRule>
  </conditionalFormatting>
  <conditionalFormatting sqref="AL46">
    <cfRule type="expression" dxfId="21" priority="37">
      <formula>AND(AJ46&lt;&gt;"",AK46&lt;&gt;"",AJ46&lt;AK46)</formula>
    </cfRule>
  </conditionalFormatting>
  <conditionalFormatting sqref="AL50">
    <cfRule type="expression" dxfId="20" priority="34">
      <formula>AND(AJ50&lt;&gt;"",AK50&lt;&gt;"",AJ50&lt;AK50)</formula>
    </cfRule>
  </conditionalFormatting>
  <conditionalFormatting sqref="AL53">
    <cfRule type="expression" dxfId="19" priority="31">
      <formula>AND(AJ53&lt;&gt;"",AK53&lt;&gt;"",AJ53&lt;AK53)</formula>
    </cfRule>
  </conditionalFormatting>
  <conditionalFormatting sqref="AL57">
    <cfRule type="expression" dxfId="18" priority="28">
      <formula>AND(AJ57&lt;&gt;"",AK57&lt;&gt;"",AJ57&lt;AK57)</formula>
    </cfRule>
  </conditionalFormatting>
  <dataValidations count="1">
    <dataValidation type="list" allowBlank="1" showInputMessage="1" showErrorMessage="1" sqref="AT9" xr:uid="{DC56E706-E8BB-45DC-9B21-97A0A040F0AB}">
      <formula1>"Yes, No"</formula1>
    </dataValidation>
  </dataValidations>
  <hyperlinks>
    <hyperlink ref="AS16" r:id="rId1" xr:uid="{04086A3F-7D77-4975-9517-7266AF49B979}"/>
    <hyperlink ref="AS18" r:id="rId2" xr:uid="{EA18545D-2C30-4DB8-870E-70A2EBD29EEB}"/>
  </hyperlinks>
  <pageMargins left="0.18" right="0.18" top="0.18" bottom="0.18" header="0.3" footer="0.3"/>
  <pageSetup scale="99"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CY69"/>
  <sheetViews>
    <sheetView showGridLines="0" zoomScaleNormal="100" workbookViewId="0">
      <pane ySplit="4" topLeftCell="A5" activePane="bottomLeft" state="frozen"/>
      <selection pane="bottomLeft" activeCell="H24" sqref="H24"/>
    </sheetView>
  </sheetViews>
  <sheetFormatPr defaultColWidth="9.140625" defaultRowHeight="15" x14ac:dyDescent="0.25"/>
  <cols>
    <col min="1" max="1" width="2.42578125" style="2" customWidth="1"/>
    <col min="2" max="4" width="3.85546875" style="2" customWidth="1"/>
    <col min="5" max="5" width="6.85546875" style="13" customWidth="1"/>
    <col min="6" max="6" width="6.85546875" style="2" customWidth="1"/>
    <col min="7" max="7" width="22.5703125" style="2" customWidth="1"/>
    <col min="8" max="9" width="3.140625" style="2" customWidth="1"/>
    <col min="10" max="10" width="22.5703125" style="2" customWidth="1"/>
    <col min="11" max="12" width="3.140625" style="2" customWidth="1"/>
    <col min="13" max="13" width="27.7109375" style="2" bestFit="1" customWidth="1"/>
    <col min="14" max="14" width="1.5703125" style="2" customWidth="1"/>
    <col min="15" max="15" width="2.5703125" style="2" customWidth="1"/>
    <col min="16" max="19" width="4.5703125" style="2" customWidth="1"/>
    <col min="20" max="20" width="3.140625" style="2" customWidth="1"/>
    <col min="21" max="21" width="3.140625" style="30" customWidth="1"/>
    <col min="22" max="22" width="3.140625" style="31" customWidth="1"/>
    <col min="23" max="24" width="3.140625" style="2" customWidth="1"/>
    <col min="25" max="25" width="1.42578125" style="2" customWidth="1"/>
    <col min="26" max="29" width="3.140625" style="2" customWidth="1"/>
    <col min="30" max="31" width="3.85546875" style="2" customWidth="1"/>
    <col min="32" max="32" width="3" style="2" customWidth="1"/>
    <col min="33" max="97" width="9.140625" style="2" customWidth="1"/>
    <col min="98" max="16384" width="9.140625" style="2"/>
  </cols>
  <sheetData>
    <row r="1" spans="2:103" s="9" customFormat="1" ht="5.0999999999999996" customHeight="1" x14ac:dyDescent="0.2">
      <c r="C1" s="55"/>
    </row>
    <row r="2" spans="2:103" ht="5.0999999999999996" customHeight="1" x14ac:dyDescent="0.25"/>
    <row r="3" spans="2:103" s="3" customFormat="1" ht="30" customHeight="1" x14ac:dyDescent="0.25">
      <c r="B3" s="32" t="str">
        <f>UPPER(INDEX(Language!A1:I110,MATCH("UEFA EURO 2024 FIXTURES",Language!B1:B107,0),MATCH(Setup!D6,Language!A1:H1,0)))</f>
        <v>UEFA EURO 2024 FIXTURES</v>
      </c>
      <c r="C3" s="2"/>
      <c r="D3" s="2"/>
      <c r="E3" s="13"/>
      <c r="F3" s="2"/>
      <c r="G3" s="2"/>
      <c r="H3" s="2"/>
      <c r="I3" s="2"/>
      <c r="J3" s="2"/>
      <c r="K3" s="2"/>
      <c r="L3" s="2"/>
      <c r="M3" s="2"/>
      <c r="N3" s="2"/>
      <c r="O3" s="2"/>
      <c r="P3" s="2"/>
      <c r="Q3" s="2"/>
      <c r="R3" s="2"/>
      <c r="S3" s="2"/>
      <c r="T3" s="2"/>
      <c r="U3" s="30"/>
      <c r="V3" s="31"/>
      <c r="W3" s="2"/>
      <c r="X3" s="2"/>
      <c r="Y3" s="2"/>
      <c r="Z3" s="2"/>
      <c r="AA3" s="2"/>
      <c r="AB3" s="2"/>
      <c r="AC3" s="2"/>
      <c r="AD3" s="2"/>
      <c r="AE3" s="2"/>
      <c r="AF3" s="2"/>
    </row>
    <row r="4" spans="2:103" s="3" customFormat="1" ht="5.0999999999999996" customHeight="1" x14ac:dyDescent="0.25">
      <c r="E4" s="6"/>
      <c r="N4" s="2"/>
      <c r="O4" s="2"/>
      <c r="P4" s="2"/>
      <c r="Q4" s="2"/>
      <c r="R4" s="2"/>
      <c r="S4" s="2"/>
      <c r="T4" s="2"/>
      <c r="U4" s="30"/>
      <c r="V4" s="31"/>
      <c r="W4" s="2"/>
      <c r="X4" s="2"/>
      <c r="Y4" s="2"/>
      <c r="Z4" s="2"/>
      <c r="AA4" s="2"/>
      <c r="AB4" s="2"/>
      <c r="AC4" s="2"/>
      <c r="AD4" s="2"/>
      <c r="AE4" s="2"/>
      <c r="AF4" s="2"/>
    </row>
    <row r="5" spans="2:103" s="3" customFormat="1" ht="14.45" customHeight="1" x14ac:dyDescent="0.25">
      <c r="B5" s="170" t="str">
        <f>INDEX(Language!A1:I110,MATCH("M#",Language!B1:B107,0),MATCH(Setup!D6,Language!A1:H1,0))</f>
        <v>M#</v>
      </c>
      <c r="C5" s="171"/>
      <c r="D5" s="172"/>
      <c r="E5" s="173" t="str">
        <f>INDEX(Language!A1:I110,MATCH("Date",Language!B1:B107,0),MATCH(Setup!D6,Language!A1:H1,0))</f>
        <v>Date</v>
      </c>
      <c r="F5" s="172" t="str">
        <f>INDEX(Language!A1:I110,MATCH("Time",Language!B1:B107,0),MATCH(Setup!D6,Language!A1:H1,0))</f>
        <v>Time</v>
      </c>
      <c r="G5" s="174" t="str">
        <f>INDEX(Language!A1:I110,MATCH("Country",Language!B1:B107,0),MATCH(Setup!D6,Language!A1:H1,0))</f>
        <v>Country</v>
      </c>
      <c r="H5" s="223" t="str">
        <f>INDEX(Language!A1:I110,MATCH("Score",Language!B1:B107,0),MATCH(Setup!D6,Language!A1:H1,0))</f>
        <v>Score</v>
      </c>
      <c r="I5" s="223"/>
      <c r="J5" s="175" t="str">
        <f>INDEX(Language!A1:I110,MATCH("Country",Language!B1:B107,0),MATCH(Setup!D6,Language!A1:H1,0))</f>
        <v>Country</v>
      </c>
      <c r="K5" s="175"/>
      <c r="L5" s="175"/>
      <c r="M5" s="176" t="str">
        <f>INDEX(Language!A1:I110,MATCH("Venue",Language!B1:B107,0),MATCH(Setup!D6,Language!A1:H1,0))</f>
        <v>Venue</v>
      </c>
      <c r="N5" s="177"/>
      <c r="O5" s="178" t="str">
        <f>INDEX(Language!A1:I110,MATCH("Standings",Language!B1:B107,0),MATCH(Setup!D6,Language!A1:H1,0))</f>
        <v>Standings</v>
      </c>
      <c r="P5" s="178"/>
      <c r="Q5" s="178"/>
      <c r="R5" s="179"/>
      <c r="S5" s="179"/>
      <c r="T5" s="179"/>
      <c r="U5" s="179"/>
      <c r="V5" s="179"/>
      <c r="W5" s="179"/>
      <c r="X5" s="179"/>
      <c r="Y5" s="179"/>
      <c r="Z5" s="179"/>
      <c r="AA5" s="179"/>
      <c r="AB5" s="179"/>
      <c r="AC5" s="179"/>
      <c r="AE5" s="2"/>
      <c r="CY5" s="2"/>
    </row>
    <row r="6" spans="2:103" s="3" customFormat="1" ht="14.45" customHeight="1" x14ac:dyDescent="0.25">
      <c r="B6" s="170" t="str">
        <f>INDEX(Language!A1:I110,MATCH("Group Stages",Language!B1:B107,0),MATCH(Setup!D6,Language!A1:H1,0))</f>
        <v>Group Stages</v>
      </c>
      <c r="C6" s="171"/>
      <c r="D6" s="172"/>
      <c r="E6" s="173"/>
      <c r="F6" s="172"/>
      <c r="G6" s="174"/>
      <c r="H6" s="172"/>
      <c r="I6" s="172"/>
      <c r="J6" s="175"/>
      <c r="K6" s="175"/>
      <c r="L6" s="175"/>
      <c r="M6" s="176"/>
      <c r="N6" s="1"/>
      <c r="O6" s="222" t="str">
        <f>INDEX(Language!A1:I110,MATCH("Group A",Language!B1:B107,0),MATCH(Setup!D6,Language!A1:H1,0))</f>
        <v>Group A</v>
      </c>
      <c r="P6" s="222"/>
      <c r="Q6" s="222"/>
      <c r="R6" s="222"/>
      <c r="S6" s="222"/>
      <c r="T6" s="137" t="s">
        <v>0</v>
      </c>
      <c r="U6" s="137" t="s">
        <v>12</v>
      </c>
      <c r="V6" s="137" t="s">
        <v>13</v>
      </c>
      <c r="W6" s="137" t="s">
        <v>14</v>
      </c>
      <c r="X6" s="137" t="s">
        <v>113</v>
      </c>
      <c r="Y6" s="137"/>
      <c r="Z6" s="137" t="s">
        <v>15</v>
      </c>
      <c r="AA6" s="181" t="s">
        <v>33</v>
      </c>
      <c r="AB6" s="137" t="s">
        <v>23</v>
      </c>
      <c r="AC6" s="130"/>
      <c r="AE6" s="2"/>
      <c r="CY6" s="2"/>
    </row>
    <row r="7" spans="2:103" s="3" customFormat="1" ht="14.45" customHeight="1" thickBot="1" x14ac:dyDescent="0.3">
      <c r="B7" s="123">
        <v>1</v>
      </c>
      <c r="C7" s="227" t="s">
        <v>15</v>
      </c>
      <c r="D7" s="227"/>
      <c r="E7" s="124">
        <f>F7</f>
        <v>45457.875</v>
      </c>
      <c r="F7" s="125">
        <f>'Dummy Table'!EM7</f>
        <v>45457.875</v>
      </c>
      <c r="G7" s="126" t="str">
        <f>INDEX(Language!A1:H110,MATCH(Setup!C17,Language!B1:B107,0),MATCH(Setup!D6,Language!A1:H1,0))</f>
        <v>Germany</v>
      </c>
      <c r="H7" s="127" t="str">
        <f>IF(Matches!I10&lt;&gt;"",Matches!I10,"")</f>
        <v/>
      </c>
      <c r="I7" s="127" t="str">
        <f>IF(Matches!J10&lt;&gt;"",Matches!J10,"")</f>
        <v/>
      </c>
      <c r="J7" s="128" t="str">
        <f>INDEX(Language!A1:H110,MATCH(Setup!C23,Language!B1:B107,0),MATCH(Setup!D6,Language!A1:H1,0))</f>
        <v>Scotland</v>
      </c>
      <c r="K7" s="128"/>
      <c r="L7" s="128"/>
      <c r="M7" s="129" t="s">
        <v>835</v>
      </c>
      <c r="N7" s="1"/>
      <c r="O7" s="130">
        <v>1</v>
      </c>
      <c r="P7" s="220" t="str">
        <f>VLOOKUP(1,'Dummy Table'!A4:B8,2,FALSE)</f>
        <v>Germany</v>
      </c>
      <c r="Q7" s="220"/>
      <c r="R7" s="220"/>
      <c r="S7" s="220"/>
      <c r="T7" s="137">
        <f>SUM(U7:W7)</f>
        <v>0</v>
      </c>
      <c r="U7" s="137">
        <f>VLOOKUP(P7,'Dummy Table'!B4:C40,2,FALSE)</f>
        <v>0</v>
      </c>
      <c r="V7" s="137">
        <f>VLOOKUP(P7,'Dummy Table'!B4:D40,3,FALSE)</f>
        <v>0</v>
      </c>
      <c r="W7" s="137">
        <f>VLOOKUP(P7,'Dummy Table'!B4:E40,4,FALSE)</f>
        <v>0</v>
      </c>
      <c r="X7" s="137">
        <f>VLOOKUP(P7,'Dummy Table'!B4:F40,5,FALSE)</f>
        <v>0</v>
      </c>
      <c r="Y7" s="181" t="s">
        <v>17</v>
      </c>
      <c r="Z7" s="137">
        <f>VLOOKUP(P7,'Dummy Table'!B4:G40,6,FALSE)</f>
        <v>0</v>
      </c>
      <c r="AA7" s="137">
        <f>X7-Z7</f>
        <v>0</v>
      </c>
      <c r="AB7" s="137">
        <f>U7*3+V7*1</f>
        <v>0</v>
      </c>
      <c r="AC7" s="131"/>
      <c r="AE7" s="2"/>
      <c r="CY7" s="2"/>
    </row>
    <row r="8" spans="2:103" s="3" customFormat="1" ht="14.45" customHeight="1" thickBot="1" x14ac:dyDescent="0.3">
      <c r="B8" s="132">
        <v>2</v>
      </c>
      <c r="C8" s="228" t="s">
        <v>15</v>
      </c>
      <c r="D8" s="228"/>
      <c r="E8" s="133">
        <f t="shared" ref="E8:E58" si="0">F8</f>
        <v>45458.625</v>
      </c>
      <c r="F8" s="134">
        <f>'Dummy Table'!EM8</f>
        <v>45458.625</v>
      </c>
      <c r="G8" s="135" t="str">
        <f>INDEX(Language!A1:H110,MATCH(Setup!C18,Language!B1:B107,0),MATCH(Setup!D6,Language!A1:H1,0))</f>
        <v>Hungary</v>
      </c>
      <c r="H8" s="127" t="str">
        <f>IF(Matches!I12&lt;&gt;"",Matches!I12,"")</f>
        <v/>
      </c>
      <c r="I8" s="127" t="str">
        <f>IF(Matches!J12&lt;&gt;"",Matches!J12,"")</f>
        <v/>
      </c>
      <c r="J8" s="3" t="str">
        <f>INDEX(Language!A1:H110,MATCH(Setup!C28,Language!B1:B107,0),MATCH(Setup!D6,Language!A1:H1,0))</f>
        <v>Switzerland</v>
      </c>
      <c r="M8" s="136" t="s">
        <v>836</v>
      </c>
      <c r="N8" s="1"/>
      <c r="O8" s="130">
        <v>2</v>
      </c>
      <c r="P8" s="220" t="str">
        <f>VLOOKUP(2,'Dummy Table'!A4:B8,2,FALSE)</f>
        <v>Hungary</v>
      </c>
      <c r="Q8" s="220"/>
      <c r="R8" s="220"/>
      <c r="S8" s="220"/>
      <c r="T8" s="137">
        <f t="shared" ref="T8:T10" si="1">SUM(U8:W8)</f>
        <v>0</v>
      </c>
      <c r="U8" s="137">
        <f>VLOOKUP(P8,'Dummy Table'!B4:C40,2,FALSE)</f>
        <v>0</v>
      </c>
      <c r="V8" s="137">
        <f>VLOOKUP(P8,'Dummy Table'!B4:D40,3,FALSE)</f>
        <v>0</v>
      </c>
      <c r="W8" s="137">
        <f>VLOOKUP(P8,'Dummy Table'!B4:E40,4,FALSE)</f>
        <v>0</v>
      </c>
      <c r="X8" s="137">
        <f>VLOOKUP(P8,'Dummy Table'!B4:F40,5,FALSE)</f>
        <v>0</v>
      </c>
      <c r="Y8" s="137" t="s">
        <v>17</v>
      </c>
      <c r="Z8" s="137">
        <f>VLOOKUP(P8,'Dummy Table'!B4:G40,6,FALSE)</f>
        <v>0</v>
      </c>
      <c r="AA8" s="137">
        <f t="shared" ref="AA8:AA10" si="2">X8-Z8</f>
        <v>0</v>
      </c>
      <c r="AB8" s="137">
        <f>U8*3+V8*1</f>
        <v>0</v>
      </c>
      <c r="AC8" s="131"/>
      <c r="AE8" s="2"/>
      <c r="CY8" s="2"/>
    </row>
    <row r="9" spans="2:103" s="3" customFormat="1" ht="14.45" customHeight="1" thickBot="1" x14ac:dyDescent="0.3">
      <c r="B9" s="132">
        <v>3</v>
      </c>
      <c r="C9" s="228" t="s">
        <v>3</v>
      </c>
      <c r="D9" s="228"/>
      <c r="E9" s="133">
        <f t="shared" si="0"/>
        <v>45458.75</v>
      </c>
      <c r="F9" s="134">
        <f>'Dummy Table'!EM9</f>
        <v>45458.75</v>
      </c>
      <c r="G9" s="135" t="str">
        <f>INDEX(Language!A1:H110,MATCH(Setup!C27,Language!B1:B107,0),MATCH(Setup!D6,Language!A1:H1,0))</f>
        <v>Spain</v>
      </c>
      <c r="H9" s="127" t="str">
        <f>IF(Matches!W10&lt;&gt;"",Matches!W10,"")</f>
        <v/>
      </c>
      <c r="I9" s="127" t="str">
        <f>IF(Matches!X10&lt;&gt;"",Matches!X10,"")</f>
        <v/>
      </c>
      <c r="J9" s="3" t="str">
        <f>INDEX(Language!A1:H110,MATCH(Setup!C12,Language!B1:B107,0),MATCH(Setup!D6,Language!A1:H1,0))</f>
        <v>Croatia</v>
      </c>
      <c r="M9" s="138" t="s">
        <v>837</v>
      </c>
      <c r="N9" s="1"/>
      <c r="O9" s="130">
        <v>3</v>
      </c>
      <c r="P9" s="221" t="str">
        <f>VLOOKUP(3,'Dummy Table'!A4:B8,2,FALSE)</f>
        <v>Scotland</v>
      </c>
      <c r="Q9" s="221"/>
      <c r="R9" s="221"/>
      <c r="S9" s="221"/>
      <c r="T9" s="130">
        <f t="shared" si="1"/>
        <v>0</v>
      </c>
      <c r="U9" s="130">
        <f>VLOOKUP(P9,'Dummy Table'!B4:C40,2,FALSE)</f>
        <v>0</v>
      </c>
      <c r="V9" s="130">
        <f>VLOOKUP(P9,'Dummy Table'!B4:D40,3,FALSE)</f>
        <v>0</v>
      </c>
      <c r="W9" s="130">
        <f>VLOOKUP(P9,'Dummy Table'!B4:E40,4,FALSE)</f>
        <v>0</v>
      </c>
      <c r="X9" s="130">
        <f>VLOOKUP(P9,'Dummy Table'!B4:F40,5,FALSE)</f>
        <v>0</v>
      </c>
      <c r="Y9" s="130" t="s">
        <v>17</v>
      </c>
      <c r="Z9" s="130">
        <f>VLOOKUP(P9,'Dummy Table'!B4:G40,6,FALSE)</f>
        <v>0</v>
      </c>
      <c r="AA9" s="130">
        <f t="shared" si="2"/>
        <v>0</v>
      </c>
      <c r="AB9" s="130">
        <f>U9*3+V9*1</f>
        <v>0</v>
      </c>
      <c r="AC9" s="131"/>
      <c r="AE9" s="2"/>
      <c r="CY9" s="2"/>
    </row>
    <row r="10" spans="2:103" s="3" customFormat="1" ht="14.45" customHeight="1" thickBot="1" x14ac:dyDescent="0.3">
      <c r="B10" s="132">
        <v>4</v>
      </c>
      <c r="C10" s="228" t="s">
        <v>3</v>
      </c>
      <c r="D10" s="228"/>
      <c r="E10" s="133">
        <f t="shared" si="0"/>
        <v>45458.875</v>
      </c>
      <c r="F10" s="134">
        <f>'Dummy Table'!EM10</f>
        <v>45458.875</v>
      </c>
      <c r="G10" s="135" t="str">
        <f>INDEX(Language!A1:H110,MATCH(Setup!C19,Language!B1:B107,0),MATCH(Setup!D6,Language!A1:H1,0))</f>
        <v>Italy</v>
      </c>
      <c r="H10" s="127" t="str">
        <f>IF(Matches!W12&lt;&gt;"",Matches!W12,"")</f>
        <v/>
      </c>
      <c r="I10" s="127" t="str">
        <f>IF(Matches!X12&lt;&gt;"",Matches!X12,"")</f>
        <v/>
      </c>
      <c r="J10" s="3" t="str">
        <f>INDEX(Language!A1:H110,MATCH(Setup!C9,Language!B1:B107,0),MATCH(Setup!D6,Language!A1:H1,0))</f>
        <v>Albania</v>
      </c>
      <c r="M10" s="138" t="s">
        <v>838</v>
      </c>
      <c r="N10" s="1"/>
      <c r="O10" s="130">
        <v>4</v>
      </c>
      <c r="P10" s="221" t="str">
        <f>VLOOKUP(4,'Dummy Table'!A4:B8,2,FALSE)</f>
        <v>Switzerland</v>
      </c>
      <c r="Q10" s="221"/>
      <c r="R10" s="221"/>
      <c r="S10" s="221"/>
      <c r="T10" s="130">
        <f t="shared" si="1"/>
        <v>0</v>
      </c>
      <c r="U10" s="130">
        <f>VLOOKUP(P10,'Dummy Table'!B4:C40,2,FALSE)</f>
        <v>0</v>
      </c>
      <c r="V10" s="130">
        <f>VLOOKUP(P10,'Dummy Table'!B4:D40,3,FALSE)</f>
        <v>0</v>
      </c>
      <c r="W10" s="130">
        <f>VLOOKUP(P10,'Dummy Table'!B4:E40,4,FALSE)</f>
        <v>0</v>
      </c>
      <c r="X10" s="130">
        <f>VLOOKUP(P10,'Dummy Table'!B4:F40,5,FALSE)</f>
        <v>0</v>
      </c>
      <c r="Y10" s="130" t="s">
        <v>17</v>
      </c>
      <c r="Z10" s="130">
        <f>VLOOKUP(P10,'Dummy Table'!B4:G40,6,FALSE)</f>
        <v>0</v>
      </c>
      <c r="AA10" s="130">
        <f t="shared" si="2"/>
        <v>0</v>
      </c>
      <c r="AB10" s="130">
        <f>U10*3+V10*1</f>
        <v>0</v>
      </c>
      <c r="AC10" s="131"/>
      <c r="AE10" s="2"/>
      <c r="CY10" s="2"/>
    </row>
    <row r="11" spans="2:103" s="3" customFormat="1" ht="14.45" customHeight="1" thickBot="1" x14ac:dyDescent="0.3">
      <c r="B11" s="132">
        <v>5</v>
      </c>
      <c r="C11" s="228" t="s">
        <v>13</v>
      </c>
      <c r="D11" s="228"/>
      <c r="E11" s="133">
        <f t="shared" si="0"/>
        <v>45459.875</v>
      </c>
      <c r="F11" s="134">
        <f>'Dummy Table'!EM11</f>
        <v>45459.875</v>
      </c>
      <c r="G11" s="135" t="str">
        <f>INDEX(Language!A1:H110,MATCH(Setup!C24,Language!B1:B107,0),MATCH(Setup!D6,Language!A1:H1,0))</f>
        <v>Serbia</v>
      </c>
      <c r="H11" s="127" t="str">
        <f>IF(Matches!I30&lt;&gt;"",Matches!I30,"")</f>
        <v/>
      </c>
      <c r="I11" s="127" t="str">
        <f>IF(Matches!J30&lt;&gt;"",Matches!J30,"")</f>
        <v/>
      </c>
      <c r="J11" s="3" t="str">
        <f>INDEX(Language!A1:H110,MATCH(Setup!C15,Language!B1:B107,0),MATCH(Setup!D6,Language!A1:H1,0))</f>
        <v>England</v>
      </c>
      <c r="M11" s="138" t="s">
        <v>841</v>
      </c>
      <c r="N11" s="1"/>
      <c r="O11" s="222" t="str">
        <f>INDEX(Language!A1:I110,MATCH("Group B",Language!B1:B107,0),MATCH(Setup!D6,Language!A1:H1,0))</f>
        <v>Group B</v>
      </c>
      <c r="P11" s="222"/>
      <c r="Q11" s="222"/>
      <c r="R11" s="222"/>
      <c r="S11" s="222"/>
      <c r="T11" s="137" t="s">
        <v>0</v>
      </c>
      <c r="U11" s="137" t="s">
        <v>12</v>
      </c>
      <c r="V11" s="137" t="s">
        <v>13</v>
      </c>
      <c r="W11" s="137" t="s">
        <v>14</v>
      </c>
      <c r="X11" s="137" t="s">
        <v>113</v>
      </c>
      <c r="Y11" s="137"/>
      <c r="Z11" s="137" t="s">
        <v>15</v>
      </c>
      <c r="AA11" s="181" t="s">
        <v>33</v>
      </c>
      <c r="AB11" s="137" t="s">
        <v>23</v>
      </c>
      <c r="AC11" s="131"/>
      <c r="AE11" s="2"/>
      <c r="CY11" s="2"/>
    </row>
    <row r="12" spans="2:103" s="3" customFormat="1" ht="14.45" customHeight="1" thickBot="1" x14ac:dyDescent="0.3">
      <c r="B12" s="132">
        <v>6</v>
      </c>
      <c r="C12" s="228" t="s">
        <v>4</v>
      </c>
      <c r="D12" s="228"/>
      <c r="E12" s="133">
        <f t="shared" si="0"/>
        <v>45459.75</v>
      </c>
      <c r="F12" s="134">
        <f>'Dummy Table'!EM12</f>
        <v>45459.75</v>
      </c>
      <c r="G12" s="135" t="str">
        <f>INDEX(Language!A1:H110,MATCH(Setup!C26,Language!B1:B107,0),MATCH(Setup!D6,Language!A1:H1,0))</f>
        <v>Slovenia</v>
      </c>
      <c r="H12" s="127" t="str">
        <f>IF(Matches!I28&lt;&gt;"",Matches!I28,"")</f>
        <v/>
      </c>
      <c r="I12" s="127" t="str">
        <f>IF(Matches!J28&lt;&gt;"",Matches!J28,"")</f>
        <v/>
      </c>
      <c r="J12" s="3" t="str">
        <f>INDEX(Language!A1:H110,MATCH(Setup!C14,Language!B1:B107,0),MATCH(Setup!D6,Language!A1:H1,0))</f>
        <v>Denmark</v>
      </c>
      <c r="M12" s="138" t="s">
        <v>840</v>
      </c>
      <c r="N12" s="1"/>
      <c r="O12" s="130">
        <v>1</v>
      </c>
      <c r="P12" s="220" t="str">
        <f>VLOOKUP(1,'Dummy Table'!A11:B15,2,FALSE)</f>
        <v>Spain</v>
      </c>
      <c r="Q12" s="220"/>
      <c r="R12" s="220"/>
      <c r="S12" s="220"/>
      <c r="T12" s="137">
        <f>SUM(U12:W12)</f>
        <v>0</v>
      </c>
      <c r="U12" s="137">
        <f>VLOOKUP(P12,'Dummy Table'!B4:C40,2,FALSE)</f>
        <v>0</v>
      </c>
      <c r="V12" s="137">
        <f>VLOOKUP(P12,'Dummy Table'!B4:D40,3,FALSE)</f>
        <v>0</v>
      </c>
      <c r="W12" s="137">
        <f>VLOOKUP(P12,'Dummy Table'!B4:E40,4,FALSE)</f>
        <v>0</v>
      </c>
      <c r="X12" s="137">
        <f>VLOOKUP(P12,'Dummy Table'!B4:F40,5,FALSE)</f>
        <v>0</v>
      </c>
      <c r="Y12" s="181" t="s">
        <v>17</v>
      </c>
      <c r="Z12" s="137">
        <f>VLOOKUP(P12,'Dummy Table'!B4:G40,6,FALSE)</f>
        <v>0</v>
      </c>
      <c r="AA12" s="137">
        <f>X12-Z12</f>
        <v>0</v>
      </c>
      <c r="AB12" s="137">
        <f>U12*3+V12*1</f>
        <v>0</v>
      </c>
      <c r="AC12" s="131"/>
      <c r="AE12" s="2"/>
      <c r="CY12" s="2"/>
    </row>
    <row r="13" spans="2:103" s="3" customFormat="1" ht="14.45" customHeight="1" thickBot="1" x14ac:dyDescent="0.3">
      <c r="B13" s="132">
        <v>7</v>
      </c>
      <c r="C13" s="228" t="s">
        <v>4</v>
      </c>
      <c r="D13" s="228"/>
      <c r="E13" s="133">
        <f t="shared" si="0"/>
        <v>45459.625</v>
      </c>
      <c r="F13" s="134">
        <f>'Dummy Table'!EM13</f>
        <v>45459.625</v>
      </c>
      <c r="G13" s="135" t="str">
        <f>INDEX(Language!A1:H110,MATCH(Setup!C30,Language!B1:B107,0),MATCH(Setup!D6,Language!A1:H1,0))</f>
        <v>Poland</v>
      </c>
      <c r="H13" s="127" t="str">
        <f>IF(Matches!W28&lt;&gt;"",Matches!W28,"")</f>
        <v/>
      </c>
      <c r="I13" s="127" t="str">
        <f>IF(Matches!X28&lt;&gt;"",Matches!X28,"")</f>
        <v/>
      </c>
      <c r="J13" s="3" t="str">
        <f>INDEX(Language!A1:H110,MATCH(Setup!C20,Language!B1:B107,0),MATCH(Setup!D6,Language!A1:H1,0))</f>
        <v>Netherlands</v>
      </c>
      <c r="M13" s="138" t="s">
        <v>839</v>
      </c>
      <c r="N13" s="1"/>
      <c r="O13" s="130">
        <v>2</v>
      </c>
      <c r="P13" s="220" t="str">
        <f>VLOOKUP(2,'Dummy Table'!A11:B15,2,FALSE)</f>
        <v>Albania</v>
      </c>
      <c r="Q13" s="220"/>
      <c r="R13" s="220"/>
      <c r="S13" s="220"/>
      <c r="T13" s="137">
        <f t="shared" ref="T13:T15" si="3">SUM(U13:W13)</f>
        <v>0</v>
      </c>
      <c r="U13" s="137">
        <f>VLOOKUP(P13,'Dummy Table'!B4:C40,2,FALSE)</f>
        <v>0</v>
      </c>
      <c r="V13" s="137">
        <f>VLOOKUP(P13,'Dummy Table'!B4:D40,3,FALSE)</f>
        <v>0</v>
      </c>
      <c r="W13" s="137">
        <f>VLOOKUP(P13,'Dummy Table'!B4:E40,4,FALSE)</f>
        <v>0</v>
      </c>
      <c r="X13" s="137">
        <f>VLOOKUP(P13,'Dummy Table'!B4:F40,5,FALSE)</f>
        <v>0</v>
      </c>
      <c r="Y13" s="137" t="s">
        <v>17</v>
      </c>
      <c r="Z13" s="137">
        <f>VLOOKUP(P13,'Dummy Table'!B4:G40,6,FALSE)</f>
        <v>0</v>
      </c>
      <c r="AA13" s="137">
        <f t="shared" ref="AA13:AA15" si="4">X13-Z13</f>
        <v>0</v>
      </c>
      <c r="AB13" s="137">
        <f>U13*3+V13*1</f>
        <v>0</v>
      </c>
      <c r="AC13" s="131"/>
      <c r="AE13" s="2"/>
      <c r="CY13" s="2"/>
    </row>
    <row r="14" spans="2:103" s="3" customFormat="1" ht="14.45" customHeight="1" thickBot="1" x14ac:dyDescent="0.3">
      <c r="B14" s="132">
        <v>8</v>
      </c>
      <c r="C14" s="228" t="s">
        <v>108</v>
      </c>
      <c r="D14" s="228"/>
      <c r="E14" s="133">
        <f t="shared" si="0"/>
        <v>45460.875</v>
      </c>
      <c r="F14" s="134">
        <f>'Dummy Table'!EM14</f>
        <v>45460.875</v>
      </c>
      <c r="G14" s="135" t="str">
        <f>INDEX(Language!A1:H110,MATCH(Setup!C10,Language!B1:B107,0),MATCH(Setup!D6,Language!A1:H1,0))</f>
        <v>Austria</v>
      </c>
      <c r="H14" s="127" t="str">
        <f>IF(Matches!W30&lt;&gt;"",Matches!W30,"")</f>
        <v/>
      </c>
      <c r="I14" s="127" t="str">
        <f>IF(Matches!X30&lt;&gt;"",Matches!X30,"")</f>
        <v/>
      </c>
      <c r="J14" s="3" t="str">
        <f>INDEX(Language!A1:H110,MATCH(Setup!C16,Language!B1:B107,0),MATCH(Setup!D6,Language!A1:H1,0))</f>
        <v>France</v>
      </c>
      <c r="M14" s="138" t="s">
        <v>843</v>
      </c>
      <c r="N14" s="1"/>
      <c r="O14" s="130">
        <v>3</v>
      </c>
      <c r="P14" s="221" t="str">
        <f>VLOOKUP(3,'Dummy Table'!A11:B15,2,FALSE)</f>
        <v>Croatia</v>
      </c>
      <c r="Q14" s="221"/>
      <c r="R14" s="221"/>
      <c r="S14" s="221"/>
      <c r="T14" s="130">
        <f t="shared" si="3"/>
        <v>0</v>
      </c>
      <c r="U14" s="130">
        <f>VLOOKUP(P14,'Dummy Table'!B4:C40,2,FALSE)</f>
        <v>0</v>
      </c>
      <c r="V14" s="130">
        <f>VLOOKUP(P14,'Dummy Table'!B4:D40,3,FALSE)</f>
        <v>0</v>
      </c>
      <c r="W14" s="130">
        <f>VLOOKUP(P14,'Dummy Table'!B4:E40,4,FALSE)</f>
        <v>0</v>
      </c>
      <c r="X14" s="130">
        <f>VLOOKUP(P14,'Dummy Table'!B4:F40,5,FALSE)</f>
        <v>0</v>
      </c>
      <c r="Y14" s="130" t="s">
        <v>17</v>
      </c>
      <c r="Z14" s="130">
        <f>VLOOKUP(P14,'Dummy Table'!B4:G40,6,FALSE)</f>
        <v>0</v>
      </c>
      <c r="AA14" s="130">
        <f t="shared" si="4"/>
        <v>0</v>
      </c>
      <c r="AB14" s="130">
        <f>U14*3+V14*1</f>
        <v>0</v>
      </c>
      <c r="AC14" s="131"/>
      <c r="AE14" s="2"/>
      <c r="CY14" s="2"/>
    </row>
    <row r="15" spans="2:103" s="3" customFormat="1" ht="14.45" customHeight="1" thickBot="1" x14ac:dyDescent="0.3">
      <c r="B15" s="132">
        <v>9</v>
      </c>
      <c r="C15" s="228" t="s">
        <v>108</v>
      </c>
      <c r="D15" s="228"/>
      <c r="E15" s="133">
        <f t="shared" si="0"/>
        <v>45460.75</v>
      </c>
      <c r="F15" s="134">
        <f>'Dummy Table'!EM15</f>
        <v>45460.75</v>
      </c>
      <c r="G15" s="135" t="str">
        <f>INDEX(Language!A1:H110,MATCH(Setup!C11,Language!B1:B107,0),MATCH(Setup!D6,Language!A1:H1,0))</f>
        <v>Belgium</v>
      </c>
      <c r="H15" s="127" t="str">
        <f>IF(Matches!I48&lt;&gt;"",Matches!I48,"")</f>
        <v/>
      </c>
      <c r="I15" s="127" t="str">
        <f>IF(Matches!J48&lt;&gt;"",Matches!J48,"")</f>
        <v/>
      </c>
      <c r="J15" s="3" t="str">
        <f>INDEX(Language!A1:H110,MATCH(Setup!C25,Language!B1:B107,0),MATCH(Setup!D6,Language!A1:H1,0))</f>
        <v>Slovakia</v>
      </c>
      <c r="M15" s="138" t="s">
        <v>842</v>
      </c>
      <c r="N15" s="1"/>
      <c r="O15" s="130">
        <v>4</v>
      </c>
      <c r="P15" s="221" t="str">
        <f>VLOOKUP(4,'Dummy Table'!A11:B15,2,FALSE)</f>
        <v>Italy</v>
      </c>
      <c r="Q15" s="221"/>
      <c r="R15" s="221"/>
      <c r="S15" s="221"/>
      <c r="T15" s="130">
        <f t="shared" si="3"/>
        <v>0</v>
      </c>
      <c r="U15" s="130">
        <f>VLOOKUP(P15,'Dummy Table'!B4:C40,2,FALSE)</f>
        <v>0</v>
      </c>
      <c r="V15" s="130">
        <f>VLOOKUP(P15,'Dummy Table'!B4:D40,3,FALSE)</f>
        <v>0</v>
      </c>
      <c r="W15" s="130">
        <f>VLOOKUP(P15,'Dummy Table'!B4:E40,4,FALSE)</f>
        <v>0</v>
      </c>
      <c r="X15" s="130">
        <f>VLOOKUP(P15,'Dummy Table'!B4:F40,5,FALSE)</f>
        <v>0</v>
      </c>
      <c r="Y15" s="130" t="s">
        <v>17</v>
      </c>
      <c r="Z15" s="130">
        <f>VLOOKUP(P15,'Dummy Table'!B4:G40,6,FALSE)</f>
        <v>0</v>
      </c>
      <c r="AA15" s="130">
        <f t="shared" si="4"/>
        <v>0</v>
      </c>
      <c r="AB15" s="130">
        <f>U15*3+V15*1</f>
        <v>0</v>
      </c>
      <c r="AC15" s="131"/>
      <c r="AE15" s="2"/>
      <c r="CY15" s="2"/>
    </row>
    <row r="16" spans="2:103" s="3" customFormat="1" ht="14.45" customHeight="1" thickBot="1" x14ac:dyDescent="0.3">
      <c r="B16" s="132">
        <v>10</v>
      </c>
      <c r="C16" s="228" t="s">
        <v>13</v>
      </c>
      <c r="D16" s="228"/>
      <c r="E16" s="133">
        <f t="shared" si="0"/>
        <v>45460.625</v>
      </c>
      <c r="F16" s="134">
        <f>'Dummy Table'!EM16</f>
        <v>45460.625</v>
      </c>
      <c r="G16" s="135" t="str">
        <f>INDEX(Language!A1:H110,MATCH(Setup!C22,Language!B1:B107,0),MATCH(Setup!D6,Language!A1:H1,0))</f>
        <v>Romania</v>
      </c>
      <c r="H16" s="127" t="str">
        <f>IF(Matches!I46&lt;&gt;"",Matches!I46,"")</f>
        <v/>
      </c>
      <c r="I16" s="127" t="str">
        <f>IF(Matches!J46&lt;&gt;"",Matches!J46,"")</f>
        <v/>
      </c>
      <c r="J16" s="3" t="str">
        <f>INDEX(Language!A1:H110,MATCH(Setup!C31,Language!B1:B107,0),MATCH(Setup!D6,Language!A1:H1,0))</f>
        <v>Ukraine</v>
      </c>
      <c r="M16" s="138" t="s">
        <v>835</v>
      </c>
      <c r="N16" s="1"/>
      <c r="O16" s="222" t="str">
        <f>INDEX(Language!A1:I110,MATCH("Group C",Language!B1:B107,0),MATCH(Setup!D6,Language!A1:H1,0))</f>
        <v>Group C</v>
      </c>
      <c r="P16" s="222"/>
      <c r="Q16" s="222"/>
      <c r="R16" s="222"/>
      <c r="S16" s="222"/>
      <c r="T16" s="137" t="s">
        <v>0</v>
      </c>
      <c r="U16" s="137" t="s">
        <v>12</v>
      </c>
      <c r="V16" s="137" t="s">
        <v>13</v>
      </c>
      <c r="W16" s="137" t="s">
        <v>14</v>
      </c>
      <c r="X16" s="137" t="s">
        <v>113</v>
      </c>
      <c r="Y16" s="137"/>
      <c r="Z16" s="137" t="s">
        <v>15</v>
      </c>
      <c r="AA16" s="181" t="s">
        <v>33</v>
      </c>
      <c r="AB16" s="137" t="s">
        <v>23</v>
      </c>
      <c r="AC16" s="131"/>
      <c r="AE16" s="2"/>
      <c r="CY16" s="2"/>
    </row>
    <row r="17" spans="2:103" s="3" customFormat="1" ht="14.45" customHeight="1" thickBot="1" x14ac:dyDescent="0.3">
      <c r="B17" s="132">
        <v>11</v>
      </c>
      <c r="C17" s="228" t="s">
        <v>113</v>
      </c>
      <c r="D17" s="228"/>
      <c r="E17" s="133">
        <f t="shared" si="0"/>
        <v>45461.75</v>
      </c>
      <c r="F17" s="134">
        <f>'Dummy Table'!EM17</f>
        <v>45461.75</v>
      </c>
      <c r="G17" s="135" t="str">
        <f>INDEX(Language!A1:H110,MATCH(Setup!C29,Language!B1:B107,0),MATCH(Setup!D6,Language!A1:H1,0))</f>
        <v>Türkiye</v>
      </c>
      <c r="H17" s="127" t="str">
        <f>IF(Matches!W46&lt;&gt;"",Matches!W46,"")</f>
        <v/>
      </c>
      <c r="I17" s="127" t="str">
        <f>IF(Matches!X46&lt;&gt;"",Matches!X46,"")</f>
        <v/>
      </c>
      <c r="J17" s="3" t="str">
        <f>INDEX(Language!A1:H110,MATCH(Setup!C32,Language!B1:B107,0),MATCH(Setup!D6,Language!A1:H1,0))</f>
        <v>Georgia</v>
      </c>
      <c r="M17" s="138" t="s">
        <v>838</v>
      </c>
      <c r="N17" s="1"/>
      <c r="O17" s="130">
        <v>1</v>
      </c>
      <c r="P17" s="220" t="str">
        <f>VLOOKUP(1,'Dummy Table'!A18:B22,2,FALSE)</f>
        <v>England</v>
      </c>
      <c r="Q17" s="220"/>
      <c r="R17" s="220"/>
      <c r="S17" s="220"/>
      <c r="T17" s="137">
        <f>SUM(U17:W17)</f>
        <v>0</v>
      </c>
      <c r="U17" s="137">
        <f>VLOOKUP(P17,'Dummy Table'!B4:C40,2,FALSE)</f>
        <v>0</v>
      </c>
      <c r="V17" s="137">
        <f>VLOOKUP(P17,'Dummy Table'!B4:D40,3,FALSE)</f>
        <v>0</v>
      </c>
      <c r="W17" s="137">
        <f>VLOOKUP(P17,'Dummy Table'!B4:E40,4,FALSE)</f>
        <v>0</v>
      </c>
      <c r="X17" s="137">
        <f>VLOOKUP(P17,'Dummy Table'!B4:F40,5,FALSE)</f>
        <v>0</v>
      </c>
      <c r="Y17" s="181" t="s">
        <v>17</v>
      </c>
      <c r="Z17" s="137">
        <f>VLOOKUP(P17,'Dummy Table'!B4:G40,6,FALSE)</f>
        <v>0</v>
      </c>
      <c r="AA17" s="137">
        <f>X17-Z17</f>
        <v>0</v>
      </c>
      <c r="AB17" s="137">
        <f>U17*3+V17*1</f>
        <v>0</v>
      </c>
      <c r="AC17" s="131"/>
      <c r="AE17" s="2"/>
      <c r="CY17" s="2"/>
    </row>
    <row r="18" spans="2:103" s="3" customFormat="1" ht="14.45" customHeight="1" thickBot="1" x14ac:dyDescent="0.3">
      <c r="B18" s="132">
        <v>12</v>
      </c>
      <c r="C18" s="228" t="s">
        <v>113</v>
      </c>
      <c r="D18" s="228"/>
      <c r="E18" s="133">
        <f t="shared" si="0"/>
        <v>45461.875</v>
      </c>
      <c r="F18" s="134">
        <f>'Dummy Table'!EM18</f>
        <v>45461.875</v>
      </c>
      <c r="G18" s="135" t="str">
        <f>INDEX(Language!A1:H110,MATCH(Setup!C21,Language!B1:B107,0),MATCH(Setup!D6,Language!A1:H1,0))</f>
        <v>Portugal</v>
      </c>
      <c r="H18" s="127" t="str">
        <f>IF(Matches!W48&lt;&gt;"",Matches!W48,"")</f>
        <v/>
      </c>
      <c r="I18" s="127" t="str">
        <f>IF(Matches!X48&lt;&gt;"",Matches!X48,"")</f>
        <v/>
      </c>
      <c r="J18" s="3" t="str">
        <f>INDEX(Language!A1:H110,MATCH(Setup!C13,Language!B1:B107,0),MATCH(Setup!D6,Language!A1:H1,0))</f>
        <v>Czechia</v>
      </c>
      <c r="M18" s="138" t="s">
        <v>844</v>
      </c>
      <c r="N18" s="1"/>
      <c r="O18" s="130">
        <v>2</v>
      </c>
      <c r="P18" s="220" t="str">
        <f>VLOOKUP(2,'Dummy Table'!A18:B22,2,FALSE)</f>
        <v>Denmark</v>
      </c>
      <c r="Q18" s="220"/>
      <c r="R18" s="220"/>
      <c r="S18" s="220"/>
      <c r="T18" s="137">
        <f t="shared" ref="T18:T20" si="5">SUM(U18:W18)</f>
        <v>0</v>
      </c>
      <c r="U18" s="137">
        <f>VLOOKUP(P18,'Dummy Table'!B4:C40,2,FALSE)</f>
        <v>0</v>
      </c>
      <c r="V18" s="137">
        <f>VLOOKUP(P18,'Dummy Table'!B4:D40,3,FALSE)</f>
        <v>0</v>
      </c>
      <c r="W18" s="137">
        <f>VLOOKUP(P18,'Dummy Table'!B4:E40,4,FALSE)</f>
        <v>0</v>
      </c>
      <c r="X18" s="137">
        <f>VLOOKUP(P18,'Dummy Table'!B4:F40,5,FALSE)</f>
        <v>0</v>
      </c>
      <c r="Y18" s="137" t="s">
        <v>17</v>
      </c>
      <c r="Z18" s="137">
        <f>VLOOKUP(P18,'Dummy Table'!B4:G40,6,FALSE)</f>
        <v>0</v>
      </c>
      <c r="AA18" s="137">
        <f t="shared" ref="AA18:AA20" si="6">X18-Z18</f>
        <v>0</v>
      </c>
      <c r="AB18" s="137">
        <f>U18*3+V18*1</f>
        <v>0</v>
      </c>
      <c r="AC18" s="131"/>
      <c r="AE18" s="2"/>
      <c r="CY18" s="2"/>
    </row>
    <row r="19" spans="2:103" s="3" customFormat="1" ht="14.45" customHeight="1" thickBot="1" x14ac:dyDescent="0.3">
      <c r="B19" s="132">
        <v>13</v>
      </c>
      <c r="C19" s="228" t="s">
        <v>3</v>
      </c>
      <c r="D19" s="228"/>
      <c r="E19" s="133">
        <f t="shared" si="0"/>
        <v>45462.875</v>
      </c>
      <c r="F19" s="134">
        <f>'Dummy Table'!EM19</f>
        <v>45462.875</v>
      </c>
      <c r="G19" s="135" t="str">
        <f>INDEX(Language!A1:H110,MATCH(Setup!C23,Language!B1:B107,0),MATCH(Setup!D6,Language!A1:H1,0))</f>
        <v>Scotland</v>
      </c>
      <c r="H19" s="127" t="str">
        <f>IF(Matches!I16&lt;&gt;"",Matches!I16,"")</f>
        <v/>
      </c>
      <c r="I19" s="127" t="str">
        <f>IF(Matches!J16&lt;&gt;"",Matches!J16,"")</f>
        <v/>
      </c>
      <c r="J19" s="3" t="str">
        <f>INDEX(Language!A1:H110,MATCH(Setup!C28,Language!B1:B107,0),MATCH(Setup!D6,Language!A1:H1,0))</f>
        <v>Switzerland</v>
      </c>
      <c r="M19" s="138" t="s">
        <v>836</v>
      </c>
      <c r="N19" s="1"/>
      <c r="O19" s="130">
        <v>3</v>
      </c>
      <c r="P19" s="221" t="str">
        <f>VLOOKUP(3,'Dummy Table'!A18:B22,2,FALSE)</f>
        <v>Slovenia</v>
      </c>
      <c r="Q19" s="221"/>
      <c r="R19" s="221"/>
      <c r="S19" s="221"/>
      <c r="T19" s="130">
        <f t="shared" si="5"/>
        <v>0</v>
      </c>
      <c r="U19" s="130">
        <f>VLOOKUP(P19,'Dummy Table'!B4:C40,2,FALSE)</f>
        <v>0</v>
      </c>
      <c r="V19" s="130">
        <f>VLOOKUP(P19,'Dummy Table'!B4:D40,3,FALSE)</f>
        <v>0</v>
      </c>
      <c r="W19" s="130">
        <f>VLOOKUP(P19,'Dummy Table'!B4:E40,4,FALSE)</f>
        <v>0</v>
      </c>
      <c r="X19" s="130">
        <f>VLOOKUP(P19,'Dummy Table'!B4:F40,5,FALSE)</f>
        <v>0</v>
      </c>
      <c r="Y19" s="130" t="s">
        <v>17</v>
      </c>
      <c r="Z19" s="130">
        <f>VLOOKUP(P19,'Dummy Table'!B4:G40,6,FALSE)</f>
        <v>0</v>
      </c>
      <c r="AA19" s="130">
        <f t="shared" si="6"/>
        <v>0</v>
      </c>
      <c r="AB19" s="130">
        <f>U19*3+V19*1</f>
        <v>0</v>
      </c>
      <c r="AC19" s="131"/>
      <c r="AE19" s="2"/>
      <c r="CY19" s="2"/>
    </row>
    <row r="20" spans="2:103" s="3" customFormat="1" ht="14.45" customHeight="1" thickBot="1" x14ac:dyDescent="0.3">
      <c r="B20" s="132">
        <v>14</v>
      </c>
      <c r="C20" s="228" t="s">
        <v>15</v>
      </c>
      <c r="D20" s="228"/>
      <c r="E20" s="133">
        <f t="shared" si="0"/>
        <v>45462.75</v>
      </c>
      <c r="F20" s="134">
        <f>'Dummy Table'!EM20</f>
        <v>45462.75</v>
      </c>
      <c r="G20" s="135" t="str">
        <f>INDEX(Language!A1:H110,MATCH(Setup!C17,Language!B1:B107,0),MATCH(Setup!D6,Language!A1:H1,0))</f>
        <v>Germany</v>
      </c>
      <c r="H20" s="127" t="str">
        <f>IF(Matches!I14&lt;&gt;"",Matches!I14,"")</f>
        <v/>
      </c>
      <c r="I20" s="127" t="str">
        <f>IF(Matches!J14&lt;&gt;"",Matches!J14,"")</f>
        <v/>
      </c>
      <c r="J20" s="3" t="str">
        <f>INDEX(Language!A1:H110,MATCH(Setup!C18,Language!B1:B107,0),MATCH(Setup!D6,Language!A1:H1,0))</f>
        <v>Hungary</v>
      </c>
      <c r="M20" s="138" t="s">
        <v>840</v>
      </c>
      <c r="N20" s="1"/>
      <c r="O20" s="130">
        <v>4</v>
      </c>
      <c r="P20" s="221" t="str">
        <f>VLOOKUP(4,'Dummy Table'!A18:B22,2,FALSE)</f>
        <v>Serbia</v>
      </c>
      <c r="Q20" s="221"/>
      <c r="R20" s="221"/>
      <c r="S20" s="221"/>
      <c r="T20" s="130">
        <f t="shared" si="5"/>
        <v>0</v>
      </c>
      <c r="U20" s="130">
        <f>VLOOKUP(P20,'Dummy Table'!B4:C40,2,FALSE)</f>
        <v>0</v>
      </c>
      <c r="V20" s="130">
        <f>VLOOKUP(P20,'Dummy Table'!B4:D40,3,FALSE)</f>
        <v>0</v>
      </c>
      <c r="W20" s="130">
        <f>VLOOKUP(P20,'Dummy Table'!B4:E40,4,FALSE)</f>
        <v>0</v>
      </c>
      <c r="X20" s="130">
        <f>VLOOKUP(P20,'Dummy Table'!B4:F40,5,FALSE)</f>
        <v>0</v>
      </c>
      <c r="Y20" s="130" t="s">
        <v>17</v>
      </c>
      <c r="Z20" s="130">
        <f>VLOOKUP(P20,'Dummy Table'!B4:G40,6,FALSE)</f>
        <v>0</v>
      </c>
      <c r="AA20" s="130">
        <f t="shared" si="6"/>
        <v>0</v>
      </c>
      <c r="AB20" s="130">
        <f>U20*3+V20*1</f>
        <v>0</v>
      </c>
      <c r="AC20" s="131"/>
      <c r="AE20" s="2"/>
      <c r="CY20" s="2"/>
    </row>
    <row r="21" spans="2:103" s="3" customFormat="1" ht="14.45" customHeight="1" thickBot="1" x14ac:dyDescent="0.3">
      <c r="B21" s="132">
        <v>15</v>
      </c>
      <c r="C21" s="228" t="s">
        <v>15</v>
      </c>
      <c r="D21" s="228"/>
      <c r="E21" s="133">
        <f t="shared" si="0"/>
        <v>45462.625</v>
      </c>
      <c r="F21" s="134">
        <f>'Dummy Table'!EM21</f>
        <v>45462.625</v>
      </c>
      <c r="G21" s="135" t="str">
        <f>INDEX(Language!A1:H110,MATCH(Setup!C12,Language!B1:B107,0),MATCH(Setup!D6,Language!A1:H1,0))</f>
        <v>Croatia</v>
      </c>
      <c r="H21" s="127" t="str">
        <f>IF(Matches!W14&lt;&gt;"",Matches!W14,"")</f>
        <v/>
      </c>
      <c r="I21" s="127" t="str">
        <f>IF(Matches!X14&lt;&gt;"",Matches!X14,"")</f>
        <v/>
      </c>
      <c r="J21" s="3" t="str">
        <f>INDEX(Language!A1:H110,MATCH(Setup!C9,Language!B1:B107,0),MATCH(Setup!D6,Language!A1:H1,0))</f>
        <v>Albania</v>
      </c>
      <c r="M21" s="138" t="s">
        <v>839</v>
      </c>
      <c r="N21" s="1"/>
      <c r="O21" s="222" t="str">
        <f>INDEX(Language!A1:I110,MATCH("Group D",Language!B1:B107,0),MATCH(Setup!D6,Language!A1:H1,0))</f>
        <v>Group D</v>
      </c>
      <c r="P21" s="222"/>
      <c r="Q21" s="222"/>
      <c r="R21" s="222"/>
      <c r="S21" s="222"/>
      <c r="T21" s="137" t="s">
        <v>0</v>
      </c>
      <c r="U21" s="137" t="s">
        <v>12</v>
      </c>
      <c r="V21" s="137" t="s">
        <v>13</v>
      </c>
      <c r="W21" s="137" t="s">
        <v>14</v>
      </c>
      <c r="X21" s="137" t="s">
        <v>113</v>
      </c>
      <c r="Y21" s="137"/>
      <c r="Z21" s="137" t="s">
        <v>15</v>
      </c>
      <c r="AA21" s="181" t="s">
        <v>33</v>
      </c>
      <c r="AB21" s="137" t="s">
        <v>23</v>
      </c>
      <c r="AC21" s="131"/>
      <c r="AE21" s="2"/>
      <c r="CY21" s="2"/>
    </row>
    <row r="22" spans="2:103" s="3" customFormat="1" ht="14.45" customHeight="1" thickBot="1" x14ac:dyDescent="0.3">
      <c r="B22" s="132">
        <v>16</v>
      </c>
      <c r="C22" s="228" t="s">
        <v>4</v>
      </c>
      <c r="D22" s="228"/>
      <c r="E22" s="133">
        <f t="shared" si="0"/>
        <v>45463.875</v>
      </c>
      <c r="F22" s="134">
        <f>'Dummy Table'!EM22</f>
        <v>45463.875</v>
      </c>
      <c r="G22" s="135" t="str">
        <f>INDEX(Language!A1:H110,MATCH(Setup!C27,Language!B1:B107,0),MATCH(Setup!D6,Language!A1:H1,0))</f>
        <v>Spain</v>
      </c>
      <c r="H22" s="127" t="str">
        <f>IF(Matches!W16&lt;&gt;"",Matches!W16,"")</f>
        <v/>
      </c>
      <c r="I22" s="127" t="str">
        <f>IF(Matches!X16&lt;&gt;"",Matches!X16,"")</f>
        <v/>
      </c>
      <c r="J22" s="3" t="str">
        <f>INDEX(Language!A1:H110,MATCH(Setup!C19,Language!B1:B107,0),MATCH(Setup!D6,Language!A1:H1,0))</f>
        <v>Italy</v>
      </c>
      <c r="M22" s="138" t="s">
        <v>841</v>
      </c>
      <c r="N22" s="1"/>
      <c r="O22" s="130">
        <v>1</v>
      </c>
      <c r="P22" s="220" t="str">
        <f>VLOOKUP(1,'Dummy Table'!A25:B29,2,FALSE)</f>
        <v>France</v>
      </c>
      <c r="Q22" s="220"/>
      <c r="R22" s="220"/>
      <c r="S22" s="220"/>
      <c r="T22" s="137">
        <f>SUM(U22:W22)</f>
        <v>0</v>
      </c>
      <c r="U22" s="137">
        <f>VLOOKUP(P22,'Dummy Table'!B4:C40,2,FALSE)</f>
        <v>0</v>
      </c>
      <c r="V22" s="137">
        <f>VLOOKUP(P22,'Dummy Table'!B4:D40,3,FALSE)</f>
        <v>0</v>
      </c>
      <c r="W22" s="137">
        <f>VLOOKUP(P22,'Dummy Table'!B4:E40,4,FALSE)</f>
        <v>0</v>
      </c>
      <c r="X22" s="137">
        <f>VLOOKUP(P22,'Dummy Table'!B4:F40,5,FALSE)</f>
        <v>0</v>
      </c>
      <c r="Y22" s="181" t="s">
        <v>17</v>
      </c>
      <c r="Z22" s="137">
        <f>VLOOKUP(P22,'Dummy Table'!B4:G40,6,FALSE)</f>
        <v>0</v>
      </c>
      <c r="AA22" s="137">
        <f>X22-Z22</f>
        <v>0</v>
      </c>
      <c r="AB22" s="137">
        <f>U22*3+V22*1</f>
        <v>0</v>
      </c>
      <c r="AC22" s="131"/>
      <c r="AE22" s="2"/>
      <c r="CY22" s="2"/>
    </row>
    <row r="23" spans="2:103" s="3" customFormat="1" ht="14.45" customHeight="1" thickBot="1" x14ac:dyDescent="0.3">
      <c r="B23" s="132">
        <v>17</v>
      </c>
      <c r="C23" s="228" t="s">
        <v>4</v>
      </c>
      <c r="D23" s="228"/>
      <c r="E23" s="133">
        <f t="shared" si="0"/>
        <v>45463.75</v>
      </c>
      <c r="F23" s="134">
        <f>'Dummy Table'!EM23</f>
        <v>45463.75</v>
      </c>
      <c r="G23" s="135" t="str">
        <f>INDEX(Language!A1:H110,MATCH(Setup!C14,Language!B1:B107,0),MATCH(Setup!D6,Language!A1:H1,0))</f>
        <v>Denmark</v>
      </c>
      <c r="H23" s="127" t="str">
        <f>IF(Matches!I34&lt;&gt;"",Matches!I34,"")</f>
        <v/>
      </c>
      <c r="I23" s="127" t="str">
        <f>IF(Matches!J34&lt;&gt;"",Matches!J34,"")</f>
        <v/>
      </c>
      <c r="J23" s="3" t="str">
        <f>INDEX(Language!A1:H110,MATCH(Setup!C15,Language!B1:B107,0),MATCH(Setup!D6,Language!A1:H1,0))</f>
        <v>England</v>
      </c>
      <c r="M23" s="138" t="s">
        <v>842</v>
      </c>
      <c r="N23" s="1"/>
      <c r="O23" s="130">
        <v>2</v>
      </c>
      <c r="P23" s="220" t="str">
        <f>VLOOKUP(2,'Dummy Table'!A25:B29,2,FALSE)</f>
        <v>Netherlands</v>
      </c>
      <c r="Q23" s="220"/>
      <c r="R23" s="220"/>
      <c r="S23" s="220"/>
      <c r="T23" s="137">
        <f t="shared" ref="T23:T25" si="7">SUM(U23:W23)</f>
        <v>0</v>
      </c>
      <c r="U23" s="137">
        <f>VLOOKUP(P23,'Dummy Table'!B4:C40,2,FALSE)</f>
        <v>0</v>
      </c>
      <c r="V23" s="137">
        <f>VLOOKUP(P23,'Dummy Table'!B4:D40,3,FALSE)</f>
        <v>0</v>
      </c>
      <c r="W23" s="137">
        <f>VLOOKUP(P23,'Dummy Table'!B4:E40,4,FALSE)</f>
        <v>0</v>
      </c>
      <c r="X23" s="137">
        <f>VLOOKUP(P23,'Dummy Table'!B4:F40,5,FALSE)</f>
        <v>0</v>
      </c>
      <c r="Y23" s="137" t="s">
        <v>17</v>
      </c>
      <c r="Z23" s="137">
        <f>VLOOKUP(P23,'Dummy Table'!B4:G40,6,FALSE)</f>
        <v>0</v>
      </c>
      <c r="AA23" s="137">
        <f t="shared" ref="AA23:AA25" si="8">X23-Z23</f>
        <v>0</v>
      </c>
      <c r="AB23" s="137">
        <f>U23*3+V23*1</f>
        <v>0</v>
      </c>
      <c r="AC23" s="131"/>
      <c r="AE23" s="2"/>
      <c r="CY23" s="2"/>
    </row>
    <row r="24" spans="2:103" s="3" customFormat="1" ht="14.45" customHeight="1" thickBot="1" x14ac:dyDescent="0.3">
      <c r="B24" s="132">
        <v>18</v>
      </c>
      <c r="C24" s="228" t="s">
        <v>3</v>
      </c>
      <c r="D24" s="228"/>
      <c r="E24" s="133">
        <f t="shared" si="0"/>
        <v>45463.625</v>
      </c>
      <c r="F24" s="134">
        <f>'Dummy Table'!EM24</f>
        <v>45463.625</v>
      </c>
      <c r="G24" s="135" t="str">
        <f>INDEX(Language!A1:H110,MATCH(Setup!C26,Language!B1:B107,0),MATCH(Setup!D6,Language!A1:H1,0))</f>
        <v>Slovenia</v>
      </c>
      <c r="H24" s="127" t="str">
        <f>IF(Matches!I32&lt;&gt;"",Matches!I32,"")</f>
        <v/>
      </c>
      <c r="I24" s="127" t="str">
        <f>IF(Matches!J32&lt;&gt;"",Matches!J32,"")</f>
        <v/>
      </c>
      <c r="J24" s="3" t="str">
        <f>INDEX(Language!A1:H110,MATCH(Setup!C24,Language!B1:B107,0),MATCH(Setup!D6,Language!A1:H1,0))</f>
        <v>Serbia</v>
      </c>
      <c r="M24" s="138" t="s">
        <v>835</v>
      </c>
      <c r="N24" s="1"/>
      <c r="O24" s="130">
        <v>3</v>
      </c>
      <c r="P24" s="221" t="str">
        <f>VLOOKUP(3,'Dummy Table'!A25:B29,2,FALSE)</f>
        <v>Austria</v>
      </c>
      <c r="Q24" s="221"/>
      <c r="R24" s="221"/>
      <c r="S24" s="221"/>
      <c r="T24" s="130">
        <f t="shared" si="7"/>
        <v>0</v>
      </c>
      <c r="U24" s="130">
        <f>VLOOKUP(P24,'Dummy Table'!B4:C40,2,FALSE)</f>
        <v>0</v>
      </c>
      <c r="V24" s="130">
        <f>VLOOKUP(P24,'Dummy Table'!B4:D40,3,FALSE)</f>
        <v>0</v>
      </c>
      <c r="W24" s="130">
        <f>VLOOKUP(P24,'Dummy Table'!B4:E40,4,FALSE)</f>
        <v>0</v>
      </c>
      <c r="X24" s="130">
        <f>VLOOKUP(P24,'Dummy Table'!B4:F40,5,FALSE)</f>
        <v>0</v>
      </c>
      <c r="Y24" s="130" t="s">
        <v>17</v>
      </c>
      <c r="Z24" s="130">
        <f>VLOOKUP(P24,'Dummy Table'!B4:G40,6,FALSE)</f>
        <v>0</v>
      </c>
      <c r="AA24" s="130">
        <f t="shared" si="8"/>
        <v>0</v>
      </c>
      <c r="AB24" s="130">
        <f>U24*3+V24*1</f>
        <v>0</v>
      </c>
      <c r="AC24" s="131"/>
      <c r="AE24" s="2"/>
      <c r="CY24" s="2"/>
    </row>
    <row r="25" spans="2:103" s="3" customFormat="1" ht="14.45" customHeight="1" thickBot="1" x14ac:dyDescent="0.3">
      <c r="B25" s="132">
        <v>19</v>
      </c>
      <c r="C25" s="228" t="s">
        <v>108</v>
      </c>
      <c r="D25" s="228"/>
      <c r="E25" s="133">
        <f t="shared" si="0"/>
        <v>45464.75</v>
      </c>
      <c r="F25" s="134">
        <f>'Dummy Table'!EM25</f>
        <v>45464.75</v>
      </c>
      <c r="G25" s="135" t="str">
        <f>INDEX(Language!A1:H110,MATCH(Setup!C30,Language!B1:B107,0),MATCH(Setup!D6,Language!A1:H1,0))</f>
        <v>Poland</v>
      </c>
      <c r="H25" s="127" t="str">
        <f>IF(Matches!W32&lt;&gt;"",Matches!W32,"")</f>
        <v/>
      </c>
      <c r="I25" s="127" t="str">
        <f>IF(Matches!X32&lt;&gt;"",Matches!X32,"")</f>
        <v/>
      </c>
      <c r="J25" s="3" t="str">
        <f>INDEX(Language!A1:H110,MATCH(Setup!C10,Language!B1:B107,0),MATCH(Setup!D6,Language!A1:H1,0))</f>
        <v>Austria</v>
      </c>
      <c r="M25" s="138" t="s">
        <v>837</v>
      </c>
      <c r="N25" s="1"/>
      <c r="O25" s="130">
        <v>4</v>
      </c>
      <c r="P25" s="221" t="str">
        <f>VLOOKUP(4,'Dummy Table'!A25:B29,2,FALSE)</f>
        <v>Poland</v>
      </c>
      <c r="Q25" s="221"/>
      <c r="R25" s="221"/>
      <c r="S25" s="221"/>
      <c r="T25" s="130">
        <f t="shared" si="7"/>
        <v>0</v>
      </c>
      <c r="U25" s="130">
        <f>VLOOKUP(P25,'Dummy Table'!B4:C40,2,FALSE)</f>
        <v>0</v>
      </c>
      <c r="V25" s="130">
        <f>VLOOKUP(P25,'Dummy Table'!B4:D40,3,FALSE)</f>
        <v>0</v>
      </c>
      <c r="W25" s="130">
        <f>VLOOKUP(P25,'Dummy Table'!B4:E40,4,FALSE)</f>
        <v>0</v>
      </c>
      <c r="X25" s="130">
        <f>VLOOKUP(P25,'Dummy Table'!B4:F40,5,FALSE)</f>
        <v>0</v>
      </c>
      <c r="Y25" s="130" t="s">
        <v>17</v>
      </c>
      <c r="Z25" s="130">
        <f>VLOOKUP(P25,'Dummy Table'!B4:G40,6,FALSE)</f>
        <v>0</v>
      </c>
      <c r="AA25" s="130">
        <f t="shared" si="8"/>
        <v>0</v>
      </c>
      <c r="AB25" s="130">
        <f>U25*3+V25*1</f>
        <v>0</v>
      </c>
      <c r="AC25" s="131"/>
      <c r="AE25" s="2"/>
      <c r="CY25" s="2"/>
    </row>
    <row r="26" spans="2:103" s="3" customFormat="1" ht="14.45" customHeight="1" thickBot="1" x14ac:dyDescent="0.3">
      <c r="B26" s="132">
        <v>20</v>
      </c>
      <c r="C26" s="228" t="s">
        <v>13</v>
      </c>
      <c r="D26" s="228"/>
      <c r="E26" s="133">
        <f t="shared" si="0"/>
        <v>45464.875</v>
      </c>
      <c r="F26" s="134">
        <f>'Dummy Table'!EM26</f>
        <v>45464.875</v>
      </c>
      <c r="G26" s="135" t="str">
        <f>INDEX(Language!A1:H110,MATCH(Setup!C20,Language!B1:B107,0),MATCH(Setup!D6,Language!A1:H1,0))</f>
        <v>Netherlands</v>
      </c>
      <c r="H26" s="127" t="str">
        <f>IF(Matches!W34&lt;&gt;"",Matches!W34,"")</f>
        <v/>
      </c>
      <c r="I26" s="127" t="str">
        <f>IF(Matches!X34&lt;&gt;"",Matches!X34,"")</f>
        <v/>
      </c>
      <c r="J26" s="3" t="str">
        <f>INDEX(Language!A1:H110,MATCH(Setup!C16,Language!B1:B107,0),MATCH(Setup!D6,Language!A1:H1,0))</f>
        <v>France</v>
      </c>
      <c r="M26" s="138" t="s">
        <v>844</v>
      </c>
      <c r="N26" s="1"/>
      <c r="O26" s="222" t="str">
        <f>INDEX(Language!A1:I110,MATCH("Group E",Language!B1:B107,0),MATCH(Setup!D6,Language!A1:H1,0))</f>
        <v>Group E</v>
      </c>
      <c r="P26" s="222"/>
      <c r="Q26" s="222"/>
      <c r="R26" s="222"/>
      <c r="S26" s="222"/>
      <c r="T26" s="137" t="s">
        <v>0</v>
      </c>
      <c r="U26" s="137" t="s">
        <v>12</v>
      </c>
      <c r="V26" s="137" t="s">
        <v>13</v>
      </c>
      <c r="W26" s="137" t="s">
        <v>14</v>
      </c>
      <c r="X26" s="137" t="s">
        <v>113</v>
      </c>
      <c r="Y26" s="137"/>
      <c r="Z26" s="137" t="s">
        <v>15</v>
      </c>
      <c r="AA26" s="181" t="s">
        <v>33</v>
      </c>
      <c r="AB26" s="137" t="s">
        <v>23</v>
      </c>
      <c r="AC26" s="131"/>
      <c r="AE26" s="2"/>
      <c r="CY26" s="2"/>
    </row>
    <row r="27" spans="2:103" s="3" customFormat="1" ht="14.45" customHeight="1" thickBot="1" x14ac:dyDescent="0.3">
      <c r="B27" s="132">
        <v>21</v>
      </c>
      <c r="C27" s="228" t="s">
        <v>13</v>
      </c>
      <c r="D27" s="228"/>
      <c r="E27" s="133">
        <f t="shared" si="0"/>
        <v>45464.625</v>
      </c>
      <c r="F27" s="134">
        <f>'Dummy Table'!EM27</f>
        <v>45464.625</v>
      </c>
      <c r="G27" s="135" t="str">
        <f>INDEX(Language!A1:H110,MATCH(Setup!C25,Language!B1:B107,0),MATCH(Setup!D6,Language!A1:H1,0))</f>
        <v>Slovakia</v>
      </c>
      <c r="H27" s="127" t="str">
        <f>IF(Matches!I50&lt;&gt;"",Matches!I50,"")</f>
        <v/>
      </c>
      <c r="I27" s="127" t="str">
        <f>IF(Matches!J50&lt;&gt;"",Matches!J50,"")</f>
        <v/>
      </c>
      <c r="J27" s="3" t="str">
        <f>INDEX(Language!A1:H110,MATCH(Setup!C31,Language!B1:B107,0),MATCH(Setup!D6,Language!A1:H1,0))</f>
        <v>Ukraine</v>
      </c>
      <c r="M27" s="138" t="s">
        <v>843</v>
      </c>
      <c r="N27" s="1"/>
      <c r="O27" s="130">
        <v>1</v>
      </c>
      <c r="P27" s="220" t="str">
        <f>VLOOKUP(1,'Dummy Table'!A31:B35,2,FALSE)</f>
        <v>Belgium</v>
      </c>
      <c r="Q27" s="220"/>
      <c r="R27" s="220"/>
      <c r="S27" s="220"/>
      <c r="T27" s="137">
        <f>SUM(U27:W27)</f>
        <v>0</v>
      </c>
      <c r="U27" s="137">
        <f>VLOOKUP(P27,'Dummy Table'!B4:C40,2,FALSE)</f>
        <v>0</v>
      </c>
      <c r="V27" s="137">
        <f>VLOOKUP(P27,'Dummy Table'!B4:D40,3,FALSE)</f>
        <v>0</v>
      </c>
      <c r="W27" s="137">
        <f>VLOOKUP(P27,'Dummy Table'!B4:E40,4,FALSE)</f>
        <v>0</v>
      </c>
      <c r="X27" s="137">
        <f>VLOOKUP(P27,'Dummy Table'!B4:F40,5,FALSE)</f>
        <v>0</v>
      </c>
      <c r="Y27" s="181" t="s">
        <v>17</v>
      </c>
      <c r="Z27" s="137">
        <f>VLOOKUP(P27,'Dummy Table'!B4:G40,6,FALSE)</f>
        <v>0</v>
      </c>
      <c r="AA27" s="137">
        <f>X27-Z27</f>
        <v>0</v>
      </c>
      <c r="AB27" s="137">
        <f>U27*3+V27*1</f>
        <v>0</v>
      </c>
      <c r="AC27" s="131"/>
      <c r="AE27" s="2"/>
      <c r="CY27" s="2"/>
    </row>
    <row r="28" spans="2:103" s="3" customFormat="1" ht="14.45" customHeight="1" thickBot="1" x14ac:dyDescent="0.3">
      <c r="B28" s="132">
        <v>22</v>
      </c>
      <c r="C28" s="228" t="s">
        <v>113</v>
      </c>
      <c r="D28" s="228"/>
      <c r="E28" s="133">
        <f t="shared" si="0"/>
        <v>45465.875</v>
      </c>
      <c r="F28" s="134">
        <f>'Dummy Table'!EM28</f>
        <v>45465.875</v>
      </c>
      <c r="G28" s="135" t="str">
        <f>INDEX(Language!A1:H110,MATCH(Setup!C11,Language!B1:B107,0),MATCH(Setup!D6,Language!A1:H1,0))</f>
        <v>Belgium</v>
      </c>
      <c r="H28" s="127" t="str">
        <f>IF(Matches!I52&lt;&gt;"",Matches!I52,"")</f>
        <v/>
      </c>
      <c r="I28" s="127" t="str">
        <f>IF(Matches!J52&lt;&gt;"",Matches!J52,"")</f>
        <v/>
      </c>
      <c r="J28" s="3" t="str">
        <f>INDEX(Language!A1:H110,MATCH(Setup!C22,Language!B1:B107,0),MATCH(Setup!D6,Language!A1:H1,0))</f>
        <v>Romania</v>
      </c>
      <c r="M28" s="138" t="s">
        <v>836</v>
      </c>
      <c r="N28" s="1"/>
      <c r="O28" s="130">
        <v>2</v>
      </c>
      <c r="P28" s="220" t="str">
        <f>VLOOKUP(2,'Dummy Table'!A31:B35,2,FALSE)</f>
        <v>Romania</v>
      </c>
      <c r="Q28" s="220"/>
      <c r="R28" s="220"/>
      <c r="S28" s="220"/>
      <c r="T28" s="137">
        <f t="shared" ref="T28:T30" si="9">SUM(U28:W28)</f>
        <v>0</v>
      </c>
      <c r="U28" s="137">
        <f>VLOOKUP(P28,'Dummy Table'!B4:C40,2,FALSE)</f>
        <v>0</v>
      </c>
      <c r="V28" s="137">
        <f>VLOOKUP(P28,'Dummy Table'!B4:D40,3,FALSE)</f>
        <v>0</v>
      </c>
      <c r="W28" s="137">
        <f>VLOOKUP(P28,'Dummy Table'!B4:E40,4,FALSE)</f>
        <v>0</v>
      </c>
      <c r="X28" s="137">
        <f>VLOOKUP(P28,'Dummy Table'!B4:F40,5,FALSE)</f>
        <v>0</v>
      </c>
      <c r="Y28" s="137" t="s">
        <v>17</v>
      </c>
      <c r="Z28" s="137">
        <f>VLOOKUP(P28,'Dummy Table'!B4:G40,6,FALSE)</f>
        <v>0</v>
      </c>
      <c r="AA28" s="137">
        <f t="shared" ref="AA28:AA30" si="10">X28-Z28</f>
        <v>0</v>
      </c>
      <c r="AB28" s="137">
        <f>U28*3+V28*1</f>
        <v>0</v>
      </c>
      <c r="AC28" s="131"/>
      <c r="AE28" s="2"/>
      <c r="CY28" s="2"/>
    </row>
    <row r="29" spans="2:103" s="3" customFormat="1" ht="14.45" customHeight="1" thickBot="1" x14ac:dyDescent="0.3">
      <c r="B29" s="132">
        <v>23</v>
      </c>
      <c r="C29" s="228" t="s">
        <v>113</v>
      </c>
      <c r="D29" s="228"/>
      <c r="E29" s="133">
        <f t="shared" si="0"/>
        <v>45465.75</v>
      </c>
      <c r="F29" s="134">
        <f>'Dummy Table'!EM29</f>
        <v>45465.75</v>
      </c>
      <c r="G29" s="135" t="str">
        <f>INDEX(Language!A1:H110,MATCH(Setup!C29,Language!B1:B107,0),MATCH(Setup!D6,Language!A1:H1,0))</f>
        <v>Türkiye</v>
      </c>
      <c r="H29" s="127" t="str">
        <f>IF(Matches!W52&lt;&gt;"",Matches!W52,"")</f>
        <v/>
      </c>
      <c r="I29" s="127" t="str">
        <f>IF(Matches!X52&lt;&gt;"",Matches!X52,"")</f>
        <v/>
      </c>
      <c r="J29" s="3" t="str">
        <f>INDEX(Language!A1:H110,MATCH(Setup!C21,Language!B1:B107,0),MATCH(Setup!D6,Language!A1:H1,0))</f>
        <v>Portugal</v>
      </c>
      <c r="M29" s="138" t="s">
        <v>838</v>
      </c>
      <c r="N29" s="1"/>
      <c r="O29" s="130">
        <v>3</v>
      </c>
      <c r="P29" s="221" t="str">
        <f>VLOOKUP(3,'Dummy Table'!A31:B35,2,FALSE)</f>
        <v>Slovakia</v>
      </c>
      <c r="Q29" s="221"/>
      <c r="R29" s="221"/>
      <c r="S29" s="221"/>
      <c r="T29" s="130">
        <f t="shared" si="9"/>
        <v>0</v>
      </c>
      <c r="U29" s="130">
        <f>VLOOKUP(P29,'Dummy Table'!B4:C40,2,FALSE)</f>
        <v>0</v>
      </c>
      <c r="V29" s="130">
        <f>VLOOKUP(P29,'Dummy Table'!B4:D40,3,FALSE)</f>
        <v>0</v>
      </c>
      <c r="W29" s="130">
        <f>VLOOKUP(P29,'Dummy Table'!B4:E40,4,FALSE)</f>
        <v>0</v>
      </c>
      <c r="X29" s="130">
        <f>VLOOKUP(P29,'Dummy Table'!B4:F40,5,FALSE)</f>
        <v>0</v>
      </c>
      <c r="Y29" s="130" t="s">
        <v>17</v>
      </c>
      <c r="Z29" s="130">
        <f>VLOOKUP(P29,'Dummy Table'!B4:G40,6,FALSE)</f>
        <v>0</v>
      </c>
      <c r="AA29" s="130">
        <f t="shared" si="10"/>
        <v>0</v>
      </c>
      <c r="AB29" s="130">
        <f>U29*3+V29*1</f>
        <v>0</v>
      </c>
      <c r="AC29" s="131"/>
      <c r="AE29" s="2"/>
      <c r="CY29" s="2"/>
    </row>
    <row r="30" spans="2:103" s="3" customFormat="1" ht="14.45" customHeight="1" thickBot="1" x14ac:dyDescent="0.3">
      <c r="B30" s="132">
        <v>24</v>
      </c>
      <c r="C30" s="228" t="s">
        <v>108</v>
      </c>
      <c r="D30" s="228"/>
      <c r="E30" s="133">
        <f t="shared" si="0"/>
        <v>45465.625</v>
      </c>
      <c r="F30" s="134">
        <f>'Dummy Table'!EM30</f>
        <v>45465.625</v>
      </c>
      <c r="G30" s="135" t="str">
        <f>INDEX(Language!A1:H110,MATCH(Setup!C32,Language!B1:B107,0),MATCH(Setup!D6,Language!A1:H1,0))</f>
        <v>Georgia</v>
      </c>
      <c r="H30" s="127" t="str">
        <f>IF(Matches!W50&lt;&gt;"",Matches!W50,"")</f>
        <v/>
      </c>
      <c r="I30" s="127" t="str">
        <f>IF(Matches!X50&lt;&gt;"",Matches!X50,"")</f>
        <v/>
      </c>
      <c r="J30" s="3" t="str">
        <f>INDEX(Language!A1:H110,MATCH(Setup!C13,Language!B1:B107,0),MATCH(Setup!D6,Language!A1:H1,0))</f>
        <v>Czechia</v>
      </c>
      <c r="M30" s="138" t="s">
        <v>839</v>
      </c>
      <c r="N30" s="1"/>
      <c r="O30" s="130">
        <v>4</v>
      </c>
      <c r="P30" s="221" t="str">
        <f>VLOOKUP(4,'Dummy Table'!A31:B35,2,FALSE)</f>
        <v>Ukraine</v>
      </c>
      <c r="Q30" s="221"/>
      <c r="R30" s="221"/>
      <c r="S30" s="221"/>
      <c r="T30" s="130">
        <f t="shared" si="9"/>
        <v>0</v>
      </c>
      <c r="U30" s="130">
        <f>VLOOKUP(P30,'Dummy Table'!B4:C40,2,FALSE)</f>
        <v>0</v>
      </c>
      <c r="V30" s="130">
        <f>VLOOKUP(P30,'Dummy Table'!B4:D40,3,FALSE)</f>
        <v>0</v>
      </c>
      <c r="W30" s="130">
        <f>VLOOKUP(P30,'Dummy Table'!B4:E40,4,FALSE)</f>
        <v>0</v>
      </c>
      <c r="X30" s="130">
        <f>VLOOKUP(P30,'Dummy Table'!B4:F40,5,FALSE)</f>
        <v>0</v>
      </c>
      <c r="Y30" s="130" t="s">
        <v>17</v>
      </c>
      <c r="Z30" s="130">
        <f>VLOOKUP(P30,'Dummy Table'!B4:G40,6,FALSE)</f>
        <v>0</v>
      </c>
      <c r="AA30" s="130">
        <f t="shared" si="10"/>
        <v>0</v>
      </c>
      <c r="AB30" s="130">
        <f>U30*3+V30*1</f>
        <v>0</v>
      </c>
      <c r="AC30" s="131"/>
      <c r="AE30" s="2"/>
      <c r="CY30" s="2"/>
    </row>
    <row r="31" spans="2:103" s="3" customFormat="1" ht="14.45" customHeight="1" thickBot="1" x14ac:dyDescent="0.3">
      <c r="B31" s="132">
        <v>25</v>
      </c>
      <c r="C31" s="228" t="s">
        <v>15</v>
      </c>
      <c r="D31" s="228"/>
      <c r="E31" s="133">
        <f t="shared" si="0"/>
        <v>45466.875</v>
      </c>
      <c r="F31" s="134">
        <f>'Dummy Table'!EM31</f>
        <v>45466.875</v>
      </c>
      <c r="G31" s="135" t="str">
        <f>INDEX(Language!A1:H110,MATCH(Setup!C28,Language!B1:B107,0),MATCH(Setup!D6,Language!A1:H1,0))</f>
        <v>Switzerland</v>
      </c>
      <c r="H31" s="127" t="str">
        <f>IF(Matches!I18&lt;&gt;"",Matches!I18,"")</f>
        <v/>
      </c>
      <c r="I31" s="127" t="str">
        <f>IF(Matches!J18&lt;&gt;"",Matches!J18,"")</f>
        <v/>
      </c>
      <c r="J31" s="3" t="str">
        <f>INDEX(Language!A1:H110,MATCH(Setup!C17,Language!B1:B107,0),MATCH(Setup!D6,Language!A1:H1,0))</f>
        <v>Germany</v>
      </c>
      <c r="M31" s="138" t="s">
        <v>842</v>
      </c>
      <c r="N31" s="1"/>
      <c r="O31" s="222" t="str">
        <f>INDEX(Language!A1:I110,MATCH("Group F",Language!B1:B107,0),MATCH(Setup!D6,Language!A1:H1,0))</f>
        <v>Group F</v>
      </c>
      <c r="P31" s="222"/>
      <c r="Q31" s="222"/>
      <c r="R31" s="222"/>
      <c r="S31" s="222"/>
      <c r="T31" s="137" t="s">
        <v>0</v>
      </c>
      <c r="U31" s="137" t="s">
        <v>12</v>
      </c>
      <c r="V31" s="137" t="s">
        <v>13</v>
      </c>
      <c r="W31" s="137" t="s">
        <v>14</v>
      </c>
      <c r="X31" s="137" t="s">
        <v>113</v>
      </c>
      <c r="Y31" s="137"/>
      <c r="Z31" s="137" t="s">
        <v>15</v>
      </c>
      <c r="AA31" s="181" t="s">
        <v>33</v>
      </c>
      <c r="AB31" s="137" t="s">
        <v>23</v>
      </c>
      <c r="AC31" s="131"/>
      <c r="AE31" s="2"/>
      <c r="CY31" s="2"/>
    </row>
    <row r="32" spans="2:103" s="3" customFormat="1" ht="14.45" customHeight="1" thickBot="1" x14ac:dyDescent="0.3">
      <c r="B32" s="132">
        <v>26</v>
      </c>
      <c r="C32" s="228" t="s">
        <v>15</v>
      </c>
      <c r="D32" s="228"/>
      <c r="E32" s="133">
        <f t="shared" si="0"/>
        <v>45466.875</v>
      </c>
      <c r="F32" s="134">
        <f>'Dummy Table'!EM32</f>
        <v>45466.875</v>
      </c>
      <c r="G32" s="135" t="str">
        <f>INDEX(Language!A1:H110,MATCH(Setup!C23,Language!B1:B107,0),MATCH(Setup!D6,Language!A1:H1,0))</f>
        <v>Scotland</v>
      </c>
      <c r="H32" s="127" t="str">
        <f>IF(Matches!I20&lt;&gt;"",Matches!I20,"")</f>
        <v/>
      </c>
      <c r="I32" s="127" t="str">
        <f>IF(Matches!J20&lt;&gt;"",Matches!J20,"")</f>
        <v/>
      </c>
      <c r="J32" s="3" t="str">
        <f>INDEX(Language!A1:H110,MATCH(Setup!C18,Language!B1:B107,0),MATCH(Setup!D6,Language!A1:H1,0))</f>
        <v>Hungary</v>
      </c>
      <c r="M32" s="138" t="s">
        <v>840</v>
      </c>
      <c r="N32" s="1"/>
      <c r="O32" s="130">
        <v>1</v>
      </c>
      <c r="P32" s="220" t="str">
        <f>VLOOKUP(1,'Dummy Table'!A37:B41,2,FALSE)</f>
        <v>Portugal</v>
      </c>
      <c r="Q32" s="220"/>
      <c r="R32" s="220"/>
      <c r="S32" s="220"/>
      <c r="T32" s="137">
        <f>SUM(U32:W32)</f>
        <v>0</v>
      </c>
      <c r="U32" s="137">
        <f>VLOOKUP(P32,'Dummy Table'!B4:C40,2,FALSE)</f>
        <v>0</v>
      </c>
      <c r="V32" s="137">
        <f>VLOOKUP(P32,'Dummy Table'!B4:D40,3,FALSE)</f>
        <v>0</v>
      </c>
      <c r="W32" s="137">
        <f>VLOOKUP(P32,'Dummy Table'!B4:E40,4,FALSE)</f>
        <v>0</v>
      </c>
      <c r="X32" s="137">
        <f>VLOOKUP(P32,'Dummy Table'!B4:F40,5,FALSE)</f>
        <v>0</v>
      </c>
      <c r="Y32" s="181" t="s">
        <v>17</v>
      </c>
      <c r="Z32" s="137">
        <f>VLOOKUP(P32,'Dummy Table'!B4:G40,6,FALSE)</f>
        <v>0</v>
      </c>
      <c r="AA32" s="137">
        <f>X32-Z32</f>
        <v>0</v>
      </c>
      <c r="AB32" s="137">
        <f>U32*3+V32*1</f>
        <v>0</v>
      </c>
      <c r="AC32" s="131"/>
      <c r="AE32" s="2"/>
      <c r="CY32" s="2"/>
    </row>
    <row r="33" spans="2:103" s="3" customFormat="1" ht="14.45" customHeight="1" thickBot="1" x14ac:dyDescent="0.3">
      <c r="B33" s="132">
        <v>27</v>
      </c>
      <c r="C33" s="228" t="s">
        <v>3</v>
      </c>
      <c r="D33" s="228"/>
      <c r="E33" s="133">
        <f t="shared" si="0"/>
        <v>45467.875</v>
      </c>
      <c r="F33" s="134">
        <f>'Dummy Table'!EM33</f>
        <v>45467.875</v>
      </c>
      <c r="G33" s="135" t="str">
        <f>INDEX(Language!A1:H110,MATCH(Setup!C9,Language!B1:B107,0),MATCH(Setup!D6,Language!A1:H1,0))</f>
        <v>Albania</v>
      </c>
      <c r="H33" s="127" t="str">
        <f>IF(Matches!W18&lt;&gt;"",Matches!W18,"")</f>
        <v/>
      </c>
      <c r="I33" s="127" t="str">
        <f>IF(Matches!X18&lt;&gt;"",Matches!X18,"")</f>
        <v/>
      </c>
      <c r="J33" s="3" t="str">
        <f>INDEX(Language!A1:H110,MATCH(Setup!C27,Language!B1:B107,0),MATCH(Setup!D6,Language!A1:H1,0))</f>
        <v>Spain</v>
      </c>
      <c r="M33" s="138" t="s">
        <v>843</v>
      </c>
      <c r="N33" s="1"/>
      <c r="O33" s="130">
        <v>2</v>
      </c>
      <c r="P33" s="220" t="str">
        <f>VLOOKUP(2,'Dummy Table'!A37:B41,2,FALSE)</f>
        <v>Türkiye</v>
      </c>
      <c r="Q33" s="220"/>
      <c r="R33" s="220"/>
      <c r="S33" s="220"/>
      <c r="T33" s="137">
        <f t="shared" ref="T33:T35" si="11">SUM(U33:W33)</f>
        <v>0</v>
      </c>
      <c r="U33" s="137">
        <f>VLOOKUP(P33,'Dummy Table'!B4:C40,2,FALSE)</f>
        <v>0</v>
      </c>
      <c r="V33" s="137">
        <f>VLOOKUP(P33,'Dummy Table'!B4:D40,3,FALSE)</f>
        <v>0</v>
      </c>
      <c r="W33" s="137">
        <f>VLOOKUP(P33,'Dummy Table'!B4:E40,4,FALSE)</f>
        <v>0</v>
      </c>
      <c r="X33" s="137">
        <f>VLOOKUP(P33,'Dummy Table'!B4:F40,5,FALSE)</f>
        <v>0</v>
      </c>
      <c r="Y33" s="137" t="s">
        <v>17</v>
      </c>
      <c r="Z33" s="137">
        <f>VLOOKUP(P33,'Dummy Table'!B4:G40,6,FALSE)</f>
        <v>0</v>
      </c>
      <c r="AA33" s="137">
        <f t="shared" ref="AA33:AA35" si="12">X33-Z33</f>
        <v>0</v>
      </c>
      <c r="AB33" s="137">
        <f>U33*3+V33*1</f>
        <v>0</v>
      </c>
      <c r="AC33" s="131"/>
      <c r="AE33" s="2"/>
      <c r="CY33" s="2"/>
    </row>
    <row r="34" spans="2:103" s="3" customFormat="1" ht="14.45" customHeight="1" thickBot="1" x14ac:dyDescent="0.3">
      <c r="B34" s="132">
        <v>28</v>
      </c>
      <c r="C34" s="228" t="s">
        <v>3</v>
      </c>
      <c r="D34" s="228"/>
      <c r="E34" s="133">
        <f t="shared" si="0"/>
        <v>45467.875</v>
      </c>
      <c r="F34" s="134">
        <f>'Dummy Table'!EM34</f>
        <v>45467.875</v>
      </c>
      <c r="G34" s="135" t="str">
        <f>INDEX(Language!A1:H110,MATCH(Setup!C12,Language!B1:B107,0),MATCH(Setup!D6,Language!A1:H1,0))</f>
        <v>Croatia</v>
      </c>
      <c r="H34" s="127" t="str">
        <f>IF(Matches!W20&lt;&gt;"",Matches!W20,"")</f>
        <v/>
      </c>
      <c r="I34" s="127" t="str">
        <f>IF(Matches!X20&lt;&gt;"",Matches!X20,"")</f>
        <v/>
      </c>
      <c r="J34" s="3" t="str">
        <f>INDEX(Language!A1:H110,MATCH(Setup!C19,Language!B1:B107,0),MATCH(Setup!D6,Language!A1:H1,0))</f>
        <v>Italy</v>
      </c>
      <c r="M34" s="138" t="s">
        <v>844</v>
      </c>
      <c r="N34" s="1"/>
      <c r="O34" s="130">
        <v>3</v>
      </c>
      <c r="P34" s="221" t="str">
        <f>VLOOKUP(3,'Dummy Table'!A37:B41,2,FALSE)</f>
        <v>Czechia</v>
      </c>
      <c r="Q34" s="221"/>
      <c r="R34" s="221"/>
      <c r="S34" s="221"/>
      <c r="T34" s="130">
        <f t="shared" si="11"/>
        <v>0</v>
      </c>
      <c r="U34" s="130">
        <f>VLOOKUP(P34,'Dummy Table'!B4:C40,2,FALSE)</f>
        <v>0</v>
      </c>
      <c r="V34" s="130">
        <f>VLOOKUP(P34,'Dummy Table'!B4:D40,3,FALSE)</f>
        <v>0</v>
      </c>
      <c r="W34" s="130">
        <f>VLOOKUP(P34,'Dummy Table'!B4:E40,4,FALSE)</f>
        <v>0</v>
      </c>
      <c r="X34" s="130">
        <f>VLOOKUP(P34,'Dummy Table'!B4:F40,5,FALSE)</f>
        <v>0</v>
      </c>
      <c r="Y34" s="130" t="s">
        <v>17</v>
      </c>
      <c r="Z34" s="130">
        <f>VLOOKUP(P34,'Dummy Table'!B4:G40,6,FALSE)</f>
        <v>0</v>
      </c>
      <c r="AA34" s="130">
        <f t="shared" si="12"/>
        <v>0</v>
      </c>
      <c r="AB34" s="130">
        <f>U34*3+V34*1</f>
        <v>0</v>
      </c>
      <c r="AC34" s="131"/>
      <c r="AE34" s="2"/>
      <c r="CY34" s="2"/>
    </row>
    <row r="35" spans="2:103" s="3" customFormat="1" ht="14.45" customHeight="1" thickBot="1" x14ac:dyDescent="0.3">
      <c r="B35" s="132">
        <v>29</v>
      </c>
      <c r="C35" s="228" t="s">
        <v>4</v>
      </c>
      <c r="D35" s="228"/>
      <c r="E35" s="133">
        <f t="shared" si="0"/>
        <v>45468.875</v>
      </c>
      <c r="F35" s="134">
        <f>'Dummy Table'!EM35</f>
        <v>45468.875</v>
      </c>
      <c r="G35" s="135" t="str">
        <f>INDEX(Language!A1:H110,MATCH(Setup!C15,Language!B1:B107,0),MATCH(Setup!D6,Language!A1:H1,0))</f>
        <v>England</v>
      </c>
      <c r="H35" s="127" t="str">
        <f>IF(Matches!I36&lt;&gt;"",Matches!I36,"")</f>
        <v/>
      </c>
      <c r="I35" s="127" t="str">
        <f>IF(Matches!J36&lt;&gt;"",Matches!J36,"")</f>
        <v/>
      </c>
      <c r="J35" s="3" t="str">
        <f>INDEX(Language!A1:H110,MATCH(Setup!C26,Language!B1:B107,0),MATCH(Setup!D6,Language!A1:H1,0))</f>
        <v>Slovenia</v>
      </c>
      <c r="M35" s="138" t="s">
        <v>836</v>
      </c>
      <c r="N35" s="1"/>
      <c r="O35" s="130">
        <v>4</v>
      </c>
      <c r="P35" s="221" t="str">
        <f>VLOOKUP(4,'Dummy Table'!A37:B41,2,FALSE)</f>
        <v>Georgia</v>
      </c>
      <c r="Q35" s="221"/>
      <c r="R35" s="221"/>
      <c r="S35" s="221"/>
      <c r="T35" s="130">
        <f t="shared" si="11"/>
        <v>0</v>
      </c>
      <c r="U35" s="130">
        <f>VLOOKUP(P35,'Dummy Table'!B4:C40,2,FALSE)</f>
        <v>0</v>
      </c>
      <c r="V35" s="130">
        <f>VLOOKUP(P35,'Dummy Table'!B4:D40,3,FALSE)</f>
        <v>0</v>
      </c>
      <c r="W35" s="130">
        <f>VLOOKUP(P35,'Dummy Table'!B4:E40,4,FALSE)</f>
        <v>0</v>
      </c>
      <c r="X35" s="130">
        <f>VLOOKUP(P35,'Dummy Table'!B4:F40,5,FALSE)</f>
        <v>0</v>
      </c>
      <c r="Y35" s="130" t="s">
        <v>17</v>
      </c>
      <c r="Z35" s="130">
        <f>VLOOKUP(P35,'Dummy Table'!B4:G40,6,FALSE)</f>
        <v>0</v>
      </c>
      <c r="AA35" s="130">
        <f t="shared" si="12"/>
        <v>0</v>
      </c>
      <c r="AB35" s="130">
        <f>U35*3+V35*1</f>
        <v>0</v>
      </c>
      <c r="AC35" s="131"/>
      <c r="AE35" s="2"/>
      <c r="CY35" s="2"/>
    </row>
    <row r="36" spans="2:103" s="3" customFormat="1" ht="14.45" customHeight="1" thickBot="1" x14ac:dyDescent="0.3">
      <c r="B36" s="132">
        <v>30</v>
      </c>
      <c r="C36" s="228" t="s">
        <v>4</v>
      </c>
      <c r="D36" s="228"/>
      <c r="E36" s="133">
        <f t="shared" si="0"/>
        <v>45468.875</v>
      </c>
      <c r="F36" s="134">
        <f>'Dummy Table'!EM36</f>
        <v>45468.875</v>
      </c>
      <c r="G36" s="135" t="str">
        <f>INDEX(Language!A1:H110,MATCH(Setup!C14,Language!B1:B107,0),MATCH(Setup!D6,Language!A1:H1,0))</f>
        <v>Denmark</v>
      </c>
      <c r="H36" s="127" t="str">
        <f>IF(Matches!I38&lt;&gt;"",Matches!I38,"")</f>
        <v/>
      </c>
      <c r="I36" s="127" t="str">
        <f>IF(Matches!J38&lt;&gt;"",Matches!J38,"")</f>
        <v/>
      </c>
      <c r="J36" s="3" t="str">
        <f>INDEX(Language!A1:H110,MATCH(Setup!C24,Language!B1:B107,0),MATCH(Setup!D6,Language!A1:H1,0))</f>
        <v>Serbia</v>
      </c>
      <c r="M36" s="138" t="s">
        <v>835</v>
      </c>
      <c r="N36" s="1"/>
      <c r="AE36" s="2"/>
      <c r="CY36" s="2"/>
    </row>
    <row r="37" spans="2:103" s="3" customFormat="1" ht="14.45" customHeight="1" thickBot="1" x14ac:dyDescent="0.3">
      <c r="B37" s="132">
        <v>31</v>
      </c>
      <c r="C37" s="228" t="s">
        <v>13</v>
      </c>
      <c r="D37" s="228"/>
      <c r="E37" s="133">
        <f t="shared" si="0"/>
        <v>45468.75</v>
      </c>
      <c r="F37" s="134">
        <f>'Dummy Table'!EM37</f>
        <v>45468.75</v>
      </c>
      <c r="G37" s="135" t="str">
        <f>INDEX(Language!A1:H110,MATCH(Setup!C20,Language!B1:B107,0),MATCH(Setup!D6,Language!A1:H1,0))</f>
        <v>Netherlands</v>
      </c>
      <c r="H37" s="127" t="str">
        <f>IF(Matches!W36&lt;&gt;"",Matches!W36,"")</f>
        <v/>
      </c>
      <c r="I37" s="127" t="str">
        <f>IF(Matches!X36&lt;&gt;"",Matches!X36,"")</f>
        <v/>
      </c>
      <c r="J37" s="3" t="str">
        <f>INDEX(Language!A1:H110,MATCH(Setup!C10,Language!B1:B107,0),MATCH(Setup!D6,Language!A1:H1,0))</f>
        <v>Austria</v>
      </c>
      <c r="M37" s="138" t="s">
        <v>837</v>
      </c>
      <c r="N37" s="1"/>
      <c r="O37" s="180" t="str">
        <f>INDEX(Language!A1:I110,MATCH("Group A-F 3rd Place Standings",Language!B1:B107,0),MATCH(Setup!D6,Language!A1:H1,0))</f>
        <v>Group A-F 3rd Place Standings</v>
      </c>
      <c r="U37" s="130"/>
      <c r="AC37" s="182"/>
      <c r="AE37" s="2"/>
      <c r="CY37" s="2"/>
    </row>
    <row r="38" spans="2:103" s="3" customFormat="1" ht="14.45" customHeight="1" thickBot="1" x14ac:dyDescent="0.3">
      <c r="B38" s="132">
        <v>32</v>
      </c>
      <c r="C38" s="228" t="s">
        <v>13</v>
      </c>
      <c r="D38" s="228"/>
      <c r="E38" s="133">
        <f t="shared" si="0"/>
        <v>45468.75</v>
      </c>
      <c r="F38" s="134">
        <f>'Dummy Table'!EM38</f>
        <v>45468.75</v>
      </c>
      <c r="G38" s="135" t="str">
        <f>INDEX(Language!A1:H110,MATCH(Setup!C16,Language!B1:B107,0),MATCH(Setup!D6,Language!A1:H1,0))</f>
        <v>France</v>
      </c>
      <c r="H38" s="127" t="str">
        <f>IF(Matches!W38&lt;&gt;"",Matches!W38,"")</f>
        <v/>
      </c>
      <c r="I38" s="127" t="str">
        <f>IF(Matches!X38&lt;&gt;"",Matches!X38,"")</f>
        <v/>
      </c>
      <c r="J38" s="3" t="str">
        <f>INDEX(Language!A1:H110,MATCH(Setup!C30,Language!B1:B107,0),MATCH(Setup!D6,Language!A1:H1,0))</f>
        <v>Poland</v>
      </c>
      <c r="M38" s="138" t="s">
        <v>838</v>
      </c>
      <c r="N38" s="1"/>
      <c r="P38" s="3" t="str">
        <f>INDEX(Language!A1:I110,MATCH("Country",Language!B1:B107,0),MATCH(Setup!D6,Language!A1:H1,0))</f>
        <v>Country</v>
      </c>
      <c r="T38" s="130" t="s">
        <v>0</v>
      </c>
      <c r="U38" s="130" t="s">
        <v>12</v>
      </c>
      <c r="V38" s="130" t="s">
        <v>13</v>
      </c>
      <c r="W38" s="130" t="s">
        <v>14</v>
      </c>
      <c r="X38" s="130" t="s">
        <v>113</v>
      </c>
      <c r="Y38" s="130"/>
      <c r="Z38" s="130" t="s">
        <v>15</v>
      </c>
      <c r="AA38" s="130" t="s">
        <v>187</v>
      </c>
      <c r="AB38" s="130" t="s">
        <v>23</v>
      </c>
      <c r="AC38" s="130" t="s">
        <v>118</v>
      </c>
      <c r="AE38" s="2"/>
      <c r="CY38" s="2"/>
    </row>
    <row r="39" spans="2:103" s="3" customFormat="1" ht="14.45" customHeight="1" thickBot="1" x14ac:dyDescent="0.3">
      <c r="B39" s="132">
        <v>33</v>
      </c>
      <c r="C39" s="228" t="s">
        <v>108</v>
      </c>
      <c r="D39" s="228"/>
      <c r="E39" s="133">
        <f t="shared" si="0"/>
        <v>45469.75</v>
      </c>
      <c r="F39" s="134">
        <f>'Dummy Table'!EM39</f>
        <v>45469.75</v>
      </c>
      <c r="G39" s="135" t="str">
        <f>INDEX(Language!A1:H110,MATCH(Setup!C25,Language!B1:B107,0),MATCH(Setup!D6,Language!A1:H1,0))</f>
        <v>Slovakia</v>
      </c>
      <c r="H39" s="127" t="str">
        <f>IF(Matches!I54&lt;&gt;"",Matches!I54,"")</f>
        <v/>
      </c>
      <c r="I39" s="127" t="str">
        <f>IF(Matches!J54&lt;&gt;"",Matches!J54,"")</f>
        <v/>
      </c>
      <c r="J39" s="3" t="str">
        <f>INDEX(Language!A1:H110,MATCH(Setup!C22,Language!B1:B107,0),MATCH(Setup!D6,Language!A1:H1,0))</f>
        <v>Romania</v>
      </c>
      <c r="M39" s="138" t="s">
        <v>842</v>
      </c>
      <c r="N39" s="1"/>
      <c r="O39" s="137">
        <v>1</v>
      </c>
      <c r="P39" s="220" t="str">
        <f>INDEX('Dummy Table'!DH3:DH8,MATCH(Fixtures!O39,'Dummy Table'!DU3:DU8,0),0)</f>
        <v>Scotland</v>
      </c>
      <c r="Q39" s="220"/>
      <c r="R39" s="220"/>
      <c r="S39" s="220"/>
      <c r="T39" s="137">
        <f>VLOOKUP(P39,P7:AB35,5,FALSE)</f>
        <v>0</v>
      </c>
      <c r="U39" s="137">
        <f>VLOOKUP(P39,P7:AB35,6,FALSE)</f>
        <v>0</v>
      </c>
      <c r="V39" s="137">
        <f>VLOOKUP(P39,P7:AB35,7,FALSE)</f>
        <v>0</v>
      </c>
      <c r="W39" s="137">
        <f>VLOOKUP(P39,P7:AB35,8,FALSE)</f>
        <v>0</v>
      </c>
      <c r="X39" s="137">
        <f>VLOOKUP(P39,P7:AB35,9,FALSE)</f>
        <v>0</v>
      </c>
      <c r="Y39" s="137" t="s">
        <v>17</v>
      </c>
      <c r="Z39" s="137">
        <f>VLOOKUP(P39,P7:AB35,11,FALSE)</f>
        <v>0</v>
      </c>
      <c r="AA39" s="137">
        <f>VLOOKUP(P39,P7:AB35,12,FALSE)</f>
        <v>0</v>
      </c>
      <c r="AB39" s="137">
        <f>VLOOKUP(P39,P7:AB35,13,FALSE)</f>
        <v>0</v>
      </c>
      <c r="AC39" s="137" t="str">
        <f>INDEX('Dummy Table'!DV3:DV8,MATCH(Fixtures!O39,'Dummy Table'!DU3:DU8,0),0)</f>
        <v>A</v>
      </c>
      <c r="AE39" s="2"/>
      <c r="CY39" s="2"/>
    </row>
    <row r="40" spans="2:103" s="3" customFormat="1" ht="14.45" customHeight="1" thickBot="1" x14ac:dyDescent="0.3">
      <c r="B40" s="132">
        <v>34</v>
      </c>
      <c r="C40" s="228" t="s">
        <v>108</v>
      </c>
      <c r="D40" s="228"/>
      <c r="E40" s="133">
        <f t="shared" si="0"/>
        <v>45469.75</v>
      </c>
      <c r="F40" s="134">
        <f>'Dummy Table'!EM40</f>
        <v>45469.75</v>
      </c>
      <c r="G40" s="135" t="str">
        <f>INDEX(Language!A1:H110,MATCH(Setup!C31,Language!B1:B107,0),MATCH(Setup!D6,Language!A1:H1,0))</f>
        <v>Ukraine</v>
      </c>
      <c r="H40" s="127" t="str">
        <f>IF(Matches!I56&lt;&gt;"",Matches!I56,"")</f>
        <v/>
      </c>
      <c r="I40" s="127" t="str">
        <f>IF(Matches!J56&lt;&gt;"",Matches!J56,"")</f>
        <v/>
      </c>
      <c r="J40" s="3" t="str">
        <f>INDEX(Language!A1:H110,MATCH(Setup!C11,Language!B1:B107,0),MATCH(Setup!D6,Language!A1:H1,0))</f>
        <v>Belgium</v>
      </c>
      <c r="M40" s="138" t="s">
        <v>840</v>
      </c>
      <c r="N40" s="1"/>
      <c r="O40" s="137">
        <v>2</v>
      </c>
      <c r="P40" s="220" t="str">
        <f>INDEX('Dummy Table'!DH3:DH8,MATCH(Fixtures!O40,'Dummy Table'!DU3:DU8,0),0)</f>
        <v>Austria</v>
      </c>
      <c r="Q40" s="220"/>
      <c r="R40" s="220"/>
      <c r="S40" s="220"/>
      <c r="T40" s="137">
        <f>VLOOKUP(P40,P7:AB35,5,FALSE)</f>
        <v>0</v>
      </c>
      <c r="U40" s="137">
        <f>VLOOKUP(P40,P7:AB35,6,FALSE)</f>
        <v>0</v>
      </c>
      <c r="V40" s="137">
        <f>VLOOKUP(P40,P7:AB35,7,FALSE)</f>
        <v>0</v>
      </c>
      <c r="W40" s="137">
        <f>VLOOKUP(P40,P7:AB35,8,FALSE)</f>
        <v>0</v>
      </c>
      <c r="X40" s="137">
        <f>VLOOKUP(P40,P7:AB35,9,FALSE)</f>
        <v>0</v>
      </c>
      <c r="Y40" s="137" t="s">
        <v>17</v>
      </c>
      <c r="Z40" s="137">
        <f>VLOOKUP(P40,P7:AB35,11,FALSE)</f>
        <v>0</v>
      </c>
      <c r="AA40" s="137">
        <f>VLOOKUP(P40,P7:AB35,12,FALSE)</f>
        <v>0</v>
      </c>
      <c r="AB40" s="137">
        <f>VLOOKUP(P40,P7:AB35,13,FALSE)</f>
        <v>0</v>
      </c>
      <c r="AC40" s="137" t="str">
        <f>INDEX('Dummy Table'!DV3:DV8,MATCH(Fixtures!O40,'Dummy Table'!DU3:DU8,0),0)</f>
        <v>D</v>
      </c>
      <c r="AE40" s="2"/>
      <c r="CY40" s="2"/>
    </row>
    <row r="41" spans="2:103" s="3" customFormat="1" ht="14.45" customHeight="1" thickBot="1" x14ac:dyDescent="0.3">
      <c r="B41" s="132">
        <v>35</v>
      </c>
      <c r="C41" s="228" t="s">
        <v>113</v>
      </c>
      <c r="D41" s="228"/>
      <c r="E41" s="133">
        <f t="shared" si="0"/>
        <v>45469.875</v>
      </c>
      <c r="F41" s="134">
        <f>'Dummy Table'!EM41</f>
        <v>45469.875</v>
      </c>
      <c r="G41" s="135" t="str">
        <f>INDEX(Language!A1:H110,MATCH(Setup!C32,Language!B1:B107,0),MATCH(Setup!D6,Language!A1:H1,0))</f>
        <v>Georgia</v>
      </c>
      <c r="H41" s="127" t="str">
        <f>IF(Matches!W54&lt;&gt;"",Matches!W54,"")</f>
        <v/>
      </c>
      <c r="I41" s="127" t="str">
        <f>IF(Matches!X54&lt;&gt;"",Matches!X54,"")</f>
        <v/>
      </c>
      <c r="J41" s="3" t="str">
        <f>INDEX(Language!A1:H110,MATCH(Setup!C21,Language!B1:B107,0),MATCH(Setup!D6,Language!A1:H1,0))</f>
        <v>Portugal</v>
      </c>
      <c r="M41" s="138" t="s">
        <v>841</v>
      </c>
      <c r="N41" s="1"/>
      <c r="O41" s="137">
        <v>3</v>
      </c>
      <c r="P41" s="220" t="str">
        <f>INDEX('Dummy Table'!DH3:DH8,MATCH(Fixtures!O41,'Dummy Table'!DU3:DU8,0),0)</f>
        <v>Croatia</v>
      </c>
      <c r="Q41" s="220"/>
      <c r="R41" s="220"/>
      <c r="S41" s="220"/>
      <c r="T41" s="137">
        <f>VLOOKUP(P41,P7:AB35,5,FALSE)</f>
        <v>0</v>
      </c>
      <c r="U41" s="137">
        <f>VLOOKUP(P41,P7:AB35,6,FALSE)</f>
        <v>0</v>
      </c>
      <c r="V41" s="137">
        <f>VLOOKUP(P41,P7:AB35,7,FALSE)</f>
        <v>0</v>
      </c>
      <c r="W41" s="137">
        <f>VLOOKUP(P41,P7:AB35,8,FALSE)</f>
        <v>0</v>
      </c>
      <c r="X41" s="137">
        <f>VLOOKUP(P41,P7:AB35,9,FALSE)</f>
        <v>0</v>
      </c>
      <c r="Y41" s="137" t="s">
        <v>17</v>
      </c>
      <c r="Z41" s="137">
        <f>VLOOKUP(P41,P7:AB35,11,FALSE)</f>
        <v>0</v>
      </c>
      <c r="AA41" s="137">
        <f>VLOOKUP(P41,P7:AB35,12,FALSE)</f>
        <v>0</v>
      </c>
      <c r="AB41" s="137">
        <f>VLOOKUP(P41,P7:AB35,13,FALSE)</f>
        <v>0</v>
      </c>
      <c r="AC41" s="137" t="str">
        <f>INDEX('Dummy Table'!DV3:DV8,MATCH(Fixtures!O41,'Dummy Table'!DU3:DU8,0),0)</f>
        <v>B</v>
      </c>
      <c r="AE41" s="2"/>
      <c r="CY41" s="2"/>
    </row>
    <row r="42" spans="2:103" s="3" customFormat="1" ht="14.45" customHeight="1" thickBot="1" x14ac:dyDescent="0.3">
      <c r="B42" s="132">
        <v>36</v>
      </c>
      <c r="C42" s="228" t="s">
        <v>113</v>
      </c>
      <c r="D42" s="228"/>
      <c r="E42" s="133">
        <f t="shared" si="0"/>
        <v>45469.875</v>
      </c>
      <c r="F42" s="134">
        <f>'Dummy Table'!EM42</f>
        <v>45469.875</v>
      </c>
      <c r="G42" s="135" t="str">
        <f>INDEX(Language!A1:H110,MATCH(Setup!C13,Language!B1:B107,0),MATCH(Setup!D6,Language!A1:H1,0))</f>
        <v>Czechia</v>
      </c>
      <c r="H42" s="127" t="str">
        <f>IF(Matches!W56&lt;&gt;"",Matches!W56,"")</f>
        <v/>
      </c>
      <c r="I42" s="127" t="str">
        <f>IF(Matches!X56&lt;&gt;"",Matches!X56,"")</f>
        <v/>
      </c>
      <c r="J42" s="3" t="str">
        <f>INDEX(Language!A1:H110,MATCH(Setup!C29,Language!B1:B107,0),MATCH(Setup!D6,Language!A1:H1,0))</f>
        <v>Türkiye</v>
      </c>
      <c r="M42" s="138" t="s">
        <v>839</v>
      </c>
      <c r="N42" s="1"/>
      <c r="O42" s="137">
        <v>4</v>
      </c>
      <c r="P42" s="220" t="str">
        <f>INDEX('Dummy Table'!DH3:DH8,MATCH(Fixtures!O42,'Dummy Table'!DU3:DU8,0),0)</f>
        <v>Slovenia</v>
      </c>
      <c r="Q42" s="220"/>
      <c r="R42" s="220"/>
      <c r="S42" s="220"/>
      <c r="T42" s="137">
        <f>VLOOKUP(P42,P7:AB35,5,FALSE)</f>
        <v>0</v>
      </c>
      <c r="U42" s="137">
        <f>VLOOKUP(P42,P7:AB35,6,FALSE)</f>
        <v>0</v>
      </c>
      <c r="V42" s="137">
        <f>VLOOKUP(P42,P7:AB35,7,FALSE)</f>
        <v>0</v>
      </c>
      <c r="W42" s="137">
        <f>VLOOKUP(P42,P7:AB35,8,FALSE)</f>
        <v>0</v>
      </c>
      <c r="X42" s="137">
        <f>VLOOKUP(P42,P7:AB35,9,FALSE)</f>
        <v>0</v>
      </c>
      <c r="Y42" s="137" t="s">
        <v>17</v>
      </c>
      <c r="Z42" s="137">
        <f>VLOOKUP(P42,P7:AB35,11,FALSE)</f>
        <v>0</v>
      </c>
      <c r="AA42" s="137">
        <f>VLOOKUP(P42,P7:AB35,12,FALSE)</f>
        <v>0</v>
      </c>
      <c r="AB42" s="137">
        <f>VLOOKUP(P42,P7:AB35,13,FALSE)</f>
        <v>0</v>
      </c>
      <c r="AC42" s="137" t="str">
        <f>INDEX('Dummy Table'!DV3:DV8,MATCH(Fixtures!O42,'Dummy Table'!DU3:DU8,0),0)</f>
        <v>C</v>
      </c>
      <c r="AE42" s="2"/>
      <c r="CY42" s="2"/>
    </row>
    <row r="43" spans="2:103" s="3" customFormat="1" ht="14.45" customHeight="1" x14ac:dyDescent="0.25">
      <c r="B43" s="183" t="str">
        <f>INDEX(Language!A1:I110,MATCH("Knock Out Rounds",Language!B1:B107,0),MATCH(Setup!D6,Language!A1:H1,0))</f>
        <v>Knock Out Rounds</v>
      </c>
      <c r="C43" s="144"/>
      <c r="D43" s="184"/>
      <c r="E43" s="185"/>
      <c r="F43" s="186"/>
      <c r="G43" s="187"/>
      <c r="H43" s="188"/>
      <c r="I43" s="188"/>
      <c r="J43" s="189"/>
      <c r="K43" s="229" t="s">
        <v>442</v>
      </c>
      <c r="L43" s="229"/>
      <c r="M43" s="190"/>
      <c r="N43" s="2"/>
      <c r="O43" s="130">
        <v>5</v>
      </c>
      <c r="P43" s="221" t="str">
        <f>INDEX('Dummy Table'!DH3:DH8,MATCH(Fixtures!O43,'Dummy Table'!DU3:DU8,0),0)</f>
        <v>Slovakia</v>
      </c>
      <c r="Q43" s="221"/>
      <c r="R43" s="221"/>
      <c r="S43" s="221"/>
      <c r="T43" s="130">
        <f>VLOOKUP(P43,P7:AB35,5,FALSE)</f>
        <v>0</v>
      </c>
      <c r="U43" s="130">
        <f>VLOOKUP(P43,P7:AB35,6,FALSE)</f>
        <v>0</v>
      </c>
      <c r="V43" s="130">
        <f>VLOOKUP(P43,P7:AB35,7,FALSE)</f>
        <v>0</v>
      </c>
      <c r="W43" s="130">
        <f>VLOOKUP(P43,P7:AB35,8,FALSE)</f>
        <v>0</v>
      </c>
      <c r="X43" s="130">
        <f>VLOOKUP(P43,P7:AB35,9,FALSE)</f>
        <v>0</v>
      </c>
      <c r="Y43" s="130" t="s">
        <v>17</v>
      </c>
      <c r="Z43" s="130">
        <f>VLOOKUP(P43,P7:AB35,11,FALSE)</f>
        <v>0</v>
      </c>
      <c r="AA43" s="130">
        <f>VLOOKUP(P43,P7:AB35,12,FALSE)</f>
        <v>0</v>
      </c>
      <c r="AB43" s="130">
        <f>VLOOKUP(P43,P7:AB35,13,FALSE)</f>
        <v>0</v>
      </c>
      <c r="AC43" s="130" t="str">
        <f>INDEX('Dummy Table'!DV3:DV8,MATCH(Fixtures!O43,'Dummy Table'!DU3:DU8,0),0)</f>
        <v>E</v>
      </c>
      <c r="AE43" s="2"/>
      <c r="CY43" s="2"/>
    </row>
    <row r="44" spans="2:103" s="3" customFormat="1" ht="14.45" customHeight="1" x14ac:dyDescent="0.25">
      <c r="B44" s="139">
        <v>37</v>
      </c>
      <c r="C44" s="224" t="str">
        <f>INDEX(Language!A1:I110,MATCH("Round of 16",Language!B1:B107,0),MATCH(Setup!D6,Language!A1:H1,0))</f>
        <v>Round of 16</v>
      </c>
      <c r="D44" s="224"/>
      <c r="E44" s="140">
        <f t="shared" si="0"/>
        <v>45472.875</v>
      </c>
      <c r="F44" s="141">
        <f>'Dummy Table'!EM44</f>
        <v>45472.875</v>
      </c>
      <c r="G44" s="142" t="str">
        <f>IF(SUM(T7:T10)=12,P7,INDEX(Language!A1:I110,MATCH("Group A Winner",Language!B1:B107,0),MATCH(Setup!D6,Language!A1:H1,0)))</f>
        <v>Winner A</v>
      </c>
      <c r="H44" s="143" t="str">
        <f>IF(Matches!AJ11&lt;&gt;"",Matches!AJ11,"")</f>
        <v/>
      </c>
      <c r="I44" s="143" t="str">
        <f>IF(Matches!AK11&lt;&gt;"",Matches!AK11,"")</f>
        <v/>
      </c>
      <c r="J44" s="144" t="str">
        <f>IF(SUM(T17:T20)=12,P18,INDEX(Language!A1:I110,MATCH("Group C Runner Up",Language!B1:B107,0),MATCH(Setup!D6,Language!A1:H1,0)))</f>
        <v>Runner Up C</v>
      </c>
      <c r="K44" s="143">
        <f>IF(Matches!AJ12&lt;&gt;"",Matches!AJ12,0)</f>
        <v>0</v>
      </c>
      <c r="L44" s="143">
        <f>IF(Matches!AK12&lt;&gt;"",Matches!AK12,0)</f>
        <v>0</v>
      </c>
      <c r="M44" s="145" t="s">
        <v>838</v>
      </c>
      <c r="N44" s="2"/>
      <c r="O44" s="130">
        <v>6</v>
      </c>
      <c r="P44" s="221" t="str">
        <f>INDEX('Dummy Table'!DH3:DH8,MATCH(Fixtures!O44,'Dummy Table'!DU3:DU8,0),0)</f>
        <v>Czechia</v>
      </c>
      <c r="Q44" s="221"/>
      <c r="R44" s="221"/>
      <c r="S44" s="221"/>
      <c r="T44" s="130">
        <f>VLOOKUP(P44,P7:AB35,5,FALSE)</f>
        <v>0</v>
      </c>
      <c r="U44" s="130">
        <f>VLOOKUP(P44,P7:AB35,6,FALSE)</f>
        <v>0</v>
      </c>
      <c r="V44" s="130">
        <f>VLOOKUP(P44,P7:AB35,7,FALSE)</f>
        <v>0</v>
      </c>
      <c r="W44" s="130">
        <f>VLOOKUP(P44,P7:AB35,8,FALSE)</f>
        <v>0</v>
      </c>
      <c r="X44" s="130">
        <f>VLOOKUP(P44,P7:AB35,9,FALSE)</f>
        <v>0</v>
      </c>
      <c r="Y44" s="130" t="s">
        <v>17</v>
      </c>
      <c r="Z44" s="130">
        <f>VLOOKUP(P44,P7:AB35,11,FALSE)</f>
        <v>0</v>
      </c>
      <c r="AA44" s="130">
        <f>VLOOKUP(P44,P7:AB35,12,FALSE)</f>
        <v>0</v>
      </c>
      <c r="AB44" s="130">
        <f>VLOOKUP(P44,P7:AB35,13,FALSE)</f>
        <v>0</v>
      </c>
      <c r="AC44" s="130" t="str">
        <f>INDEX('Dummy Table'!DV3:DV8,MATCH(Fixtures!O44,'Dummy Table'!DU3:DU8,0),0)</f>
        <v>F</v>
      </c>
      <c r="AE44" s="2"/>
      <c r="CV44" s="2"/>
    </row>
    <row r="45" spans="2:103" s="3" customFormat="1" ht="14.45" customHeight="1" x14ac:dyDescent="0.25">
      <c r="B45" s="146">
        <v>38</v>
      </c>
      <c r="C45" s="232"/>
      <c r="D45" s="232"/>
      <c r="E45" s="133">
        <f t="shared" si="0"/>
        <v>45472.75</v>
      </c>
      <c r="F45" s="134">
        <f>'Dummy Table'!EM45</f>
        <v>45472.75</v>
      </c>
      <c r="G45" s="135" t="str">
        <f>IF(SUM(T7:T10)=12,P8,INDEX(Language!A1:I110,MATCH("Group A Runner Up",Language!B1:B107,0),MATCH(Setup!D6,Language!A1:H1,0)))</f>
        <v>Runner Up A</v>
      </c>
      <c r="H45" s="131" t="str">
        <f>IF(Matches!AJ14&lt;&gt;"",Matches!AJ14,"")</f>
        <v/>
      </c>
      <c r="I45" s="131" t="str">
        <f>IF(Matches!AK14&lt;&gt;"",Matches!AK14,"")</f>
        <v/>
      </c>
      <c r="J45" s="3" t="str">
        <f>IF(SUM(T12:T15)=12,P13,INDEX(Language!A1:I110,MATCH("Group B Runner Up",Language!B1:B107,0),MATCH(Setup!D6,Language!A1:H1,0)))</f>
        <v>Runner Up B</v>
      </c>
      <c r="K45" s="131">
        <f>IF(Matches!AJ15&lt;&gt;"",Matches!AJ15,0)</f>
        <v>0</v>
      </c>
      <c r="L45" s="131">
        <f>IF(Matches!AK15&lt;&gt;"",Matches!AK15,0)</f>
        <v>0</v>
      </c>
      <c r="M45" s="136" t="s">
        <v>837</v>
      </c>
      <c r="N45" s="2"/>
      <c r="AC45" s="182"/>
      <c r="AE45" s="2"/>
      <c r="CR45" s="2"/>
    </row>
    <row r="46" spans="2:103" ht="14.45" customHeight="1" x14ac:dyDescent="0.25">
      <c r="B46" s="146">
        <v>39</v>
      </c>
      <c r="C46" s="232"/>
      <c r="D46" s="232"/>
      <c r="E46" s="133">
        <f t="shared" si="0"/>
        <v>45473.875</v>
      </c>
      <c r="F46" s="134">
        <f>'Dummy Table'!EM46</f>
        <v>45473.875</v>
      </c>
      <c r="G46" s="135" t="str">
        <f>IF(SUM(T12:T15)=12,P12,INDEX(Language!A1:I110,MATCH("Group B Winner",Language!B1:B107,0),MATCH(Setup!D6,Language!A1:H1,0)))</f>
        <v>Winner B</v>
      </c>
      <c r="H46" s="131" t="str">
        <f>IF(Matches!AJ17&lt;&gt;"",Matches!AJ17,"")</f>
        <v/>
      </c>
      <c r="I46" s="131" t="str">
        <f>IF(Matches!AK17&lt;&gt;"",Matches!AK17,"")</f>
        <v/>
      </c>
      <c r="J46" s="3" t="str">
        <f>IF(SUM(T39:T44)=18,INDEX(P39:P44,MATCH(INDEX('Dummy Table'!DL13:DL27,MATCH(10,'Dummy Table'!DU13:DU27,0),0),AC39:AC44,0),0),INDEX(Language!A1:I110,MATCH("Group A/D/E/F 3rd Place",Language!B1:B107,0),MATCH(Setup!D6,Language!A1:H1,0)))</f>
        <v>3rd A/D/E/F</v>
      </c>
      <c r="K46" s="131">
        <f>IF(Matches!AJ18&lt;&gt;"",Matches!AJ18,0)</f>
        <v>0</v>
      </c>
      <c r="L46" s="131">
        <f>IF(Matches!AK18&lt;&gt;"",Matches!AK18,0)</f>
        <v>0</v>
      </c>
      <c r="M46" s="136" t="s">
        <v>836</v>
      </c>
      <c r="O46" s="230" t="str">
        <f>2024&amp;" "&amp;UPPER(INDEX(Language!A1:I110,MATCH("Champion",Language!B1:B107,0),MATCH(Setup!D6,Language!A1:H1,0)))</f>
        <v>2024 CHAMPION</v>
      </c>
      <c r="P46" s="230"/>
      <c r="Q46" s="230"/>
      <c r="R46" s="230"/>
      <c r="S46" s="230"/>
      <c r="T46" s="230"/>
      <c r="U46" s="230"/>
      <c r="V46" s="230"/>
      <c r="W46" s="230"/>
      <c r="X46" s="230"/>
      <c r="Y46" s="230"/>
      <c r="Z46" s="230"/>
      <c r="AA46" s="230"/>
      <c r="AB46" s="230"/>
      <c r="AC46" s="230"/>
      <c r="AD46" s="3"/>
      <c r="AF46" s="3"/>
    </row>
    <row r="47" spans="2:103" ht="14.45" customHeight="1" x14ac:dyDescent="0.25">
      <c r="B47" s="146">
        <v>40</v>
      </c>
      <c r="C47" s="232"/>
      <c r="D47" s="232"/>
      <c r="E47" s="133">
        <f t="shared" si="0"/>
        <v>45473.75</v>
      </c>
      <c r="F47" s="134">
        <f>'Dummy Table'!EM47</f>
        <v>45473.75</v>
      </c>
      <c r="G47" s="135" t="str">
        <f>IF(SUM(T17:T20)=12,P17,INDEX(Language!A1:I110,MATCH("Group C Winner",Language!B1:B107,0),MATCH(Setup!D6,Language!A1:H1,0)))</f>
        <v>Winner C</v>
      </c>
      <c r="H47" s="131" t="str">
        <f>IF(Matches!AJ20&lt;&gt;"",Matches!AJ20,"")</f>
        <v/>
      </c>
      <c r="I47" s="131" t="str">
        <f>IF(Matches!AK20&lt;&gt;"",Matches!AK20,"")</f>
        <v/>
      </c>
      <c r="J47" s="3" t="str">
        <f>IF(SUM(T39:T44)=18,INDEX(P39:P44,MATCH(INDEX('Dummy Table'!DM13:DM27,MATCH(10,'Dummy Table'!DU13:DU27,0),0),AC39:AC44,0),0),INDEX(Language!A1:I110,MATCH("Group D/E/F 3rd Place",Language!B1:B107,0),MATCH(Setup!D6,Language!A1:H1,0)))</f>
        <v>3rd D/E/F</v>
      </c>
      <c r="K47" s="131">
        <f>IF(Matches!AJ21&lt;&gt;"",Matches!AJ21,0)</f>
        <v>0</v>
      </c>
      <c r="L47" s="131">
        <f>IF(Matches!AK21&lt;&gt;"",Matches!AK21,0)</f>
        <v>0</v>
      </c>
      <c r="M47" s="136" t="s">
        <v>841</v>
      </c>
      <c r="O47" s="230"/>
      <c r="P47" s="230"/>
      <c r="Q47" s="230"/>
      <c r="R47" s="230"/>
      <c r="S47" s="230"/>
      <c r="T47" s="230"/>
      <c r="U47" s="230"/>
      <c r="V47" s="230"/>
      <c r="W47" s="230"/>
      <c r="X47" s="230"/>
      <c r="Y47" s="230"/>
      <c r="Z47" s="230"/>
      <c r="AA47" s="230"/>
      <c r="AB47" s="230"/>
      <c r="AC47" s="230"/>
      <c r="AE47" s="3"/>
      <c r="AF47" s="3"/>
    </row>
    <row r="48" spans="2:103" ht="14.45" customHeight="1" x14ac:dyDescent="0.25">
      <c r="B48" s="146">
        <v>41</v>
      </c>
      <c r="C48" s="232"/>
      <c r="D48" s="232"/>
      <c r="E48" s="133">
        <f t="shared" si="0"/>
        <v>45474.875</v>
      </c>
      <c r="F48" s="134">
        <f>'Dummy Table'!EM48</f>
        <v>45474.875</v>
      </c>
      <c r="G48" s="135" t="str">
        <f>IF(SUM(T32:T35)=12,P32,INDEX(Language!A1:I110,MATCH("Group F Winner",Language!B1:B107,0),MATCH(Setup!D6,Language!A1:H1,0)))</f>
        <v>Winner F</v>
      </c>
      <c r="H48" s="131" t="str">
        <f>IF(Matches!AJ26&lt;&gt;"",Matches!AJ23,"")</f>
        <v/>
      </c>
      <c r="I48" s="131" t="str">
        <f>IF(Matches!AK26&lt;&gt;"",Matches!AK23,"")</f>
        <v/>
      </c>
      <c r="J48" s="3" t="str">
        <f>IF(SUM(T39:T44)=18,INDEX(P39:P44,MATCH(INDEX('Dummy Table'!DO13:DO27,MATCH(10,'Dummy Table'!DU13:DU27,0),0),AC39:AC44,0),0),INDEX(Language!A1:I110,MATCH("Group A/B/C 3rd Place",Language!B1:B107,0),MATCH(Setup!D6,Language!A1:H1,0)))</f>
        <v>3rd A/B/C</v>
      </c>
      <c r="K48" s="131">
        <f>IF(Matches!AJ24&lt;&gt;"",Matches!AJ24,0)</f>
        <v>0</v>
      </c>
      <c r="L48" s="131">
        <f>IF(Matches!AK24&lt;&gt;"",Matches!AK24,0)</f>
        <v>0</v>
      </c>
      <c r="M48" s="136" t="s">
        <v>842</v>
      </c>
      <c r="O48" s="231" t="str">
        <f>UPPER(IF(AND(H58&lt;&gt;"",I58&lt;&gt;""),IF((H58+K58)&gt;(I58+L58),G58,IF((H58+K58)&lt;(I58+L58),J58,INDEX(Language!A1:I110,MATCH("Match 51 Winner",Language!B1:B107,0),MATCH(Setup!D6,Language!A1:H1,0)))),INDEX(Language!A1:I110,MATCH("Match 51 Winner",Language!B1:B107,0),MATCH(Setup!D6,Language!A1:H1,0))))</f>
        <v>WINNER #51</v>
      </c>
      <c r="P48" s="231"/>
      <c r="Q48" s="231"/>
      <c r="R48" s="231"/>
      <c r="S48" s="231"/>
      <c r="T48" s="231"/>
      <c r="U48" s="231"/>
      <c r="V48" s="231"/>
      <c r="W48" s="191"/>
      <c r="X48" s="191"/>
      <c r="Y48" s="191"/>
      <c r="Z48" s="191"/>
      <c r="AA48" s="191"/>
      <c r="AB48" s="191"/>
      <c r="AC48" s="191"/>
    </row>
    <row r="49" spans="2:29" ht="14.45" customHeight="1" x14ac:dyDescent="0.25">
      <c r="B49" s="146">
        <v>42</v>
      </c>
      <c r="C49" s="232"/>
      <c r="D49" s="232"/>
      <c r="E49" s="133">
        <f t="shared" si="0"/>
        <v>45474.75</v>
      </c>
      <c r="F49" s="134">
        <f>'Dummy Table'!EM49</f>
        <v>45474.75</v>
      </c>
      <c r="G49" s="135" t="str">
        <f>IF(SUM(T22:T25)=12,P23,INDEX(Language!A1:I110,MATCH("Group D Runner Up",Language!B1:B107,0),MATCH(Setup!D6,Language!A1:H1,0)))</f>
        <v>Runner Up D</v>
      </c>
      <c r="H49" s="131" t="str">
        <f>IF(Matches!AJ26&lt;&gt;"",Matches!AJ26,"")</f>
        <v/>
      </c>
      <c r="I49" s="131" t="str">
        <f>IF(Matches!AK26&lt;&gt;"",Matches!AK26,"")</f>
        <v/>
      </c>
      <c r="J49" s="3" t="str">
        <f>IF(SUM(T27:T30)=12,P28,INDEX(Language!A1:I110,MATCH("Group E Runner Up",Language!B1:B107,0),MATCH(Setup!D6,Language!A1:H1,0)))</f>
        <v>Runner Up E</v>
      </c>
      <c r="K49" s="131">
        <f>IF(Matches!AJ27&lt;&gt;"",Matches!AJ27,0)</f>
        <v>0</v>
      </c>
      <c r="L49" s="131">
        <f>IF(Matches!AK27&lt;&gt;"",Matches!AK27,0)</f>
        <v>0</v>
      </c>
      <c r="M49" s="136" t="s">
        <v>843</v>
      </c>
      <c r="O49" s="231"/>
      <c r="P49" s="231"/>
      <c r="Q49" s="231"/>
      <c r="R49" s="231"/>
      <c r="S49" s="231"/>
      <c r="T49" s="231"/>
      <c r="U49" s="231"/>
      <c r="V49" s="231"/>
      <c r="W49" s="191"/>
      <c r="X49" s="191"/>
      <c r="Y49" s="191"/>
      <c r="Z49" s="191"/>
      <c r="AA49" s="191"/>
      <c r="AB49" s="191"/>
      <c r="AC49" s="191"/>
    </row>
    <row r="50" spans="2:29" ht="14.45" customHeight="1" x14ac:dyDescent="0.25">
      <c r="B50" s="146">
        <v>43</v>
      </c>
      <c r="C50" s="232"/>
      <c r="D50" s="232"/>
      <c r="E50" s="133">
        <f t="shared" si="0"/>
        <v>45475.75</v>
      </c>
      <c r="F50" s="134">
        <f>'Dummy Table'!EM50</f>
        <v>45475.75</v>
      </c>
      <c r="G50" s="135" t="str">
        <f>IF(SUM(T27:T30)=12,P27,INDEX(Language!A1:I110,MATCH("Group E Winner",Language!B1:B107,0),MATCH(Setup!D6,Language!A1:H1,0)))</f>
        <v>Winner E</v>
      </c>
      <c r="H50" s="131" t="str">
        <f>IF(Matches!AJ29&lt;&gt;"",Matches!AJ29,"")</f>
        <v/>
      </c>
      <c r="I50" s="131" t="str">
        <f>IF(Matches!AK29&lt;&gt;"",Matches!AK29,"")</f>
        <v/>
      </c>
      <c r="J50" s="3" t="str">
        <f>IF(SUM(T39:T44)=18,INDEX(P39:P44,MATCH(INDEX('Dummy Table'!DN13:DN27,MATCH(10,'Dummy Table'!DU13:DU27,0),0),AC39:AC44,0),0),INDEX(Language!A1:I110,MATCH("Group A/B/C/D 3rd Place",Language!B1:B107,0),MATCH(Setup!D6,Language!A1:H1,0)))</f>
        <v>3rd A/B/C/D</v>
      </c>
      <c r="K50" s="131">
        <f>IF(Matches!AJ30&lt;&gt;"",Matches!AJ30,0)</f>
        <v>0</v>
      </c>
      <c r="L50" s="131">
        <f>IF(Matches!AK30&lt;&gt;"",Matches!AK30,0)</f>
        <v>0</v>
      </c>
      <c r="M50" s="136" t="s">
        <v>835</v>
      </c>
      <c r="O50" s="231"/>
      <c r="P50" s="231"/>
      <c r="Q50" s="231"/>
      <c r="R50" s="231"/>
      <c r="S50" s="231"/>
      <c r="T50" s="231"/>
      <c r="U50" s="231"/>
      <c r="V50" s="231"/>
      <c r="W50" s="191"/>
      <c r="X50" s="191"/>
      <c r="Y50" s="191"/>
      <c r="Z50" s="191"/>
      <c r="AA50" s="191"/>
      <c r="AB50" s="191"/>
      <c r="AC50" s="191"/>
    </row>
    <row r="51" spans="2:29" ht="14.45" customHeight="1" x14ac:dyDescent="0.25">
      <c r="B51" s="147">
        <v>44</v>
      </c>
      <c r="C51" s="225"/>
      <c r="D51" s="225"/>
      <c r="E51" s="148">
        <f t="shared" si="0"/>
        <v>45475.875</v>
      </c>
      <c r="F51" s="149">
        <f>'Dummy Table'!EM51</f>
        <v>45475.875</v>
      </c>
      <c r="G51" s="150" t="str">
        <f>IF(SUM(T22:T25)=12,P22,INDEX(Language!A1:I110,MATCH("Group D Winner",Language!B1:B107,0),MATCH(Setup!D6,Language!A1:H1,0)))</f>
        <v>Winner D</v>
      </c>
      <c r="H51" s="151" t="str">
        <f>IF(Matches!AJ32&lt;&gt;"",Matches!AJ32,"")</f>
        <v/>
      </c>
      <c r="I51" s="151" t="str">
        <f>IF(Matches!AK32&lt;&gt;"",Matches!AK32,"")</f>
        <v/>
      </c>
      <c r="J51" s="152" t="str">
        <f>IF(SUM(T32:T35)=12,P33,INDEX(Language!A1:I110,MATCH("Group F Runner Up",Language!B1:B107,0),MATCH(Setup!D6,Language!A1:H1,0)))</f>
        <v>Runner Up F</v>
      </c>
      <c r="K51" s="151">
        <f>IF(Matches!AJ33&lt;&gt;"",Matches!AJ33,0)</f>
        <v>0</v>
      </c>
      <c r="L51" s="151">
        <f>IF(Matches!AK33&lt;&gt;"",Matches!AK33,0)</f>
        <v>0</v>
      </c>
      <c r="M51" s="153" t="s">
        <v>844</v>
      </c>
      <c r="O51" s="231"/>
      <c r="P51" s="231"/>
      <c r="Q51" s="231"/>
      <c r="R51" s="231"/>
      <c r="S51" s="231"/>
      <c r="T51" s="231"/>
      <c r="U51" s="231"/>
      <c r="V51" s="231"/>
      <c r="W51" s="191"/>
      <c r="X51" s="191"/>
      <c r="Y51" s="191"/>
      <c r="Z51" s="191"/>
      <c r="AA51" s="191"/>
      <c r="AB51" s="191"/>
      <c r="AC51" s="191"/>
    </row>
    <row r="52" spans="2:29" ht="14.45" customHeight="1" x14ac:dyDescent="0.25">
      <c r="B52" s="139">
        <v>45</v>
      </c>
      <c r="C52" s="224" t="str">
        <f>INDEX(Language!A1:I110,MATCH("Quarter finals",Language!B1:B107,0),MATCH(Setup!D6,Language!A1:H1,0))</f>
        <v>Quarter Finals</v>
      </c>
      <c r="D52" s="224"/>
      <c r="E52" s="140">
        <f t="shared" si="0"/>
        <v>45478.75</v>
      </c>
      <c r="F52" s="141">
        <f>'Dummy Table'!EM52</f>
        <v>45478.75</v>
      </c>
      <c r="G52" s="154" t="str">
        <f>IF(AND(H46&lt;&gt;"",I46&lt;&gt;""),IF((H46+K46)&gt;(I46+L46),G46,IF((H46+K46)&lt;(I46+L46),J46,INDEX(Language!A1:I110,MATCH("Match 39 Winner",Language!B1:B107,0),MATCH(Setup!D6,Language!A1:H1,0)))),INDEX(Language!A1:I110,MATCH("Match 39 Winner",Language!B1:B107,0),MATCH(Setup!D6,Language!A1:H1,0)))</f>
        <v>Winner #39</v>
      </c>
      <c r="H52" s="143" t="str">
        <f>IF(Matches!AJ36&lt;&gt;"",Matches!AJ36,"")</f>
        <v/>
      </c>
      <c r="I52" s="143" t="str">
        <f>IF(Matches!AK36&lt;&gt;"",Matches!AK36,"")</f>
        <v/>
      </c>
      <c r="J52" s="155" t="str">
        <f>IF(AND(H44&lt;&gt;"",I44&lt;&gt;""),IF((H44+K44)&gt;(I44+L44),G44,IF((H44+K44)&lt;(I44+L44),J44,INDEX(Language!A1:I110,MATCH("Match 37 Winner",Language!B1:B107,0),MATCH(Setup!D6,Language!A1:H1,0)))),INDEX(Language!A1:I110,MATCH("Match 37 Winner",Language!B1:B107,0),MATCH(Setup!D6,Language!A1:H1,0)))</f>
        <v>Winner #37</v>
      </c>
      <c r="K52" s="143">
        <f>IF(Matches!AJ37&lt;&gt;"",Matches!AJ37,0)</f>
        <v>0</v>
      </c>
      <c r="L52" s="143">
        <f>IF(Matches!AK37&lt;&gt;"",Matches!AK37,0)</f>
        <v>0</v>
      </c>
      <c r="M52" s="145" t="s">
        <v>840</v>
      </c>
      <c r="O52" s="231"/>
      <c r="P52" s="231"/>
      <c r="Q52" s="231"/>
      <c r="R52" s="231"/>
      <c r="S52" s="231"/>
      <c r="T52" s="231"/>
      <c r="U52" s="231"/>
      <c r="V52" s="231"/>
    </row>
    <row r="53" spans="2:29" ht="14.45" customHeight="1" x14ac:dyDescent="0.25">
      <c r="B53" s="146">
        <v>46</v>
      </c>
      <c r="C53" s="232"/>
      <c r="D53" s="232"/>
      <c r="E53" s="133">
        <f t="shared" si="0"/>
        <v>45478.875</v>
      </c>
      <c r="F53" s="134">
        <f>'Dummy Table'!EM53</f>
        <v>45478.875</v>
      </c>
      <c r="G53" s="156" t="str">
        <f>IF(AND(H48&lt;&gt;"",I48&lt;&gt;""),IF((H48+K48)&gt;(I48+L48),G48,IF((H48+K48)&lt;(I48+L48),J48,INDEX(Language!A1:I110,MATCH("Match 41 Winner",Language!B1:B107,0),MATCH(Setup!D6,Language!A1:H1,0)))),INDEX(Language!A1:I110,MATCH("Match 41 Winner",Language!B1:B107,0),MATCH(Setup!D6,Language!A1:H1,0)))</f>
        <v>Winner #41</v>
      </c>
      <c r="H53" s="131" t="str">
        <f>IF(Matches!AJ39&lt;&gt;"",Matches!AJ39,"")</f>
        <v/>
      </c>
      <c r="I53" s="131" t="str">
        <f>IF(Matches!AK39&lt;&gt;"",Matches!AK39,"")</f>
        <v/>
      </c>
      <c r="J53" s="2" t="str">
        <f>IF(AND(H49&lt;&gt;"",I49&lt;&gt;""),IF((H49+K49)&gt;(I49+L49),G49,IF((H49+K49)&lt;(I49+L49),J49,INDEX(Language!A1:I110,MATCH("Match 42 Winner",Language!B1:B107,0),MATCH(Setup!D6,Language!A1:H1,0)))),INDEX(Language!A1:I110,MATCH("Match 42 Winner",Language!B1:B107,0),MATCH(Setup!D6,Language!A1:H1,0)))</f>
        <v>Winner #42</v>
      </c>
      <c r="K53" s="131">
        <f>IF(Matches!AJ40&lt;&gt;"",Matches!AJ40,0)</f>
        <v>0</v>
      </c>
      <c r="L53" s="131">
        <f>IF(Matches!AK40&lt;&gt;"",Matches!AK40,0)</f>
        <v>0</v>
      </c>
      <c r="M53" s="136" t="s">
        <v>839</v>
      </c>
      <c r="O53" s="3"/>
      <c r="P53" s="3"/>
      <c r="Q53" s="3"/>
      <c r="R53" s="3"/>
      <c r="S53" s="3"/>
      <c r="T53" s="3"/>
      <c r="U53" s="3"/>
    </row>
    <row r="54" spans="2:29" ht="14.45" customHeight="1" x14ac:dyDescent="0.25">
      <c r="B54" s="146">
        <v>47</v>
      </c>
      <c r="C54" s="232"/>
      <c r="D54" s="232"/>
      <c r="E54" s="133">
        <f t="shared" si="0"/>
        <v>45479.875</v>
      </c>
      <c r="F54" s="134">
        <f>'Dummy Table'!EM54</f>
        <v>45479.875</v>
      </c>
      <c r="G54" s="156" t="str">
        <f>IF(AND(H50&lt;&gt;"",I50&lt;&gt;""),IF((H50+K50)&gt;(I50+L50),G50,IF((H50+K50)&lt;(I50+L50),J50,INDEX(Language!A1:I110,MATCH("Match 43 Winner",Language!B1:B107,0),MATCH(Setup!D6,Language!A1:H1,0)))),INDEX(Language!A1:I110,MATCH("Match 43 Winner",Language!B1:B107,0),MATCH(Setup!D6,Language!A1:H1,0)))</f>
        <v>Winner #43</v>
      </c>
      <c r="H54" s="131" t="str">
        <f>IF(Matches!AJ42&lt;&gt;"",Matches!AJ42,"")</f>
        <v/>
      </c>
      <c r="I54" s="131" t="str">
        <f>IF(Matches!AK42&lt;&gt;"",Matches!AK42,"")</f>
        <v/>
      </c>
      <c r="J54" s="2" t="str">
        <f>IF(AND(H51&lt;&gt;"",I51&lt;&gt;""),IF((H51+K51)&gt;(I51+L51),G51,IF((H51+K51)&lt;(I51+L51),J51,INDEX(Language!A1:I110,MATCH("Match 44 Winner",Language!B1:B107,0),MATCH(Setup!D6,Language!A1:H1,0)))),INDEX(Language!A1:I110,MATCH("Match 44 Winner",Language!B1:B107,0),MATCH(Setup!D6,Language!A1:H1,0)))</f>
        <v>Winner #44</v>
      </c>
      <c r="K54" s="131">
        <f>IF(Matches!AJ43&lt;&gt;"",Matches!AJ43,0)</f>
        <v>0</v>
      </c>
      <c r="L54" s="131">
        <f>IF(Matches!AK43&lt;&gt;"",Matches!AK43,0)</f>
        <v>0</v>
      </c>
      <c r="M54" s="136" t="s">
        <v>837</v>
      </c>
    </row>
    <row r="55" spans="2:29" ht="14.45" customHeight="1" x14ac:dyDescent="0.25">
      <c r="B55" s="147">
        <v>48</v>
      </c>
      <c r="C55" s="225"/>
      <c r="D55" s="225"/>
      <c r="E55" s="148">
        <f t="shared" si="0"/>
        <v>45479.75</v>
      </c>
      <c r="F55" s="149">
        <f>'Dummy Table'!EM55</f>
        <v>45479.75</v>
      </c>
      <c r="G55" s="157" t="str">
        <f>IF(AND(H47&lt;&gt;"",I47&lt;&gt;""),IF((H47+K47)&gt;(I47+L47),G47,IF((H47+K47)&lt;(I47+L47),J47,INDEX(Language!A1:I110,MATCH("Match 40 Winner",Language!B1:B107,0),MATCH(Setup!D6,Language!A1:H1,0)))),INDEX(Language!A1:I110,MATCH("Match 40 Winner",Language!B1:B107,0),MATCH(Setup!D6,Language!A1:H1,0)))</f>
        <v>Winner #40</v>
      </c>
      <c r="H55" s="151" t="str">
        <f>IF(Matches!AJ45&lt;&gt;"",Matches!AJ45,"")</f>
        <v/>
      </c>
      <c r="I55" s="151" t="str">
        <f>IF(Matches!AK45&lt;&gt;"",Matches!AK45,"")</f>
        <v/>
      </c>
      <c r="J55" s="158" t="str">
        <f>IF(AND(H45&lt;&gt;"",I45&lt;&gt;""),IF((H45+K45)&gt;(I45+L45),G45,IF((H45+K45)&lt;(I45+L45),J45,INDEX(Language!A1:I110,MATCH("Match 38 Winner",Language!B1:B107,0),MATCH(Setup!D6,Language!A1:H1,0)))),INDEX(Language!A1:I110,MATCH("Match 38 Winner",Language!B1:B107,0),MATCH(Setup!D6,Language!A1:H1,0)))</f>
        <v>Winner #38</v>
      </c>
      <c r="K55" s="151">
        <f>IF(Matches!AJ46&lt;&gt;"",Matches!AJ46,0)</f>
        <v>0</v>
      </c>
      <c r="L55" s="151">
        <f>IF(Matches!AK46&lt;&gt;"",Matches!AK46,0)</f>
        <v>0</v>
      </c>
      <c r="M55" s="153" t="s">
        <v>843</v>
      </c>
    </row>
    <row r="56" spans="2:29" ht="14.45" customHeight="1" x14ac:dyDescent="0.25">
      <c r="B56" s="139">
        <v>49</v>
      </c>
      <c r="C56" s="224" t="str">
        <f>INDEX(Language!A1:I110,MATCH("Semi finals",Language!B1:B107,0),MATCH(Setup!D6,Language!A1:H1,0))</f>
        <v>Semi Finals</v>
      </c>
      <c r="D56" s="224"/>
      <c r="E56" s="140">
        <f t="shared" si="0"/>
        <v>45482.875</v>
      </c>
      <c r="F56" s="141">
        <f>'Dummy Table'!EM56</f>
        <v>45482.875</v>
      </c>
      <c r="G56" s="154" t="str">
        <f>IF(AND(H52&lt;&gt;"",I52&lt;&gt;""),IF((H52+K52)&gt;(I52+L52),G52,IF((H52+K52)&lt;(I52+L52),J52,INDEX(Language!A1:I110,MATCH("Match 45 Winner",Language!B1:B107,0),MATCH(Setup!D6,Language!A1:H1,0)))),INDEX(Language!A1:I110,MATCH("Match 45 Winner",Language!B1:B107,0),MATCH(Setup!D6,Language!A1:H1,0)))</f>
        <v>Winner #45</v>
      </c>
      <c r="H56" s="143" t="str">
        <f>IF(Matches!AJ49&lt;&gt;"",Matches!AJ49,"")</f>
        <v/>
      </c>
      <c r="I56" s="143" t="str">
        <f>IF(Matches!AK49&lt;&gt;"",Matches!AK49,"")</f>
        <v/>
      </c>
      <c r="J56" s="159" t="str">
        <f>IF(AND(H53&lt;&gt;"",I53&lt;&gt;""),IF((H53+K53)&gt;(I53+L53),G53,IF((H53+K53)&lt;(I53+L53),J53,INDEX(Language!A1:I110,MATCH("Match 46 Winner",Language!B1:B107,0),MATCH(Setup!D6,Language!A1:H1,0)))),INDEX(Language!A1:I110,MATCH("Match 46 Winner",Language!B1:B107,0),MATCH(Setup!D6,Language!A1:H1,0)))</f>
        <v>Winner #46</v>
      </c>
      <c r="K56" s="143">
        <f>IF(Matches!AJ50&lt;&gt;"",Matches!AJ50,0)</f>
        <v>0</v>
      </c>
      <c r="L56" s="143">
        <f>IF(Matches!AK50&lt;&gt;"",Matches!AK50,0)</f>
        <v>0</v>
      </c>
      <c r="M56" s="145" t="s">
        <v>835</v>
      </c>
    </row>
    <row r="57" spans="2:29" ht="14.45" customHeight="1" x14ac:dyDescent="0.25">
      <c r="B57" s="147">
        <v>50</v>
      </c>
      <c r="C57" s="225"/>
      <c r="D57" s="225"/>
      <c r="E57" s="148">
        <f t="shared" si="0"/>
        <v>45483.875</v>
      </c>
      <c r="F57" s="149">
        <f>'Dummy Table'!EM57</f>
        <v>45483.875</v>
      </c>
      <c r="G57" s="157" t="str">
        <f>IF(AND(H54&lt;&gt;"",I54&lt;&gt;""),IF((H54+K54)&gt;(I54+L54),G54,IF((H54+K54)&lt;(I54+L54),J54,INDEX(Language!A1:I110,MATCH("Match 47 Winner",Language!B1:B107,0),MATCH(Setup!D6,Language!A1:H1,0)))),INDEX(Language!A1:I110,MATCH("Match 47 Winner",Language!B1:B107,0),MATCH(Setup!D6,Language!A1:H1,0)))</f>
        <v>Winner #47</v>
      </c>
      <c r="H57" s="151" t="str">
        <f>IF(Matches!AJ52&lt;&gt;"",Matches!AJ52,"")</f>
        <v/>
      </c>
      <c r="I57" s="151" t="str">
        <f>IF(Matches!AK52&lt;&gt;"",Matches!AK52,"")</f>
        <v/>
      </c>
      <c r="J57" s="160" t="str">
        <f>IF(AND(H55&lt;&gt;"",I55&lt;&gt;""),IF((H55+K55)&gt;(I55+L55),G55,IF((H55+K55)&lt;(I55+L55),J55,INDEX(Language!A1:I110,MATCH("Match 48 Winner",Language!B1:B107,0),MATCH(Setup!D6,Language!A1:H1,0)))),INDEX(Language!A1:I110,MATCH("Match 48 Winner",Language!B1:B107,0),MATCH(Setup!D6,Language!A1:H1,0)))</f>
        <v>Winner #48</v>
      </c>
      <c r="K57" s="151">
        <f>IF(Matches!AJ53&lt;&gt;"",Matches!AJ53,0)</f>
        <v>0</v>
      </c>
      <c r="L57" s="151">
        <f>IF(Matches!AK53&lt;&gt;"",Matches!AK53,0)</f>
        <v>0</v>
      </c>
      <c r="M57" s="153" t="s">
        <v>838</v>
      </c>
    </row>
    <row r="58" spans="2:29" ht="14.45" customHeight="1" x14ac:dyDescent="0.25">
      <c r="B58" s="161">
        <v>51</v>
      </c>
      <c r="C58" s="226" t="str">
        <f>INDEX(Language!A1:I110,MATCH("Final",Language!B1:B107,0),MATCH(Setup!D6,Language!A1:H1,0))</f>
        <v>Final</v>
      </c>
      <c r="D58" s="226"/>
      <c r="E58" s="162">
        <f t="shared" si="0"/>
        <v>45487.875</v>
      </c>
      <c r="F58" s="163">
        <f>'Dummy Table'!EM58</f>
        <v>45487.875</v>
      </c>
      <c r="G58" s="164" t="str">
        <f>IF(AND(H56&lt;&gt;"",I56&lt;&gt;""),IF((H56+K56)&gt;(I56+L56),G56,IF((H56+K56)&lt;(I56+L56),J56,INDEX(Language!A1:I110,MATCH("Match 49 Winner",Language!B1:B107,0),MATCH(Setup!D6,Language!A1:H1,0)))),INDEX(Language!A1:I110,MATCH("Match 49 Winner",Language!B1:B107,0),MATCH(Setup!D6,Language!A1:H1,0)))</f>
        <v>Winner #49</v>
      </c>
      <c r="H58" s="165" t="str">
        <f>IF(Matches!AJ56&lt;&gt;"",Matches!AJ56,"")</f>
        <v/>
      </c>
      <c r="I58" s="165" t="str">
        <f>IF(Matches!AK56&lt;&gt;"",Matches!AK56,"")</f>
        <v/>
      </c>
      <c r="J58" s="166" t="str">
        <f>IF(AND(H57&lt;&gt;"",I57&lt;&gt;""),IF((H57+K57)&gt;(I57+L57),G57,IF((H57+K57)&lt;(I57+L57),J57,INDEX(Language!A1:I110,MATCH("Match 50 Winner",Language!B1:B107,0),MATCH(Setup!D6,Language!A1:H1,0)))),INDEX(Language!A1:I110,MATCH("Match 50 Winner",Language!B1:B107,0),MATCH(Setup!D6,Language!A1:H1,0)))</f>
        <v>Winner #50</v>
      </c>
      <c r="K58" s="165">
        <f>IF(Matches!AJ57&lt;&gt;"",Matches!AJ57,0)</f>
        <v>0</v>
      </c>
      <c r="L58" s="165">
        <f>IF(Matches!AK57&lt;&gt;"",Matches!AK57,0)</f>
        <v>0</v>
      </c>
      <c r="M58" s="167" t="s">
        <v>837</v>
      </c>
    </row>
    <row r="59" spans="2:29" ht="14.45" customHeight="1" x14ac:dyDescent="0.25">
      <c r="B59" s="45" t="s">
        <v>875</v>
      </c>
    </row>
    <row r="60" spans="2:29" ht="14.45" customHeight="1" x14ac:dyDescent="0.25">
      <c r="B60" s="168" t="s">
        <v>478</v>
      </c>
      <c r="E60" s="2"/>
    </row>
    <row r="61" spans="2:29" ht="14.45" customHeight="1" x14ac:dyDescent="0.25">
      <c r="B61" s="169" t="s">
        <v>806</v>
      </c>
      <c r="C61" s="2" t="s">
        <v>815</v>
      </c>
    </row>
    <row r="62" spans="2:29" x14ac:dyDescent="0.25">
      <c r="B62" s="169" t="s">
        <v>806</v>
      </c>
      <c r="C62" s="2" t="s">
        <v>816</v>
      </c>
    </row>
    <row r="63" spans="2:29" x14ac:dyDescent="0.25">
      <c r="B63" s="169" t="s">
        <v>806</v>
      </c>
      <c r="C63" s="2" t="s">
        <v>807</v>
      </c>
    </row>
    <row r="64" spans="2:29" x14ac:dyDescent="0.25">
      <c r="B64" s="169" t="s">
        <v>806</v>
      </c>
      <c r="C64" s="2" t="s">
        <v>808</v>
      </c>
    </row>
    <row r="65" spans="2:5" x14ac:dyDescent="0.25">
      <c r="B65" s="2" t="s">
        <v>809</v>
      </c>
    </row>
    <row r="66" spans="2:5" x14ac:dyDescent="0.25">
      <c r="B66" s="168" t="s">
        <v>810</v>
      </c>
      <c r="E66" s="2" t="s">
        <v>811</v>
      </c>
    </row>
    <row r="67" spans="2:5" x14ac:dyDescent="0.25">
      <c r="B67" s="192" t="s">
        <v>810</v>
      </c>
      <c r="E67" s="2" t="s">
        <v>812</v>
      </c>
    </row>
    <row r="68" spans="2:5" x14ac:dyDescent="0.25">
      <c r="B68" s="168" t="s">
        <v>810</v>
      </c>
      <c r="E68" s="2" t="s">
        <v>813</v>
      </c>
    </row>
    <row r="69" spans="2:5" x14ac:dyDescent="0.25">
      <c r="B69" s="192" t="s">
        <v>810</v>
      </c>
      <c r="E69" s="2" t="s">
        <v>814</v>
      </c>
    </row>
  </sheetData>
  <sheetProtection formatCells="0" formatColumns="0" formatRows="0"/>
  <mergeCells count="80">
    <mergeCell ref="O48:V52"/>
    <mergeCell ref="C39:D39"/>
    <mergeCell ref="C40:D40"/>
    <mergeCell ref="C41:D41"/>
    <mergeCell ref="C42:D42"/>
    <mergeCell ref="C44:D51"/>
    <mergeCell ref="C52:D55"/>
    <mergeCell ref="P44:S44"/>
    <mergeCell ref="P41:S41"/>
    <mergeCell ref="P42:S42"/>
    <mergeCell ref="P43:S43"/>
    <mergeCell ref="C36:D36"/>
    <mergeCell ref="C37:D37"/>
    <mergeCell ref="C38:D38"/>
    <mergeCell ref="K43:L43"/>
    <mergeCell ref="O46:AC47"/>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56:D57"/>
    <mergeCell ref="C58:D58"/>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H5:I5"/>
    <mergeCell ref="P14:S14"/>
    <mergeCell ref="P18:S18"/>
    <mergeCell ref="O31:S31"/>
    <mergeCell ref="O26:S26"/>
    <mergeCell ref="O21:S21"/>
    <mergeCell ref="O16:S16"/>
    <mergeCell ref="P29:S29"/>
    <mergeCell ref="P30:S30"/>
    <mergeCell ref="P28:S28"/>
    <mergeCell ref="P15:S15"/>
    <mergeCell ref="P22:S22"/>
    <mergeCell ref="P17:S17"/>
    <mergeCell ref="P12:S12"/>
    <mergeCell ref="P13:S13"/>
    <mergeCell ref="P7:S7"/>
    <mergeCell ref="P8:S8"/>
    <mergeCell ref="P9:S9"/>
    <mergeCell ref="P10:S10"/>
    <mergeCell ref="O11:S11"/>
    <mergeCell ref="O6:S6"/>
    <mergeCell ref="P19:S19"/>
    <mergeCell ref="P20:S20"/>
    <mergeCell ref="P23:S23"/>
    <mergeCell ref="P24:S24"/>
    <mergeCell ref="P25:S25"/>
    <mergeCell ref="P27:S27"/>
    <mergeCell ref="P35:S35"/>
    <mergeCell ref="P34:S34"/>
    <mergeCell ref="P39:S39"/>
    <mergeCell ref="P40:S40"/>
    <mergeCell ref="P32:S32"/>
    <mergeCell ref="P33:S33"/>
  </mergeCells>
  <phoneticPr fontId="1" type="noConversion"/>
  <conditionalFormatting sqref="G7:G42">
    <cfRule type="expression" dxfId="17" priority="11">
      <formula>$H7&lt;$I7</formula>
    </cfRule>
    <cfRule type="expression" dxfId="16" priority="12">
      <formula>$H7&gt;$I7</formula>
    </cfRule>
  </conditionalFormatting>
  <conditionalFormatting sqref="G44:G55 G58">
    <cfRule type="expression" dxfId="15" priority="3">
      <formula>$K44&gt;$L44</formula>
    </cfRule>
    <cfRule type="expression" dxfId="14" priority="4">
      <formula>$K44&lt;$L44</formula>
    </cfRule>
    <cfRule type="expression" dxfId="13" priority="7">
      <formula>$H44&lt;$I44</formula>
    </cfRule>
    <cfRule type="expression" dxfId="12" priority="8">
      <formula>$H44&gt;$I44</formula>
    </cfRule>
  </conditionalFormatting>
  <conditionalFormatting sqref="H7:I42 H44:I58">
    <cfRule type="expression" dxfId="11" priority="17">
      <formula>ISTEXT(H7)</formula>
    </cfRule>
  </conditionalFormatting>
  <conditionalFormatting sqref="J7:J42">
    <cfRule type="expression" dxfId="10" priority="9">
      <formula>$H7&gt;$I7</formula>
    </cfRule>
    <cfRule type="expression" dxfId="9" priority="10">
      <formula>$H7&lt;$I7</formula>
    </cfRule>
  </conditionalFormatting>
  <conditionalFormatting sqref="J44:J55 G56:G57 J58">
    <cfRule type="expression" dxfId="8" priority="1">
      <formula>$K44&gt;$L44</formula>
    </cfRule>
    <cfRule type="expression" dxfId="7" priority="2">
      <formula>$K44&lt;$L44</formula>
    </cfRule>
    <cfRule type="expression" dxfId="6" priority="5">
      <formula>$H44&gt;$I44</formula>
    </cfRule>
    <cfRule type="expression" dxfId="5" priority="6">
      <formula>$H44&lt;$I44</formula>
    </cfRule>
  </conditionalFormatting>
  <conditionalFormatting sqref="J56:J57">
    <cfRule type="expression" dxfId="4" priority="23">
      <formula>$K56&gt;$L56</formula>
    </cfRule>
    <cfRule type="expression" dxfId="3" priority="24">
      <formula>$K56&lt;$L56</formula>
    </cfRule>
    <cfRule type="expression" dxfId="2" priority="25">
      <formula>$H56&lt;$I56</formula>
    </cfRule>
    <cfRule type="expression" dxfId="1" priority="26">
      <formula>$H56&gt;$I56</formula>
    </cfRule>
  </conditionalFormatting>
  <conditionalFormatting sqref="K44:L58">
    <cfRule type="expression" dxfId="0" priority="18">
      <formula>AND($H44&lt;&gt;"",$I44&lt;&gt;"",$H44=$I44)</formula>
    </cfRule>
  </conditionalFormatting>
  <printOptions horizontalCentered="1" verticalCentered="1"/>
  <pageMargins left="0.04" right="0.4" top="0.4" bottom="0.4" header="0.25" footer="0.2"/>
  <pageSetup scale="68" orientation="landscape" horizontalDpi="300" verticalDpi="300" r:id="rId1"/>
  <headerFooter>
    <oddFooter>&amp;R(c) 2020 | journalSHEET.com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3"/>
  <sheetViews>
    <sheetView showGridLines="0" zoomScaleNormal="100" workbookViewId="0">
      <selection activeCell="C27" sqref="C27:C93"/>
    </sheetView>
  </sheetViews>
  <sheetFormatPr defaultColWidth="9.140625" defaultRowHeight="12.75" x14ac:dyDescent="0.2"/>
  <cols>
    <col min="1" max="1" width="4" style="18" bestFit="1" customWidth="1"/>
    <col min="2" max="2" width="25.140625" style="18" bestFit="1" customWidth="1"/>
    <col min="3" max="8" width="15.5703125" style="18" customWidth="1"/>
    <col min="9" max="16384" width="9.140625" style="18"/>
  </cols>
  <sheetData>
    <row r="1" spans="1:8" x14ac:dyDescent="0.2">
      <c r="A1" s="25">
        <v>1</v>
      </c>
      <c r="B1" s="25" t="s">
        <v>120</v>
      </c>
      <c r="C1" s="25" t="s">
        <v>121</v>
      </c>
      <c r="D1" s="25" t="s">
        <v>122</v>
      </c>
      <c r="E1" s="25" t="s">
        <v>123</v>
      </c>
      <c r="F1" s="25" t="s">
        <v>124</v>
      </c>
      <c r="G1" s="25" t="s">
        <v>125</v>
      </c>
      <c r="H1" s="25" t="str">
        <f>IF(Setup!D7&lt;&gt;"",Setup!D7,"New Language")</f>
        <v>NEW WORLD</v>
      </c>
    </row>
    <row r="2" spans="1:8" x14ac:dyDescent="0.2">
      <c r="A2" s="25">
        <v>1</v>
      </c>
      <c r="B2" s="25">
        <v>2</v>
      </c>
      <c r="C2" s="25">
        <v>3</v>
      </c>
      <c r="D2" s="25">
        <v>4</v>
      </c>
      <c r="E2" s="25">
        <v>5</v>
      </c>
      <c r="F2" s="25">
        <v>6</v>
      </c>
      <c r="G2" s="25">
        <v>7</v>
      </c>
      <c r="H2" s="25">
        <v>8</v>
      </c>
    </row>
    <row r="3" spans="1:8" x14ac:dyDescent="0.2">
      <c r="A3" s="25">
        <v>2</v>
      </c>
      <c r="B3" s="26" t="str">
        <f>Setup!C9</f>
        <v>Albania</v>
      </c>
      <c r="C3" s="26" t="s">
        <v>831</v>
      </c>
      <c r="D3" s="26" t="s">
        <v>882</v>
      </c>
      <c r="E3" s="26" t="s">
        <v>883</v>
      </c>
      <c r="F3" s="26" t="s">
        <v>831</v>
      </c>
      <c r="G3" s="26" t="s">
        <v>831</v>
      </c>
      <c r="H3" s="25" t="str">
        <f>IF(Setup!D9&lt;&gt;"",Setup!D9,Setup!C9)</f>
        <v>Albania</v>
      </c>
    </row>
    <row r="4" spans="1:8" x14ac:dyDescent="0.2">
      <c r="A4" s="25">
        <v>3</v>
      </c>
      <c r="B4" s="26" t="str">
        <f>Setup!C10</f>
        <v>Austria</v>
      </c>
      <c r="C4" s="27" t="s">
        <v>55</v>
      </c>
      <c r="D4" s="26" t="s">
        <v>884</v>
      </c>
      <c r="E4" s="26" t="s">
        <v>276</v>
      </c>
      <c r="F4" s="26" t="s">
        <v>55</v>
      </c>
      <c r="G4" s="26" t="s">
        <v>55</v>
      </c>
      <c r="H4" s="25" t="str">
        <f>IF(Setup!D10&lt;&gt;"",Setup!D10,Setup!C10)</f>
        <v>Austria</v>
      </c>
    </row>
    <row r="5" spans="1:8" x14ac:dyDescent="0.2">
      <c r="A5" s="25">
        <v>4</v>
      </c>
      <c r="B5" s="26" t="str">
        <f>Setup!C11</f>
        <v>Belgium</v>
      </c>
      <c r="C5" s="25" t="s">
        <v>53</v>
      </c>
      <c r="D5" s="26" t="s">
        <v>222</v>
      </c>
      <c r="E5" s="26" t="s">
        <v>207</v>
      </c>
      <c r="F5" s="26" t="s">
        <v>317</v>
      </c>
      <c r="G5" s="26" t="s">
        <v>373</v>
      </c>
      <c r="H5" s="25" t="str">
        <f>IF(Setup!D11&lt;&gt;"",Setup!D11,Setup!C11)</f>
        <v>Belgium</v>
      </c>
    </row>
    <row r="6" spans="1:8" x14ac:dyDescent="0.2">
      <c r="A6" s="25">
        <v>5</v>
      </c>
      <c r="B6" s="26" t="str">
        <f>Setup!C12</f>
        <v>Croatia</v>
      </c>
      <c r="C6" s="26" t="s">
        <v>52</v>
      </c>
      <c r="D6" s="26" t="s">
        <v>126</v>
      </c>
      <c r="E6" s="26" t="s">
        <v>127</v>
      </c>
      <c r="F6" s="26" t="s">
        <v>128</v>
      </c>
      <c r="G6" s="26" t="s">
        <v>129</v>
      </c>
      <c r="H6" s="25" t="str">
        <f>IF(Setup!D12&lt;&gt;"",Setup!D12,Setup!C12)</f>
        <v>Croatia</v>
      </c>
    </row>
    <row r="7" spans="1:8" x14ac:dyDescent="0.2">
      <c r="A7" s="25">
        <v>6</v>
      </c>
      <c r="B7" s="26" t="str">
        <f>Setup!C13</f>
        <v>Czechia</v>
      </c>
      <c r="C7" s="26" t="s">
        <v>869</v>
      </c>
      <c r="D7" s="26" t="s">
        <v>885</v>
      </c>
      <c r="E7" s="26" t="s">
        <v>275</v>
      </c>
      <c r="F7" s="26" t="s">
        <v>886</v>
      </c>
      <c r="G7" s="26" t="s">
        <v>887</v>
      </c>
      <c r="H7" s="25" t="str">
        <f>IF(Setup!D13&lt;&gt;"",Setup!D13,Setup!C13)</f>
        <v>Czechia</v>
      </c>
    </row>
    <row r="8" spans="1:8" x14ac:dyDescent="0.2">
      <c r="A8" s="25">
        <v>7</v>
      </c>
      <c r="B8" s="26" t="str">
        <f>Setup!C14</f>
        <v>Denmark</v>
      </c>
      <c r="C8" s="25" t="s">
        <v>443</v>
      </c>
      <c r="D8" s="26" t="s">
        <v>495</v>
      </c>
      <c r="E8" s="26" t="s">
        <v>498</v>
      </c>
      <c r="F8" s="26" t="s">
        <v>504</v>
      </c>
      <c r="G8" s="26" t="s">
        <v>501</v>
      </c>
      <c r="H8" s="25" t="str">
        <f>IF(Setup!D14&lt;&gt;"",Setup!D14,Setup!C14)</f>
        <v>Denmark</v>
      </c>
    </row>
    <row r="9" spans="1:8" x14ac:dyDescent="0.2">
      <c r="A9" s="25">
        <v>8</v>
      </c>
      <c r="B9" s="26" t="str">
        <f>Setup!C15</f>
        <v>England</v>
      </c>
      <c r="C9" s="26" t="s">
        <v>1</v>
      </c>
      <c r="D9" s="26" t="s">
        <v>133</v>
      </c>
      <c r="E9" s="26" t="s">
        <v>1</v>
      </c>
      <c r="F9" s="26" t="s">
        <v>134</v>
      </c>
      <c r="G9" s="26" t="s">
        <v>135</v>
      </c>
      <c r="H9" s="25" t="str">
        <f>IF(Setup!D15&lt;&gt;"",Setup!D15,Setup!C15)</f>
        <v>England</v>
      </c>
    </row>
    <row r="10" spans="1:8" x14ac:dyDescent="0.2">
      <c r="A10" s="25">
        <v>9</v>
      </c>
      <c r="B10" s="26" t="str">
        <f>Setup!C16</f>
        <v>France</v>
      </c>
      <c r="C10" s="25" t="s">
        <v>11</v>
      </c>
      <c r="D10" s="26" t="s">
        <v>11</v>
      </c>
      <c r="E10" s="26" t="s">
        <v>143</v>
      </c>
      <c r="F10" s="26" t="s">
        <v>144</v>
      </c>
      <c r="G10" s="26" t="s">
        <v>144</v>
      </c>
      <c r="H10" s="25" t="str">
        <f>IF(Setup!D16&lt;&gt;"",Setup!D16,Setup!C16)</f>
        <v>France</v>
      </c>
    </row>
    <row r="11" spans="1:8" x14ac:dyDescent="0.2">
      <c r="A11" s="25">
        <v>10</v>
      </c>
      <c r="B11" s="26" t="str">
        <f>Setup!C17</f>
        <v>Germany</v>
      </c>
      <c r="C11" s="26" t="s">
        <v>50</v>
      </c>
      <c r="D11" s="26" t="s">
        <v>888</v>
      </c>
      <c r="E11" s="26" t="s">
        <v>274</v>
      </c>
      <c r="F11" s="26" t="s">
        <v>316</v>
      </c>
      <c r="G11" s="26" t="s">
        <v>382</v>
      </c>
      <c r="H11" s="25" t="str">
        <f>IF(Setup!D17&lt;&gt;"",Setup!D17,Setup!C17)</f>
        <v>Germany</v>
      </c>
    </row>
    <row r="12" spans="1:8" x14ac:dyDescent="0.2">
      <c r="A12" s="25">
        <v>11</v>
      </c>
      <c r="B12" s="26" t="str">
        <f>Setup!C18</f>
        <v>Hungary</v>
      </c>
      <c r="C12" s="25" t="s">
        <v>56</v>
      </c>
      <c r="D12" s="26" t="s">
        <v>224</v>
      </c>
      <c r="E12" s="26" t="s">
        <v>208</v>
      </c>
      <c r="F12" s="26" t="s">
        <v>319</v>
      </c>
      <c r="G12" s="26" t="s">
        <v>383</v>
      </c>
      <c r="H12" s="25" t="str">
        <f>IF(Setup!D18&lt;&gt;"",Setup!D18,Setup!C18)</f>
        <v>Hungary</v>
      </c>
    </row>
    <row r="13" spans="1:8" x14ac:dyDescent="0.2">
      <c r="A13" s="25">
        <v>12</v>
      </c>
      <c r="B13" s="26" t="str">
        <f>Setup!C19</f>
        <v>Italy</v>
      </c>
      <c r="C13" s="26" t="s">
        <v>10</v>
      </c>
      <c r="D13" s="26" t="s">
        <v>136</v>
      </c>
      <c r="E13" s="26" t="s">
        <v>137</v>
      </c>
      <c r="F13" s="26" t="s">
        <v>138</v>
      </c>
      <c r="G13" s="26" t="s">
        <v>138</v>
      </c>
      <c r="H13" s="25" t="str">
        <f>IF(Setup!D19&lt;&gt;"",Setup!D19,Setup!C19)</f>
        <v>Italy</v>
      </c>
    </row>
    <row r="14" spans="1:8" x14ac:dyDescent="0.2">
      <c r="A14" s="25">
        <v>13</v>
      </c>
      <c r="B14" s="26" t="str">
        <f>Setup!C20</f>
        <v>Netherlands</v>
      </c>
      <c r="C14" s="25" t="s">
        <v>444</v>
      </c>
      <c r="D14" s="26" t="s">
        <v>496</v>
      </c>
      <c r="E14" s="26" t="s">
        <v>499</v>
      </c>
      <c r="F14" s="26" t="s">
        <v>889</v>
      </c>
      <c r="G14" s="26" t="s">
        <v>502</v>
      </c>
      <c r="H14" s="25" t="str">
        <f>IF(Setup!D20&lt;&gt;"",Setup!D20,Setup!C20)</f>
        <v>Netherlands</v>
      </c>
    </row>
    <row r="15" spans="1:8" x14ac:dyDescent="0.2">
      <c r="A15" s="25">
        <v>14</v>
      </c>
      <c r="B15" s="26" t="str">
        <f>Setup!C21</f>
        <v>Portugal</v>
      </c>
      <c r="C15" s="26" t="s">
        <v>54</v>
      </c>
      <c r="D15" s="26" t="s">
        <v>223</v>
      </c>
      <c r="E15" s="26" t="s">
        <v>54</v>
      </c>
      <c r="F15" s="26" t="s">
        <v>318</v>
      </c>
      <c r="G15" s="26" t="s">
        <v>54</v>
      </c>
      <c r="H15" s="25" t="str">
        <f>IF(Setup!D21&lt;&gt;"",Setup!D21,Setup!C21)</f>
        <v>Portugal</v>
      </c>
    </row>
    <row r="16" spans="1:8" x14ac:dyDescent="0.2">
      <c r="A16" s="25">
        <v>15</v>
      </c>
      <c r="B16" s="26" t="str">
        <f>Setup!C22</f>
        <v>Romania</v>
      </c>
      <c r="C16" s="26" t="s">
        <v>834</v>
      </c>
      <c r="D16" s="26" t="s">
        <v>890</v>
      </c>
      <c r="E16" s="26" t="s">
        <v>891</v>
      </c>
      <c r="F16" s="26" t="s">
        <v>834</v>
      </c>
      <c r="G16" s="26" t="s">
        <v>892</v>
      </c>
      <c r="H16" s="25" t="str">
        <f>IF(Setup!D22&lt;&gt;"",Setup!D22,Setup!C22)</f>
        <v>Romania</v>
      </c>
    </row>
    <row r="17" spans="1:8" x14ac:dyDescent="0.2">
      <c r="A17" s="25">
        <v>16</v>
      </c>
      <c r="B17" s="26" t="str">
        <f>Setup!C23</f>
        <v>Scotland</v>
      </c>
      <c r="C17" s="25" t="s">
        <v>19</v>
      </c>
      <c r="D17" s="26" t="s">
        <v>497</v>
      </c>
      <c r="E17" s="26" t="s">
        <v>500</v>
      </c>
      <c r="F17" s="26" t="s">
        <v>505</v>
      </c>
      <c r="G17" s="26" t="s">
        <v>503</v>
      </c>
      <c r="H17" s="25" t="str">
        <f>IF(Setup!D23&lt;&gt;"",Setup!D23,Setup!C23)</f>
        <v>Scotland</v>
      </c>
    </row>
    <row r="18" spans="1:8" x14ac:dyDescent="0.2">
      <c r="A18" s="25">
        <v>17</v>
      </c>
      <c r="B18" s="26" t="str">
        <f>Setup!C24</f>
        <v>Serbia</v>
      </c>
      <c r="C18" s="26" t="s">
        <v>832</v>
      </c>
      <c r="D18" s="26" t="s">
        <v>893</v>
      </c>
      <c r="E18" s="26" t="s">
        <v>894</v>
      </c>
      <c r="F18" s="26" t="s">
        <v>832</v>
      </c>
      <c r="G18" s="26" t="s">
        <v>832</v>
      </c>
      <c r="H18" s="25" t="str">
        <f>IF(Setup!D24&lt;&gt;"",Setup!D24,Setup!C24)</f>
        <v>Serbia</v>
      </c>
    </row>
    <row r="19" spans="1:8" x14ac:dyDescent="0.2">
      <c r="A19" s="25">
        <v>18</v>
      </c>
      <c r="B19" s="26" t="str">
        <f>Setup!C25</f>
        <v>Slovakia</v>
      </c>
      <c r="C19" s="26" t="s">
        <v>49</v>
      </c>
      <c r="D19" s="26" t="s">
        <v>221</v>
      </c>
      <c r="E19" s="26" t="s">
        <v>273</v>
      </c>
      <c r="F19" s="26" t="s">
        <v>315</v>
      </c>
      <c r="G19" s="26" t="s">
        <v>381</v>
      </c>
      <c r="H19" s="25" t="str">
        <f>IF(Setup!D25&lt;&gt;"",Setup!D25,Setup!C25)</f>
        <v>Slovakia</v>
      </c>
    </row>
    <row r="20" spans="1:8" x14ac:dyDescent="0.2">
      <c r="A20" s="25">
        <v>19</v>
      </c>
      <c r="B20" s="26" t="str">
        <f>Setup!C26</f>
        <v>Slovenia</v>
      </c>
      <c r="C20" s="26" t="s">
        <v>833</v>
      </c>
      <c r="D20" s="26" t="s">
        <v>895</v>
      </c>
      <c r="E20" s="26" t="s">
        <v>896</v>
      </c>
      <c r="F20" s="26" t="s">
        <v>833</v>
      </c>
      <c r="G20" s="26" t="s">
        <v>897</v>
      </c>
      <c r="H20" s="25" t="str">
        <f>IF(Setup!D26&lt;&gt;"",Setup!D26,Setup!C26)</f>
        <v>Slovenia</v>
      </c>
    </row>
    <row r="21" spans="1:8" x14ac:dyDescent="0.2">
      <c r="A21" s="25">
        <v>20</v>
      </c>
      <c r="B21" s="26" t="str">
        <f>Setup!C27</f>
        <v>Spain</v>
      </c>
      <c r="C21" s="25" t="s">
        <v>51</v>
      </c>
      <c r="D21" s="26" t="s">
        <v>898</v>
      </c>
      <c r="E21" s="26" t="s">
        <v>130</v>
      </c>
      <c r="F21" s="26" t="s">
        <v>131</v>
      </c>
      <c r="G21" s="26" t="s">
        <v>132</v>
      </c>
      <c r="H21" s="25" t="str">
        <f>IF(Setup!D27&lt;&gt;"",Setup!D27,Setup!C27)</f>
        <v>Spain</v>
      </c>
    </row>
    <row r="22" spans="1:8" x14ac:dyDescent="0.2">
      <c r="A22" s="25">
        <v>21</v>
      </c>
      <c r="B22" s="26" t="str">
        <f>Setup!C28</f>
        <v>Switzerland</v>
      </c>
      <c r="C22" s="25" t="s">
        <v>48</v>
      </c>
      <c r="D22" s="26" t="s">
        <v>139</v>
      </c>
      <c r="E22" s="26" t="s">
        <v>140</v>
      </c>
      <c r="F22" s="26" t="s">
        <v>141</v>
      </c>
      <c r="G22" s="26" t="s">
        <v>142</v>
      </c>
      <c r="H22" s="25" t="str">
        <f>IF(Setup!D28&lt;&gt;"",Setup!D28,Setup!C28)</f>
        <v>Switzerland</v>
      </c>
    </row>
    <row r="23" spans="1:8" x14ac:dyDescent="0.2">
      <c r="A23" s="25">
        <v>22</v>
      </c>
      <c r="B23" s="26" t="str">
        <f>Setup!C29</f>
        <v>Türkiye</v>
      </c>
      <c r="C23" s="26" t="s">
        <v>870</v>
      </c>
      <c r="D23" s="26" t="s">
        <v>433</v>
      </c>
      <c r="E23" s="26" t="s">
        <v>899</v>
      </c>
      <c r="F23" s="26" t="s">
        <v>434</v>
      </c>
      <c r="G23" s="26" t="s">
        <v>900</v>
      </c>
      <c r="H23" s="25" t="str">
        <f>IF(Setup!D29&lt;&gt;"",Setup!D29,Setup!C29)</f>
        <v>Türkiye</v>
      </c>
    </row>
    <row r="24" spans="1:8" x14ac:dyDescent="0.2">
      <c r="A24" s="25">
        <v>23</v>
      </c>
      <c r="B24" s="26" t="str">
        <f>Setup!C30</f>
        <v>Poland</v>
      </c>
      <c r="C24" s="26" t="s">
        <v>879</v>
      </c>
      <c r="D24" s="26" t="s">
        <v>901</v>
      </c>
      <c r="E24" s="26" t="s">
        <v>902</v>
      </c>
      <c r="F24" s="26" t="s">
        <v>903</v>
      </c>
      <c r="G24" s="26" t="s">
        <v>903</v>
      </c>
      <c r="H24" s="25" t="str">
        <f>IF(Setup!D30&lt;&gt;"",Setup!D30,Setup!C30)</f>
        <v>Poland</v>
      </c>
    </row>
    <row r="25" spans="1:8" x14ac:dyDescent="0.2">
      <c r="A25" s="25">
        <v>24</v>
      </c>
      <c r="B25" s="26" t="str">
        <f>Setup!C31</f>
        <v>Ukraine</v>
      </c>
      <c r="C25" s="26" t="s">
        <v>880</v>
      </c>
      <c r="D25" s="26" t="s">
        <v>880</v>
      </c>
      <c r="E25" s="26" t="s">
        <v>880</v>
      </c>
      <c r="F25" s="26" t="s">
        <v>904</v>
      </c>
      <c r="G25" s="26" t="s">
        <v>905</v>
      </c>
      <c r="H25" s="25" t="str">
        <f>IF(Setup!D31&lt;&gt;"",Setup!D31,Setup!C31)</f>
        <v>Ukraine</v>
      </c>
    </row>
    <row r="26" spans="1:8" x14ac:dyDescent="0.2">
      <c r="A26" s="25">
        <v>25</v>
      </c>
      <c r="B26" s="26" t="str">
        <f>Setup!C32</f>
        <v>Georgia</v>
      </c>
      <c r="C26" s="26" t="s">
        <v>881</v>
      </c>
      <c r="D26" s="26" t="s">
        <v>906</v>
      </c>
      <c r="E26" s="26" t="s">
        <v>881</v>
      </c>
      <c r="F26" s="26" t="s">
        <v>881</v>
      </c>
      <c r="G26" s="26" t="s">
        <v>881</v>
      </c>
      <c r="H26" s="25" t="str">
        <f>IF(Setup!D32&lt;&gt;"",Setup!D32,Setup!C32)</f>
        <v>Georgia</v>
      </c>
    </row>
    <row r="27" spans="1:8" x14ac:dyDescent="0.2">
      <c r="A27" s="25">
        <v>26</v>
      </c>
      <c r="B27" s="26" t="str">
        <f>Setup!C33</f>
        <v>Language</v>
      </c>
      <c r="C27" s="25" t="s">
        <v>57</v>
      </c>
      <c r="D27" s="26" t="s">
        <v>145</v>
      </c>
      <c r="E27" s="26" t="s">
        <v>146</v>
      </c>
      <c r="F27" s="26" t="s">
        <v>320</v>
      </c>
      <c r="G27" s="26" t="s">
        <v>384</v>
      </c>
      <c r="H27" s="25" t="str">
        <f>IF(Setup!D33&lt;&gt;"",Setup!D33,Setup!C33)</f>
        <v>Language</v>
      </c>
    </row>
    <row r="28" spans="1:8" x14ac:dyDescent="0.2">
      <c r="A28" s="25">
        <v>27</v>
      </c>
      <c r="B28" s="26" t="str">
        <f>Setup!C34</f>
        <v>Timezone</v>
      </c>
      <c r="C28" s="25" t="s">
        <v>58</v>
      </c>
      <c r="D28" s="26" t="s">
        <v>147</v>
      </c>
      <c r="E28" s="26" t="s">
        <v>148</v>
      </c>
      <c r="F28" s="26" t="s">
        <v>149</v>
      </c>
      <c r="G28" s="26" t="s">
        <v>385</v>
      </c>
      <c r="H28" s="25" t="str">
        <f>IF(Setup!D34&lt;&gt;"",Setup!D34,Setup!C34)</f>
        <v>Timezone</v>
      </c>
    </row>
    <row r="29" spans="1:8" x14ac:dyDescent="0.2">
      <c r="A29" s="25">
        <v>28</v>
      </c>
      <c r="B29" s="26" t="str">
        <f>Setup!C35</f>
        <v>Group Stages</v>
      </c>
      <c r="C29" s="25" t="s">
        <v>59</v>
      </c>
      <c r="D29" s="26" t="s">
        <v>225</v>
      </c>
      <c r="E29" s="26" t="s">
        <v>150</v>
      </c>
      <c r="F29" s="26" t="s">
        <v>321</v>
      </c>
      <c r="G29" s="26" t="s">
        <v>386</v>
      </c>
      <c r="H29" s="25" t="str">
        <f>IF(Setup!D35&lt;&gt;"",Setup!D35,Setup!C35)</f>
        <v>Group Stages</v>
      </c>
    </row>
    <row r="30" spans="1:8" x14ac:dyDescent="0.2">
      <c r="A30" s="25">
        <v>29</v>
      </c>
      <c r="B30" s="26" t="str">
        <f>Setup!C36</f>
        <v>Venue</v>
      </c>
      <c r="C30" s="25" t="s">
        <v>18</v>
      </c>
      <c r="D30" s="26" t="s">
        <v>226</v>
      </c>
      <c r="E30" s="26" t="s">
        <v>277</v>
      </c>
      <c r="F30" s="26" t="s">
        <v>322</v>
      </c>
      <c r="G30" s="26" t="s">
        <v>387</v>
      </c>
      <c r="H30" s="25" t="str">
        <f>IF(Setup!D36&lt;&gt;"",Setup!D36,Setup!C36)</f>
        <v>Venue</v>
      </c>
    </row>
    <row r="31" spans="1:8" x14ac:dyDescent="0.2">
      <c r="A31" s="25">
        <v>30</v>
      </c>
      <c r="B31" s="26" t="str">
        <f>Setup!C37</f>
        <v>Standings</v>
      </c>
      <c r="C31" s="25" t="s">
        <v>5</v>
      </c>
      <c r="D31" s="26" t="s">
        <v>151</v>
      </c>
      <c r="E31" s="26" t="s">
        <v>278</v>
      </c>
      <c r="F31" s="26" t="s">
        <v>323</v>
      </c>
      <c r="G31" s="26" t="s">
        <v>388</v>
      </c>
      <c r="H31" s="25" t="str">
        <f>IF(Setup!D37&lt;&gt;"",Setup!D37,Setup!C37)</f>
        <v>Standings</v>
      </c>
    </row>
    <row r="32" spans="1:8" x14ac:dyDescent="0.2">
      <c r="A32" s="25">
        <v>31</v>
      </c>
      <c r="B32" s="26" t="str">
        <f>Setup!C38</f>
        <v>Group</v>
      </c>
      <c r="C32" s="25" t="s">
        <v>2</v>
      </c>
      <c r="D32" s="26" t="s">
        <v>152</v>
      </c>
      <c r="E32" s="26" t="s">
        <v>153</v>
      </c>
      <c r="F32" s="26" t="s">
        <v>154</v>
      </c>
      <c r="G32" s="26" t="s">
        <v>155</v>
      </c>
      <c r="H32" s="25" t="str">
        <f>IF(Setup!D38&lt;&gt;"",Setup!D38,Setup!C38)</f>
        <v>Group</v>
      </c>
    </row>
    <row r="33" spans="1:8" x14ac:dyDescent="0.2">
      <c r="A33" s="25">
        <v>32</v>
      </c>
      <c r="B33" s="26" t="str">
        <f>Setup!C39</f>
        <v>Date</v>
      </c>
      <c r="C33" s="25" t="s">
        <v>8</v>
      </c>
      <c r="D33" s="26" t="s">
        <v>227</v>
      </c>
      <c r="E33" s="26" t="s">
        <v>156</v>
      </c>
      <c r="F33" s="26" t="s">
        <v>157</v>
      </c>
      <c r="G33" s="26" t="s">
        <v>158</v>
      </c>
      <c r="H33" s="25" t="str">
        <f>IF(Setup!D39&lt;&gt;"",Setup!D39,Setup!C39)</f>
        <v>Date</v>
      </c>
    </row>
    <row r="34" spans="1:8" x14ac:dyDescent="0.2">
      <c r="A34" s="25">
        <v>33</v>
      </c>
      <c r="B34" s="26" t="str">
        <f>Setup!C40</f>
        <v>Country</v>
      </c>
      <c r="C34" s="25" t="s">
        <v>16</v>
      </c>
      <c r="D34" s="26" t="s">
        <v>160</v>
      </c>
      <c r="E34" s="26" t="s">
        <v>159</v>
      </c>
      <c r="F34" s="26" t="s">
        <v>161</v>
      </c>
      <c r="G34" s="26" t="s">
        <v>162</v>
      </c>
      <c r="H34" s="25" t="str">
        <f>IF(Setup!D40&lt;&gt;"",Setup!D40,Setup!C40)</f>
        <v>Country</v>
      </c>
    </row>
    <row r="35" spans="1:8" x14ac:dyDescent="0.2">
      <c r="A35" s="25">
        <v>34</v>
      </c>
      <c r="B35" s="26" t="str">
        <f>Setup!C41</f>
        <v>Score</v>
      </c>
      <c r="C35" s="25" t="s">
        <v>6</v>
      </c>
      <c r="D35" s="26" t="s">
        <v>228</v>
      </c>
      <c r="E35" s="26" t="s">
        <v>163</v>
      </c>
      <c r="F35" s="26" t="s">
        <v>324</v>
      </c>
      <c r="G35" s="26" t="s">
        <v>389</v>
      </c>
      <c r="H35" s="25" t="str">
        <f>IF(Setup!D41&lt;&gt;"",Setup!D41,Setup!C41)</f>
        <v>Score</v>
      </c>
    </row>
    <row r="36" spans="1:8" x14ac:dyDescent="0.2">
      <c r="A36" s="25">
        <v>35</v>
      </c>
      <c r="B36" s="26" t="str">
        <f>Setup!C42</f>
        <v>Time</v>
      </c>
      <c r="C36" s="25" t="s">
        <v>9</v>
      </c>
      <c r="D36" s="26" t="s">
        <v>204</v>
      </c>
      <c r="E36" s="26" t="s">
        <v>279</v>
      </c>
      <c r="F36" s="26" t="s">
        <v>325</v>
      </c>
      <c r="G36" s="26" t="s">
        <v>164</v>
      </c>
      <c r="H36" s="25" t="str">
        <f>IF(Setup!D42&lt;&gt;"",Setup!D42,Setup!C42)</f>
        <v>Time</v>
      </c>
    </row>
    <row r="37" spans="1:8" x14ac:dyDescent="0.2">
      <c r="A37" s="25">
        <v>36</v>
      </c>
      <c r="B37" s="26" t="str">
        <f>Setup!C43</f>
        <v>Round of 16</v>
      </c>
      <c r="C37" s="25" t="s">
        <v>60</v>
      </c>
      <c r="D37" s="26" t="s">
        <v>229</v>
      </c>
      <c r="E37" s="26" t="s">
        <v>280</v>
      </c>
      <c r="F37" s="26" t="s">
        <v>326</v>
      </c>
      <c r="G37" s="26" t="s">
        <v>205</v>
      </c>
      <c r="H37" s="25" t="str">
        <f>IF(Setup!D43&lt;&gt;"",Setup!D43,Setup!C43)</f>
        <v>Round of 16</v>
      </c>
    </row>
    <row r="38" spans="1:8" x14ac:dyDescent="0.2">
      <c r="A38" s="25">
        <v>37</v>
      </c>
      <c r="B38" s="26" t="str">
        <f>Setup!C44</f>
        <v>Quarter Finals</v>
      </c>
      <c r="C38" s="25" t="s">
        <v>61</v>
      </c>
      <c r="D38" s="26" t="s">
        <v>165</v>
      </c>
      <c r="E38" s="26" t="s">
        <v>281</v>
      </c>
      <c r="F38" s="26" t="s">
        <v>166</v>
      </c>
      <c r="G38" s="26" t="s">
        <v>167</v>
      </c>
      <c r="H38" s="25" t="str">
        <f>IF(Setup!D44&lt;&gt;"",Setup!D44,Setup!C44)</f>
        <v>Quarter Finals</v>
      </c>
    </row>
    <row r="39" spans="1:8" x14ac:dyDescent="0.2">
      <c r="A39" s="25">
        <v>38</v>
      </c>
      <c r="B39" s="26" t="str">
        <f>Setup!C45</f>
        <v>Semi Finals</v>
      </c>
      <c r="C39" s="25" t="s">
        <v>62</v>
      </c>
      <c r="D39" s="26" t="s">
        <v>168</v>
      </c>
      <c r="E39" s="26" t="s">
        <v>169</v>
      </c>
      <c r="F39" s="26" t="s">
        <v>327</v>
      </c>
      <c r="G39" s="26" t="s">
        <v>170</v>
      </c>
      <c r="H39" s="25" t="str">
        <f>IF(Setup!D45&lt;&gt;"",Setup!D45,Setup!C45)</f>
        <v>Semi Finals</v>
      </c>
    </row>
    <row r="40" spans="1:8" x14ac:dyDescent="0.2">
      <c r="A40" s="25">
        <v>39</v>
      </c>
      <c r="B40" s="26" t="str">
        <f>Setup!C46</f>
        <v>Final</v>
      </c>
      <c r="C40" s="25" t="s">
        <v>7</v>
      </c>
      <c r="D40" s="26" t="s">
        <v>7</v>
      </c>
      <c r="E40" s="26" t="s">
        <v>171</v>
      </c>
      <c r="F40" s="26" t="s">
        <v>328</v>
      </c>
      <c r="G40" s="26" t="s">
        <v>7</v>
      </c>
      <c r="H40" s="25" t="str">
        <f>IF(Setup!D46&lt;&gt;"",Setup!D46,Setup!C46)</f>
        <v>Final</v>
      </c>
    </row>
    <row r="41" spans="1:8" x14ac:dyDescent="0.2">
      <c r="A41" s="25">
        <v>40</v>
      </c>
      <c r="B41" s="26" t="str">
        <f>Setup!C47</f>
        <v>Winner</v>
      </c>
      <c r="C41" s="25" t="s">
        <v>63</v>
      </c>
      <c r="D41" s="26" t="s">
        <v>172</v>
      </c>
      <c r="E41" s="26" t="s">
        <v>282</v>
      </c>
      <c r="F41" s="26" t="s">
        <v>173</v>
      </c>
      <c r="G41" s="26" t="s">
        <v>174</v>
      </c>
      <c r="H41" s="25" t="str">
        <f>IF(Setup!D47&lt;&gt;"",Setup!D47,Setup!C47)</f>
        <v>Winner</v>
      </c>
    </row>
    <row r="42" spans="1:8" x14ac:dyDescent="0.2">
      <c r="A42" s="25">
        <v>41</v>
      </c>
      <c r="B42" s="26" t="str">
        <f>Setup!C48</f>
        <v>Runner Up</v>
      </c>
      <c r="C42" s="25" t="s">
        <v>44</v>
      </c>
      <c r="D42" s="26" t="s">
        <v>230</v>
      </c>
      <c r="E42" s="26" t="s">
        <v>283</v>
      </c>
      <c r="F42" s="26" t="s">
        <v>329</v>
      </c>
      <c r="G42" s="26" t="s">
        <v>175</v>
      </c>
      <c r="H42" s="25" t="str">
        <f>IF(Setup!D48&lt;&gt;"",Setup!D48,Setup!C48)</f>
        <v>Runner Up</v>
      </c>
    </row>
    <row r="43" spans="1:8" x14ac:dyDescent="0.2">
      <c r="A43" s="25">
        <v>42</v>
      </c>
      <c r="B43" s="26" t="str">
        <f>Setup!C49</f>
        <v>Normal Time</v>
      </c>
      <c r="C43" s="25" t="s">
        <v>64</v>
      </c>
      <c r="D43" s="26" t="s">
        <v>231</v>
      </c>
      <c r="E43" s="26" t="s">
        <v>284</v>
      </c>
      <c r="F43" s="26" t="s">
        <v>330</v>
      </c>
      <c r="G43" s="26" t="s">
        <v>390</v>
      </c>
      <c r="H43" s="25" t="str">
        <f>IF(Setup!D49&lt;&gt;"",Setup!D49,Setup!C49)</f>
        <v>Normal Time</v>
      </c>
    </row>
    <row r="44" spans="1:8" x14ac:dyDescent="0.2">
      <c r="A44" s="25">
        <v>43</v>
      </c>
      <c r="B44" s="26" t="str">
        <f>Setup!C50</f>
        <v>Extra Time</v>
      </c>
      <c r="C44" s="25" t="s">
        <v>65</v>
      </c>
      <c r="D44" s="26" t="s">
        <v>232</v>
      </c>
      <c r="E44" s="26" t="s">
        <v>285</v>
      </c>
      <c r="F44" s="26" t="s">
        <v>331</v>
      </c>
      <c r="G44" s="26" t="s">
        <v>391</v>
      </c>
      <c r="H44" s="25" t="str">
        <f>IF(Setup!D50&lt;&gt;"",Setup!D50,Setup!C50)</f>
        <v>Extra Time</v>
      </c>
    </row>
    <row r="45" spans="1:8" x14ac:dyDescent="0.2">
      <c r="A45" s="25">
        <v>44</v>
      </c>
      <c r="B45" s="26" t="str">
        <f>Setup!C51</f>
        <v>Penalty Shoot Out</v>
      </c>
      <c r="C45" s="25" t="s">
        <v>66</v>
      </c>
      <c r="D45" s="26" t="s">
        <v>233</v>
      </c>
      <c r="E45" s="26" t="s">
        <v>176</v>
      </c>
      <c r="F45" s="26" t="s">
        <v>332</v>
      </c>
      <c r="G45" s="26" t="s">
        <v>66</v>
      </c>
      <c r="H45" s="25" t="str">
        <f>IF(Setup!D51&lt;&gt;"",Setup!D51,Setup!C51)</f>
        <v>Penalty Shoot Out</v>
      </c>
    </row>
    <row r="46" spans="1:8" x14ac:dyDescent="0.2">
      <c r="A46" s="25">
        <v>45</v>
      </c>
      <c r="B46" s="26" t="str">
        <f>Setup!C52</f>
        <v>Champion</v>
      </c>
      <c r="C46" s="25" t="s">
        <v>67</v>
      </c>
      <c r="D46" s="26" t="s">
        <v>67</v>
      </c>
      <c r="E46" s="26" t="s">
        <v>67</v>
      </c>
      <c r="F46" s="26" t="s">
        <v>177</v>
      </c>
      <c r="G46" s="26" t="s">
        <v>178</v>
      </c>
      <c r="H46" s="25" t="str">
        <f>IF(Setup!D52&lt;&gt;"",Setup!D52,Setup!C52)</f>
        <v>Champion</v>
      </c>
    </row>
    <row r="47" spans="1:8" x14ac:dyDescent="0.2">
      <c r="A47" s="25">
        <v>46</v>
      </c>
      <c r="B47" s="26" t="str">
        <f>Setup!C53</f>
        <v>M#</v>
      </c>
      <c r="C47" s="25" t="s">
        <v>437</v>
      </c>
      <c r="D47" s="26" t="s">
        <v>234</v>
      </c>
      <c r="E47" s="26" t="s">
        <v>179</v>
      </c>
      <c r="F47" s="26" t="s">
        <v>333</v>
      </c>
      <c r="G47" s="26" t="s">
        <v>392</v>
      </c>
      <c r="H47" s="25" t="str">
        <f>IF(Setup!D53&lt;&gt;"",Setup!D53,Setup!C53)</f>
        <v>M#</v>
      </c>
    </row>
    <row r="48" spans="1:8" x14ac:dyDescent="0.2">
      <c r="A48" s="25">
        <v>47</v>
      </c>
      <c r="B48" s="26" t="str">
        <f>Setup!C54</f>
        <v>Group A Winner</v>
      </c>
      <c r="C48" s="25" t="s">
        <v>907</v>
      </c>
      <c r="D48" s="26" t="s">
        <v>235</v>
      </c>
      <c r="E48" s="26" t="s">
        <v>286</v>
      </c>
      <c r="F48" s="26" t="s">
        <v>334</v>
      </c>
      <c r="G48" s="26" t="s">
        <v>393</v>
      </c>
      <c r="H48" s="25" t="str">
        <f>IF(Setup!D54&lt;&gt;"",Setup!D54,Setup!C54)</f>
        <v>Winner A</v>
      </c>
    </row>
    <row r="49" spans="1:8" x14ac:dyDescent="0.2">
      <c r="A49" s="25">
        <v>48</v>
      </c>
      <c r="B49" s="26" t="str">
        <f>Setup!C55</f>
        <v>Group B Winner</v>
      </c>
      <c r="C49" s="25" t="s">
        <v>908</v>
      </c>
      <c r="D49" s="26" t="s">
        <v>236</v>
      </c>
      <c r="E49" s="26" t="s">
        <v>287</v>
      </c>
      <c r="F49" s="26" t="s">
        <v>335</v>
      </c>
      <c r="G49" s="26" t="s">
        <v>394</v>
      </c>
      <c r="H49" s="25" t="str">
        <f>IF(Setup!D55&lt;&gt;"",Setup!D55,Setup!C55)</f>
        <v>Winner B</v>
      </c>
    </row>
    <row r="50" spans="1:8" x14ac:dyDescent="0.2">
      <c r="A50" s="25">
        <v>49</v>
      </c>
      <c r="B50" s="26" t="str">
        <f>Setup!C56</f>
        <v>Group C Winner</v>
      </c>
      <c r="C50" s="25" t="s">
        <v>909</v>
      </c>
      <c r="D50" s="26" t="s">
        <v>180</v>
      </c>
      <c r="E50" s="26" t="s">
        <v>288</v>
      </c>
      <c r="F50" s="26" t="s">
        <v>336</v>
      </c>
      <c r="G50" s="26" t="s">
        <v>395</v>
      </c>
      <c r="H50" s="25" t="str">
        <f>IF(Setup!D56&lt;&gt;"",Setup!D56,Setup!C56)</f>
        <v>Winner C</v>
      </c>
    </row>
    <row r="51" spans="1:8" x14ac:dyDescent="0.2">
      <c r="A51" s="25">
        <v>50</v>
      </c>
      <c r="B51" s="26" t="str">
        <f>Setup!C57</f>
        <v>Group D Winner</v>
      </c>
      <c r="C51" s="25" t="s">
        <v>910</v>
      </c>
      <c r="D51" s="26" t="s">
        <v>181</v>
      </c>
      <c r="E51" s="26" t="s">
        <v>289</v>
      </c>
      <c r="F51" s="26" t="s">
        <v>337</v>
      </c>
      <c r="G51" s="26" t="s">
        <v>396</v>
      </c>
      <c r="H51" s="25" t="str">
        <f>IF(Setup!D57&lt;&gt;"",Setup!D57,Setup!C57)</f>
        <v>Winner D</v>
      </c>
    </row>
    <row r="52" spans="1:8" x14ac:dyDescent="0.2">
      <c r="A52" s="25">
        <v>51</v>
      </c>
      <c r="B52" s="26" t="str">
        <f>Setup!C58</f>
        <v>Group E Winner</v>
      </c>
      <c r="C52" s="25" t="s">
        <v>911</v>
      </c>
      <c r="D52" s="26" t="s">
        <v>237</v>
      </c>
      <c r="E52" s="26" t="s">
        <v>290</v>
      </c>
      <c r="F52" s="26" t="s">
        <v>338</v>
      </c>
      <c r="G52" s="26" t="s">
        <v>397</v>
      </c>
      <c r="H52" s="25" t="str">
        <f>IF(Setup!D58&lt;&gt;"",Setup!D58,Setup!C58)</f>
        <v>Winner E</v>
      </c>
    </row>
    <row r="53" spans="1:8" x14ac:dyDescent="0.2">
      <c r="A53" s="25">
        <v>52</v>
      </c>
      <c r="B53" s="26" t="str">
        <f>Setup!C59</f>
        <v>Group F Winner</v>
      </c>
      <c r="C53" s="25" t="s">
        <v>912</v>
      </c>
      <c r="D53" s="26" t="s">
        <v>182</v>
      </c>
      <c r="E53" s="26" t="s">
        <v>291</v>
      </c>
      <c r="F53" s="26" t="s">
        <v>339</v>
      </c>
      <c r="G53" s="26" t="s">
        <v>398</v>
      </c>
      <c r="H53" s="25" t="str">
        <f>IF(Setup!D59&lt;&gt;"",Setup!D59,Setup!C59)</f>
        <v>Winner F</v>
      </c>
    </row>
    <row r="54" spans="1:8" x14ac:dyDescent="0.2">
      <c r="A54" s="25">
        <v>53</v>
      </c>
      <c r="B54" s="26" t="str">
        <f>Setup!C60</f>
        <v>Group A Runner Up</v>
      </c>
      <c r="C54" s="25" t="s">
        <v>913</v>
      </c>
      <c r="D54" s="26" t="s">
        <v>238</v>
      </c>
      <c r="E54" s="26" t="s">
        <v>209</v>
      </c>
      <c r="F54" s="26" t="s">
        <v>340</v>
      </c>
      <c r="G54" s="26" t="s">
        <v>399</v>
      </c>
      <c r="H54" s="25" t="str">
        <f>IF(Setup!D60&lt;&gt;"",Setup!D60,Setup!C60)</f>
        <v>Runner Up A</v>
      </c>
    </row>
    <row r="55" spans="1:8" x14ac:dyDescent="0.2">
      <c r="A55" s="25">
        <v>54</v>
      </c>
      <c r="B55" s="26" t="str">
        <f>Setup!C61</f>
        <v>Group B Runner Up</v>
      </c>
      <c r="C55" s="25" t="s">
        <v>914</v>
      </c>
      <c r="D55" s="26" t="s">
        <v>239</v>
      </c>
      <c r="E55" s="26" t="s">
        <v>210</v>
      </c>
      <c r="F55" s="26" t="s">
        <v>341</v>
      </c>
      <c r="G55" s="26" t="s">
        <v>400</v>
      </c>
      <c r="H55" s="25" t="str">
        <f>IF(Setup!D61&lt;&gt;"",Setup!D61,Setup!C61)</f>
        <v>Runner Up B</v>
      </c>
    </row>
    <row r="56" spans="1:8" x14ac:dyDescent="0.2">
      <c r="A56" s="25">
        <v>55</v>
      </c>
      <c r="B56" s="26" t="str">
        <f>Setup!C62</f>
        <v>Group C Runner Up</v>
      </c>
      <c r="C56" s="25" t="s">
        <v>915</v>
      </c>
      <c r="D56" s="26" t="s">
        <v>240</v>
      </c>
      <c r="E56" s="26" t="s">
        <v>211</v>
      </c>
      <c r="F56" s="26" t="s">
        <v>342</v>
      </c>
      <c r="G56" s="26" t="s">
        <v>401</v>
      </c>
      <c r="H56" s="25" t="str">
        <f>IF(Setup!D62&lt;&gt;"",Setup!D62,Setup!C62)</f>
        <v>Runner Up C</v>
      </c>
    </row>
    <row r="57" spans="1:8" x14ac:dyDescent="0.2">
      <c r="A57" s="25">
        <v>56</v>
      </c>
      <c r="B57" s="26" t="str">
        <f>Setup!C63</f>
        <v>Group D Runner Up</v>
      </c>
      <c r="C57" s="25" t="s">
        <v>916</v>
      </c>
      <c r="D57" s="26" t="s">
        <v>241</v>
      </c>
      <c r="E57" s="26" t="s">
        <v>212</v>
      </c>
      <c r="F57" s="26" t="s">
        <v>343</v>
      </c>
      <c r="G57" s="26" t="s">
        <v>402</v>
      </c>
      <c r="H57" s="25" t="str">
        <f>IF(Setup!D63&lt;&gt;"",Setup!D63,Setup!C63)</f>
        <v>Runner Up D</v>
      </c>
    </row>
    <row r="58" spans="1:8" x14ac:dyDescent="0.2">
      <c r="A58" s="25">
        <v>57</v>
      </c>
      <c r="B58" s="26" t="str">
        <f>Setup!C64</f>
        <v>Group E Runner Up</v>
      </c>
      <c r="C58" s="25" t="s">
        <v>917</v>
      </c>
      <c r="D58" s="26" t="s">
        <v>242</v>
      </c>
      <c r="E58" s="26" t="s">
        <v>213</v>
      </c>
      <c r="F58" s="26" t="s">
        <v>344</v>
      </c>
      <c r="G58" s="26" t="s">
        <v>403</v>
      </c>
      <c r="H58" s="25" t="str">
        <f>IF(Setup!D64&lt;&gt;"",Setup!D64,Setup!C64)</f>
        <v>Runner Up E</v>
      </c>
    </row>
    <row r="59" spans="1:8" x14ac:dyDescent="0.2">
      <c r="A59" s="25">
        <v>58</v>
      </c>
      <c r="B59" s="26" t="str">
        <f>Setup!C65</f>
        <v>Group F Runner Up</v>
      </c>
      <c r="C59" s="25" t="s">
        <v>918</v>
      </c>
      <c r="D59" s="26" t="s">
        <v>243</v>
      </c>
      <c r="E59" s="26" t="s">
        <v>214</v>
      </c>
      <c r="F59" s="26" t="s">
        <v>345</v>
      </c>
      <c r="G59" s="26" t="s">
        <v>404</v>
      </c>
      <c r="H59" s="25" t="str">
        <f>IF(Setup!D65&lt;&gt;"",Setup!D65,Setup!C65)</f>
        <v>Runner Up F</v>
      </c>
    </row>
    <row r="60" spans="1:8" x14ac:dyDescent="0.2">
      <c r="A60" s="25">
        <v>59</v>
      </c>
      <c r="B60" s="26" t="str">
        <f>Setup!C66</f>
        <v>Match 37 Winner</v>
      </c>
      <c r="C60" s="25" t="s">
        <v>919</v>
      </c>
      <c r="D60" s="26" t="s">
        <v>244</v>
      </c>
      <c r="E60" s="26" t="s">
        <v>292</v>
      </c>
      <c r="F60" s="26" t="s">
        <v>346</v>
      </c>
      <c r="G60" s="26" t="s">
        <v>405</v>
      </c>
      <c r="H60" s="25" t="str">
        <f>IF(Setup!D66&lt;&gt;"",Setup!D66,Setup!C66)</f>
        <v>Winner #37</v>
      </c>
    </row>
    <row r="61" spans="1:8" x14ac:dyDescent="0.2">
      <c r="A61" s="25">
        <v>60</v>
      </c>
      <c r="B61" s="26" t="str">
        <f>Setup!C67</f>
        <v>Match 38 Winner</v>
      </c>
      <c r="C61" s="25" t="s">
        <v>920</v>
      </c>
      <c r="D61" s="26" t="s">
        <v>245</v>
      </c>
      <c r="E61" s="26" t="s">
        <v>293</v>
      </c>
      <c r="F61" s="26" t="s">
        <v>347</v>
      </c>
      <c r="G61" s="26" t="s">
        <v>406</v>
      </c>
      <c r="H61" s="25" t="str">
        <f>IF(Setup!D67&lt;&gt;"",Setup!D67,Setup!C67)</f>
        <v>Winner #38</v>
      </c>
    </row>
    <row r="62" spans="1:8" x14ac:dyDescent="0.2">
      <c r="A62" s="25">
        <v>61</v>
      </c>
      <c r="B62" s="26" t="str">
        <f>Setup!C68</f>
        <v>Match 39 Winner</v>
      </c>
      <c r="C62" s="25" t="s">
        <v>921</v>
      </c>
      <c r="D62" s="26" t="s">
        <v>246</v>
      </c>
      <c r="E62" s="26" t="s">
        <v>294</v>
      </c>
      <c r="F62" s="26" t="s">
        <v>348</v>
      </c>
      <c r="G62" s="26" t="s">
        <v>407</v>
      </c>
      <c r="H62" s="25" t="str">
        <f>IF(Setup!D68&lt;&gt;"",Setup!D68,Setup!C68)</f>
        <v>Winner #39</v>
      </c>
    </row>
    <row r="63" spans="1:8" x14ac:dyDescent="0.2">
      <c r="A63" s="25">
        <v>62</v>
      </c>
      <c r="B63" s="26" t="str">
        <f>Setup!C69</f>
        <v>Match 40 Winner</v>
      </c>
      <c r="C63" s="25" t="s">
        <v>922</v>
      </c>
      <c r="D63" s="26" t="s">
        <v>247</v>
      </c>
      <c r="E63" s="26" t="s">
        <v>295</v>
      </c>
      <c r="F63" s="26" t="s">
        <v>349</v>
      </c>
      <c r="G63" s="26" t="s">
        <v>408</v>
      </c>
      <c r="H63" s="25" t="str">
        <f>IF(Setup!D69&lt;&gt;"",Setup!D69,Setup!C69)</f>
        <v>Winner #40</v>
      </c>
    </row>
    <row r="64" spans="1:8" x14ac:dyDescent="0.2">
      <c r="A64" s="25">
        <v>63</v>
      </c>
      <c r="B64" s="26" t="str">
        <f>Setup!C70</f>
        <v>Match 41 Winner</v>
      </c>
      <c r="C64" s="25" t="s">
        <v>923</v>
      </c>
      <c r="D64" s="26" t="s">
        <v>248</v>
      </c>
      <c r="E64" s="26" t="s">
        <v>296</v>
      </c>
      <c r="F64" s="26" t="s">
        <v>350</v>
      </c>
      <c r="G64" s="26" t="s">
        <v>409</v>
      </c>
      <c r="H64" s="25" t="str">
        <f>IF(Setup!D70&lt;&gt;"",Setup!D70,Setup!C70)</f>
        <v>Winner #41</v>
      </c>
    </row>
    <row r="65" spans="1:8" x14ac:dyDescent="0.2">
      <c r="A65" s="25">
        <v>64</v>
      </c>
      <c r="B65" s="26" t="str">
        <f>Setup!C71</f>
        <v>Match 42 Winner</v>
      </c>
      <c r="C65" s="25" t="s">
        <v>924</v>
      </c>
      <c r="D65" s="26" t="s">
        <v>249</v>
      </c>
      <c r="E65" s="26" t="s">
        <v>297</v>
      </c>
      <c r="F65" s="26" t="s">
        <v>351</v>
      </c>
      <c r="G65" s="26" t="s">
        <v>410</v>
      </c>
      <c r="H65" s="25" t="str">
        <f>IF(Setup!D71&lt;&gt;"",Setup!D71,Setup!C71)</f>
        <v>Winner #42</v>
      </c>
    </row>
    <row r="66" spans="1:8" x14ac:dyDescent="0.2">
      <c r="A66" s="25">
        <v>65</v>
      </c>
      <c r="B66" s="26" t="str">
        <f>Setup!C72</f>
        <v>Match 43 Winner</v>
      </c>
      <c r="C66" s="25" t="s">
        <v>925</v>
      </c>
      <c r="D66" s="26" t="s">
        <v>250</v>
      </c>
      <c r="E66" s="26" t="s">
        <v>298</v>
      </c>
      <c r="F66" s="26" t="s">
        <v>352</v>
      </c>
      <c r="G66" s="26" t="s">
        <v>411</v>
      </c>
      <c r="H66" s="25" t="str">
        <f>IF(Setup!D72&lt;&gt;"",Setup!D72,Setup!C72)</f>
        <v>Winner #43</v>
      </c>
    </row>
    <row r="67" spans="1:8" x14ac:dyDescent="0.2">
      <c r="A67" s="25">
        <v>66</v>
      </c>
      <c r="B67" s="26" t="str">
        <f>Setup!C73</f>
        <v>Match 44 Winner</v>
      </c>
      <c r="C67" s="25" t="s">
        <v>926</v>
      </c>
      <c r="D67" s="26" t="s">
        <v>251</v>
      </c>
      <c r="E67" s="26" t="s">
        <v>299</v>
      </c>
      <c r="F67" s="26" t="s">
        <v>353</v>
      </c>
      <c r="G67" s="26" t="s">
        <v>412</v>
      </c>
      <c r="H67" s="25" t="str">
        <f>IF(Setup!D73&lt;&gt;"",Setup!D73,Setup!C73)</f>
        <v>Winner #44</v>
      </c>
    </row>
    <row r="68" spans="1:8" x14ac:dyDescent="0.2">
      <c r="A68" s="25">
        <v>67</v>
      </c>
      <c r="B68" s="26" t="str">
        <f>Setup!C74</f>
        <v>Match 45 Winner</v>
      </c>
      <c r="C68" s="25" t="s">
        <v>927</v>
      </c>
      <c r="D68" s="26" t="s">
        <v>252</v>
      </c>
      <c r="E68" s="26" t="s">
        <v>300</v>
      </c>
      <c r="F68" s="26" t="s">
        <v>354</v>
      </c>
      <c r="G68" s="26" t="s">
        <v>413</v>
      </c>
      <c r="H68" s="25" t="str">
        <f>IF(Setup!D74&lt;&gt;"",Setup!D74,Setup!C74)</f>
        <v>Winner #45</v>
      </c>
    </row>
    <row r="69" spans="1:8" x14ac:dyDescent="0.2">
      <c r="A69" s="25">
        <v>68</v>
      </c>
      <c r="B69" s="26" t="str">
        <f>Setup!C75</f>
        <v>Match 46 Winner</v>
      </c>
      <c r="C69" s="25" t="s">
        <v>928</v>
      </c>
      <c r="D69" s="26" t="s">
        <v>253</v>
      </c>
      <c r="E69" s="26" t="s">
        <v>301</v>
      </c>
      <c r="F69" s="26" t="s">
        <v>355</v>
      </c>
      <c r="G69" s="26" t="s">
        <v>414</v>
      </c>
      <c r="H69" s="25" t="str">
        <f>IF(Setup!D75&lt;&gt;"",Setup!D75,Setup!C75)</f>
        <v>Winner #46</v>
      </c>
    </row>
    <row r="70" spans="1:8" x14ac:dyDescent="0.2">
      <c r="A70" s="25">
        <v>69</v>
      </c>
      <c r="B70" s="26" t="str">
        <f>Setup!C76</f>
        <v>Match 47 Winner</v>
      </c>
      <c r="C70" s="25" t="s">
        <v>929</v>
      </c>
      <c r="D70" s="26" t="s">
        <v>254</v>
      </c>
      <c r="E70" s="26" t="s">
        <v>302</v>
      </c>
      <c r="F70" s="26" t="s">
        <v>356</v>
      </c>
      <c r="G70" s="26" t="s">
        <v>415</v>
      </c>
      <c r="H70" s="25" t="str">
        <f>IF(Setup!D76&lt;&gt;"",Setup!D76,Setup!C76)</f>
        <v>Winner #47</v>
      </c>
    </row>
    <row r="71" spans="1:8" x14ac:dyDescent="0.2">
      <c r="A71" s="25">
        <v>70</v>
      </c>
      <c r="B71" s="26" t="str">
        <f>Setup!C77</f>
        <v>Match 48 Winner</v>
      </c>
      <c r="C71" s="25" t="s">
        <v>930</v>
      </c>
      <c r="D71" s="26" t="s">
        <v>255</v>
      </c>
      <c r="E71" s="26" t="s">
        <v>303</v>
      </c>
      <c r="F71" s="26" t="s">
        <v>357</v>
      </c>
      <c r="G71" s="26" t="s">
        <v>416</v>
      </c>
      <c r="H71" s="25" t="str">
        <f>IF(Setup!D77&lt;&gt;"",Setup!D77,Setup!C77)</f>
        <v>Winner #48</v>
      </c>
    </row>
    <row r="72" spans="1:8" x14ac:dyDescent="0.2">
      <c r="A72" s="25">
        <v>71</v>
      </c>
      <c r="B72" s="26" t="str">
        <f>Setup!C78</f>
        <v>Match 49 Winner</v>
      </c>
      <c r="C72" s="25" t="s">
        <v>931</v>
      </c>
      <c r="D72" s="26" t="s">
        <v>256</v>
      </c>
      <c r="E72" s="26" t="s">
        <v>304</v>
      </c>
      <c r="F72" s="26" t="s">
        <v>358</v>
      </c>
      <c r="G72" s="26" t="s">
        <v>417</v>
      </c>
      <c r="H72" s="25" t="str">
        <f>IF(Setup!D78&lt;&gt;"",Setup!D78,Setup!C78)</f>
        <v>Winner #49</v>
      </c>
    </row>
    <row r="73" spans="1:8" x14ac:dyDescent="0.2">
      <c r="A73" s="25">
        <v>72</v>
      </c>
      <c r="B73" s="26" t="str">
        <f>Setup!C79</f>
        <v>Match 50 Winner</v>
      </c>
      <c r="C73" s="25" t="s">
        <v>932</v>
      </c>
      <c r="D73" s="26" t="s">
        <v>257</v>
      </c>
      <c r="E73" s="26" t="s">
        <v>305</v>
      </c>
      <c r="F73" s="26" t="s">
        <v>359</v>
      </c>
      <c r="G73" s="26" t="s">
        <v>418</v>
      </c>
      <c r="H73" s="25" t="str">
        <f>IF(Setup!D79&lt;&gt;"",Setup!D79,Setup!C79)</f>
        <v>Winner #50</v>
      </c>
    </row>
    <row r="74" spans="1:8" x14ac:dyDescent="0.2">
      <c r="A74" s="25">
        <v>73</v>
      </c>
      <c r="B74" s="26" t="str">
        <f>Setup!C80</f>
        <v>Match 51 Winner</v>
      </c>
      <c r="C74" s="25" t="s">
        <v>933</v>
      </c>
      <c r="D74" s="26" t="s">
        <v>258</v>
      </c>
      <c r="E74" s="26" t="s">
        <v>306</v>
      </c>
      <c r="F74" s="26" t="s">
        <v>360</v>
      </c>
      <c r="G74" s="26" t="s">
        <v>419</v>
      </c>
      <c r="H74" s="25" t="str">
        <f>IF(Setup!D80&lt;&gt;"",Setup!D80,Setup!C80)</f>
        <v>Winner #51</v>
      </c>
    </row>
    <row r="75" spans="1:8" x14ac:dyDescent="0.2">
      <c r="A75" s="25">
        <v>74</v>
      </c>
      <c r="B75" s="26" t="str">
        <f>Setup!C81</f>
        <v>UEFA EURO 2024 Fixtures</v>
      </c>
      <c r="C75" s="25" t="s">
        <v>845</v>
      </c>
      <c r="D75" s="26" t="s">
        <v>846</v>
      </c>
      <c r="E75" s="26" t="s">
        <v>847</v>
      </c>
      <c r="F75" s="26" t="s">
        <v>848</v>
      </c>
      <c r="G75" s="26" t="s">
        <v>849</v>
      </c>
      <c r="H75" s="25" t="str">
        <f>IF(Setup!D81&lt;&gt;"",Setup!D81,Setup!C81)</f>
        <v>UEFA EURO 2024 Fixtures</v>
      </c>
    </row>
    <row r="76" spans="1:8" x14ac:dyDescent="0.2">
      <c r="A76" s="25">
        <v>75</v>
      </c>
      <c r="B76" s="26" t="str">
        <f>Setup!C82</f>
        <v>Group A</v>
      </c>
      <c r="C76" s="25" t="s">
        <v>83</v>
      </c>
      <c r="D76" s="26" t="s">
        <v>259</v>
      </c>
      <c r="E76" s="26" t="s">
        <v>215</v>
      </c>
      <c r="F76" s="26" t="s">
        <v>361</v>
      </c>
      <c r="G76" s="26" t="s">
        <v>374</v>
      </c>
      <c r="H76" s="25" t="str">
        <f>IF(Setup!D82&lt;&gt;"",Setup!D82,Setup!C82)</f>
        <v>Group A</v>
      </c>
    </row>
    <row r="77" spans="1:8" x14ac:dyDescent="0.2">
      <c r="A77" s="25">
        <v>76</v>
      </c>
      <c r="B77" s="26" t="str">
        <f>Setup!C83</f>
        <v>Group B</v>
      </c>
      <c r="C77" s="25" t="s">
        <v>84</v>
      </c>
      <c r="D77" s="26" t="s">
        <v>260</v>
      </c>
      <c r="E77" s="26" t="s">
        <v>216</v>
      </c>
      <c r="F77" s="26" t="s">
        <v>362</v>
      </c>
      <c r="G77" s="26" t="s">
        <v>375</v>
      </c>
      <c r="H77" s="25" t="str">
        <f>IF(Setup!D83&lt;&gt;"",Setup!D83,Setup!C83)</f>
        <v>Group B</v>
      </c>
    </row>
    <row r="78" spans="1:8" x14ac:dyDescent="0.2">
      <c r="A78" s="25">
        <v>77</v>
      </c>
      <c r="B78" s="26" t="str">
        <f>Setup!C84</f>
        <v>Group C</v>
      </c>
      <c r="C78" s="25" t="s">
        <v>85</v>
      </c>
      <c r="D78" s="26" t="s">
        <v>261</v>
      </c>
      <c r="E78" s="26" t="s">
        <v>217</v>
      </c>
      <c r="F78" s="26" t="s">
        <v>363</v>
      </c>
      <c r="G78" s="26" t="s">
        <v>376</v>
      </c>
      <c r="H78" s="25" t="str">
        <f>IF(Setup!D84&lt;&gt;"",Setup!D84,Setup!C84)</f>
        <v>Group C</v>
      </c>
    </row>
    <row r="79" spans="1:8" x14ac:dyDescent="0.2">
      <c r="A79" s="25">
        <v>78</v>
      </c>
      <c r="B79" s="26" t="str">
        <f>Setup!C85</f>
        <v>Group D</v>
      </c>
      <c r="C79" s="25" t="s">
        <v>86</v>
      </c>
      <c r="D79" s="26" t="s">
        <v>262</v>
      </c>
      <c r="E79" s="26" t="s">
        <v>218</v>
      </c>
      <c r="F79" s="26" t="s">
        <v>364</v>
      </c>
      <c r="G79" s="26" t="s">
        <v>377</v>
      </c>
      <c r="H79" s="25" t="str">
        <f>IF(Setup!D85&lt;&gt;"",Setup!D85,Setup!C85)</f>
        <v>Group D</v>
      </c>
    </row>
    <row r="80" spans="1:8" x14ac:dyDescent="0.2">
      <c r="A80" s="25">
        <v>79</v>
      </c>
      <c r="B80" s="26" t="str">
        <f>Setup!C86</f>
        <v>Group E</v>
      </c>
      <c r="C80" s="25" t="s">
        <v>87</v>
      </c>
      <c r="D80" s="26" t="s">
        <v>263</v>
      </c>
      <c r="E80" s="26" t="s">
        <v>219</v>
      </c>
      <c r="F80" s="26" t="s">
        <v>365</v>
      </c>
      <c r="G80" s="26" t="s">
        <v>378</v>
      </c>
      <c r="H80" s="25" t="str">
        <f>IF(Setup!D86&lt;&gt;"",Setup!D86,Setup!C86)</f>
        <v>Group E</v>
      </c>
    </row>
    <row r="81" spans="1:8" x14ac:dyDescent="0.2">
      <c r="A81" s="25">
        <v>80</v>
      </c>
      <c r="B81" s="26" t="str">
        <f>Setup!C87</f>
        <v>Group F</v>
      </c>
      <c r="C81" s="25" t="s">
        <v>88</v>
      </c>
      <c r="D81" s="26" t="s">
        <v>264</v>
      </c>
      <c r="E81" s="26" t="s">
        <v>220</v>
      </c>
      <c r="F81" s="26" t="s">
        <v>366</v>
      </c>
      <c r="G81" s="26" t="s">
        <v>379</v>
      </c>
      <c r="H81" s="25" t="str">
        <f>IF(Setup!D87&lt;&gt;"",Setup!D87,Setup!C87)</f>
        <v>Group F</v>
      </c>
    </row>
    <row r="82" spans="1:8" x14ac:dyDescent="0.2">
      <c r="A82" s="25">
        <v>81</v>
      </c>
      <c r="B82" s="26" t="str">
        <f>Setup!C88</f>
        <v>Win</v>
      </c>
      <c r="C82" s="25" t="s">
        <v>80</v>
      </c>
      <c r="D82" s="26" t="s">
        <v>265</v>
      </c>
      <c r="E82" s="26" t="s">
        <v>307</v>
      </c>
      <c r="F82" s="26" t="s">
        <v>367</v>
      </c>
      <c r="G82" s="26" t="s">
        <v>420</v>
      </c>
      <c r="H82" s="25" t="str">
        <f>IF(Setup!D88&lt;&gt;"",Setup!D88,Setup!C88)</f>
        <v>Win</v>
      </c>
    </row>
    <row r="83" spans="1:8" x14ac:dyDescent="0.2">
      <c r="A83" s="25">
        <v>82</v>
      </c>
      <c r="B83" s="26" t="str">
        <f>Setup!C89</f>
        <v>Draw</v>
      </c>
      <c r="C83" s="25" t="s">
        <v>81</v>
      </c>
      <c r="D83" s="26" t="s">
        <v>266</v>
      </c>
      <c r="E83" s="26" t="s">
        <v>308</v>
      </c>
      <c r="F83" s="26" t="s">
        <v>368</v>
      </c>
      <c r="G83" s="26" t="s">
        <v>421</v>
      </c>
      <c r="H83" s="25" t="str">
        <f>IF(Setup!D89&lt;&gt;"",Setup!D89,Setup!C89)</f>
        <v>Draw</v>
      </c>
    </row>
    <row r="84" spans="1:8" x14ac:dyDescent="0.2">
      <c r="A84" s="25">
        <v>83</v>
      </c>
      <c r="B84" s="26" t="str">
        <f>Setup!C90</f>
        <v>Lose</v>
      </c>
      <c r="C84" s="25" t="s">
        <v>82</v>
      </c>
      <c r="D84" s="26" t="s">
        <v>267</v>
      </c>
      <c r="E84" s="26" t="s">
        <v>309</v>
      </c>
      <c r="F84" s="26" t="s">
        <v>369</v>
      </c>
      <c r="G84" s="26" t="s">
        <v>380</v>
      </c>
      <c r="H84" s="25" t="str">
        <f>IF(Setup!D90&lt;&gt;"",Setup!D90,Setup!C90)</f>
        <v>Lose</v>
      </c>
    </row>
    <row r="85" spans="1:8" x14ac:dyDescent="0.2">
      <c r="A85" s="25">
        <v>84</v>
      </c>
      <c r="B85" s="26" t="str">
        <f>Setup!C91</f>
        <v>For</v>
      </c>
      <c r="C85" s="25" t="s">
        <v>188</v>
      </c>
      <c r="D85" s="26" t="s">
        <v>268</v>
      </c>
      <c r="E85" s="26" t="s">
        <v>310</v>
      </c>
      <c r="F85" s="26" t="s">
        <v>206</v>
      </c>
      <c r="G85" s="26" t="s">
        <v>422</v>
      </c>
      <c r="H85" s="25" t="str">
        <f>IF(Setup!D91&lt;&gt;"",Setup!D91,Setup!C91)</f>
        <v>For</v>
      </c>
    </row>
    <row r="86" spans="1:8" x14ac:dyDescent="0.2">
      <c r="A86" s="25">
        <v>85</v>
      </c>
      <c r="B86" s="26" t="str">
        <f>Setup!C92</f>
        <v>Against</v>
      </c>
      <c r="C86" s="25" t="s">
        <v>189</v>
      </c>
      <c r="D86" s="26" t="s">
        <v>269</v>
      </c>
      <c r="E86" s="26" t="s">
        <v>311</v>
      </c>
      <c r="F86" s="26" t="s">
        <v>370</v>
      </c>
      <c r="G86" s="26" t="s">
        <v>423</v>
      </c>
      <c r="H86" s="25" t="str">
        <f>IF(Setup!D92&lt;&gt;"",Setup!D92,Setup!C92)</f>
        <v>Against</v>
      </c>
    </row>
    <row r="87" spans="1:8" x14ac:dyDescent="0.2">
      <c r="A87" s="25">
        <v>86</v>
      </c>
      <c r="B87" s="26" t="str">
        <f>Setup!C93</f>
        <v>Points</v>
      </c>
      <c r="C87" s="25" t="s">
        <v>37</v>
      </c>
      <c r="D87" s="26" t="s">
        <v>270</v>
      </c>
      <c r="E87" s="26" t="s">
        <v>312</v>
      </c>
      <c r="F87" s="26" t="s">
        <v>371</v>
      </c>
      <c r="G87" s="26" t="s">
        <v>424</v>
      </c>
      <c r="H87" s="25" t="str">
        <f>IF(Setup!D93&lt;&gt;"",Setup!D93,Setup!C93)</f>
        <v>Points</v>
      </c>
    </row>
    <row r="88" spans="1:8" x14ac:dyDescent="0.2">
      <c r="A88" s="25">
        <v>87</v>
      </c>
      <c r="B88" s="26" t="str">
        <f>Setup!C94</f>
        <v>Knock Out Rounds</v>
      </c>
      <c r="C88" s="25" t="s">
        <v>202</v>
      </c>
      <c r="D88" s="26" t="s">
        <v>271</v>
      </c>
      <c r="E88" s="26" t="s">
        <v>313</v>
      </c>
      <c r="F88" s="26" t="s">
        <v>202</v>
      </c>
      <c r="G88" s="26" t="s">
        <v>425</v>
      </c>
      <c r="H88" s="25" t="str">
        <f>IF(Setup!D94&lt;&gt;"",Setup!D94,Setup!C94)</f>
        <v>Knock Out Rounds</v>
      </c>
    </row>
    <row r="89" spans="1:8" x14ac:dyDescent="0.2">
      <c r="A89" s="25">
        <v>88</v>
      </c>
      <c r="B89" s="26" t="str">
        <f>Setup!C95</f>
        <v>Group D/E/F 3rd Place</v>
      </c>
      <c r="C89" s="25" t="s">
        <v>934</v>
      </c>
      <c r="D89" s="26" t="s">
        <v>491</v>
      </c>
      <c r="E89" s="26" t="s">
        <v>492</v>
      </c>
      <c r="F89" s="26" t="s">
        <v>493</v>
      </c>
      <c r="G89" s="26" t="s">
        <v>494</v>
      </c>
      <c r="H89" s="25" t="str">
        <f>IF(Setup!D95&lt;&gt;"",Setup!D95,Setup!C95)</f>
        <v>3rd D/E/F</v>
      </c>
    </row>
    <row r="90" spans="1:8" x14ac:dyDescent="0.2">
      <c r="A90" s="25">
        <v>89</v>
      </c>
      <c r="B90" s="26" t="str">
        <f>Setup!C96</f>
        <v>Group A/D/E/F 3rd Place</v>
      </c>
      <c r="C90" s="25" t="s">
        <v>935</v>
      </c>
      <c r="D90" s="26" t="s">
        <v>479</v>
      </c>
      <c r="E90" s="26" t="s">
        <v>480</v>
      </c>
      <c r="F90" s="26" t="s">
        <v>481</v>
      </c>
      <c r="G90" s="26" t="s">
        <v>482</v>
      </c>
      <c r="H90" s="25" t="str">
        <f>IF(Setup!D96&lt;&gt;"",Setup!D96,Setup!C96)</f>
        <v>3rd A/D/E/F</v>
      </c>
    </row>
    <row r="91" spans="1:8" x14ac:dyDescent="0.2">
      <c r="A91" s="25">
        <v>90</v>
      </c>
      <c r="B91" s="26" t="str">
        <f>Setup!C97</f>
        <v>Group A/B/C 3rd Place</v>
      </c>
      <c r="C91" s="25" t="s">
        <v>936</v>
      </c>
      <c r="D91" s="26" t="s">
        <v>483</v>
      </c>
      <c r="E91" s="26" t="s">
        <v>484</v>
      </c>
      <c r="F91" s="26" t="s">
        <v>485</v>
      </c>
      <c r="G91" s="26" t="s">
        <v>486</v>
      </c>
      <c r="H91" s="25" t="str">
        <f>IF(Setup!D97&lt;&gt;"",Setup!D97,Setup!C97)</f>
        <v>3rd A/B/C</v>
      </c>
    </row>
    <row r="92" spans="1:8" x14ac:dyDescent="0.2">
      <c r="A92" s="25">
        <v>91</v>
      </c>
      <c r="B92" s="26" t="str">
        <f>Setup!C98</f>
        <v>Group A/B/C/D 3rd Place</v>
      </c>
      <c r="C92" s="25" t="s">
        <v>937</v>
      </c>
      <c r="D92" s="26" t="s">
        <v>487</v>
      </c>
      <c r="E92" s="26" t="s">
        <v>488</v>
      </c>
      <c r="F92" s="26" t="s">
        <v>489</v>
      </c>
      <c r="G92" s="26" t="s">
        <v>490</v>
      </c>
      <c r="H92" s="25" t="str">
        <f>IF(Setup!D98&lt;&gt;"",Setup!D98,Setup!C98)</f>
        <v>3rd A/B/C/D</v>
      </c>
    </row>
    <row r="93" spans="1:8" x14ac:dyDescent="0.2">
      <c r="A93" s="25">
        <v>92</v>
      </c>
      <c r="B93" s="26" t="str">
        <f>Setup!C99</f>
        <v>Group A-F 3rd Place Standings</v>
      </c>
      <c r="C93" s="25" t="s">
        <v>203</v>
      </c>
      <c r="D93" s="26" t="s">
        <v>272</v>
      </c>
      <c r="E93" s="26" t="s">
        <v>314</v>
      </c>
      <c r="F93" s="26" t="s">
        <v>372</v>
      </c>
      <c r="G93" s="26" t="s">
        <v>426</v>
      </c>
      <c r="H93" s="25" t="str">
        <f>IF(Setup!D99&lt;&gt;"",Setup!D99,Setup!C99)</f>
        <v>Group A-F 3rd Place Standings</v>
      </c>
    </row>
  </sheetData>
  <sheetProtection selectLockedCells="1" selectUnlockedCells="1"/>
  <sortState xmlns:xlrd2="http://schemas.microsoft.com/office/spreadsheetml/2017/richdata2" ref="J3:J26">
    <sortCondition ref="J3:J26"/>
  </sortState>
  <pageMargins left="0.75" right="0.75" top="1" bottom="1" header="0.5" footer="0.5"/>
  <pageSetup orientation="portrait" horizontalDpi="300" verticalDpi="300" r:id="rId1"/>
  <headerFooter alignWithMargins="0">
    <oddFooter>&amp;R(c) 2020 | journalSHEET.com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R143"/>
  <sheetViews>
    <sheetView showGridLines="0" topLeftCell="A19" workbookViewId="0">
      <selection activeCell="J26" sqref="J26"/>
    </sheetView>
  </sheetViews>
  <sheetFormatPr defaultColWidth="9.140625" defaultRowHeight="15" x14ac:dyDescent="0.25"/>
  <cols>
    <col min="1" max="1" width="1.85546875" style="2" bestFit="1" customWidth="1"/>
    <col min="2" max="2" width="15.42578125" style="2" bestFit="1" customWidth="1"/>
    <col min="3" max="3" width="5.28515625" style="2" customWidth="1"/>
    <col min="4" max="4" width="2.140625" style="2" bestFit="1" customWidth="1"/>
    <col min="5" max="5" width="1.85546875" style="2" bestFit="1" customWidth="1"/>
    <col min="6" max="6" width="3.140625" style="2" bestFit="1" customWidth="1"/>
    <col min="7" max="7" width="3.42578125" style="2" bestFit="1" customWidth="1"/>
    <col min="8" max="8" width="10.85546875" style="2" bestFit="1" customWidth="1"/>
    <col min="9" max="9" width="6.140625" style="2" bestFit="1" customWidth="1"/>
    <col min="10" max="10" width="9.85546875" style="2" bestFit="1" customWidth="1"/>
    <col min="11" max="11" width="12.140625" style="2" bestFit="1" customWidth="1"/>
    <col min="12" max="12" width="2.85546875" style="2" customWidth="1"/>
    <col min="13" max="13" width="6.42578125" style="2" bestFit="1" customWidth="1"/>
    <col min="14" max="14" width="15.42578125" style="2" bestFit="1" customWidth="1"/>
    <col min="15" max="15" width="5.5703125" style="2" bestFit="1" customWidth="1"/>
    <col min="16" max="16" width="15.42578125" style="2" bestFit="1" customWidth="1"/>
    <col min="17" max="19" width="6" style="2" bestFit="1" customWidth="1"/>
    <col min="20" max="20" width="1.85546875" style="2" bestFit="1" customWidth="1"/>
    <col min="21" max="21" width="15.42578125" style="2" bestFit="1" customWidth="1"/>
    <col min="22" max="22" width="2.7109375" style="2" bestFit="1" customWidth="1"/>
    <col min="23" max="23" width="2.140625" style="2" bestFit="1" customWidth="1"/>
    <col min="24" max="24" width="51" style="2" bestFit="1" customWidth="1"/>
    <col min="25" max="25" width="3.140625" style="2" bestFit="1" customWidth="1"/>
    <col min="26" max="26" width="3.42578125" style="2" bestFit="1" customWidth="1"/>
    <col min="27" max="27" width="4.85546875" style="2" bestFit="1" customWidth="1"/>
    <col min="28" max="28" width="1.85546875" style="2" bestFit="1" customWidth="1"/>
    <col min="29" max="29" width="4.85546875" style="2" bestFit="1" customWidth="1"/>
    <col min="30" max="30" width="4" style="2" bestFit="1" customWidth="1"/>
    <col min="31" max="31" width="4.5703125" style="2" bestFit="1" customWidth="1"/>
    <col min="32" max="32" width="3.42578125" style="2" bestFit="1" customWidth="1"/>
    <col min="33" max="33" width="4.5703125" style="2" bestFit="1" customWidth="1"/>
    <col min="34" max="34" width="3.42578125" style="2" bestFit="1" customWidth="1"/>
    <col min="35" max="35" width="3.140625" style="2" bestFit="1" customWidth="1"/>
    <col min="36" max="36" width="4.5703125" style="2" bestFit="1" customWidth="1"/>
    <col min="37" max="37" width="4" style="2" bestFit="1" customWidth="1"/>
    <col min="38" max="38" width="4.5703125" style="2" bestFit="1" customWidth="1"/>
    <col min="39" max="39" width="13.5703125" style="2" bestFit="1" customWidth="1"/>
    <col min="40" max="40" width="15.5703125" style="2" bestFit="1" customWidth="1"/>
    <col min="41" max="41" width="12.28515625" style="2" bestFit="1" customWidth="1"/>
    <col min="42" max="42" width="2.7109375" style="2" bestFit="1" customWidth="1"/>
    <col min="43" max="43" width="2.140625" style="2" bestFit="1" customWidth="1"/>
    <col min="44" max="44" width="1.85546875" style="2" bestFit="1" customWidth="1"/>
    <col min="45" max="45" width="3.140625" style="2" bestFit="1" customWidth="1"/>
    <col min="46" max="46" width="3.42578125" style="2" bestFit="1" customWidth="1"/>
    <col min="47" max="47" width="4.85546875" style="2" bestFit="1" customWidth="1"/>
    <col min="48" max="48" width="1.85546875" style="2" bestFit="1" customWidth="1"/>
    <col min="49" max="49" width="4.85546875" style="2" bestFit="1" customWidth="1"/>
    <col min="50" max="50" width="4" style="2" bestFit="1" customWidth="1"/>
    <col min="51" max="51" width="4.5703125" style="2" bestFit="1" customWidth="1"/>
    <col min="52" max="52" width="3.42578125" style="2" bestFit="1" customWidth="1"/>
    <col min="53" max="53" width="2" style="2" bestFit="1" customWidth="1"/>
    <col min="54" max="54" width="3.42578125" style="2" bestFit="1" customWidth="1"/>
    <col min="55" max="55" width="3.140625" style="2" bestFit="1" customWidth="1"/>
    <col min="56" max="56" width="4.5703125" style="2" bestFit="1" customWidth="1"/>
    <col min="57" max="57" width="4" style="2" bestFit="1" customWidth="1"/>
    <col min="58" max="58" width="4.5703125" style="2" bestFit="1" customWidth="1"/>
    <col min="59" max="59" width="2.85546875" style="2" bestFit="1" customWidth="1"/>
    <col min="60" max="60" width="7.7109375" style="2" bestFit="1" customWidth="1"/>
    <col min="61" max="61" width="10.5703125" style="2" bestFit="1" customWidth="1"/>
    <col min="62" max="62" width="2.7109375" style="2" bestFit="1" customWidth="1"/>
    <col min="63" max="63" width="2.140625" style="2" bestFit="1" customWidth="1"/>
    <col min="64" max="64" width="1.85546875" style="2" bestFit="1" customWidth="1"/>
    <col min="65" max="65" width="3.140625" style="2" bestFit="1" customWidth="1"/>
    <col min="66" max="66" width="3.42578125" style="2" bestFit="1" customWidth="1"/>
    <col min="67" max="67" width="4.85546875" style="2" bestFit="1" customWidth="1"/>
    <col min="68" max="68" width="1.85546875" style="2" bestFit="1" customWidth="1"/>
    <col min="69" max="69" width="4.85546875" style="2" bestFit="1" customWidth="1"/>
    <col min="70" max="70" width="4" style="2" bestFit="1" customWidth="1"/>
    <col min="71" max="71" width="4.5703125" style="2" bestFit="1" customWidth="1"/>
    <col min="72" max="72" width="3.42578125" style="2" bestFit="1" customWidth="1"/>
    <col min="73" max="73" width="2" style="2" bestFit="1" customWidth="1"/>
    <col min="74" max="74" width="3.42578125" style="2" bestFit="1" customWidth="1"/>
    <col min="75" max="75" width="3.140625" style="2" bestFit="1" customWidth="1"/>
    <col min="76" max="77" width="4" style="2" bestFit="1" customWidth="1"/>
    <col min="78" max="78" width="4.5703125" style="2" bestFit="1" customWidth="1"/>
    <col min="79" max="79" width="2.85546875" style="2" bestFit="1" customWidth="1"/>
    <col min="80" max="80" width="16.5703125" style="2" bestFit="1" customWidth="1"/>
    <col min="81" max="81" width="10.5703125" style="2" bestFit="1" customWidth="1"/>
    <col min="82" max="82" width="2.7109375" style="2" bestFit="1" customWidth="1"/>
    <col min="83" max="83" width="2.140625" style="2" bestFit="1" customWidth="1"/>
    <col min="84" max="84" width="1.85546875" style="2" bestFit="1" customWidth="1"/>
    <col min="85" max="85" width="3.140625" style="2" bestFit="1" customWidth="1"/>
    <col min="86" max="86" width="3.42578125" style="2" bestFit="1" customWidth="1"/>
    <col min="87" max="87" width="4.85546875" style="2" bestFit="1" customWidth="1"/>
    <col min="88" max="88" width="1.85546875" style="2" bestFit="1" customWidth="1"/>
    <col min="89" max="90" width="3.85546875" style="2" bestFit="1" customWidth="1"/>
    <col min="91" max="91" width="4.5703125" style="2" bestFit="1" customWidth="1"/>
    <col min="92" max="92" width="3.28515625" style="2" bestFit="1" customWidth="1"/>
    <col min="93" max="93" width="1.85546875" style="2" bestFit="1" customWidth="1"/>
    <col min="94" max="94" width="3.42578125" style="2" bestFit="1" customWidth="1"/>
    <col min="95" max="95" width="3" style="2" bestFit="1" customWidth="1"/>
    <col min="96" max="97" width="3.85546875" style="2" bestFit="1" customWidth="1"/>
    <col min="98" max="98" width="4.5703125" style="2" bestFit="1" customWidth="1"/>
    <col min="99" max="99" width="2.85546875" style="2" bestFit="1" customWidth="1"/>
    <col min="100" max="100" width="2.85546875" style="2" customWidth="1"/>
    <col min="101" max="101" width="15.42578125" style="2" bestFit="1" customWidth="1"/>
    <col min="102" max="102" width="1.85546875" style="2" bestFit="1" customWidth="1"/>
    <col min="103" max="103" width="2.85546875" style="2" bestFit="1" customWidth="1"/>
    <col min="104" max="104" width="15.42578125" style="2" bestFit="1" customWidth="1"/>
    <col min="105" max="105" width="3.140625" style="2" bestFit="1" customWidth="1"/>
    <col min="106" max="106" width="3.42578125" style="2" bestFit="1" customWidth="1"/>
    <col min="107" max="107" width="15.42578125" style="2" bestFit="1" customWidth="1"/>
    <col min="108" max="109" width="2.5703125" style="2" bestFit="1" customWidth="1"/>
    <col min="110" max="111" width="2.85546875" style="2" customWidth="1"/>
    <col min="112" max="112" width="35" style="2" bestFit="1" customWidth="1"/>
    <col min="113" max="113" width="2.7109375" style="46" bestFit="1" customWidth="1"/>
    <col min="114" max="115" width="2.140625" style="46" bestFit="1" customWidth="1"/>
    <col min="116" max="116" width="3.140625" style="46" bestFit="1" customWidth="1"/>
    <col min="117" max="119" width="3.42578125" style="46" bestFit="1" customWidth="1"/>
    <col min="120" max="120" width="4.5703125" style="2" bestFit="1" customWidth="1"/>
    <col min="121" max="121" width="7.85546875" style="2" bestFit="1" customWidth="1"/>
    <col min="122" max="122" width="8" style="2" bestFit="1" customWidth="1"/>
    <col min="123" max="123" width="7.5703125" style="2" bestFit="1" customWidth="1"/>
    <col min="124" max="124" width="9.140625" style="2" bestFit="1" customWidth="1"/>
    <col min="125" max="125" width="2.85546875" style="2" bestFit="1" customWidth="1"/>
    <col min="126" max="126" width="2.140625" style="2" bestFit="1" customWidth="1"/>
    <col min="127" max="127" width="1.85546875" style="2" bestFit="1" customWidth="1"/>
    <col min="128" max="128" width="2.85546875" style="2" customWidth="1"/>
    <col min="129" max="135" width="9.140625" style="2"/>
    <col min="136" max="136" width="10.85546875" style="42" customWidth="1"/>
    <col min="137" max="137" width="4.42578125" style="42" customWidth="1"/>
    <col min="138" max="138" width="23" style="42" customWidth="1"/>
    <col min="139" max="139" width="30.85546875" style="42" customWidth="1"/>
    <col min="140" max="140" width="40.85546875" style="42" customWidth="1"/>
    <col min="141" max="141" width="9.140625" style="2"/>
    <col min="142" max="142" width="12.5703125" style="2" bestFit="1" customWidth="1"/>
    <col min="143" max="143" width="13.140625" style="2" customWidth="1"/>
    <col min="144" max="144" width="8.85546875" style="2" customWidth="1"/>
    <col min="145" max="145" width="11" style="2" customWidth="1"/>
    <col min="146" max="146" width="5.42578125" style="2" customWidth="1"/>
    <col min="147" max="147" width="29.7109375" style="2" bestFit="1" customWidth="1"/>
    <col min="148" max="16384" width="9.140625" style="2"/>
  </cols>
  <sheetData>
    <row r="1" spans="1:148" x14ac:dyDescent="0.25">
      <c r="AG1" s="2" t="s">
        <v>40</v>
      </c>
    </row>
    <row r="2" spans="1:148" x14ac:dyDescent="0.25">
      <c r="U2" s="2" t="s">
        <v>830</v>
      </c>
      <c r="AG2" s="2">
        <v>1</v>
      </c>
      <c r="AH2" s="2">
        <v>2</v>
      </c>
      <c r="AI2" s="2">
        <v>3</v>
      </c>
      <c r="AJ2" s="2">
        <v>5</v>
      </c>
      <c r="AK2" s="2">
        <v>6</v>
      </c>
      <c r="AL2" s="2">
        <v>9</v>
      </c>
      <c r="AO2" s="2" t="s">
        <v>31</v>
      </c>
      <c r="BI2" s="2" t="s">
        <v>35</v>
      </c>
      <c r="CC2" s="2" t="s">
        <v>36</v>
      </c>
      <c r="DA2" s="2" t="s">
        <v>20</v>
      </c>
      <c r="DB2" s="2" t="s">
        <v>21</v>
      </c>
      <c r="DI2" s="46" t="s">
        <v>12</v>
      </c>
      <c r="DJ2" s="46" t="s">
        <v>13</v>
      </c>
      <c r="DK2" s="46" t="s">
        <v>14</v>
      </c>
      <c r="DL2" s="46" t="s">
        <v>20</v>
      </c>
      <c r="DM2" s="46" t="s">
        <v>21</v>
      </c>
      <c r="DN2" s="46" t="s">
        <v>33</v>
      </c>
      <c r="DO2" s="46" t="s">
        <v>23</v>
      </c>
      <c r="DP2" s="2" t="s">
        <v>39</v>
      </c>
      <c r="DQ2" s="2" t="s">
        <v>183</v>
      </c>
      <c r="DR2" s="2" t="s">
        <v>184</v>
      </c>
      <c r="DS2" s="2" t="s">
        <v>185</v>
      </c>
      <c r="DT2" s="2" t="s">
        <v>186</v>
      </c>
    </row>
    <row r="3" spans="1:148" x14ac:dyDescent="0.25">
      <c r="C3" s="12" t="s">
        <v>12</v>
      </c>
      <c r="D3" s="2" t="s">
        <v>13</v>
      </c>
      <c r="E3" s="2" t="s">
        <v>14</v>
      </c>
      <c r="F3" s="2" t="s">
        <v>20</v>
      </c>
      <c r="G3" s="2" t="s">
        <v>21</v>
      </c>
      <c r="H3" s="2" t="s">
        <v>22</v>
      </c>
      <c r="I3" s="2" t="s">
        <v>37</v>
      </c>
      <c r="J3" s="2" t="s">
        <v>38</v>
      </c>
      <c r="K3" s="2" t="s">
        <v>24</v>
      </c>
      <c r="M3" s="2" t="s">
        <v>29</v>
      </c>
      <c r="P3" s="2" t="s">
        <v>25</v>
      </c>
      <c r="Q3" s="2" t="s">
        <v>26</v>
      </c>
      <c r="R3" s="2" t="s">
        <v>27</v>
      </c>
      <c r="S3" s="2" t="s">
        <v>28</v>
      </c>
      <c r="U3" s="2" t="s">
        <v>30</v>
      </c>
      <c r="V3" s="2" t="s">
        <v>12</v>
      </c>
      <c r="W3" s="2" t="s">
        <v>13</v>
      </c>
      <c r="X3" s="2" t="s">
        <v>14</v>
      </c>
      <c r="Y3" s="2" t="s">
        <v>20</v>
      </c>
      <c r="Z3" s="2" t="s">
        <v>21</v>
      </c>
      <c r="AA3" s="2" t="s">
        <v>22</v>
      </c>
      <c r="AB3" s="2" t="s">
        <v>0</v>
      </c>
      <c r="AC3" s="2" t="s">
        <v>43</v>
      </c>
      <c r="AD3" s="2" t="s">
        <v>41</v>
      </c>
      <c r="AE3" s="2" t="s">
        <v>39</v>
      </c>
      <c r="AF3" s="2" t="s">
        <v>23</v>
      </c>
      <c r="AG3" s="2" t="s">
        <v>32</v>
      </c>
      <c r="AH3" s="2" t="s">
        <v>33</v>
      </c>
      <c r="AI3" s="2" t="s">
        <v>20</v>
      </c>
      <c r="AJ3" s="2" t="s">
        <v>42</v>
      </c>
      <c r="AK3" s="2" t="s">
        <v>41</v>
      </c>
      <c r="AL3" s="2" t="s">
        <v>39</v>
      </c>
      <c r="AM3" s="2" t="s">
        <v>34</v>
      </c>
      <c r="AO3" s="2" t="s">
        <v>30</v>
      </c>
      <c r="AP3" s="2" t="s">
        <v>12</v>
      </c>
      <c r="AQ3" s="2" t="s">
        <v>13</v>
      </c>
      <c r="AR3" s="2" t="s">
        <v>14</v>
      </c>
      <c r="AS3" s="2" t="s">
        <v>20</v>
      </c>
      <c r="AT3" s="2" t="s">
        <v>21</v>
      </c>
      <c r="AU3" s="2" t="s">
        <v>22</v>
      </c>
      <c r="AV3" s="2" t="s">
        <v>0</v>
      </c>
      <c r="AW3" s="2" t="s">
        <v>43</v>
      </c>
      <c r="AX3" s="2" t="s">
        <v>41</v>
      </c>
      <c r="AY3" s="2" t="s">
        <v>39</v>
      </c>
      <c r="AZ3" s="2" t="s">
        <v>23</v>
      </c>
      <c r="BA3" s="2" t="s">
        <v>32</v>
      </c>
      <c r="BB3" s="2" t="s">
        <v>33</v>
      </c>
      <c r="BC3" s="2" t="s">
        <v>20</v>
      </c>
      <c r="BD3" s="2" t="s">
        <v>42</v>
      </c>
      <c r="BE3" s="2" t="s">
        <v>41</v>
      </c>
      <c r="BF3" s="2" t="s">
        <v>39</v>
      </c>
      <c r="BG3" s="2" t="s">
        <v>34</v>
      </c>
      <c r="BI3" s="2" t="s">
        <v>30</v>
      </c>
      <c r="BJ3" s="2" t="s">
        <v>12</v>
      </c>
      <c r="BK3" s="2" t="s">
        <v>13</v>
      </c>
      <c r="BL3" s="2" t="s">
        <v>14</v>
      </c>
      <c r="BM3" s="2" t="s">
        <v>20</v>
      </c>
      <c r="BN3" s="2" t="s">
        <v>21</v>
      </c>
      <c r="BO3" s="2" t="s">
        <v>22</v>
      </c>
      <c r="BP3" s="2" t="s">
        <v>0</v>
      </c>
      <c r="BQ3" s="2" t="s">
        <v>43</v>
      </c>
      <c r="BR3" s="2" t="s">
        <v>41</v>
      </c>
      <c r="BS3" s="2" t="s">
        <v>39</v>
      </c>
      <c r="BT3" s="2" t="s">
        <v>23</v>
      </c>
      <c r="BU3" s="2" t="s">
        <v>32</v>
      </c>
      <c r="BV3" s="2" t="s">
        <v>33</v>
      </c>
      <c r="BW3" s="2" t="s">
        <v>20</v>
      </c>
      <c r="BX3" s="2" t="s">
        <v>43</v>
      </c>
      <c r="BY3" s="2" t="s">
        <v>41</v>
      </c>
      <c r="BZ3" s="2" t="s">
        <v>39</v>
      </c>
      <c r="CA3" s="2" t="s">
        <v>34</v>
      </c>
      <c r="CC3" s="2" t="s">
        <v>30</v>
      </c>
      <c r="CD3" s="2" t="s">
        <v>12</v>
      </c>
      <c r="CE3" s="2" t="s">
        <v>13</v>
      </c>
      <c r="CF3" s="2" t="s">
        <v>14</v>
      </c>
      <c r="CG3" s="2" t="s">
        <v>20</v>
      </c>
      <c r="CH3" s="2" t="s">
        <v>21</v>
      </c>
      <c r="CI3" s="2" t="s">
        <v>22</v>
      </c>
      <c r="CJ3" s="2" t="s">
        <v>0</v>
      </c>
      <c r="CK3" s="2" t="s">
        <v>43</v>
      </c>
      <c r="CL3" s="2" t="s">
        <v>41</v>
      </c>
      <c r="CM3" s="2" t="s">
        <v>39</v>
      </c>
      <c r="CN3" s="2" t="s">
        <v>23</v>
      </c>
      <c r="CO3" s="2" t="s">
        <v>32</v>
      </c>
      <c r="CP3" s="2" t="s">
        <v>33</v>
      </c>
      <c r="CQ3" s="2" t="s">
        <v>20</v>
      </c>
      <c r="CR3" s="2" t="s">
        <v>43</v>
      </c>
      <c r="CS3" s="2" t="s">
        <v>41</v>
      </c>
      <c r="CT3" s="2" t="s">
        <v>39</v>
      </c>
      <c r="CU3" s="2" t="s">
        <v>34</v>
      </c>
      <c r="CY3" s="2">
        <v>1</v>
      </c>
      <c r="CZ3" s="2" t="str">
        <f>Fixtures!G7</f>
        <v>Germany</v>
      </c>
      <c r="DA3" s="2">
        <f>IF(AND(Fixtures!H7&lt;&gt;"",Fixtures!I7&lt;&gt;""),Fixtures!H7,0)</f>
        <v>0</v>
      </c>
      <c r="DB3" s="2">
        <f>IF(AND(Fixtures!I7&lt;&gt;"",Fixtures!H7&lt;&gt;""),Fixtures!I7,0)</f>
        <v>0</v>
      </c>
      <c r="DC3" s="2" t="str">
        <f>Fixtures!J7</f>
        <v>Scotland</v>
      </c>
      <c r="DD3" s="2" t="str">
        <f>IF(AND(Fixtures!H7&lt;&gt;"",Fixtures!I7&lt;&gt;""),IF(DA3&gt;DB3,"W",IF(DA3=DB3,"D","L")),"")</f>
        <v/>
      </c>
      <c r="DE3" s="2" t="str">
        <f>IF(DD3&lt;&gt;"",IF(DD3="W","L",IF(DD3="L","W","D")),"")</f>
        <v/>
      </c>
      <c r="DH3" s="2" t="str">
        <f>Fixtures!P9</f>
        <v>Scotland</v>
      </c>
      <c r="DI3" s="46">
        <f>Fixtures!U9</f>
        <v>0</v>
      </c>
      <c r="DJ3" s="46">
        <f>Fixtures!V9</f>
        <v>0</v>
      </c>
      <c r="DK3" s="46">
        <f>Fixtures!W9</f>
        <v>0</v>
      </c>
      <c r="DL3" s="46">
        <f>Fixtures!X9</f>
        <v>0</v>
      </c>
      <c r="DM3" s="46">
        <f>Fixtures!Z9</f>
        <v>0</v>
      </c>
      <c r="DN3" s="46">
        <f>Fixtures!AA9</f>
        <v>0</v>
      </c>
      <c r="DO3" s="46">
        <f>Fixtures!AB9</f>
        <v>0</v>
      </c>
      <c r="DP3" s="2">
        <f>IF(Fixtures!AC9&lt;&gt;"",30,VLOOKUP(DH3,B4:J40,9,FALSE))</f>
        <v>43</v>
      </c>
      <c r="DQ3" s="2">
        <f>RANK(DO3,DO3:DO8)</f>
        <v>1</v>
      </c>
      <c r="DR3" s="2">
        <f>SUMPRODUCT((DQ3:DQ8=DQ3)*(DN3:DN8&gt;DN3))</f>
        <v>0</v>
      </c>
      <c r="DS3" s="2">
        <f>SUMPRODUCT((DQ3:DQ8=DQ3)*(DN3:DN8=DN3)*(DL3:DL8&gt;DL3))</f>
        <v>0</v>
      </c>
      <c r="DT3" s="2">
        <f>SUMPRODUCT((DQ3:DQ8=DQ3)*(DN3:DN8=DN3)*(DL3:DL8=DL3)*(DP3:DP8&gt;DP3))</f>
        <v>0</v>
      </c>
      <c r="DU3" s="2">
        <f>IF(Matches!C61="© 2024 | journalSHEET.com",SUM(DQ3:DT3),1)</f>
        <v>1</v>
      </c>
      <c r="DV3" s="2" t="s">
        <v>15</v>
      </c>
      <c r="DW3" s="2">
        <v>1</v>
      </c>
    </row>
    <row r="4" spans="1:148" x14ac:dyDescent="0.25">
      <c r="A4" s="2">
        <f>VLOOKUP(B4,CW4:CX8,2,FALSE)</f>
        <v>1</v>
      </c>
      <c r="B4" s="2" t="str">
        <f>'Dummy Table'!EH7</f>
        <v>Germany</v>
      </c>
      <c r="C4" s="2">
        <f>SUMPRODUCT((CZ3:CZ42=B4)*(DD3:DD42="W"))+SUMPRODUCT((DC3:DC42=B4)*(DE3:DE42="W"))</f>
        <v>0</v>
      </c>
      <c r="D4" s="2">
        <f>SUMPRODUCT((CZ3:CZ42=B4)*(DD3:DD42="D"))+SUMPRODUCT((DC3:DC42=B4)*(DE3:DE42="D"))</f>
        <v>0</v>
      </c>
      <c r="E4" s="2">
        <f>SUMPRODUCT((CZ3:CZ42=B4)*(DD3:DD42="L"))+SUMPRODUCT((DC3:DC42=B4)*(DE3:DE42="L"))</f>
        <v>0</v>
      </c>
      <c r="F4" s="2">
        <f>SUMIF(CZ3:CZ60,B4,DA3:DA60)+SUMIF(DC3:DC60,B4,DB3:DB60)</f>
        <v>0</v>
      </c>
      <c r="G4" s="2">
        <f>SUMIF(DC3:DC60,B4,DA3:DA60)+SUMIF(CZ3:CZ60,B4,DB3:DB60)</f>
        <v>0</v>
      </c>
      <c r="H4" s="2">
        <f>F4-G4+1000</f>
        <v>1000</v>
      </c>
      <c r="I4" s="2">
        <f>C4*3+D4*1</f>
        <v>0</v>
      </c>
      <c r="J4" s="2">
        <v>54</v>
      </c>
      <c r="K4" s="2">
        <f>IF(COUNTIF(I4:I8,4)&lt;&gt;4,RANK(I4,I4:I8),I44)</f>
        <v>1</v>
      </c>
      <c r="M4" s="2">
        <f>SUMPRODUCT((K4:K7=K4)*(J4:J7&lt;J4))+K4</f>
        <v>4</v>
      </c>
      <c r="N4" s="2" t="str">
        <f>INDEX(B4:B8,MATCH(1,M4:M8,0),0)</f>
        <v>Switzerland</v>
      </c>
      <c r="O4" s="2">
        <f>INDEX(K4:K8,MATCH(N4,B4:B8,0),0)</f>
        <v>1</v>
      </c>
      <c r="P4" s="2" t="str">
        <f>IF(O5=1,N4,"")</f>
        <v>Switzerland</v>
      </c>
      <c r="Q4" s="2" t="str">
        <f>IF(O6=2,N5,"")</f>
        <v/>
      </c>
      <c r="R4" s="2" t="str">
        <f>IF(O7=3,N6,"")</f>
        <v/>
      </c>
      <c r="S4" s="2" t="str">
        <f>IF(O8=4,N7,"")</f>
        <v/>
      </c>
      <c r="U4" s="2" t="str">
        <f>IF(P4&lt;&gt;"",P4,"")</f>
        <v>Switzerland</v>
      </c>
      <c r="V4" s="2">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2">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2">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2">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2">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2">
        <f>Y4-Z4+1000</f>
        <v>1000</v>
      </c>
      <c r="AB4" s="2">
        <f>IF(U4&lt;&gt;"",V4*3+W4*1,"")</f>
        <v>0</v>
      </c>
      <c r="AC4" s="2">
        <f>IF(U4&lt;&gt;"",VLOOKUP(U4,B4:H40,7,FALSE),"")</f>
        <v>1000</v>
      </c>
      <c r="AD4" s="2">
        <f>IF(U4&lt;&gt;"",VLOOKUP(U4,B4:H40,5,FALSE),"")</f>
        <v>0</v>
      </c>
      <c r="AE4" s="2">
        <f>IF(U4&lt;&gt;"",VLOOKUP(U4,B4:J40,9,FALSE),"")</f>
        <v>34</v>
      </c>
      <c r="AF4" s="2">
        <f>AB4</f>
        <v>0</v>
      </c>
      <c r="AG4" s="2">
        <f>IF(U4&lt;&gt;"",RANK(AF4,AF4:AF8),"")</f>
        <v>1</v>
      </c>
      <c r="AH4" s="2">
        <f>IF(U4&lt;&gt;"",SUMPRODUCT((AF4:AF8=AF4)*(AA4:AA8&gt;AA4)),"")</f>
        <v>0</v>
      </c>
      <c r="AI4" s="2">
        <f>IF(U4&lt;&gt;"",SUMPRODUCT((AF4:AF8=AF4)*(AA4:AA8=AA4)*(Y4:Y8&gt;Y4)),"")</f>
        <v>0</v>
      </c>
      <c r="AJ4" s="2">
        <f>IF(U4&lt;&gt;"",SUMPRODUCT((AF4:AF8=AF4)*(AA4:AA8=AA4)*(Y4:Y8=Y4)*(AC4:AC8&gt;AC4)),"")</f>
        <v>0</v>
      </c>
      <c r="AK4" s="2">
        <f>IF(U4&lt;&gt;"",SUMPRODUCT((AF4:AF8=AF4)*(AA4:AA8=AA4)*(Y4:Y8=Y4)*(AC4:AC8=AC4)*(AD4:AD8&gt;AD4)),"")</f>
        <v>0</v>
      </c>
      <c r="AL4" s="2">
        <f>IF(U4&lt;&gt;"",SUMPRODUCT((AF4:AF8=AF4)*(AA4:AA8=AA4)*(Y4:Y8=Y4)*(AC4:AC8=AC4)*(AD4:AD8=AD4)*(AE4:AE8&gt;AE4)),"")</f>
        <v>3</v>
      </c>
      <c r="AM4" s="2">
        <f>IF(U4&lt;&gt;"",IF(AM44&lt;&gt;"",IF(T43=3,AM44,AM44+T43),SUM(AG4:AL4)),"")</f>
        <v>4</v>
      </c>
      <c r="AN4" s="2" t="str">
        <f>IF(U4&lt;&gt;"",INDEX(U4:U8,MATCH(1,AM4:AM8,0),0),"")</f>
        <v>Germany</v>
      </c>
      <c r="CW4" s="2" t="str">
        <f>IF(AN4&lt;&gt;"",AN4,N4)</f>
        <v>Germany</v>
      </c>
      <c r="CX4" s="2">
        <v>1</v>
      </c>
      <c r="CY4" s="2">
        <v>2</v>
      </c>
      <c r="CZ4" s="2" t="str">
        <f>Fixtures!G8</f>
        <v>Hungary</v>
      </c>
      <c r="DA4" s="2">
        <f>IF(AND(Fixtures!H8&lt;&gt;"",Fixtures!I8&lt;&gt;""),Fixtures!H8,0)</f>
        <v>0</v>
      </c>
      <c r="DB4" s="2">
        <f>IF(AND(Fixtures!I8&lt;&gt;"",Fixtures!H8&lt;&gt;""),Fixtures!I8,0)</f>
        <v>0</v>
      </c>
      <c r="DC4" s="2" t="str">
        <f>Fixtures!J8</f>
        <v>Switzerland</v>
      </c>
      <c r="DD4" s="2" t="str">
        <f>IF(AND(Fixtures!H8&lt;&gt;"",Fixtures!I8&lt;&gt;""),IF(DA4&gt;DB4,"W",IF(DA4=DB4,"D","L")),"")</f>
        <v/>
      </c>
      <c r="DE4" s="2" t="str">
        <f t="shared" ref="DE4:DE38" si="0">IF(DD4&lt;&gt;"",IF(DD4="W","L",IF(DD4="L","W","D")),"")</f>
        <v/>
      </c>
      <c r="DH4" s="2" t="str">
        <f>Fixtures!P14</f>
        <v>Croatia</v>
      </c>
      <c r="DI4" s="46">
        <f>Fixtures!U14</f>
        <v>0</v>
      </c>
      <c r="DJ4" s="46">
        <f>Fixtures!V14</f>
        <v>0</v>
      </c>
      <c r="DK4" s="46">
        <f>Fixtures!W14</f>
        <v>0</v>
      </c>
      <c r="DL4" s="46">
        <f>Fixtures!X14</f>
        <v>0</v>
      </c>
      <c r="DM4" s="46">
        <f>Fixtures!Z14</f>
        <v>0</v>
      </c>
      <c r="DN4" s="46">
        <f>Fixtures!AA14</f>
        <v>0</v>
      </c>
      <c r="DO4" s="46">
        <f>Fixtures!AB14</f>
        <v>0</v>
      </c>
      <c r="DP4" s="2">
        <f>IF(Fixtures!AC14&lt;&gt;"",29,VLOOKUP(DH4,B4:J40,9,FALSE))</f>
        <v>40</v>
      </c>
      <c r="DQ4" s="2">
        <f>RANK(DO4,DO3:DO8)</f>
        <v>1</v>
      </c>
      <c r="DR4" s="2">
        <f>SUMPRODUCT((DQ3:DQ8=DQ4)*(DN3:DN8&gt;DN4))</f>
        <v>0</v>
      </c>
      <c r="DS4" s="2">
        <f>SUMPRODUCT((DQ3:DQ8=DQ4)*(DN3:DN8=DN4)*(DL3:DL8&gt;DL4))</f>
        <v>0</v>
      </c>
      <c r="DT4" s="2">
        <f>SUMPRODUCT((DQ3:DQ8=DQ4)*(DN3:DN8=DN4)*(DL3:DL8=DL4)*(DP3:DP8&gt;DP4))</f>
        <v>2</v>
      </c>
      <c r="DU4" s="2">
        <f t="shared" ref="DU4:DU8" si="1">SUM(DQ4:DT4)</f>
        <v>3</v>
      </c>
      <c r="DV4" s="2" t="s">
        <v>3</v>
      </c>
      <c r="DW4" s="2">
        <v>2</v>
      </c>
    </row>
    <row r="5" spans="1:148" x14ac:dyDescent="0.25">
      <c r="A5" s="2">
        <f>VLOOKUP(B5,CW4:CX8,2,FALSE)</f>
        <v>3</v>
      </c>
      <c r="B5" s="2" t="str">
        <f>'Dummy Table'!EH8</f>
        <v>Scotland</v>
      </c>
      <c r="C5" s="2">
        <f>SUMPRODUCT((CZ3:CZ42=B5)*(DD3:DD42="W"))+SUMPRODUCT((DC3:DC42=B5)*(DE3:DE42="W"))</f>
        <v>0</v>
      </c>
      <c r="D5" s="2">
        <f>SUMPRODUCT((CZ3:CZ42=B5)*(DD3:DD42="D"))+SUMPRODUCT((DC3:DC42=B5)*(DE3:DE42="D"))</f>
        <v>0</v>
      </c>
      <c r="E5" s="2">
        <f>SUMPRODUCT((CZ3:CZ42=B5)*(DD3:DD42="L"))+SUMPRODUCT((DC3:DC42=B5)*(DE3:DE42="L"))</f>
        <v>0</v>
      </c>
      <c r="F5" s="2">
        <f>SUMIF(CZ3:CZ60,B5,DA3:DA60)+SUMIF(DC3:DC60,B5,DB3:DB60)</f>
        <v>0</v>
      </c>
      <c r="G5" s="2">
        <f>SUMIF(DC3:DC60,B5,DA3:DA60)+SUMIF(CZ3:CZ60,B5,DB3:DB60)</f>
        <v>0</v>
      </c>
      <c r="H5" s="2">
        <f t="shared" ref="H5:H7" si="2">F5-G5+1000</f>
        <v>1000</v>
      </c>
      <c r="I5" s="2">
        <f t="shared" ref="I5:I7" si="3">C5*3+D5*1</f>
        <v>0</v>
      </c>
      <c r="J5" s="2">
        <v>43</v>
      </c>
      <c r="K5" s="2">
        <f>IF(COUNTIF(I4:I8,4)&lt;&gt;4,RANK(I5,I4:I8),I45)</f>
        <v>1</v>
      </c>
      <c r="M5" s="2">
        <f>SUMPRODUCT((K4:K7=K5)*(J4:J7&lt;J5))+K5</f>
        <v>2</v>
      </c>
      <c r="N5" s="2" t="str">
        <f>INDEX(B4:B8,MATCH(2,M4:M8,0),0)</f>
        <v>Scotland</v>
      </c>
      <c r="O5" s="2">
        <f>INDEX(K4:K8,MATCH(N5,B4:B8,0),0)</f>
        <v>1</v>
      </c>
      <c r="P5" s="2" t="str">
        <f>IF(P4&lt;&gt;"",N5,"")</f>
        <v>Scotland</v>
      </c>
      <c r="Q5" s="2" t="str">
        <f>IF(Q4&lt;&gt;"",N6,"")</f>
        <v/>
      </c>
      <c r="R5" s="2" t="str">
        <f>IF(R4&lt;&gt;"",N7,"")</f>
        <v/>
      </c>
      <c r="S5" s="2" t="str">
        <f>IF(S4&lt;&gt;"",N8,"")</f>
        <v/>
      </c>
      <c r="U5" s="2" t="str">
        <f t="shared" ref="U5:U7" si="4">IF(P5&lt;&gt;"",P5,"")</f>
        <v>Scotland</v>
      </c>
      <c r="V5" s="2">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2">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2">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2">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2">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2">
        <f>Y5-Z5+1000</f>
        <v>1000</v>
      </c>
      <c r="AB5" s="2">
        <f t="shared" ref="AB5:AB7" si="5">IF(U5&lt;&gt;"",V5*3+W5*1,"")</f>
        <v>0</v>
      </c>
      <c r="AC5" s="2">
        <f>IF(U5&lt;&gt;"",VLOOKUP(U5,B4:H40,7,FALSE),"")</f>
        <v>1000</v>
      </c>
      <c r="AD5" s="2">
        <f>IF(U5&lt;&gt;"",VLOOKUP(U5,B4:H40,5,FALSE),"")</f>
        <v>0</v>
      </c>
      <c r="AE5" s="2">
        <f>IF(U5&lt;&gt;"",VLOOKUP(U5,B4:J40,9,FALSE),"")</f>
        <v>43</v>
      </c>
      <c r="AF5" s="2">
        <f t="shared" ref="AF5:AF7" si="6">AB5</f>
        <v>0</v>
      </c>
      <c r="AG5" s="2">
        <f>IF(U5&lt;&gt;"",RANK(AF5,AF4:AF8),"")</f>
        <v>1</v>
      </c>
      <c r="AH5" s="2">
        <f>IF(U5&lt;&gt;"",SUMPRODUCT((AF4:AF8=AF5)*(AA4:AA8&gt;AA5)),"")</f>
        <v>0</v>
      </c>
      <c r="AI5" s="2">
        <f>IF(U5&lt;&gt;"",SUMPRODUCT((AF4:AF8=AF5)*(AA4:AA8=AA5)*(Y4:Y8&gt;Y5)),"")</f>
        <v>0</v>
      </c>
      <c r="AJ5" s="2">
        <f>IF(U5&lt;&gt;"",SUMPRODUCT((AF4:AF8=AF5)*(AA4:AA8=AA5)*(Y4:Y8=Y5)*(AC4:AC8&gt;AC5)),"")</f>
        <v>0</v>
      </c>
      <c r="AK5" s="2">
        <f>IF(U5&lt;&gt;"",SUMPRODUCT((AF4:AF8=AF5)*(AA4:AA8=AA5)*(Y4:Y8=Y5)*(AC4:AC8=AC5)*(AD4:AD8&gt;AD5)),"")</f>
        <v>0</v>
      </c>
      <c r="AL5" s="2">
        <f>IF(U5&lt;&gt;"",SUMPRODUCT((AF4:AF8=AF5)*(AA4:AA8=AA5)*(Y4:Y8=Y5)*(AC4:AC8=AC5)*(AD4:AD8=AD5)*(AE4:AE8&gt;AE5)),"")</f>
        <v>2</v>
      </c>
      <c r="AM5" s="2">
        <f>IF(U5&lt;&gt;"",IF(AM45&lt;&gt;"",IF(T43=3,AM45,AM45+T43),SUM(AG5:AL5)),"")</f>
        <v>3</v>
      </c>
      <c r="AN5" s="2" t="str">
        <f>IF(U5&lt;&gt;"",INDEX(U4:U8,MATCH(2,AM4:AM8,0),0),"")</f>
        <v>Hungary</v>
      </c>
      <c r="AO5" s="2" t="str">
        <f>IF(Q4&lt;&gt;"",Q4,"")</f>
        <v/>
      </c>
      <c r="AP5" s="2">
        <f>SUMPRODUCT((CZ3:CZ42=AO5)*(DC3:DC42=AO6)*(DD3:DD42="W"))+SUMPRODUCT((CZ3:CZ42=AO5)*(DC3:DC42=AO7)*(DD3:DD42="W"))+SUMPRODUCT((CZ3:CZ42=AO5)*(DC3:DC42=AO8)*(DD3:DD42="W"))+SUMPRODUCT((CZ3:CZ42=AO6)*(DC3:DC42=AO5)*(DE3:DE42="W"))+SUMPRODUCT((CZ3:CZ42=AO7)*(DC3:DC42=AO5)*(DE3:DE42="W"))+SUMPRODUCT((CZ3:CZ42=AO8)*(DC3:DC42=AO5)*(DE3:DE42="W"))</f>
        <v>0</v>
      </c>
      <c r="AQ5" s="2">
        <f>SUMPRODUCT((CZ3:CZ42=AO5)*(DC3:DC42=AO6)*(DD3:DD42="D"))+SUMPRODUCT((CZ3:CZ42=AO5)*(DC3:DC42=AO7)*(DD3:DD42="D"))+SUMPRODUCT((CZ3:CZ42=AO5)*(DC3:DC42=AO8)*(DD3:DD42="D"))+SUMPRODUCT((CZ3:CZ42=AO6)*(DC3:DC42=AO5)*(DD3:DD42="D"))+SUMPRODUCT((CZ3:CZ42=AO7)*(DC3:DC42=AO5)*(DD3:DD42="D"))+SUMPRODUCT((CZ3:CZ42=AO8)*(DC3:DC42=AO5)*(DD3:DD42="D"))</f>
        <v>0</v>
      </c>
      <c r="AR5" s="2">
        <f>SUMPRODUCT((CZ3:CZ42=AO5)*(DC3:DC42=AO6)*(DD3:DD42="L"))+SUMPRODUCT((CZ3:CZ42=AO5)*(DC3:DC42=AO7)*(DD3:DD42="L"))+SUMPRODUCT((CZ3:CZ42=AO5)*(DC3:DC42=AO8)*(DD3:DD42="L"))+SUMPRODUCT((CZ3:CZ42=AO6)*(DC3:DC42=AO5)*(DE3:DE42="L"))+SUMPRODUCT((CZ3:CZ42=AO7)*(DC3:DC42=AO5)*(DE3:DE42="L"))+SUMPRODUCT((CZ3:CZ42=AO8)*(DC3:DC42=AO5)*(DE3:DE42="L"))</f>
        <v>0</v>
      </c>
      <c r="AS5" s="2">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2">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2">
        <f>AS5-AT5+1000</f>
        <v>1000</v>
      </c>
      <c r="AV5" s="2" t="str">
        <f t="shared" ref="AV5:AV7" si="7">IF(AO5&lt;&gt;"",AP5*3+AQ5*1,"")</f>
        <v/>
      </c>
      <c r="AW5" s="2" t="str">
        <f>IF(AO5&lt;&gt;"",VLOOKUP(AO5,B4:H40,7,FALSE),"")</f>
        <v/>
      </c>
      <c r="AX5" s="2" t="str">
        <f>IF(AO5&lt;&gt;"",VLOOKUP(AO5,B4:H40,5,FALSE),"")</f>
        <v/>
      </c>
      <c r="AY5" s="2" t="str">
        <f>IF(AO5&lt;&gt;"",VLOOKUP(AO5,B4:J40,9,FALSE),"")</f>
        <v/>
      </c>
      <c r="AZ5" s="2" t="str">
        <f t="shared" ref="AZ5:AZ7" si="8">AV5</f>
        <v/>
      </c>
      <c r="BA5" s="2" t="str">
        <f>IF(AO5&lt;&gt;"",RANK(AZ5,AZ4:AZ8),"")</f>
        <v/>
      </c>
      <c r="BB5" s="2" t="str">
        <f>IF(AO5&lt;&gt;"",SUMPRODUCT((AZ4:AZ8=AZ5)*(AU4:AU8&gt;AU5)),"")</f>
        <v/>
      </c>
      <c r="BC5" s="2" t="str">
        <f>IF(AO5&lt;&gt;"",SUMPRODUCT((AZ4:AZ8=AZ5)*(AU4:AU8=AU5)*(AS4:AS8&gt;AS5)),"")</f>
        <v/>
      </c>
      <c r="BD5" s="2" t="str">
        <f>IF(AO5&lt;&gt;"",SUMPRODUCT((AZ4:AZ8=AZ5)*(AU4:AU8=AU5)*(AS4:AS8=AS5)*(AW4:AW8&gt;AW5)),"")</f>
        <v/>
      </c>
      <c r="BE5" s="2" t="str">
        <f>IF(AO5&lt;&gt;"",SUMPRODUCT((AZ4:AZ8=AZ5)*(AU4:AU8=AU5)*(AS4:AS8=AS5)*(AW4:AW8=AW5)*(AX4:AX8&gt;AX5)),"")</f>
        <v/>
      </c>
      <c r="BF5" s="2" t="str">
        <f>IF(AO5&lt;&gt;"",SUMPRODUCT((AZ4:AZ8=AZ5)*(AU4:AU8=AU5)*(AS4:AS8=AS5)*(AW4:AW8=AW5)*(AX4:AX8=AX5)*(AY4:AY8&gt;AY5)),"")</f>
        <v/>
      </c>
      <c r="BG5" s="2" t="str">
        <f>IF(AO5&lt;&gt;"",IF(BG45&lt;&gt;"",IF(AN43=3,BG45,BG45+AN43),SUM(BA5:BF5)+1),"")</f>
        <v/>
      </c>
      <c r="BH5" s="2" t="str">
        <f>IF(AO5&lt;&gt;"",INDEX(AO5:AO8,MATCH(2,BG5:BG8,0),0),"")</f>
        <v/>
      </c>
      <c r="CW5" s="2" t="str">
        <f>IF(BH5&lt;&gt;"",BH5,IF(AN5&lt;&gt;"",AN5,N5))</f>
        <v>Hungary</v>
      </c>
      <c r="CX5" s="2">
        <v>2</v>
      </c>
      <c r="CY5" s="2">
        <v>3</v>
      </c>
      <c r="CZ5" s="2" t="str">
        <f>Fixtures!G9</f>
        <v>Spain</v>
      </c>
      <c r="DA5" s="2">
        <f>IF(AND(Fixtures!H9&lt;&gt;"",Fixtures!I9&lt;&gt;""),Fixtures!H9,0)</f>
        <v>0</v>
      </c>
      <c r="DB5" s="2">
        <f>IF(AND(Fixtures!I9&lt;&gt;"",Fixtures!H9&lt;&gt;""),Fixtures!I9,0)</f>
        <v>0</v>
      </c>
      <c r="DC5" s="2" t="str">
        <f>Fixtures!J9</f>
        <v>Croatia</v>
      </c>
      <c r="DD5" s="2" t="str">
        <f>IF(AND(Fixtures!H9&lt;&gt;"",Fixtures!I9&lt;&gt;""),IF(DA5&gt;DB5,"W",IF(DA5=DB5,"D","L")),"")</f>
        <v/>
      </c>
      <c r="DE5" s="2" t="str">
        <f t="shared" si="0"/>
        <v/>
      </c>
      <c r="DH5" s="2" t="str">
        <f>Fixtures!P19</f>
        <v>Slovenia</v>
      </c>
      <c r="DI5" s="46">
        <f>Fixtures!U19</f>
        <v>0</v>
      </c>
      <c r="DJ5" s="46">
        <f>Fixtures!V19</f>
        <v>0</v>
      </c>
      <c r="DK5" s="46">
        <f>Fixtures!W19</f>
        <v>0</v>
      </c>
      <c r="DL5" s="46">
        <f>Fixtures!X19</f>
        <v>0</v>
      </c>
      <c r="DM5" s="46">
        <f>Fixtures!Z19</f>
        <v>0</v>
      </c>
      <c r="DN5" s="46">
        <f>Fixtures!AA19</f>
        <v>0</v>
      </c>
      <c r="DO5" s="46">
        <f>Fixtures!AB19</f>
        <v>0</v>
      </c>
      <c r="DP5" s="2">
        <f>IF(Fixtures!AC19&lt;&gt;"",28,VLOOKUP(DH5,B4:J40,9,FALSE))</f>
        <v>39</v>
      </c>
      <c r="DQ5" s="2">
        <f>RANK(DO5,DO3:DO8)</f>
        <v>1</v>
      </c>
      <c r="DR5" s="2">
        <f>SUMPRODUCT((DQ3:DQ8=DQ5)*(DN3:DN8&gt;DN5))</f>
        <v>0</v>
      </c>
      <c r="DS5" s="2">
        <f>SUMPRODUCT((DQ3:DQ8=DQ5)*(DN3:DN8=DN5)*(DL3:DL8&gt;DL5))</f>
        <v>0</v>
      </c>
      <c r="DT5" s="2">
        <f>SUMPRODUCT((DQ3:DQ8=DQ5)*(DN3:DN8=DN5)*(DL3:DL8=DL5)*(DP3:DP8&gt;DP5))</f>
        <v>3</v>
      </c>
      <c r="DU5" s="2">
        <f t="shared" si="1"/>
        <v>4</v>
      </c>
      <c r="DV5" s="2" t="s">
        <v>4</v>
      </c>
      <c r="DW5" s="2">
        <v>3</v>
      </c>
    </row>
    <row r="6" spans="1:148" x14ac:dyDescent="0.25">
      <c r="A6" s="2">
        <f>VLOOKUP(B6,CW4:CX8,2,FALSE)</f>
        <v>2</v>
      </c>
      <c r="B6" s="2" t="str">
        <f>'Dummy Table'!EH9</f>
        <v>Hungary</v>
      </c>
      <c r="C6" s="2">
        <f>SUMPRODUCT((CZ3:CZ42=B6)*(DD3:DD42="W"))+SUMPRODUCT((DC3:DC42=B6)*(DE3:DE42="W"))</f>
        <v>0</v>
      </c>
      <c r="D6" s="2">
        <f>SUMPRODUCT((CZ3:CZ42=B6)*(DD3:DD42="D"))+SUMPRODUCT((DC3:DC42=B6)*(DE3:DE42="D"))</f>
        <v>0</v>
      </c>
      <c r="E6" s="2">
        <f>SUMPRODUCT((CZ3:CZ42=B6)*(DD3:DD42="L"))+SUMPRODUCT((DC3:DC42=B6)*(DE3:DE42="L"))</f>
        <v>0</v>
      </c>
      <c r="F6" s="2">
        <f>SUMIF(CZ3:CZ60,B6,DA3:DA60)+SUMIF(DC3:DC60,B6,DB3:DB60)</f>
        <v>0</v>
      </c>
      <c r="G6" s="2">
        <f>SUMIF(DC3:DC60,B6,DA3:DA60)+SUMIF(CZ3:CZ60,B6,DB3:DB60)</f>
        <v>0</v>
      </c>
      <c r="H6" s="2">
        <f t="shared" si="2"/>
        <v>1000</v>
      </c>
      <c r="I6" s="2">
        <f t="shared" si="3"/>
        <v>0</v>
      </c>
      <c r="J6" s="2">
        <v>48</v>
      </c>
      <c r="K6" s="2">
        <f>IF(COUNTIF(I4:I8,4)&lt;&gt;4,RANK(I6,I4:I8),I46)</f>
        <v>1</v>
      </c>
      <c r="M6" s="2">
        <f>SUMPRODUCT((K4:K7=K6)*(J4:J7&lt;J6))+K6</f>
        <v>3</v>
      </c>
      <c r="N6" s="2" t="str">
        <f>INDEX(B4:B8,MATCH(3,M4:M8,0),0)</f>
        <v>Hungary</v>
      </c>
      <c r="O6" s="2">
        <f>INDEX(K4:K8,MATCH(N6,B4:B8,0),0)</f>
        <v>1</v>
      </c>
      <c r="P6" s="2" t="str">
        <f>IF(AND(P5&lt;&gt;"",O6=1),N6,"")</f>
        <v>Hungary</v>
      </c>
      <c r="Q6" s="2" t="str">
        <f>IF(AND(Q5&lt;&gt;"",O7=2),N7,"")</f>
        <v/>
      </c>
      <c r="R6" s="2" t="str">
        <f>IF(AND(R5&lt;&gt;"",O8=3),N8,"")</f>
        <v/>
      </c>
      <c r="U6" s="2" t="str">
        <f t="shared" si="4"/>
        <v>Hungary</v>
      </c>
      <c r="V6" s="2">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2">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2">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2">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2">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2">
        <f>Y6-Z6+1000</f>
        <v>1000</v>
      </c>
      <c r="AB6" s="2">
        <f t="shared" si="5"/>
        <v>0</v>
      </c>
      <c r="AC6" s="2">
        <f>IF(U6&lt;&gt;"",VLOOKUP(U6,B4:H40,7,FALSE),"")</f>
        <v>1000</v>
      </c>
      <c r="AD6" s="2">
        <f>IF(U6&lt;&gt;"",VLOOKUP(U6,B4:H40,5,FALSE),"")</f>
        <v>0</v>
      </c>
      <c r="AE6" s="2">
        <f>IF(U6&lt;&gt;"",VLOOKUP(U6,B4:J40,9,FALSE),"")</f>
        <v>48</v>
      </c>
      <c r="AF6" s="2">
        <f t="shared" si="6"/>
        <v>0</v>
      </c>
      <c r="AG6" s="2">
        <f>IF(U6&lt;&gt;"",RANK(AF6,AF4:AF8),"")</f>
        <v>1</v>
      </c>
      <c r="AH6" s="2">
        <f>IF(U6&lt;&gt;"",SUMPRODUCT((AF4:AF8=AF6)*(AA4:AA8&gt;AA6)),"")</f>
        <v>0</v>
      </c>
      <c r="AI6" s="2">
        <f>IF(U6&lt;&gt;"",SUMPRODUCT((AF4:AF8=AF6)*(AA4:AA8=AA6)*(Y4:Y8&gt;Y6)),"")</f>
        <v>0</v>
      </c>
      <c r="AJ6" s="2">
        <f>IF(U6&lt;&gt;"",SUMPRODUCT((AF4:AF8=AF6)*(AA4:AA8=AA6)*(Y4:Y8=Y6)*(AC4:AC8&gt;AC6)),"")</f>
        <v>0</v>
      </c>
      <c r="AK6" s="2">
        <f>IF(U6&lt;&gt;"",SUMPRODUCT((AF4:AF8=AF6)*(AA4:AA8=AA6)*(Y4:Y8=Y6)*(AC4:AC8=AC6)*(AD4:AD8&gt;AD6)),"")</f>
        <v>0</v>
      </c>
      <c r="AL6" s="2">
        <f>IF(U6&lt;&gt;"",SUMPRODUCT((AF4:AF8=AF6)*(AA4:AA8=AA6)*(Y4:Y8=Y6)*(AC4:AC8=AC6)*(AD4:AD8=AD6)*(AE4:AE8&gt;AE6)),"")</f>
        <v>1</v>
      </c>
      <c r="AM6" s="2">
        <f>IF(U6&lt;&gt;"",IF(AM46&lt;&gt;"",IF(T43=3,AM46,AM46+T43),SUM(AG6:AL6)),"")</f>
        <v>2</v>
      </c>
      <c r="AN6" s="2" t="str">
        <f>IF(U6&lt;&gt;"",INDEX(U4:U8,MATCH(3,AM4:AM8,0),0),"")</f>
        <v>Scotland</v>
      </c>
      <c r="AO6" s="2" t="str">
        <f>IF(Q5&lt;&gt;"",Q5,"")</f>
        <v/>
      </c>
      <c r="AP6" s="2">
        <f>SUMPRODUCT((CZ3:CZ42=AO6)*(DC3:DC42=AO7)*(DD3:DD42="W"))+SUMPRODUCT((CZ3:CZ42=AO6)*(DC3:DC42=AO8)*(DD3:DD42="W"))+SUMPRODUCT((CZ3:CZ42=AO6)*(DC3:DC42=AO5)*(DD3:DD42="W"))+SUMPRODUCT((CZ3:CZ42=AO7)*(DC3:DC42=AO6)*(DE3:DE42="W"))+SUMPRODUCT((CZ3:CZ42=AO8)*(DC3:DC42=AO6)*(DE3:DE42="W"))+SUMPRODUCT((CZ3:CZ42=AO5)*(DC3:DC42=AO6)*(DE3:DE42="W"))</f>
        <v>0</v>
      </c>
      <c r="AQ6" s="2">
        <f>SUMPRODUCT((CZ3:CZ42=AO6)*(DC3:DC42=AO7)*(DD3:DD42="D"))+SUMPRODUCT((CZ3:CZ42=AO6)*(DC3:DC42=AO8)*(DD3:DD42="D"))+SUMPRODUCT((CZ3:CZ42=AO6)*(DC3:DC42=AO5)*(DD3:DD42="D"))+SUMPRODUCT((CZ3:CZ42=AO7)*(DC3:DC42=AO6)*(DD3:DD42="D"))+SUMPRODUCT((CZ3:CZ42=AO8)*(DC3:DC42=AO6)*(DD3:DD42="D"))+SUMPRODUCT((CZ3:CZ42=AO5)*(DC3:DC42=AO6)*(DD3:DD42="D"))</f>
        <v>0</v>
      </c>
      <c r="AR6" s="2">
        <f>SUMPRODUCT((CZ3:CZ42=AO6)*(DC3:DC42=AO7)*(DD3:DD42="L"))+SUMPRODUCT((CZ3:CZ42=AO6)*(DC3:DC42=AO8)*(DD3:DD42="L"))+SUMPRODUCT((CZ3:CZ42=AO6)*(DC3:DC42=AO5)*(DD3:DD42="L"))+SUMPRODUCT((CZ3:CZ42=AO7)*(DC3:DC42=AO6)*(DE3:DE42="L"))+SUMPRODUCT((CZ3:CZ42=AO8)*(DC3:DC42=AO6)*(DE3:DE42="L"))+SUMPRODUCT((CZ3:CZ42=AO5)*(DC3:DC42=AO6)*(DE3:DE42="L"))</f>
        <v>0</v>
      </c>
      <c r="AS6" s="2">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2">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2">
        <f>AS6-AT6+1000</f>
        <v>1000</v>
      </c>
      <c r="AV6" s="2" t="str">
        <f t="shared" si="7"/>
        <v/>
      </c>
      <c r="AW6" s="2" t="str">
        <f>IF(AO6&lt;&gt;"",VLOOKUP(AO6,B4:H40,7,FALSE),"")</f>
        <v/>
      </c>
      <c r="AX6" s="2" t="str">
        <f>IF(AO6&lt;&gt;"",VLOOKUP(AO6,B4:H40,5,FALSE),"")</f>
        <v/>
      </c>
      <c r="AY6" s="2" t="str">
        <f>IF(AO6&lt;&gt;"",VLOOKUP(AO6,B4:J40,9,FALSE),"")</f>
        <v/>
      </c>
      <c r="AZ6" s="2" t="str">
        <f t="shared" si="8"/>
        <v/>
      </c>
      <c r="BA6" s="2" t="str">
        <f>IF(AO6&lt;&gt;"",RANK(AZ6,AZ4:AZ8),"")</f>
        <v/>
      </c>
      <c r="BB6" s="2" t="str">
        <f>IF(AO6&lt;&gt;"",SUMPRODUCT((AZ4:AZ8=AZ6)*(AU4:AU8&gt;AU6)),"")</f>
        <v/>
      </c>
      <c r="BC6" s="2" t="str">
        <f>IF(AO6&lt;&gt;"",SUMPRODUCT((AZ4:AZ8=AZ6)*(AU4:AU8=AU6)*(AS4:AS8&gt;AS6)),"")</f>
        <v/>
      </c>
      <c r="BD6" s="2" t="str">
        <f>IF(AO6&lt;&gt;"",SUMPRODUCT((AZ4:AZ8=AZ6)*(AU4:AU8=AU6)*(AS4:AS8=AS6)*(AW4:AW8&gt;AW6)),"")</f>
        <v/>
      </c>
      <c r="BE6" s="2" t="str">
        <f>IF(AO6&lt;&gt;"",SUMPRODUCT((AZ4:AZ8=AZ6)*(AU4:AU8=AU6)*(AS4:AS8=AS6)*(AW4:AW8=AW6)*(AX4:AX8&gt;AX6)),"")</f>
        <v/>
      </c>
      <c r="BF6" s="2" t="str">
        <f>IF(AO6&lt;&gt;"",SUMPRODUCT((AZ4:AZ8=AZ6)*(AU4:AU8=AU6)*(AS4:AS8=AS6)*(AW4:AW8=AW6)*(AX4:AX8=AX6)*(AY4:AY8&gt;AY6)),"")</f>
        <v/>
      </c>
      <c r="BG6" s="2" t="str">
        <f>IF(AO6&lt;&gt;"",IF(BG46&lt;&gt;"",IF(AN43=3,BG46,BG46+AN43),SUM(BA6:BF6)+1),"")</f>
        <v/>
      </c>
      <c r="BH6" s="2" t="str">
        <f>IF(AO6&lt;&gt;"",INDEX(AO5:AO8,MATCH(3,BG5:BG8,0),0),"")</f>
        <v/>
      </c>
      <c r="BI6" s="2" t="str">
        <f>IF(R4&lt;&gt;"",R4,"")</f>
        <v/>
      </c>
      <c r="BJ6" s="2">
        <f>SUMPRODUCT((CZ3:CZ42=BI6)*(DC3:DC42=BI7)*(DD3:DD42="W"))+SUMPRODUCT((CZ3:CZ42=BI6)*(DC3:DC42=BI8)*(DD3:DD42="W"))+SUMPRODUCT((CZ3:CZ42=BI6)*(DC3:DC42=BI9)*(DD3:DD42="W"))+SUMPRODUCT((CZ3:CZ42=BI7)*(DC3:DC42=BI6)*(DE3:DE42="W"))+SUMPRODUCT((CZ3:CZ42=BI8)*(DC3:DC42=BI6)*(DE3:DE42="W"))+SUMPRODUCT((CZ3:CZ42=BI9)*(DC3:DC42=BI6)*(DE3:DE42="W"))</f>
        <v>0</v>
      </c>
      <c r="BK6" s="2">
        <f>SUMPRODUCT((CZ3:CZ42=BI6)*(DC3:DC42=BI7)*(DD3:DD42="D"))+SUMPRODUCT((CZ3:CZ42=BI6)*(DC3:DC42=BI8)*(DD3:DD42="D"))+SUMPRODUCT((CZ3:CZ42=BI6)*(DC3:DC42=BI9)*(DD3:DD42="D"))+SUMPRODUCT((CZ3:CZ42=BI7)*(DC3:DC42=BI6)*(DD3:DD42="D"))+SUMPRODUCT((CZ3:CZ42=BI8)*(DC3:DC42=BI6)*(DD3:DD42="D"))+SUMPRODUCT((CZ3:CZ42=BI9)*(DC3:DC42=BI6)*(DD3:DD42="D"))</f>
        <v>0</v>
      </c>
      <c r="BL6" s="2">
        <f>SUMPRODUCT((CZ3:CZ42=BI6)*(DC3:DC42=BI7)*(DD3:DD42="L"))+SUMPRODUCT((CZ3:CZ42=BI6)*(DC3:DC42=BI8)*(DD3:DD42="L"))+SUMPRODUCT((CZ3:CZ42=BI6)*(DC3:DC42=BI9)*(DD3:DD42="L"))+SUMPRODUCT((CZ3:CZ42=BI7)*(DC3:DC42=BI6)*(DE3:DE42="L"))+SUMPRODUCT((CZ3:CZ42=BI8)*(DC3:DC42=BI6)*(DE3:DE42="L"))+SUMPRODUCT((CZ3:CZ42=BI9)*(DC3:DC42=BI6)*(DE3:DE42="L"))</f>
        <v>0</v>
      </c>
      <c r="BM6" s="2">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2">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2">
        <f>BM6-BN6+1000</f>
        <v>1000</v>
      </c>
      <c r="BP6" s="2" t="str">
        <f t="shared" ref="BP6:BP7" si="9">IF(BI6&lt;&gt;"",BJ6*3+BK6*1,"")</f>
        <v/>
      </c>
      <c r="BQ6" s="2" t="str">
        <f>IF(BI6&lt;&gt;"",VLOOKUP(BI6,B4:H40,7,FALSE),"")</f>
        <v/>
      </c>
      <c r="BR6" s="2" t="str">
        <f>IF(BI6&lt;&gt;"",VLOOKUP(BI6,B4:H40,5,FALSE),"")</f>
        <v/>
      </c>
      <c r="BS6" s="2" t="str">
        <f>IF(BI6&lt;&gt;"",VLOOKUP(BI6,B4:J40,9,FALSE),"")</f>
        <v/>
      </c>
      <c r="BT6" s="2" t="str">
        <f t="shared" ref="BT6:BT7" si="10">BP6</f>
        <v/>
      </c>
      <c r="BU6" s="2" t="str">
        <f>IF(BI6&lt;&gt;"",RANK(BT6,BT4:BT8),"")</f>
        <v/>
      </c>
      <c r="BV6" s="2" t="str">
        <f>IF(BI6&lt;&gt;"",SUMPRODUCT((BT4:BT8=BT6)*(BO4:BO8&gt;BO6)),"")</f>
        <v/>
      </c>
      <c r="BW6" s="2" t="str">
        <f>IF(BI6&lt;&gt;"",SUMPRODUCT((BT4:BT8=BT6)*(BO4:BO8=BO6)*(BM4:BM8&gt;BM6)),"")</f>
        <v/>
      </c>
      <c r="BX6" s="2" t="str">
        <f>IF(BI6&lt;&gt;"",SUMPRODUCT((BT4:BT8=BT6)*(BO4:BO8=BO6)*(BM4:BM8=BM6)*(BQ4:BQ8&gt;BQ6)),"")</f>
        <v/>
      </c>
      <c r="BY6" s="2" t="str">
        <f>IF(BI6&lt;&gt;"",SUMPRODUCT((BT4:BT8=BT6)*(BO4:BO8=BO6)*(BM4:BM8=BM6)*(BQ4:BQ8=BQ6)*(BR4:BR8&gt;BR6)),"")</f>
        <v/>
      </c>
      <c r="BZ6" s="2" t="str">
        <f>IF(BI6&lt;&gt;"",SUMPRODUCT((BT4:BT8=BT6)*(BO4:BO8=BO6)*(BM4:BM8=BM6)*(BQ4:BQ8=BQ6)*(BR4:BR8=BR6)*(BS4:BS8&gt;BS6)),"")</f>
        <v/>
      </c>
      <c r="CA6" s="2" t="str">
        <f>IF(BI6&lt;&gt;"",SUM(BU6:BZ6)+2,"")</f>
        <v/>
      </c>
      <c r="CB6" s="2" t="str">
        <f>IF(BI6&lt;&gt;"",INDEX(BI6:BI8,MATCH(3,CA6:CA8,0),0),"")</f>
        <v/>
      </c>
      <c r="CW6" s="2" t="str">
        <f>IF(CB6&lt;&gt;"",CB6,IF(BH6&lt;&gt;"",BH6,IF(AN6&lt;&gt;"",AN6,N6)))</f>
        <v>Scotland</v>
      </c>
      <c r="CX6" s="2">
        <v>3</v>
      </c>
      <c r="CY6" s="2">
        <v>4</v>
      </c>
      <c r="CZ6" s="2" t="str">
        <f>Fixtures!G10</f>
        <v>Italy</v>
      </c>
      <c r="DA6" s="2">
        <f>IF(AND(Fixtures!H10&lt;&gt;"",Fixtures!I10&lt;&gt;""),Fixtures!H10,0)</f>
        <v>0</v>
      </c>
      <c r="DB6" s="2">
        <f>IF(AND(Fixtures!I10&lt;&gt;"",Fixtures!H10&lt;&gt;""),Fixtures!I10,0)</f>
        <v>0</v>
      </c>
      <c r="DC6" s="2" t="str">
        <f>Fixtures!J10</f>
        <v>Albania</v>
      </c>
      <c r="DD6" s="2" t="str">
        <f>IF(AND(Fixtures!H10&lt;&gt;"",Fixtures!I10&lt;&gt;""),IF(DA6&gt;DB6,"W",IF(DA6=DB6,"D","L")),"")</f>
        <v/>
      </c>
      <c r="DE6" s="2" t="str">
        <f t="shared" si="0"/>
        <v/>
      </c>
      <c r="DH6" s="2" t="str">
        <f>Fixtures!P24</f>
        <v>Austria</v>
      </c>
      <c r="DI6" s="46">
        <f>Fixtures!U24</f>
        <v>0</v>
      </c>
      <c r="DJ6" s="46">
        <f>Fixtures!V24</f>
        <v>0</v>
      </c>
      <c r="DK6" s="46">
        <f>Fixtures!W24</f>
        <v>0</v>
      </c>
      <c r="DL6" s="46">
        <f>Fixtures!X24</f>
        <v>0</v>
      </c>
      <c r="DM6" s="46">
        <f>Fixtures!Z24</f>
        <v>0</v>
      </c>
      <c r="DN6" s="46">
        <f>Fixtures!AA24</f>
        <v>0</v>
      </c>
      <c r="DO6" s="46">
        <f>Fixtures!AB24</f>
        <v>0</v>
      </c>
      <c r="DP6" s="2">
        <f>IF(Fixtures!AC24&lt;&gt;"",27,VLOOKUP(DH6,B4:J40,9,FALSE))</f>
        <v>41</v>
      </c>
      <c r="DQ6" s="2">
        <f>RANK(DO6,DO3:DO8)</f>
        <v>1</v>
      </c>
      <c r="DR6" s="2">
        <f>SUMPRODUCT((DQ3:DQ8=DQ6)*(DN3:DN8&gt;DN6))</f>
        <v>0</v>
      </c>
      <c r="DS6" s="2">
        <f>SUMPRODUCT((DQ3:DQ8=DQ6)*(DN3:DN8=DN6)*(DL3:DL8&gt;DL6))</f>
        <v>0</v>
      </c>
      <c r="DT6" s="2">
        <f>SUMPRODUCT((DQ3:DQ8=DQ6)*(DN3:DN8=DN6)*(DL3:DL8=DL6)*(DP3:DP8&gt;DP6))</f>
        <v>1</v>
      </c>
      <c r="DU6" s="2">
        <f t="shared" si="1"/>
        <v>2</v>
      </c>
      <c r="DV6" s="2" t="s">
        <v>13</v>
      </c>
      <c r="DW6" s="2">
        <v>4</v>
      </c>
      <c r="EF6" s="47" t="s">
        <v>2</v>
      </c>
      <c r="EG6" s="47"/>
      <c r="EH6" s="47" t="s">
        <v>16</v>
      </c>
      <c r="EI6" s="47"/>
      <c r="EJ6" s="47"/>
      <c r="EK6" s="2" t="s">
        <v>58</v>
      </c>
    </row>
    <row r="7" spans="1:148" x14ac:dyDescent="0.25">
      <c r="A7" s="2">
        <f>VLOOKUP(B7,CW4:CX8,2,FALSE)</f>
        <v>4</v>
      </c>
      <c r="B7" s="2" t="str">
        <f>'Dummy Table'!EH10</f>
        <v>Switzerland</v>
      </c>
      <c r="C7" s="2">
        <f>SUMPRODUCT((CZ3:CZ42=B7)*(DD3:DD42="W"))+SUMPRODUCT((DC3:DC42=B7)*(DE3:DE42="W"))</f>
        <v>0</v>
      </c>
      <c r="D7" s="2">
        <f>SUMPRODUCT((CZ3:CZ42=B7)*(DD3:DD42="D"))+SUMPRODUCT((DC3:DC42=B7)*(DE3:DE42="D"))</f>
        <v>0</v>
      </c>
      <c r="E7" s="2">
        <f>SUMPRODUCT((CZ3:CZ42=B7)*(DD3:DD42="L"))+SUMPRODUCT((DC3:DC42=B7)*(DE3:DE42="L"))</f>
        <v>0</v>
      </c>
      <c r="F7" s="2">
        <f>SUMIF(CZ3:CZ60,B7,DA3:DA60)+SUMIF(DC3:DC60,B7,DB3:DB60)</f>
        <v>0</v>
      </c>
      <c r="G7" s="2">
        <f>SUMIF(DC3:DC60,B7,DA3:DA60)+SUMIF(CZ3:CZ60,B7,DB3:DB60)</f>
        <v>0</v>
      </c>
      <c r="H7" s="2">
        <f t="shared" si="2"/>
        <v>1000</v>
      </c>
      <c r="I7" s="2">
        <f t="shared" si="3"/>
        <v>0</v>
      </c>
      <c r="J7" s="2">
        <v>34</v>
      </c>
      <c r="K7" s="2">
        <f>IF(COUNTIF(I4:I8,4)&lt;&gt;4,RANK(I7,I4:I8),I47)</f>
        <v>1</v>
      </c>
      <c r="M7" s="2">
        <f>SUMPRODUCT((K4:K7=K7)*(J4:J7&lt;J7))+K7</f>
        <v>1</v>
      </c>
      <c r="N7" s="2" t="str">
        <f>INDEX(B4:B8,MATCH(4,M4:M8,0),0)</f>
        <v>Germany</v>
      </c>
      <c r="O7" s="2">
        <f>INDEX(K4:K8,MATCH(N7,B4:B8,0),0)</f>
        <v>1</v>
      </c>
      <c r="P7" s="2" t="str">
        <f>IF(AND(P6&lt;&gt;"",O7=1),N7,"")</f>
        <v>Germany</v>
      </c>
      <c r="Q7" s="2" t="str">
        <f>IF(AND(Q6&lt;&gt;"",O8=2),N8,"")</f>
        <v/>
      </c>
      <c r="U7" s="2" t="str">
        <f t="shared" si="4"/>
        <v>Germany</v>
      </c>
      <c r="V7" s="2">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2">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2">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2">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2">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2">
        <f>Y7-Z7+1000</f>
        <v>1000</v>
      </c>
      <c r="AB7" s="2">
        <f t="shared" si="5"/>
        <v>0</v>
      </c>
      <c r="AC7" s="2">
        <f>IF(U7&lt;&gt;"",VLOOKUP(U7,B4:H40,7,FALSE),"")</f>
        <v>1000</v>
      </c>
      <c r="AD7" s="2">
        <f>IF(U7&lt;&gt;"",VLOOKUP(U7,B4:H40,5,FALSE),"")</f>
        <v>0</v>
      </c>
      <c r="AE7" s="2">
        <f>IF(U7&lt;&gt;"",VLOOKUP(U7,B4:J40,9,FALSE),"")</f>
        <v>54</v>
      </c>
      <c r="AF7" s="2">
        <f t="shared" si="6"/>
        <v>0</v>
      </c>
      <c r="AG7" s="2">
        <f>IF(U7&lt;&gt;"",RANK(AF7,AF4:AF8),"")</f>
        <v>1</v>
      </c>
      <c r="AH7" s="2">
        <f>IF(U7&lt;&gt;"",SUMPRODUCT((AF4:AF8=AF7)*(AA4:AA8&gt;AA7)),"")</f>
        <v>0</v>
      </c>
      <c r="AI7" s="2">
        <f>IF(U7&lt;&gt;"",SUMPRODUCT((AF4:AF8=AF7)*(AA4:AA8=AA7)*(Y4:Y8&gt;Y7)),"")</f>
        <v>0</v>
      </c>
      <c r="AJ7" s="2">
        <f>IF(U7&lt;&gt;"",SUMPRODUCT((AF4:AF8=AF7)*(AA4:AA8=AA7)*(Y4:Y8=Y7)*(AC4:AC8&gt;AC7)),"")</f>
        <v>0</v>
      </c>
      <c r="AK7" s="2">
        <f>IF(U7&lt;&gt;"",SUMPRODUCT((AF4:AF8=AF7)*(AA4:AA8=AA7)*(Y4:Y8=Y7)*(AC4:AC8=AC7)*(AD4:AD8&gt;AD7)),"")</f>
        <v>0</v>
      </c>
      <c r="AL7" s="2">
        <f>IF(U7&lt;&gt;"",SUMPRODUCT((AF4:AF8=AF7)*(AA4:AA8=AA7)*(Y4:Y8=Y7)*(AC4:AC8=AC7)*(AD4:AD8=AD7)*(AE4:AE8&gt;AE7)),"")</f>
        <v>0</v>
      </c>
      <c r="AM7" s="2">
        <f>IF(U7&lt;&gt;"",IF(AM47&lt;&gt;"",IF(T43=3,AM47,AM47+T43),SUM(AG7:AL7)),"")</f>
        <v>1</v>
      </c>
      <c r="AN7" s="2" t="str">
        <f>IF(U7&lt;&gt;"",INDEX(U4:U8,MATCH(4,AM4:AM8,0),0),"")</f>
        <v>Switzerland</v>
      </c>
      <c r="AO7" s="2" t="str">
        <f>IF(Q6&lt;&gt;"",Q6,"")</f>
        <v/>
      </c>
      <c r="AP7" s="2">
        <f>SUMPRODUCT((CZ3:CZ42=AO7)*(DC3:DC42=AO8)*(DD3:DD42="W"))+SUMPRODUCT((CZ3:CZ42=AO7)*(DC3:DC42=AO5)*(DD3:DD42="W"))+SUMPRODUCT((CZ3:CZ42=AO7)*(DC3:DC42=AO6)*(DD3:DD42="W"))+SUMPRODUCT((CZ3:CZ42=AO8)*(DC3:DC42=AO7)*(DE3:DE42="W"))+SUMPRODUCT((CZ3:CZ42=AO5)*(DC3:DC42=AO7)*(DE3:DE42="W"))+SUMPRODUCT((CZ3:CZ42=AO6)*(DC3:DC42=AO7)*(DE3:DE42="W"))</f>
        <v>0</v>
      </c>
      <c r="AQ7" s="2">
        <f>SUMPRODUCT((CZ3:CZ42=AO7)*(DC3:DC42=AO8)*(DD3:DD42="D"))+SUMPRODUCT((CZ3:CZ42=AO7)*(DC3:DC42=AO5)*(DD3:DD42="D"))+SUMPRODUCT((CZ3:CZ42=AO7)*(DC3:DC42=AO6)*(DD3:DD42="D"))+SUMPRODUCT((CZ3:CZ42=AO8)*(DC3:DC42=AO7)*(DD3:DD42="D"))+SUMPRODUCT((CZ3:CZ42=AO5)*(DC3:DC42=AO7)*(DD3:DD42="D"))+SUMPRODUCT((CZ3:CZ42=AO6)*(DC3:DC42=AO7)*(DD3:DD42="D"))</f>
        <v>0</v>
      </c>
      <c r="AR7" s="2">
        <f>SUMPRODUCT((CZ3:CZ42=AO7)*(DC3:DC42=AO8)*(DD3:DD42="L"))+SUMPRODUCT((CZ3:CZ42=AO7)*(DC3:DC42=AO5)*(DD3:DD42="L"))+SUMPRODUCT((CZ3:CZ42=AO7)*(DC3:DC42=AO6)*(DD3:DD42="L"))+SUMPRODUCT((CZ3:CZ42=AO8)*(DC3:DC42=AO7)*(DE3:DE42="L"))+SUMPRODUCT((CZ3:CZ42=AO5)*(DC3:DC42=AO7)*(DE3:DE42="L"))+SUMPRODUCT((CZ3:CZ42=AO6)*(DC3:DC42=AO7)*(DE3:DE42="L"))</f>
        <v>0</v>
      </c>
      <c r="AS7" s="2">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2">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2">
        <f>AS7-AT7+1000</f>
        <v>1000</v>
      </c>
      <c r="AV7" s="2" t="str">
        <f t="shared" si="7"/>
        <v/>
      </c>
      <c r="AW7" s="2" t="str">
        <f>IF(AO7&lt;&gt;"",VLOOKUP(AO7,B4:H40,7,FALSE),"")</f>
        <v/>
      </c>
      <c r="AX7" s="2" t="str">
        <f>IF(AO7&lt;&gt;"",VLOOKUP(AO7,B4:H40,5,FALSE),"")</f>
        <v/>
      </c>
      <c r="AY7" s="2" t="str">
        <f>IF(AO7&lt;&gt;"",VLOOKUP(AO7,B4:J40,9,FALSE),"")</f>
        <v/>
      </c>
      <c r="AZ7" s="2" t="str">
        <f t="shared" si="8"/>
        <v/>
      </c>
      <c r="BA7" s="2" t="str">
        <f>IF(AO7&lt;&gt;"",RANK(AZ7,AZ4:AZ8),"")</f>
        <v/>
      </c>
      <c r="BB7" s="2" t="str">
        <f>IF(AO7&lt;&gt;"",SUMPRODUCT((AZ4:AZ8=AZ7)*(AU4:AU8&gt;AU7)),"")</f>
        <v/>
      </c>
      <c r="BC7" s="2" t="str">
        <f>IF(AO7&lt;&gt;"",SUMPRODUCT((AZ4:AZ8=AZ7)*(AU4:AU8=AU7)*(AS4:AS8&gt;AS7)),"")</f>
        <v/>
      </c>
      <c r="BD7" s="2" t="str">
        <f>IF(AO7&lt;&gt;"",SUMPRODUCT((AZ4:AZ8=AZ7)*(AU4:AU8=AU7)*(AS4:AS8=AS7)*(AW4:AW8&gt;AW7)),"")</f>
        <v/>
      </c>
      <c r="BE7" s="2" t="str">
        <f>IF(AO7&lt;&gt;"",SUMPRODUCT((AZ4:AZ8=AZ7)*(AU4:AU8=AU7)*(AS4:AS8=AS7)*(AW4:AW8=AW7)*(AX4:AX8&gt;AX7)),"")</f>
        <v/>
      </c>
      <c r="BF7" s="2" t="str">
        <f>IF(AO7&lt;&gt;"",SUMPRODUCT((AZ4:AZ8=AZ7)*(AU4:AU8=AU7)*(AS4:AS8=AS7)*(AW4:AW8=AW7)*(AX4:AX8=AX7)*(AY4:AY8&gt;AY7)),"")</f>
        <v/>
      </c>
      <c r="BG7" s="2" t="str">
        <f>IF(AO7&lt;&gt;"",IF(BG47&lt;&gt;"",IF(AN43=3,BG47,BG47+AN43),SUM(BA7:BF7)+1),"")</f>
        <v/>
      </c>
      <c r="BH7" s="2" t="str">
        <f>IF(AO7&lt;&gt;"",INDEX(AO5:AO8,MATCH(4,BG5:BG8,0),0),"")</f>
        <v/>
      </c>
      <c r="BI7" s="2" t="str">
        <f>IF(R5&lt;&gt;"",R5,"")</f>
        <v/>
      </c>
      <c r="BJ7" s="2">
        <f>SUMPRODUCT((CZ3:CZ42=BI7)*(DC3:DC42=BI8)*(DD3:DD42="W"))+SUMPRODUCT((CZ3:CZ42=BI7)*(DC3:DC42=BI9)*(DD3:DD42="W"))+SUMPRODUCT((CZ3:CZ42=BI7)*(DC3:DC42=BI6)*(DD3:DD42="W"))+SUMPRODUCT((CZ3:CZ42=BI8)*(DC3:DC42=BI7)*(DE3:DE42="W"))+SUMPRODUCT((CZ3:CZ42=BI9)*(DC3:DC42=BI7)*(DE3:DE42="W"))+SUMPRODUCT((CZ3:CZ42=BI6)*(DC3:DC42=BI7)*(DE3:DE42="W"))</f>
        <v>0</v>
      </c>
      <c r="BK7" s="2">
        <f>SUMPRODUCT((CZ3:CZ42=BI7)*(DC3:DC42=BI8)*(DD3:DD42="D"))+SUMPRODUCT((CZ3:CZ42=BI7)*(DC3:DC42=BI9)*(DD3:DD42="D"))+SUMPRODUCT((CZ3:CZ42=BI7)*(DC3:DC42=BI6)*(DD3:DD42="D"))+SUMPRODUCT((CZ3:CZ42=BI8)*(DC3:DC42=BI7)*(DD3:DD42="D"))+SUMPRODUCT((CZ3:CZ42=BI9)*(DC3:DC42=BI7)*(DD3:DD42="D"))+SUMPRODUCT((CZ3:CZ42=BI6)*(DC3:DC42=BI7)*(DD3:DD42="D"))</f>
        <v>0</v>
      </c>
      <c r="BL7" s="2">
        <f>SUMPRODUCT((CZ3:CZ42=BI7)*(DC3:DC42=BI8)*(DD3:DD42="L"))+SUMPRODUCT((CZ3:CZ42=BI7)*(DC3:DC42=BI9)*(DD3:DD42="L"))+SUMPRODUCT((CZ3:CZ42=BI7)*(DC3:DC42=BI6)*(DD3:DD42="L"))+SUMPRODUCT((CZ3:CZ42=BI8)*(DC3:DC42=BI7)*(DE3:DE42="L"))+SUMPRODUCT((CZ3:CZ42=BI9)*(DC3:DC42=BI7)*(DE3:DE42="L"))+SUMPRODUCT((CZ3:CZ42=BI6)*(DC3:DC42=BI7)*(DE3:DE42="L"))</f>
        <v>0</v>
      </c>
      <c r="BM7" s="2">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2">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2">
        <f>BM7-BN7+1000</f>
        <v>1000</v>
      </c>
      <c r="BP7" s="2" t="str">
        <f t="shared" si="9"/>
        <v/>
      </c>
      <c r="BQ7" s="2" t="str">
        <f>IF(BI7&lt;&gt;"",VLOOKUP(BI7,B4:H40,7,FALSE),"")</f>
        <v/>
      </c>
      <c r="BR7" s="2" t="str">
        <f>IF(BI7&lt;&gt;"",VLOOKUP(BI7,B4:H40,5,FALSE),"")</f>
        <v/>
      </c>
      <c r="BS7" s="2" t="str">
        <f>IF(BI7&lt;&gt;"",VLOOKUP(BI7,B4:J40,9,FALSE),"")</f>
        <v/>
      </c>
      <c r="BT7" s="2" t="str">
        <f t="shared" si="10"/>
        <v/>
      </c>
      <c r="BU7" s="2" t="str">
        <f>IF(BI7&lt;&gt;"",RANK(BT7,BT4:BT8),"")</f>
        <v/>
      </c>
      <c r="BV7" s="2" t="str">
        <f>IF(BI7&lt;&gt;"",SUMPRODUCT((BT4:BT8=BT7)*(BO4:BO8&gt;BO7)),"")</f>
        <v/>
      </c>
      <c r="BW7" s="2" t="str">
        <f>IF(BI7&lt;&gt;"",SUMPRODUCT((BT4:BT8=BT7)*(BO4:BO8=BO7)*(BM4:BM8&gt;BM7)),"")</f>
        <v/>
      </c>
      <c r="BX7" s="2" t="str">
        <f>IF(BI7&lt;&gt;"",SUMPRODUCT((BT4:BT8=BT7)*(BO4:BO8=BO7)*(BM4:BM8=BM7)*(BQ4:BQ8&gt;BQ7)),"")</f>
        <v/>
      </c>
      <c r="BY7" s="2" t="str">
        <f>IF(BI7&lt;&gt;"",SUMPRODUCT((BT4:BT8=BT7)*(BO4:BO8=BO7)*(BM4:BM8=BM7)*(BQ4:BQ8=BQ7)*(BR4:BR8&gt;BR7)),"")</f>
        <v/>
      </c>
      <c r="BZ7" s="2" t="str">
        <f>IF(BI7&lt;&gt;"",SUMPRODUCT((BT4:BT8=BT7)*(BO4:BO8=BO7)*(BM4:BM8=BM7)*(BQ4:BQ8=BQ7)*(BR4:BR8=BR7)*(BS4:BS8&gt;BS7)),"")</f>
        <v/>
      </c>
      <c r="CA7" s="2" t="str">
        <f>IF(BI7&lt;&gt;"",SUM(BU7:BZ7)+2,"")</f>
        <v/>
      </c>
      <c r="CB7" s="2" t="str">
        <f>IF(BI7&lt;&gt;"",INDEX(BI6:BI8,MATCH(4,CA6:CA8,0),0),"")</f>
        <v/>
      </c>
      <c r="CC7" s="2" t="str">
        <f>IF(S4&lt;&gt;"",S4,"")</f>
        <v/>
      </c>
      <c r="CD7" s="2">
        <f>SUMPRODUCT((CZ3:CZ42=CC7)*(DC3:DC42=CC8)*(DD3:DD42="W"))+SUMPRODUCT((CZ3:CZ42=CC7)*(DC3:DC42=CC9)*(DD3:DD42="W"))+SUMPRODUCT((CZ3:CZ42=CC7)*(DC3:DC42=CC10)*(DD3:DD42="W"))+SUMPRODUCT((CZ3:CZ42=CC8)*(DC3:DC42=CC7)*(DE3:DE42="W"))+SUMPRODUCT((CZ3:CZ42=CC9)*(DC3:DC42=CC7)*(DE3:DE42="W"))+SUMPRODUCT((CZ3:CZ42=CC10)*(DC3:DC42=CC7)*(DE3:DE42="W"))</f>
        <v>0</v>
      </c>
      <c r="CE7" s="2">
        <f>SUMPRODUCT((CZ3:CZ42=CC7)*(DC3:DC42=CC8)*(DD3:DD42="D"))+SUMPRODUCT((CZ3:CZ42=CC7)*(DC3:DC42=CC9)*(DD3:DD42="D"))+SUMPRODUCT((CZ3:CZ42=CC7)*(DC3:DC42=CC10)*(DD3:DD42="D"))+SUMPRODUCT((CZ3:CZ42=CC8)*(DC3:DC42=CC7)*(DD3:DD42="D"))+SUMPRODUCT((CZ3:CZ42=CC9)*(DC3:DC42=CC7)*(DD3:DD42="D"))+SUMPRODUCT((CZ3:CZ42=CC10)*(DC3:DC42=CC7)*(DD3:DD42="D"))</f>
        <v>0</v>
      </c>
      <c r="CF7" s="2">
        <f>SUMPRODUCT((CZ3:CZ42=CC7)*(DC3:DC42=CC8)*(DD3:DD42="L"))+SUMPRODUCT((CZ3:CZ42=CC7)*(DC3:DC42=CC9)*(DD3:DD42="L"))+SUMPRODUCT((CZ3:CZ42=CC7)*(DC3:DC42=CC10)*(DD3:DD42="L"))+SUMPRODUCT((CZ3:CZ42=CC8)*(DC3:DC42=CC7)*(DE3:DE42="L"))+SUMPRODUCT((CZ3:CZ42=CC9)*(DC3:DC42=CC7)*(DE3:DE42="L"))+SUMPRODUCT((CZ3:CZ42=CC10)*(DC3:DC42=CC7)*(DE3:DE42="L"))</f>
        <v>0</v>
      </c>
      <c r="CG7" s="2">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2">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2">
        <f>CG7-CH7+1000</f>
        <v>1000</v>
      </c>
      <c r="CJ7" s="2" t="str">
        <f t="shared" ref="CJ7" si="11">IF(CC7&lt;&gt;"",CD7*3+CE7*1,"")</f>
        <v/>
      </c>
      <c r="CK7" s="2" t="str">
        <f>IF(CC7&lt;&gt;"",VLOOKUP(CC7,B4:H40,7,FALSE),"")</f>
        <v/>
      </c>
      <c r="CL7" s="2" t="str">
        <f>IF(CC7&lt;&gt;"",VLOOKUP(CC7,B4:H40,5,FALSE),"")</f>
        <v/>
      </c>
      <c r="CM7" s="2" t="str">
        <f>IF(CC7&lt;&gt;"",VLOOKUP(CC7,B4:J40,9,FALSE),"")</f>
        <v/>
      </c>
      <c r="CN7" s="2" t="str">
        <f t="shared" ref="CN7" si="12">CJ7</f>
        <v/>
      </c>
      <c r="CO7" s="2" t="str">
        <f>IF(CC7&lt;&gt;"",RANK(CN7,CN4:CN8),"")</f>
        <v/>
      </c>
      <c r="CP7" s="2" t="str">
        <f>IF(CC7&lt;&gt;"",SUMPRODUCT((CN4:CN8=CN7)*(CI4:CI8&gt;CI7)),"")</f>
        <v/>
      </c>
      <c r="CQ7" s="2" t="str">
        <f>IF(CC7&lt;&gt;"",SUMPRODUCT((CN4:CN8=CN7)*(CI4:CI8=CI7)*(CG4:CG8&gt;CG7)),"")</f>
        <v/>
      </c>
      <c r="CR7" s="2" t="str">
        <f>IF(CC7&lt;&gt;"",SUMPRODUCT((CN4:CN8=CN7)*(CI4:CI8=CI7)*(CG4:CG8=CG7)*(CK4:CK8&gt;CK7)),"")</f>
        <v/>
      </c>
      <c r="CS7" s="2" t="str">
        <f>IF(CC7&lt;&gt;"",SUMPRODUCT((CN4:CN8=CN7)*(CI4:CI8=CI7)*(CG4:CG8=CG7)*(CK4:CK8=CK7)*(CL4:CL8&gt;CL7)),"")</f>
        <v/>
      </c>
      <c r="CT7" s="2" t="str">
        <f>IF(CC7&lt;&gt;"",SUMPRODUCT((CN4:CN8=CN7)*(CI4:CI8=CI7)*(CG4:CG8=CG7)*(CK4:CK8=CK7)*(CL4:CL8=CL7)*(CM4:CM8&gt;CM7)),"")</f>
        <v/>
      </c>
      <c r="CU7" s="2" t="str">
        <f>IF(CC7&lt;&gt;"",SUM(CO7:CT7)+3,"")</f>
        <v/>
      </c>
      <c r="CV7" s="2" t="str">
        <f>IF(CC7&lt;&gt;"",IF(CU7=4,CC7,CC8),"")</f>
        <v/>
      </c>
      <c r="CW7" s="2" t="str">
        <f>IF(CV7&lt;&gt;"",CV7,IF(CB7&lt;&gt;"",CB7,IF(BH7&lt;&gt;"",BH7,IF(AN7&lt;&gt;"",AN7,N7))))</f>
        <v>Switzerland</v>
      </c>
      <c r="CX7" s="2">
        <v>4</v>
      </c>
      <c r="CY7" s="2">
        <v>5</v>
      </c>
      <c r="CZ7" s="2" t="str">
        <f>Fixtures!G11</f>
        <v>Serbia</v>
      </c>
      <c r="DA7" s="2">
        <f>IF(AND(Fixtures!H11&lt;&gt;"",Fixtures!I11&lt;&gt;""),Fixtures!H11,0)</f>
        <v>0</v>
      </c>
      <c r="DB7" s="2">
        <f>IF(AND(Fixtures!I11&lt;&gt;"",Fixtures!H11&lt;&gt;""),Fixtures!I11,0)</f>
        <v>0</v>
      </c>
      <c r="DC7" s="2" t="str">
        <f>Fixtures!J11</f>
        <v>England</v>
      </c>
      <c r="DD7" s="2" t="str">
        <f>IF(AND(Fixtures!H11&lt;&gt;"",Fixtures!I11&lt;&gt;""),IF(DA7&gt;DB7,"W",IF(DA7=DB7,"D","L")),"")</f>
        <v/>
      </c>
      <c r="DE7" s="2" t="str">
        <f t="shared" si="0"/>
        <v/>
      </c>
      <c r="DH7" s="2" t="str">
        <f>Fixtures!P29</f>
        <v>Slovakia</v>
      </c>
      <c r="DI7" s="46">
        <f>Fixtures!U29</f>
        <v>0</v>
      </c>
      <c r="DJ7" s="46">
        <f>Fixtures!V29</f>
        <v>0</v>
      </c>
      <c r="DK7" s="46">
        <f>Fixtures!W29</f>
        <v>0</v>
      </c>
      <c r="DL7" s="46">
        <f>Fixtures!X29</f>
        <v>0</v>
      </c>
      <c r="DM7" s="46">
        <f>Fixtures!Z29</f>
        <v>0</v>
      </c>
      <c r="DN7" s="46">
        <f>Fixtures!AA29</f>
        <v>0</v>
      </c>
      <c r="DO7" s="46">
        <f>Fixtures!AB29</f>
        <v>0</v>
      </c>
      <c r="DP7" s="2">
        <f>IF(Fixtures!AC29&lt;&gt;"",26,VLOOKUP(DH7,B4:J40,9,FALSE))</f>
        <v>38</v>
      </c>
      <c r="DQ7" s="2">
        <f>RANK(DO7,DO3:DO8)</f>
        <v>1</v>
      </c>
      <c r="DR7" s="2">
        <f>SUMPRODUCT((DQ3:DQ8=DQ7)*(DN3:DN8&gt;DN7))</f>
        <v>0</v>
      </c>
      <c r="DS7" s="2">
        <f>SUMPRODUCT((DQ3:DQ8=DQ7)*(DN3:DN8=DN7)*(DL3:DL8&gt;DL7))</f>
        <v>0</v>
      </c>
      <c r="DT7" s="2">
        <f>SUMPRODUCT((DQ3:DQ8=DQ7)*(DN3:DN8=DN7)*(DL3:DL8=DL7)*(DP3:DP8&gt;DP7))</f>
        <v>4</v>
      </c>
      <c r="DU7" s="2">
        <f t="shared" si="1"/>
        <v>5</v>
      </c>
      <c r="DV7" s="2" t="s">
        <v>108</v>
      </c>
      <c r="DW7" s="2">
        <v>5</v>
      </c>
      <c r="EF7" s="233" t="s">
        <v>15</v>
      </c>
      <c r="EG7" s="48"/>
      <c r="EH7" s="49" t="str">
        <f>Fixtures!G7</f>
        <v>Germany</v>
      </c>
      <c r="EI7" s="50" t="s">
        <v>92</v>
      </c>
      <c r="EJ7" s="49" t="str">
        <f>"'Countries and Timezone'!"&amp;VLOOKUP(Fixtures!P7,EH7:EI38,2,FALSE)</f>
        <v>'Countries and Timezone'!B7</v>
      </c>
      <c r="EK7" s="2">
        <f>TimezoneData</f>
        <v>0</v>
      </c>
      <c r="EL7" s="51">
        <v>45457.875</v>
      </c>
      <c r="EM7" s="52">
        <f>EL7+EK7/24</f>
        <v>45457.875</v>
      </c>
      <c r="EQ7" s="2" t="s">
        <v>507</v>
      </c>
    </row>
    <row r="8" spans="1:148" x14ac:dyDescent="0.25">
      <c r="CY8" s="2">
        <v>6</v>
      </c>
      <c r="CZ8" s="2" t="str">
        <f>Fixtures!G12</f>
        <v>Slovenia</v>
      </c>
      <c r="DA8" s="2">
        <f>IF(AND(Fixtures!H12&lt;&gt;"",Fixtures!I12&lt;&gt;""),Fixtures!H12,0)</f>
        <v>0</v>
      </c>
      <c r="DB8" s="2">
        <f>IF(AND(Fixtures!I12&lt;&gt;"",Fixtures!H12&lt;&gt;""),Fixtures!I12,0)</f>
        <v>0</v>
      </c>
      <c r="DC8" s="2" t="str">
        <f>Fixtures!J12</f>
        <v>Denmark</v>
      </c>
      <c r="DD8" s="2" t="str">
        <f>IF(AND(Fixtures!H12&lt;&gt;"",Fixtures!I12&lt;&gt;""),IF(DA8&gt;DB8,"W",IF(DA8=DB8,"D","L")),"")</f>
        <v/>
      </c>
      <c r="DE8" s="2" t="str">
        <f t="shared" si="0"/>
        <v/>
      </c>
      <c r="DH8" s="2" t="str">
        <f>Fixtures!P34</f>
        <v>Czechia</v>
      </c>
      <c r="DI8" s="46">
        <f>Fixtures!U34</f>
        <v>0</v>
      </c>
      <c r="DJ8" s="46">
        <f>Fixtures!V34</f>
        <v>0</v>
      </c>
      <c r="DK8" s="46">
        <f>Fixtures!W34</f>
        <v>0</v>
      </c>
      <c r="DL8" s="46">
        <f>Fixtures!X34</f>
        <v>0</v>
      </c>
      <c r="DM8" s="46">
        <f>Fixtures!Z34</f>
        <v>0</v>
      </c>
      <c r="DN8" s="46">
        <f>Fixtures!AA34</f>
        <v>0</v>
      </c>
      <c r="DO8" s="46">
        <f>Fixtures!AB34</f>
        <v>0</v>
      </c>
      <c r="DP8" s="2">
        <f>IF(Fixtures!AC34&lt;&gt;"",25,VLOOKUP(DH8,B4:J40,9,FALSE))</f>
        <v>37</v>
      </c>
      <c r="DQ8" s="2">
        <f>RANK(DO8,DO3:DO8)</f>
        <v>1</v>
      </c>
      <c r="DR8" s="2">
        <f>SUMPRODUCT((DQ3:DQ8=DQ8)*(DN3:DN8&gt;DN8))</f>
        <v>0</v>
      </c>
      <c r="DS8" s="2">
        <f>SUMPRODUCT((DQ3:DQ8=DQ8)*(DN3:DN8=DN8)*(DL3:DL8&gt;DL8))</f>
        <v>0</v>
      </c>
      <c r="DT8" s="2">
        <f>SUMPRODUCT((DQ3:DQ8=DQ8)*(DN3:DN8=DN8)*(DL3:DL8=DL8)*(DP3:DP8&gt;DP8))</f>
        <v>5</v>
      </c>
      <c r="DU8" s="2">
        <f t="shared" si="1"/>
        <v>6</v>
      </c>
      <c r="DV8" s="2" t="s">
        <v>113</v>
      </c>
      <c r="DW8" s="2">
        <v>6</v>
      </c>
      <c r="EF8" s="233"/>
      <c r="EG8" s="48"/>
      <c r="EH8" s="49" t="str">
        <f>Fixtures!J7</f>
        <v>Scotland</v>
      </c>
      <c r="EI8" s="50" t="s">
        <v>93</v>
      </c>
      <c r="EJ8" s="49" t="str">
        <f>"'Countries and Timezone'!"&amp;VLOOKUP(Fixtures!P8,EH7:EI38,2,FALSE)</f>
        <v>'Countries and Timezone'!B9</v>
      </c>
      <c r="EL8" s="51">
        <v>45458.625</v>
      </c>
      <c r="EM8" s="52">
        <f>EL8+EK7/24</f>
        <v>45458.625</v>
      </c>
      <c r="EO8" s="53">
        <v>-12</v>
      </c>
      <c r="EP8" s="2">
        <v>-12</v>
      </c>
      <c r="EQ8" s="2" t="s">
        <v>509</v>
      </c>
      <c r="ER8" s="2" t="s">
        <v>508</v>
      </c>
    </row>
    <row r="9" spans="1:148" x14ac:dyDescent="0.25">
      <c r="BG9" s="2" t="s">
        <v>428</v>
      </c>
      <c r="CY9" s="2">
        <v>7</v>
      </c>
      <c r="CZ9" s="2" t="str">
        <f>Fixtures!G13</f>
        <v>Poland</v>
      </c>
      <c r="DA9" s="2">
        <f>IF(AND(Fixtures!H13&lt;&gt;"",Fixtures!I13&lt;&gt;""),Fixtures!H13,0)</f>
        <v>0</v>
      </c>
      <c r="DB9" s="2">
        <f>IF(AND(Fixtures!I13&lt;&gt;"",Fixtures!H13&lt;&gt;""),Fixtures!I13,0)</f>
        <v>0</v>
      </c>
      <c r="DC9" s="2" t="str">
        <f>Fixtures!J13</f>
        <v>Netherlands</v>
      </c>
      <c r="DD9" s="2" t="str">
        <f>IF(AND(Fixtures!H13&lt;&gt;"",Fixtures!I13&lt;&gt;""),IF(DA9&gt;DB9,"W",IF(DA9=DB9,"D","L")),"")</f>
        <v/>
      </c>
      <c r="DE9" s="2" t="str">
        <f t="shared" si="0"/>
        <v/>
      </c>
      <c r="EF9" s="233"/>
      <c r="EG9" s="48"/>
      <c r="EH9" s="49" t="str">
        <f>Fixtures!G8</f>
        <v>Hungary</v>
      </c>
      <c r="EI9" s="50" t="s">
        <v>94</v>
      </c>
      <c r="EJ9" s="49" t="str">
        <f>"'Countries and Timezone'!"&amp;VLOOKUP(Fixtures!P9,EH7:EI38,2,FALSE)</f>
        <v>'Countries and Timezone'!B8</v>
      </c>
      <c r="EL9" s="51">
        <v>45458.75</v>
      </c>
      <c r="EM9" s="52">
        <f>EL9+EK7/24</f>
        <v>45458.75</v>
      </c>
      <c r="EO9" s="54">
        <v>-11.5</v>
      </c>
      <c r="EP9" s="2">
        <v>-11</v>
      </c>
      <c r="EQ9" s="2" t="s">
        <v>511</v>
      </c>
      <c r="ER9" s="2" t="s">
        <v>510</v>
      </c>
    </row>
    <row r="10" spans="1:148" x14ac:dyDescent="0.25">
      <c r="CY10" s="2">
        <v>8</v>
      </c>
      <c r="CZ10" s="2" t="str">
        <f>Fixtures!G14</f>
        <v>Austria</v>
      </c>
      <c r="DA10" s="2">
        <f>IF(AND(Fixtures!H14&lt;&gt;"",Fixtures!I14&lt;&gt;""),Fixtures!H14,0)</f>
        <v>0</v>
      </c>
      <c r="DB10" s="2">
        <f>IF(AND(Fixtures!I14&lt;&gt;"",Fixtures!H14&lt;&gt;""),Fixtures!I14,0)</f>
        <v>0</v>
      </c>
      <c r="DC10" s="2" t="str">
        <f>Fixtures!J14</f>
        <v>France</v>
      </c>
      <c r="DD10" s="2" t="str">
        <f>IF(AND(Fixtures!H14&lt;&gt;"",Fixtures!I14&lt;&gt;""),IF(DA10&gt;DB10,"W",IF(DA10=DB10,"D","L")),"")</f>
        <v/>
      </c>
      <c r="DE10" s="2" t="str">
        <f t="shared" si="0"/>
        <v/>
      </c>
      <c r="EF10" s="233"/>
      <c r="EG10" s="48"/>
      <c r="EH10" s="49" t="str">
        <f>Fixtures!J8</f>
        <v>Switzerland</v>
      </c>
      <c r="EI10" s="50" t="s">
        <v>95</v>
      </c>
      <c r="EJ10" s="49" t="str">
        <f>"'Countries and Timezone'!"&amp;VLOOKUP(Fixtures!P10,EH7:EI38,2,FALSE)</f>
        <v>'Countries and Timezone'!B10</v>
      </c>
      <c r="EL10" s="51">
        <v>45458.875</v>
      </c>
      <c r="EM10" s="52">
        <f>EL10+EK7/24</f>
        <v>45458.875</v>
      </c>
      <c r="EO10" s="54">
        <v>-11</v>
      </c>
      <c r="EP10" s="2">
        <v>-10</v>
      </c>
      <c r="EQ10" s="2" t="s">
        <v>513</v>
      </c>
      <c r="ER10" s="2" t="s">
        <v>512</v>
      </c>
    </row>
    <row r="11" spans="1:148" x14ac:dyDescent="0.25">
      <c r="A11" s="2">
        <f>VLOOKUP(B11,CW11:CX15,2,FALSE)</f>
        <v>4</v>
      </c>
      <c r="B11" s="2" t="str">
        <f>'Dummy Table'!EH11</f>
        <v>Italy</v>
      </c>
      <c r="C11" s="2">
        <f>SUMPRODUCT((CZ3:CZ42=B11)*(DD3:DD42="W"))+SUMPRODUCT((DC3:DC42=B11)*(DE3:DE42="W"))</f>
        <v>0</v>
      </c>
      <c r="D11" s="2">
        <f>SUMPRODUCT((CZ3:CZ42=B11)*(DD3:DD42="D"))+SUMPRODUCT((DC3:DC42=B11)*(DE3:DE42="D"))</f>
        <v>0</v>
      </c>
      <c r="E11" s="2">
        <f>SUMPRODUCT((CZ3:CZ42=B11)*(DD3:DD42="L"))+SUMPRODUCT((DC3:DC42=B11)*(DE3:DE42="L"))</f>
        <v>0</v>
      </c>
      <c r="F11" s="2">
        <f>SUMIF(CZ3:CZ60,B11,DA3:DA60)+SUMIF(DC3:DC60,B11,DB3:DB60)</f>
        <v>0</v>
      </c>
      <c r="G11" s="2">
        <f>SUMIF(DC3:DC60,B11,DA3:DA60)+SUMIF(CZ3:CZ60,B11,DB3:DB60)</f>
        <v>0</v>
      </c>
      <c r="H11" s="2">
        <f t="shared" ref="H11:H14" si="13">F11-G11+1000</f>
        <v>1000</v>
      </c>
      <c r="I11" s="2">
        <f t="shared" ref="I11:I14" si="14">C11*3+D11*1</f>
        <v>0</v>
      </c>
      <c r="J11" s="2">
        <v>36</v>
      </c>
      <c r="K11" s="2">
        <f>IF(COUNTIF(I11:I15,4)&lt;&gt;4,RANK(I11,I11:I15),I51)</f>
        <v>1</v>
      </c>
      <c r="M11" s="2">
        <f>SUMPRODUCT((K11:K14=K11)*(J11:J14&lt;J11))+K11</f>
        <v>1</v>
      </c>
      <c r="N11" s="2" t="str">
        <f>INDEX(B11:B15,MATCH(1,M11:M15,0),0)</f>
        <v>Italy</v>
      </c>
      <c r="O11" s="2">
        <f>INDEX(K11:K15,MATCH(N11,B11:B15,0),0)</f>
        <v>1</v>
      </c>
      <c r="P11" s="2" t="str">
        <f>IF(O12=1,N11,"")</f>
        <v>Italy</v>
      </c>
      <c r="Q11" s="2" t="str">
        <f>IF(O13=2,N12,"")</f>
        <v/>
      </c>
      <c r="R11" s="2" t="str">
        <f>IF(O14=3,N13,"")</f>
        <v/>
      </c>
      <c r="S11" s="2" t="str">
        <f>IF(O15=4,N14,"")</f>
        <v/>
      </c>
      <c r="U11" s="2" t="str">
        <f>IF(P11&lt;&gt;"",P11,"")</f>
        <v>Italy</v>
      </c>
      <c r="V11" s="2">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2">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2">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2">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2">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2">
        <f>Y11-Z11+1000</f>
        <v>1000</v>
      </c>
      <c r="AB11" s="2">
        <f t="shared" ref="AB11:AB14" si="15">IF(U11&lt;&gt;"",V11*3+W11*1,"")</f>
        <v>0</v>
      </c>
      <c r="AC11" s="2">
        <f>IF(U11&lt;&gt;"",VLOOKUP(U11,B4:H40,7,FALSE),"")</f>
        <v>1000</v>
      </c>
      <c r="AD11" s="2">
        <f>IF(U11&lt;&gt;"",VLOOKUP(U11,B4:H40,5,FALSE),"")</f>
        <v>0</v>
      </c>
      <c r="AE11" s="2">
        <f>IF(U11&lt;&gt;"",VLOOKUP(U11,B4:J40,9,FALSE),"")</f>
        <v>36</v>
      </c>
      <c r="AF11" s="2">
        <f t="shared" ref="AF11:AF14" si="16">AB11</f>
        <v>0</v>
      </c>
      <c r="AG11" s="2">
        <f>IF(U11&lt;&gt;"",RANK(AF11,AF11:AF15),"")</f>
        <v>1</v>
      </c>
      <c r="AH11" s="2">
        <f>IF(U11&lt;&gt;"",SUMPRODUCT((AF11:AF15=AF11)*(AA11:AA15&gt;AA11)),"")</f>
        <v>0</v>
      </c>
      <c r="AI11" s="2">
        <f>IF(U11&lt;&gt;"",SUMPRODUCT((AF11:AF15=AF11)*(AA11:AA15=AA11)*(Y11:Y15&gt;Y11)),"")</f>
        <v>0</v>
      </c>
      <c r="AJ11" s="2">
        <f>IF(U11&lt;&gt;"",SUMPRODUCT((AF11:AF15=AF11)*(AA11:AA15=AA11)*(Y11:Y15=Y11)*(AC11:AC15&gt;AC11)),"")</f>
        <v>0</v>
      </c>
      <c r="AK11" s="2">
        <f>IF(U11&lt;&gt;"",SUMPRODUCT((AF11:AF15=AF11)*(AA11:AA15=AA11)*(Y11:Y15=Y11)*(AC11:AC15=AC11)*(AD11:AD15&gt;AD11)),"")</f>
        <v>0</v>
      </c>
      <c r="AL11" s="2">
        <f>IF(U11&lt;&gt;"",SUMPRODUCT((AF11:AF15=AF11)*(AA11:AA15=AA11)*(Y11:Y15=Y11)*(AC11:AC15=AC11)*(AD11:AD15=AD11)*(AE11:AE15&gt;AE11)),"")</f>
        <v>3</v>
      </c>
      <c r="AM11" s="2">
        <f>IF(U11&lt;&gt;"",IF(AM51&lt;&gt;"",IF(T50=3,AM51,AM51+T50),SUM(AG11:AL11)),"")</f>
        <v>4</v>
      </c>
      <c r="AN11" s="2" t="str">
        <f>IF(U11&lt;&gt;"",INDEX(U11:U15,MATCH(1,AM11:AM15,0),0),"")</f>
        <v>Spain</v>
      </c>
      <c r="CW11" s="2" t="str">
        <f>IF(AN11&lt;&gt;"",AN11,N11)</f>
        <v>Spain</v>
      </c>
      <c r="CX11" s="2">
        <v>1</v>
      </c>
      <c r="CY11" s="2">
        <v>9</v>
      </c>
      <c r="CZ11" s="2" t="str">
        <f>Fixtures!G15</f>
        <v>Belgium</v>
      </c>
      <c r="DA11" s="2">
        <f>IF(AND(Fixtures!H15&lt;&gt;"",Fixtures!I15&lt;&gt;""),Fixtures!H15,0)</f>
        <v>0</v>
      </c>
      <c r="DB11" s="2">
        <f>IF(AND(Fixtures!I15&lt;&gt;"",Fixtures!H15&lt;&gt;""),Fixtures!I15,0)</f>
        <v>0</v>
      </c>
      <c r="DC11" s="2" t="str">
        <f>Fixtures!J15</f>
        <v>Slovakia</v>
      </c>
      <c r="DD11" s="2" t="str">
        <f>IF(AND(Fixtures!H15&lt;&gt;"",Fixtures!I15&lt;&gt;""),IF(DA11&gt;DB11,"W",IF(DA11=DB11,"D","L")),"")</f>
        <v/>
      </c>
      <c r="DE11" s="2" t="str">
        <f t="shared" si="0"/>
        <v/>
      </c>
      <c r="EF11" s="233" t="s">
        <v>3</v>
      </c>
      <c r="EG11" s="48"/>
      <c r="EH11" s="49" t="str">
        <f>Fixtures!G10</f>
        <v>Italy</v>
      </c>
      <c r="EI11" s="50" t="s">
        <v>96</v>
      </c>
      <c r="EJ11" s="49" t="str">
        <f>"'Countries and Timezone'!"&amp;VLOOKUP(Fixtures!P12,EH7:EI38,2,FALSE)</f>
        <v>'Countries and Timezone'!B13</v>
      </c>
      <c r="EL11" s="51">
        <v>45459.875</v>
      </c>
      <c r="EM11" s="52">
        <f>EL11+EK7/24</f>
        <v>45459.875</v>
      </c>
      <c r="EO11" s="54">
        <v>-10.5</v>
      </c>
      <c r="EP11" s="2">
        <v>-10</v>
      </c>
      <c r="EQ11" s="2" t="s">
        <v>515</v>
      </c>
      <c r="ER11" s="2" t="s">
        <v>514</v>
      </c>
    </row>
    <row r="12" spans="1:148" ht="14.45" customHeight="1" x14ac:dyDescent="0.25">
      <c r="A12" s="2">
        <f>VLOOKUP(B12,CW11:CX15,2,FALSE)</f>
        <v>2</v>
      </c>
      <c r="B12" s="2" t="str">
        <f>'Dummy Table'!EH12</f>
        <v>Albania</v>
      </c>
      <c r="C12" s="2">
        <f>SUMPRODUCT((CZ3:CZ42=B12)*(DD3:DD42="W"))+SUMPRODUCT((DC3:DC42=B12)*(DE3:DE42="W"))</f>
        <v>0</v>
      </c>
      <c r="D12" s="2">
        <f>SUMPRODUCT((CZ3:CZ42=B12)*(DD3:DD42="D"))+SUMPRODUCT((DC3:DC42=B12)*(DE3:DE42="D"))</f>
        <v>0</v>
      </c>
      <c r="E12" s="2">
        <f>SUMPRODUCT((CZ3:CZ42=B12)*(DD3:DD42="L"))+SUMPRODUCT((DC3:DC42=B12)*(DE3:DE42="L"))</f>
        <v>0</v>
      </c>
      <c r="F12" s="2">
        <f>SUMIF(CZ3:CZ60,B12,DA3:DA60)+SUMIF(DC3:DC60,B12,DB3:DB60)</f>
        <v>0</v>
      </c>
      <c r="G12" s="2">
        <f>SUMIF(DC3:DC60,B12,DA3:DA60)+SUMIF(CZ3:CZ60,B12,DB3:DB60)</f>
        <v>0</v>
      </c>
      <c r="H12" s="2">
        <f t="shared" si="13"/>
        <v>1000</v>
      </c>
      <c r="I12" s="2">
        <f t="shared" si="14"/>
        <v>0</v>
      </c>
      <c r="J12" s="2">
        <v>44</v>
      </c>
      <c r="K12" s="2">
        <f>IF(COUNTIF(I11:I15,4)&lt;&gt;4,RANK(I12,I11:I15),I52)</f>
        <v>1</v>
      </c>
      <c r="M12" s="2">
        <f>SUMPRODUCT((K11:K14=K12)*(J11:J14&lt;J12))+K12</f>
        <v>3</v>
      </c>
      <c r="N12" s="2" t="str">
        <f>INDEX(B11:B15,MATCH(2,M11:M15,0),0)</f>
        <v>Croatia</v>
      </c>
      <c r="O12" s="2">
        <f>INDEX(K11:K15,MATCH(N12,B11:B15,0),0)</f>
        <v>1</v>
      </c>
      <c r="P12" s="2" t="str">
        <f>IF(P11&lt;&gt;"",N12,"")</f>
        <v>Croatia</v>
      </c>
      <c r="Q12" s="2" t="str">
        <f>IF(Q11&lt;&gt;"",N13,"")</f>
        <v/>
      </c>
      <c r="R12" s="2" t="str">
        <f>IF(R11&lt;&gt;"",N14,"")</f>
        <v/>
      </c>
      <c r="S12" s="2" t="str">
        <f>IF(S11&lt;&gt;"",N15,"")</f>
        <v/>
      </c>
      <c r="U12" s="2" t="str">
        <f t="shared" ref="U12:U14" si="17">IF(P12&lt;&gt;"",P12,"")</f>
        <v>Croatia</v>
      </c>
      <c r="V12" s="2">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2">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2">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2">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2">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2">
        <f>Y12-Z12+1000</f>
        <v>1000</v>
      </c>
      <c r="AB12" s="2">
        <f t="shared" si="15"/>
        <v>0</v>
      </c>
      <c r="AC12" s="2">
        <f>IF(U12&lt;&gt;"",VLOOKUP(U12,B4:H40,7,FALSE),"")</f>
        <v>1000</v>
      </c>
      <c r="AD12" s="2">
        <f>IF(U12&lt;&gt;"",VLOOKUP(U12,B4:H40,5,FALSE),"")</f>
        <v>0</v>
      </c>
      <c r="AE12" s="2">
        <f>IF(U12&lt;&gt;"",VLOOKUP(U12,B4:J40,9,FALSE),"")</f>
        <v>40</v>
      </c>
      <c r="AF12" s="2">
        <f t="shared" si="16"/>
        <v>0</v>
      </c>
      <c r="AG12" s="2">
        <f>IF(U12&lt;&gt;"",RANK(AF12,AF11:AF15),"")</f>
        <v>1</v>
      </c>
      <c r="AH12" s="2">
        <f>IF(U12&lt;&gt;"",SUMPRODUCT((AF11:AF15=AF12)*(AA11:AA15&gt;AA12)),"")</f>
        <v>0</v>
      </c>
      <c r="AI12" s="2">
        <f>IF(U12&lt;&gt;"",SUMPRODUCT((AF11:AF15=AF12)*(AA11:AA15=AA12)*(Y11:Y15&gt;Y12)),"")</f>
        <v>0</v>
      </c>
      <c r="AJ12" s="2">
        <f>IF(U12&lt;&gt;"",SUMPRODUCT((AF11:AF15=AF12)*(AA11:AA15=AA12)*(Y11:Y15=Y12)*(AC11:AC15&gt;AC12)),"")</f>
        <v>0</v>
      </c>
      <c r="AK12" s="2">
        <f>IF(U12&lt;&gt;"",SUMPRODUCT((AF11:AF15=AF12)*(AA11:AA15=AA12)*(Y11:Y15=Y12)*(AC11:AC15=AC12)*(AD11:AD15&gt;AD12)),"")</f>
        <v>0</v>
      </c>
      <c r="AL12" s="2">
        <f>IF(U12&lt;&gt;"",SUMPRODUCT((AF11:AF15=AF12)*(AA11:AA15=AA12)*(Y11:Y15=Y12)*(AC11:AC15=AC12)*(AD11:AD15=AD12)*(AE11:AE15&gt;AE12)),"")</f>
        <v>2</v>
      </c>
      <c r="AM12" s="2">
        <f>IF(U12&lt;&gt;"",IF(AM52&lt;&gt;"",IF(T50=3,AM52,AM52+T50),SUM(AG12:AL12)),"")</f>
        <v>3</v>
      </c>
      <c r="AN12" s="2" t="str">
        <f>IF(U12&lt;&gt;"",INDEX(U11:U15,MATCH(2,AM11:AM15,0),0),"")</f>
        <v>Albania</v>
      </c>
      <c r="AO12" s="2" t="str">
        <f>IF(Q11&lt;&gt;"",Q11,"")</f>
        <v/>
      </c>
      <c r="AP12" s="2">
        <f>SUMPRODUCT((CZ3:CZ42=AO12)*(DC3:DC42=AO13)*(DD3:DD42="W"))+SUMPRODUCT((CZ3:CZ42=AO12)*(DC3:DC42=AO14)*(DD3:DD42="W"))+SUMPRODUCT((CZ3:CZ42=AO12)*(DC3:DC42=AO15)*(DD3:DD42="W"))+SUMPRODUCT((CZ3:CZ42=AO13)*(DC3:DC42=AO12)*(DE3:DE42="W"))+SUMPRODUCT((CZ3:CZ42=AO14)*(DC3:DC42=AO12)*(DE3:DE42="W"))+SUMPRODUCT((CZ3:CZ42=AO15)*(DC3:DC42=AO12)*(DE3:DE42="W"))</f>
        <v>0</v>
      </c>
      <c r="AQ12" s="2">
        <f>SUMPRODUCT((CZ3:CZ42=AO12)*(DC3:DC42=AO13)*(DD3:DD42="D"))+SUMPRODUCT((CZ3:CZ42=AO12)*(DC3:DC42=AO14)*(DD3:DD42="D"))+SUMPRODUCT((CZ3:CZ42=AO12)*(DC3:DC42=AO15)*(DD3:DD42="D"))+SUMPRODUCT((CZ3:CZ42=AO13)*(DC3:DC42=AO12)*(DD3:DD42="D"))+SUMPRODUCT((CZ3:CZ42=AO14)*(DC3:DC42=AO12)*(DD3:DD42="D"))+SUMPRODUCT((CZ3:CZ42=AO15)*(DC3:DC42=AO12)*(DD3:DD42="D"))</f>
        <v>0</v>
      </c>
      <c r="AR12" s="2">
        <f>SUMPRODUCT((CZ3:CZ42=AO12)*(DC3:DC42=AO13)*(DD3:DD42="L"))+SUMPRODUCT((CZ3:CZ42=AO12)*(DC3:DC42=AO14)*(DD3:DD42="L"))+SUMPRODUCT((CZ3:CZ42=AO12)*(DC3:DC42=AO15)*(DD3:DD42="L"))+SUMPRODUCT((CZ3:CZ42=AO13)*(DC3:DC42=AO12)*(DE3:DE42="L"))+SUMPRODUCT((CZ3:CZ42=AO14)*(DC3:DC42=AO12)*(DE3:DE42="L"))+SUMPRODUCT((CZ3:CZ42=AO15)*(DC3:DC42=AO12)*(DE3:DE42="L"))</f>
        <v>0</v>
      </c>
      <c r="AS12" s="2">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2">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2">
        <f>AS12-AT12+1000</f>
        <v>1000</v>
      </c>
      <c r="AV12" s="2" t="str">
        <f t="shared" ref="AV12:AV14" si="18">IF(AO12&lt;&gt;"",AP12*3+AQ12*1,"")</f>
        <v/>
      </c>
      <c r="AW12" s="2" t="str">
        <f>IF(AO12&lt;&gt;"",VLOOKUP(AO12,B4:H40,7,FALSE),"")</f>
        <v/>
      </c>
      <c r="AX12" s="2" t="str">
        <f>IF(AO12&lt;&gt;"",VLOOKUP(AO12,B4:H40,5,FALSE),"")</f>
        <v/>
      </c>
      <c r="AY12" s="2" t="str">
        <f>IF(AO12&lt;&gt;"",VLOOKUP(AO12,B4:J40,9,FALSE),"")</f>
        <v/>
      </c>
      <c r="AZ12" s="2" t="str">
        <f t="shared" ref="AZ12:AZ14" si="19">AV12</f>
        <v/>
      </c>
      <c r="BA12" s="2" t="str">
        <f>IF(AO12&lt;&gt;"",RANK(AZ12,AZ11:AZ15),"")</f>
        <v/>
      </c>
      <c r="BB12" s="2" t="str">
        <f>IF(AO12&lt;&gt;"",SUMPRODUCT((AZ11:AZ15=AZ12)*(AU11:AU15&gt;AU12)),"")</f>
        <v/>
      </c>
      <c r="BC12" s="2" t="str">
        <f>IF(AO12&lt;&gt;"",SUMPRODUCT((AZ11:AZ15=AZ12)*(AU11:AU15=AU12)*(AS11:AS15&gt;AS12)),"")</f>
        <v/>
      </c>
      <c r="BD12" s="2" t="str">
        <f>IF(AO12&lt;&gt;"",SUMPRODUCT((AZ11:AZ15=AZ12)*(AU11:AU15=AU12)*(AS11:AS15=AS12)*(AW11:AW15&gt;AW12)),"")</f>
        <v/>
      </c>
      <c r="BE12" s="2" t="str">
        <f>IF(AO12&lt;&gt;"",SUMPRODUCT((AZ11:AZ15=AZ12)*(AU11:AU15=AU12)*(AS11:AS15=AS12)*(AW11:AW15=AW12)*(AX11:AX15&gt;AX12)),"")</f>
        <v/>
      </c>
      <c r="BF12" s="2" t="str">
        <f>IF(AO12&lt;&gt;"",SUMPRODUCT((AZ11:AZ15=AZ12)*(AU11:AU15=AU12)*(AS11:AS15=AS12)*(AW11:AW15=AW12)*(AX11:AX15=AX12)*(AY11:AY15&gt;AY12)),"")</f>
        <v/>
      </c>
      <c r="BG12" s="2" t="str">
        <f>IF(AO12&lt;&gt;"",IF(BG52&lt;&gt;"",IF(AN50=3,BG52,BG52+AN50),SUM(BA12:BF12)+1),"")</f>
        <v/>
      </c>
      <c r="BH12" s="2" t="str">
        <f>IF(AO12&lt;&gt;"",INDEX(AO12:AO15,MATCH(2,BG12:BG15,0),0),"")</f>
        <v/>
      </c>
      <c r="CW12" s="2" t="str">
        <f>IF(BH12&lt;&gt;"",BH12,IF(AN12&lt;&gt;"",AN12,N12))</f>
        <v>Albania</v>
      </c>
      <c r="CX12" s="2">
        <v>2</v>
      </c>
      <c r="CY12" s="2">
        <v>10</v>
      </c>
      <c r="CZ12" s="2" t="str">
        <f>Fixtures!G16</f>
        <v>Romania</v>
      </c>
      <c r="DA12" s="2">
        <f>IF(AND(Fixtures!H16&lt;&gt;"",Fixtures!I16&lt;&gt;""),Fixtures!H16,0)</f>
        <v>0</v>
      </c>
      <c r="DB12" s="2">
        <f>IF(AND(Fixtures!I16&lt;&gt;"",Fixtures!H16&lt;&gt;""),Fixtures!I16,0)</f>
        <v>0</v>
      </c>
      <c r="DC12" s="2" t="str">
        <f>Fixtures!J16</f>
        <v>Ukraine</v>
      </c>
      <c r="DD12" s="2" t="str">
        <f>IF(AND(Fixtures!H16&lt;&gt;"",Fixtures!I16&lt;&gt;""),IF(DA12&gt;DB12,"W",IF(DA12=DB12,"D","L")),"")</f>
        <v/>
      </c>
      <c r="DE12" s="2" t="str">
        <f t="shared" si="0"/>
        <v/>
      </c>
      <c r="DH12" s="36" t="s">
        <v>47</v>
      </c>
      <c r="DI12" s="36"/>
      <c r="DJ12" s="36"/>
      <c r="DK12" s="36"/>
      <c r="DL12" s="55" t="s">
        <v>45</v>
      </c>
      <c r="DM12" s="55" t="s">
        <v>46</v>
      </c>
      <c r="DN12" s="55" t="s">
        <v>435</v>
      </c>
      <c r="DO12" s="55" t="s">
        <v>436</v>
      </c>
      <c r="DP12" s="8"/>
      <c r="DQ12" s="55" t="str">
        <f>Fixtures!AC39</f>
        <v>A</v>
      </c>
      <c r="DR12" s="56" t="str">
        <f>Fixtures!AC40</f>
        <v>D</v>
      </c>
      <c r="DS12" s="56" t="str">
        <f>Fixtures!AC41</f>
        <v>B</v>
      </c>
      <c r="DT12" s="56" t="str">
        <f>Fixtures!AC42</f>
        <v>C</v>
      </c>
      <c r="DU12" s="56"/>
      <c r="DV12" s="8"/>
      <c r="DW12" s="8"/>
      <c r="DX12" s="8"/>
      <c r="EF12" s="233"/>
      <c r="EG12" s="48"/>
      <c r="EH12" s="49" t="str">
        <f>Fixtures!J10</f>
        <v>Albania</v>
      </c>
      <c r="EI12" s="50" t="s">
        <v>97</v>
      </c>
      <c r="EJ12" s="49" t="str">
        <f>"'Countries and Timezone'!"&amp;VLOOKUP(Fixtures!P13,EH7:EI38,2,FALSE)</f>
        <v>'Countries and Timezone'!B12</v>
      </c>
      <c r="EL12" s="51">
        <v>45459.75</v>
      </c>
      <c r="EM12" s="52">
        <f>EL12+EK7/24</f>
        <v>45459.75</v>
      </c>
      <c r="EO12" s="54">
        <v>-10</v>
      </c>
      <c r="EP12" s="2">
        <v>-9.5</v>
      </c>
      <c r="EQ12" s="2" t="s">
        <v>517</v>
      </c>
      <c r="ER12" s="2" t="s">
        <v>516</v>
      </c>
    </row>
    <row r="13" spans="1:148" x14ac:dyDescent="0.25">
      <c r="A13" s="2">
        <f>VLOOKUP(B13,CW11:CX15,2,FALSE)</f>
        <v>1</v>
      </c>
      <c r="B13" s="2" t="str">
        <f>'Dummy Table'!EH13</f>
        <v>Spain</v>
      </c>
      <c r="C13" s="2">
        <f>SUMPRODUCT((CZ3:CZ42=B13)*(DD3:DD42="W"))+SUMPRODUCT((DC3:DC42=B13)*(DE3:DE42="W"))</f>
        <v>0</v>
      </c>
      <c r="D13" s="2">
        <f>SUMPRODUCT((CZ3:CZ42=B13)*(DD3:DD42="D"))+SUMPRODUCT((DC3:DC42=B13)*(DE3:DE42="D"))</f>
        <v>0</v>
      </c>
      <c r="E13" s="2">
        <f>SUMPRODUCT((CZ3:CZ42=B13)*(DD3:DD42="L"))+SUMPRODUCT((DC3:DC42=B13)*(DE3:DE42="L"))</f>
        <v>0</v>
      </c>
      <c r="F13" s="2">
        <f>SUMIF(CZ3:CZ60,B13,DA3:DA60)+SUMIF(DC3:DC60,B13,DB3:DB60)</f>
        <v>0</v>
      </c>
      <c r="G13" s="2">
        <f>SUMIF(DC3:DC60,B13,DA3:DA60)+SUMIF(CZ3:CZ60,B13,DB3:DB60)</f>
        <v>0</v>
      </c>
      <c r="H13" s="2">
        <f t="shared" si="13"/>
        <v>1000</v>
      </c>
      <c r="I13" s="2">
        <f t="shared" si="14"/>
        <v>0</v>
      </c>
      <c r="J13" s="2">
        <v>51</v>
      </c>
      <c r="K13" s="2">
        <f>IF(COUNTIF(I11:I15,4)&lt;&gt;4,RANK(I13,I11:I15),I53)</f>
        <v>1</v>
      </c>
      <c r="M13" s="2">
        <f>SUMPRODUCT((K11:K14=K13)*(J11:J14&lt;J13))+K13</f>
        <v>4</v>
      </c>
      <c r="N13" s="2" t="str">
        <f>INDEX(B11:B15,MATCH(3,M11:M15,0),0)</f>
        <v>Albania</v>
      </c>
      <c r="O13" s="2">
        <f>INDEX(K11:K15,MATCH(N13,B11:B15,0),0)</f>
        <v>1</v>
      </c>
      <c r="P13" s="2" t="str">
        <f>IF(AND(P12&lt;&gt;"",O13=1),N13,"")</f>
        <v>Albania</v>
      </c>
      <c r="Q13" s="2" t="str">
        <f>IF(AND(Q12&lt;&gt;"",O14=2),N14,"")</f>
        <v/>
      </c>
      <c r="R13" s="2" t="str">
        <f>IF(AND(R12&lt;&gt;"",O15=3),N15,"")</f>
        <v/>
      </c>
      <c r="U13" s="2" t="str">
        <f t="shared" si="17"/>
        <v>Albania</v>
      </c>
      <c r="V13" s="2">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2">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2">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2">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2">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2">
        <f>Y13-Z13+1000</f>
        <v>1000</v>
      </c>
      <c r="AB13" s="2">
        <f t="shared" si="15"/>
        <v>0</v>
      </c>
      <c r="AC13" s="2">
        <f>IF(U13&lt;&gt;"",VLOOKUP(U13,B4:H40,7,FALSE),"")</f>
        <v>1000</v>
      </c>
      <c r="AD13" s="2">
        <f>IF(U13&lt;&gt;"",VLOOKUP(U13,B4:H40,5,FALSE),"")</f>
        <v>0</v>
      </c>
      <c r="AE13" s="2">
        <f>IF(U13&lt;&gt;"",VLOOKUP(U13,B4:J40,9,FALSE),"")</f>
        <v>44</v>
      </c>
      <c r="AF13" s="2">
        <f t="shared" si="16"/>
        <v>0</v>
      </c>
      <c r="AG13" s="2">
        <f>IF(U13&lt;&gt;"",RANK(AF13,AF11:AF15),"")</f>
        <v>1</v>
      </c>
      <c r="AH13" s="2">
        <f>IF(U13&lt;&gt;"",SUMPRODUCT((AF11:AF15=AF13)*(AA11:AA15&gt;AA13)),"")</f>
        <v>0</v>
      </c>
      <c r="AI13" s="2">
        <f>IF(U13&lt;&gt;"",SUMPRODUCT((AF11:AF15=AF13)*(AA11:AA15=AA13)*(Y11:Y15&gt;Y13)),"")</f>
        <v>0</v>
      </c>
      <c r="AJ13" s="2">
        <f>IF(U13&lt;&gt;"",SUMPRODUCT((AF11:AF15=AF13)*(AA11:AA15=AA13)*(Y11:Y15=Y13)*(AC11:AC15&gt;AC13)),"")</f>
        <v>0</v>
      </c>
      <c r="AK13" s="2">
        <f>IF(U13&lt;&gt;"",SUMPRODUCT((AF11:AF15=AF13)*(AA11:AA15=AA13)*(Y11:Y15=Y13)*(AC11:AC15=AC13)*(AD11:AD15&gt;AD13)),"")</f>
        <v>0</v>
      </c>
      <c r="AL13" s="2">
        <f>IF(U13&lt;&gt;"",SUMPRODUCT((AF11:AF15=AF13)*(AA11:AA15=AA13)*(Y11:Y15=Y13)*(AC11:AC15=AC13)*(AD11:AD15=AD13)*(AE11:AE15&gt;AE13)),"")</f>
        <v>1</v>
      </c>
      <c r="AM13" s="2">
        <f>IF(U13&lt;&gt;"",IF(AM53&lt;&gt;"",IF(T50=3,AM53,AM53+T50),SUM(AG13:AL13)),"")</f>
        <v>2</v>
      </c>
      <c r="AN13" s="2" t="str">
        <f>IF(U13&lt;&gt;"",INDEX(U11:U15,MATCH(3,AM11:AM15,0),0),"")</f>
        <v>Croatia</v>
      </c>
      <c r="AO13" s="2" t="str">
        <f>IF(Q12&lt;&gt;"",Q12,"")</f>
        <v/>
      </c>
      <c r="AP13" s="2">
        <f>SUMPRODUCT((CZ3:CZ42=AO13)*(DC3:DC42=AO14)*(DD3:DD42="W"))+SUMPRODUCT((CZ3:CZ42=AO13)*(DC3:DC42=AO15)*(DD3:DD42="W"))+SUMPRODUCT((CZ3:CZ42=AO13)*(DC3:DC42=AO12)*(DD3:DD42="W"))+SUMPRODUCT((CZ3:CZ42=AO14)*(DC3:DC42=AO13)*(DE3:DE42="W"))+SUMPRODUCT((CZ3:CZ42=AO15)*(DC3:DC42=AO13)*(DE3:DE42="W"))+SUMPRODUCT((CZ3:CZ42=AO12)*(DC3:DC42=AO13)*(DE3:DE42="W"))</f>
        <v>0</v>
      </c>
      <c r="AQ13" s="2">
        <f>SUMPRODUCT((CZ3:CZ42=AO13)*(DC3:DC42=AO14)*(DD3:DD42="D"))+SUMPRODUCT((CZ3:CZ42=AO13)*(DC3:DC42=AO15)*(DD3:DD42="D"))+SUMPRODUCT((CZ3:CZ42=AO13)*(DC3:DC42=AO12)*(DD3:DD42="D"))+SUMPRODUCT((CZ3:CZ42=AO14)*(DC3:DC42=AO13)*(DD3:DD42="D"))+SUMPRODUCT((CZ3:CZ42=AO15)*(DC3:DC42=AO13)*(DD3:DD42="D"))+SUMPRODUCT((CZ3:CZ42=AO12)*(DC3:DC42=AO13)*(DD3:DD42="D"))</f>
        <v>0</v>
      </c>
      <c r="AR13" s="2">
        <f>SUMPRODUCT((CZ3:CZ42=AO13)*(DC3:DC42=AO14)*(DD3:DD42="L"))+SUMPRODUCT((CZ3:CZ42=AO13)*(DC3:DC42=AO15)*(DD3:DD42="L"))+SUMPRODUCT((CZ3:CZ42=AO13)*(DC3:DC42=AO12)*(DD3:DD42="L"))+SUMPRODUCT((CZ3:CZ42=AO14)*(DC3:DC42=AO13)*(DE3:DE42="L"))+SUMPRODUCT((CZ3:CZ42=AO15)*(DC3:DC42=AO13)*(DE3:DE42="L"))+SUMPRODUCT((CZ3:CZ42=AO12)*(DC3:DC42=AO13)*(DE3:DE42="L"))</f>
        <v>0</v>
      </c>
      <c r="AS13" s="2">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2">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2">
        <f>AS13-AT13+1000</f>
        <v>1000</v>
      </c>
      <c r="AV13" s="2" t="str">
        <f t="shared" si="18"/>
        <v/>
      </c>
      <c r="AW13" s="2" t="str">
        <f>IF(AO13&lt;&gt;"",VLOOKUP(AO13,B4:H40,7,FALSE),"")</f>
        <v/>
      </c>
      <c r="AX13" s="2" t="str">
        <f>IF(AO13&lt;&gt;"",VLOOKUP(AO13,B4:H40,5,FALSE),"")</f>
        <v/>
      </c>
      <c r="AY13" s="2" t="str">
        <f>IF(AO13&lt;&gt;"",VLOOKUP(AO13,B4:J40,9,FALSE),"")</f>
        <v/>
      </c>
      <c r="AZ13" s="2" t="str">
        <f t="shared" si="19"/>
        <v/>
      </c>
      <c r="BA13" s="2" t="str">
        <f>IF(AO13&lt;&gt;"",RANK(AZ13,AZ11:AZ15),"")</f>
        <v/>
      </c>
      <c r="BB13" s="2" t="str">
        <f>IF(AO13&lt;&gt;"",SUMPRODUCT((AZ11:AZ15=AZ13)*(AU11:AU15&gt;AU13)),"")</f>
        <v/>
      </c>
      <c r="BC13" s="2" t="str">
        <f>IF(AO13&lt;&gt;"",SUMPRODUCT((AZ11:AZ15=AZ13)*(AU11:AU15=AU13)*(AS11:AS15&gt;AS13)),"")</f>
        <v/>
      </c>
      <c r="BD13" s="2" t="str">
        <f>IF(AO13&lt;&gt;"",SUMPRODUCT((AZ11:AZ15=AZ13)*(AU11:AU15=AU13)*(AS11:AS15=AS13)*(AW11:AW15&gt;AW13)),"")</f>
        <v/>
      </c>
      <c r="BE13" s="2" t="str">
        <f>IF(AO13&lt;&gt;"",SUMPRODUCT((AZ11:AZ15=AZ13)*(AU11:AU15=AU13)*(AS11:AS15=AS13)*(AW11:AW15=AW13)*(AX11:AX15&gt;AX13)),"")</f>
        <v/>
      </c>
      <c r="BF13" s="2" t="str">
        <f>IF(AO13&lt;&gt;"",SUMPRODUCT((AZ11:AZ15=AZ13)*(AU11:AU15=AU13)*(AS11:AS15=AS13)*(AW11:AW15=AW13)*(AX11:AX15=AX13)*(AY11:AY15&gt;AY13)),"")</f>
        <v/>
      </c>
      <c r="BG13" s="2" t="str">
        <f>IF(AO13&lt;&gt;"",IF(BG53&lt;&gt;"",IF(AN50=3,BG53,BG53+AN50),SUM(BA13:BF13)+1),"")</f>
        <v/>
      </c>
      <c r="BH13" s="2" t="str">
        <f>IF(AO13&lt;&gt;"",INDEX(AO12:AO15,MATCH(3,BG12:BG15,0),0),"")</f>
        <v/>
      </c>
      <c r="BI13" s="2" t="str">
        <f>IF(R11&lt;&gt;"",R11,"")</f>
        <v/>
      </c>
      <c r="BJ13" s="2">
        <f>SUMPRODUCT((CZ3:CZ42=BI13)*(DC3:DC42=BI14)*(DD3:DD42="W"))+SUMPRODUCT((CZ3:CZ42=BI13)*(DC3:DC42=BI15)*(DD3:DD42="W"))+SUMPRODUCT((CZ3:CZ42=BI13)*(DC3:DC42=BI16)*(DD3:DD42="W"))+SUMPRODUCT((CZ3:CZ42=BI14)*(DC3:DC42=BI13)*(DE3:DE42="W"))+SUMPRODUCT((CZ3:CZ42=BI15)*(DC3:DC42=BI13)*(DE3:DE42="W"))+SUMPRODUCT((CZ3:CZ42=BI16)*(DC3:DC42=BI13)*(DE3:DE42="W"))</f>
        <v>0</v>
      </c>
      <c r="BK13" s="2">
        <f>SUMPRODUCT((CZ3:CZ42=BI13)*(DC3:DC42=BI14)*(DD3:DD42="D"))+SUMPRODUCT((CZ3:CZ42=BI13)*(DC3:DC42=BI15)*(DD3:DD42="D"))+SUMPRODUCT((CZ3:CZ42=BI13)*(DC3:DC42=BI16)*(DD3:DD42="D"))+SUMPRODUCT((CZ3:CZ42=BI14)*(DC3:DC42=BI13)*(DD3:DD42="D"))+SUMPRODUCT((CZ3:CZ42=BI15)*(DC3:DC42=BI13)*(DD3:DD42="D"))+SUMPRODUCT((CZ3:CZ42=BI16)*(DC3:DC42=BI13)*(DD3:DD42="D"))</f>
        <v>0</v>
      </c>
      <c r="BL13" s="2">
        <f>SUMPRODUCT((CZ3:CZ42=BI13)*(DC3:DC42=BI14)*(DD3:DD42="L"))+SUMPRODUCT((CZ3:CZ42=BI13)*(DC3:DC42=BI15)*(DD3:DD42="L"))+SUMPRODUCT((CZ3:CZ42=BI13)*(DC3:DC42=BI16)*(DD3:DD42="L"))+SUMPRODUCT((CZ3:CZ42=BI14)*(DC3:DC42=BI13)*(DE3:DE42="L"))+SUMPRODUCT((CZ3:CZ42=BI15)*(DC3:DC42=BI13)*(DE3:DE42="L"))+SUMPRODUCT((CZ3:CZ42=BI16)*(DC3:DC42=BI13)*(DE3:DE42="L"))</f>
        <v>0</v>
      </c>
      <c r="BM13" s="2">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2">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2">
        <f>BM13-BN13+1000</f>
        <v>1000</v>
      </c>
      <c r="BP13" s="2" t="str">
        <f t="shared" ref="BP13:BP14" si="20">IF(BI13&lt;&gt;"",BJ13*3+BK13*1,"")</f>
        <v/>
      </c>
      <c r="BQ13" s="2" t="str">
        <f>IF(BI13&lt;&gt;"",VLOOKUP(BI13,B4:H40,7,FALSE),"")</f>
        <v/>
      </c>
      <c r="BR13" s="2" t="str">
        <f>IF(BI13&lt;&gt;"",VLOOKUP(BI13,B4:H40,5,FALSE),"")</f>
        <v/>
      </c>
      <c r="BS13" s="2" t="str">
        <f>IF(BI13&lt;&gt;"",VLOOKUP(BI13,B4:J40,9,FALSE),"")</f>
        <v/>
      </c>
      <c r="BT13" s="2" t="str">
        <f t="shared" ref="BT13:BT14" si="21">BP13</f>
        <v/>
      </c>
      <c r="BU13" s="2" t="str">
        <f>IF(BI13&lt;&gt;"",RANK(BT13,BT11:BT15),"")</f>
        <v/>
      </c>
      <c r="BV13" s="2" t="str">
        <f>IF(BI13&lt;&gt;"",SUMPRODUCT((BT11:BT15=BT13)*(BO11:BO15&gt;BO13)),"")</f>
        <v/>
      </c>
      <c r="BW13" s="2" t="str">
        <f>IF(BI13&lt;&gt;"",SUMPRODUCT((BT11:BT15=BT13)*(BO11:BO15=BO13)*(BM11:BM15&gt;BM13)),"")</f>
        <v/>
      </c>
      <c r="BX13" s="2" t="str">
        <f>IF(BI13&lt;&gt;"",SUMPRODUCT((BT11:BT15=BT13)*(BO11:BO15=BO13)*(BM11:BM15=BM13)*(BQ11:BQ15&gt;BQ13)),"")</f>
        <v/>
      </c>
      <c r="BY13" s="2" t="str">
        <f>IF(BI13&lt;&gt;"",SUMPRODUCT((BT11:BT15=BT13)*(BO11:BO15=BO13)*(BM11:BM15=BM13)*(BQ11:BQ15=BQ13)*(BR11:BR15&gt;BR13)),"")</f>
        <v/>
      </c>
      <c r="BZ13" s="2" t="str">
        <f>IF(BI13&lt;&gt;"",SUMPRODUCT((BT11:BT15=BT13)*(BO11:BO15=BO13)*(BM11:BM15=BM13)*(BQ11:BQ15=BQ13)*(BR11:BR15=BR13)*(BS11:BS15&gt;BS13)),"")</f>
        <v/>
      </c>
      <c r="CA13" s="2" t="str">
        <f>IF(BI13&lt;&gt;"",SUM(BU13:BZ13)+2,"")</f>
        <v/>
      </c>
      <c r="CB13" s="2" t="str">
        <f>IF(BI13&lt;&gt;"",INDEX(BI13:BI15,MATCH(3,CA13:CA15,0),0),"")</f>
        <v/>
      </c>
      <c r="CW13" s="2" t="str">
        <f>IF(CB13&lt;&gt;"",CB13,IF(BH13&lt;&gt;"",BH13,IF(AN13&lt;&gt;"",AN13,N13)))</f>
        <v>Croatia</v>
      </c>
      <c r="CX13" s="2">
        <v>3</v>
      </c>
      <c r="CY13" s="2">
        <v>11</v>
      </c>
      <c r="CZ13" s="2" t="str">
        <f>Fixtures!G17</f>
        <v>Türkiye</v>
      </c>
      <c r="DA13" s="2">
        <f>IF(AND(Fixtures!H17&lt;&gt;"",Fixtures!I17&lt;&gt;""),Fixtures!H17,0)</f>
        <v>0</v>
      </c>
      <c r="DB13" s="2">
        <f>IF(AND(Fixtures!I17&lt;&gt;"",Fixtures!H17&lt;&gt;""),Fixtures!I17,0)</f>
        <v>0</v>
      </c>
      <c r="DC13" s="2" t="str">
        <f>Fixtures!J17</f>
        <v>Georgia</v>
      </c>
      <c r="DD13" s="2" t="str">
        <f>IF(AND(Fixtures!H17&lt;&gt;"",Fixtures!I17&lt;&gt;""),IF(DA13&gt;DB13,"W",IF(DA13=DB13,"D","L")),"")</f>
        <v/>
      </c>
      <c r="DE13" s="2" t="str">
        <f t="shared" si="0"/>
        <v/>
      </c>
      <c r="DH13" s="55" t="s">
        <v>15</v>
      </c>
      <c r="DI13" s="8" t="s">
        <v>3</v>
      </c>
      <c r="DJ13" s="8" t="s">
        <v>4</v>
      </c>
      <c r="DK13" s="8" t="s">
        <v>13</v>
      </c>
      <c r="DL13" s="55" t="s">
        <v>15</v>
      </c>
      <c r="DM13" s="55" t="s">
        <v>13</v>
      </c>
      <c r="DN13" s="55" t="s">
        <v>3</v>
      </c>
      <c r="DO13" s="55" t="s">
        <v>4</v>
      </c>
      <c r="DP13" s="8"/>
      <c r="DQ13" s="56">
        <f>IFERROR(MATCH(DQ12,DH13:DK13,0),0)</f>
        <v>1</v>
      </c>
      <c r="DR13" s="56">
        <f>IFERROR(MATCH(DR12,DH13:DK13,0),0)</f>
        <v>4</v>
      </c>
      <c r="DS13" s="56">
        <f>IFERROR(MATCH(DS12,DH13:DK13,0),0)</f>
        <v>2</v>
      </c>
      <c r="DT13" s="56">
        <f>IFERROR(MATCH(DT12,DH13:DK13,0),0)</f>
        <v>3</v>
      </c>
      <c r="DU13" s="56">
        <f t="shared" ref="DU13:DU27" si="22">SUM(DQ13:DT13)</f>
        <v>10</v>
      </c>
      <c r="DV13" s="8"/>
      <c r="DW13" s="8"/>
      <c r="DX13" s="8"/>
      <c r="EF13" s="233"/>
      <c r="EG13" s="48"/>
      <c r="EH13" s="49" t="str">
        <f>Fixtures!G9</f>
        <v>Spain</v>
      </c>
      <c r="EI13" s="50" t="s">
        <v>98</v>
      </c>
      <c r="EJ13" s="49" t="str">
        <f>"'Countries and Timezone'!"&amp;VLOOKUP(Fixtures!P14,EH7:EI38,2,FALSE)</f>
        <v>'Countries and Timezone'!B14</v>
      </c>
      <c r="EL13" s="51">
        <v>45459.625</v>
      </c>
      <c r="EM13" s="52">
        <f>EL13+EK7/24</f>
        <v>45459.625</v>
      </c>
      <c r="EO13" s="54">
        <v>-9.5</v>
      </c>
      <c r="EP13" s="2">
        <v>-9</v>
      </c>
      <c r="EQ13" s="2" t="s">
        <v>519</v>
      </c>
      <c r="ER13" s="2" t="s">
        <v>518</v>
      </c>
    </row>
    <row r="14" spans="1:148" x14ac:dyDescent="0.25">
      <c r="A14" s="2">
        <f>IF(C3="W",VLOOKUP(B14,CW11:CX15,2,FALSE),3)</f>
        <v>3</v>
      </c>
      <c r="B14" s="2" t="str">
        <f>'Dummy Table'!EH14</f>
        <v>Croatia</v>
      </c>
      <c r="C14" s="2">
        <f>SUMPRODUCT((CZ3:CZ42=B14)*(DD3:DD42="W"))+SUMPRODUCT((DC3:DC42=B14)*(DE3:DE42="W"))</f>
        <v>0</v>
      </c>
      <c r="D14" s="2">
        <f>SUMPRODUCT((CZ3:CZ42=B14)*(DD3:DD42="D"))+SUMPRODUCT((DC3:DC42=B14)*(DE3:DE42="D"))</f>
        <v>0</v>
      </c>
      <c r="E14" s="2">
        <f>SUMPRODUCT((CZ3:CZ42=B14)*(DD3:DD42="L"))+SUMPRODUCT((DC3:DC42=B14)*(DE3:DE42="L"))</f>
        <v>0</v>
      </c>
      <c r="F14" s="2">
        <f>SUMIF(CZ3:CZ60,B14,DA3:DA60)+SUMIF(DC3:DC60,B14,DB3:DB60)</f>
        <v>0</v>
      </c>
      <c r="G14" s="2">
        <f>SUMIF(DC3:DC60,B14,DA3:DA60)+SUMIF(CZ3:CZ60,B14,DB3:DB60)</f>
        <v>0</v>
      </c>
      <c r="H14" s="2">
        <f t="shared" si="13"/>
        <v>1000</v>
      </c>
      <c r="I14" s="2">
        <f t="shared" si="14"/>
        <v>0</v>
      </c>
      <c r="J14" s="2">
        <v>40</v>
      </c>
      <c r="K14" s="2">
        <f>IF(COUNTIF(I11:I15,4)&lt;&gt;4,RANK(I14,I11:I15),I54)</f>
        <v>1</v>
      </c>
      <c r="M14" s="2">
        <f>SUMPRODUCT((K11:K14=K14)*(J11:J14&lt;J14))+K14</f>
        <v>2</v>
      </c>
      <c r="N14" s="2" t="str">
        <f>INDEX(B11:B15,MATCH(4,M11:M15,0),0)</f>
        <v>Spain</v>
      </c>
      <c r="O14" s="2">
        <f>INDEX(K11:K15,MATCH(N14,B11:B15,0),0)</f>
        <v>1</v>
      </c>
      <c r="P14" s="2" t="str">
        <f>IF(AND(P13&lt;&gt;"",O14=1),N14,"")</f>
        <v>Spain</v>
      </c>
      <c r="Q14" s="2" t="str">
        <f>IF(AND(Q13&lt;&gt;"",O15=2),N15,"")</f>
        <v/>
      </c>
      <c r="U14" s="2" t="str">
        <f t="shared" si="17"/>
        <v>Spain</v>
      </c>
      <c r="V14" s="2">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2">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2">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2">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2">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2">
        <f>Y14-Z14+1000</f>
        <v>1000</v>
      </c>
      <c r="AB14" s="2">
        <f t="shared" si="15"/>
        <v>0</v>
      </c>
      <c r="AC14" s="2">
        <f>IF(U14&lt;&gt;"",VLOOKUP(U14,B4:H40,7,FALSE),"")</f>
        <v>1000</v>
      </c>
      <c r="AD14" s="2">
        <f>IF(U14&lt;&gt;"",VLOOKUP(U14,B4:H40,5,FALSE),"")</f>
        <v>0</v>
      </c>
      <c r="AE14" s="2">
        <f>IF(U14&lt;&gt;"",VLOOKUP(U14,B4:J40,9,FALSE),"")</f>
        <v>51</v>
      </c>
      <c r="AF14" s="2">
        <f t="shared" si="16"/>
        <v>0</v>
      </c>
      <c r="AG14" s="2">
        <f>IF(U14&lt;&gt;"",RANK(AF14,AF11:AF15),"")</f>
        <v>1</v>
      </c>
      <c r="AH14" s="2">
        <f>IF(U14&lt;&gt;"",SUMPRODUCT((AF11:AF15=AF14)*(AA11:AA15&gt;AA14)),"")</f>
        <v>0</v>
      </c>
      <c r="AI14" s="2">
        <f>IF(U14&lt;&gt;"",SUMPRODUCT((AF11:AF15=AF14)*(AA11:AA15=AA14)*(Y11:Y15&gt;Y14)),"")</f>
        <v>0</v>
      </c>
      <c r="AJ14" s="2">
        <f>IF(U14&lt;&gt;"",SUMPRODUCT((AF11:AF15=AF14)*(AA11:AA15=AA14)*(Y11:Y15=Y14)*(AC11:AC15&gt;AC14)),"")</f>
        <v>0</v>
      </c>
      <c r="AK14" s="2">
        <f>IF(U14&lt;&gt;"",SUMPRODUCT((AF11:AF15=AF14)*(AA11:AA15=AA14)*(Y11:Y15=Y14)*(AC11:AC15=AC14)*(AD11:AD15&gt;AD14)),"")</f>
        <v>0</v>
      </c>
      <c r="AL14" s="2">
        <f>IF(U14&lt;&gt;"",SUMPRODUCT((AF11:AF15=AF14)*(AA11:AA15=AA14)*(Y11:Y15=Y14)*(AC11:AC15=AC14)*(AD11:AD15=AD14)*(AE11:AE15&gt;AE14)),"")</f>
        <v>0</v>
      </c>
      <c r="AM14" s="2">
        <f>IF(U14&lt;&gt;"",IF(AM54&lt;&gt;"",IF(T50=3,AM54,AM54+T50),SUM(AG14:AL14)),"")</f>
        <v>1</v>
      </c>
      <c r="AN14" s="2" t="str">
        <f>IF(U14&lt;&gt;"",INDEX(U11:U15,MATCH(4,AM11:AM15,0),0),"")</f>
        <v>Italy</v>
      </c>
      <c r="AO14" s="2" t="str">
        <f>IF(Q13&lt;&gt;"",Q13,"")</f>
        <v/>
      </c>
      <c r="AP14" s="2" t="str">
        <f>IF(AO14&lt;&gt;"",SUMPRODUCT((CZ3:CZ42=AO14)*(DC3:DC42=AO15)*(DD3:DD42="W"))+SUMPRODUCT((CZ3:CZ42=AO14)*(DC3:DC42=AO12)*(DD3:DD42="W"))+SUMPRODUCT((CZ3:CZ42=AO14)*(DC3:DC42=AO13)*(DD3:DD42="W"))+SUMPRODUCT((CZ3:CZ42=AO15)*(DC3:DC42=AO14)*(DE3:DE42="W"))+SUMPRODUCT((CZ3:CZ42=AO12)*(DC3:DC42=AO14)*(DE3:DE42="W"))+SUMPRODUCT((CZ3:CZ42=AO13)*(DC3:DC42=AO14)*(DE3:DE42="W")),"")</f>
        <v/>
      </c>
      <c r="AQ14" s="2" t="str">
        <f>IF(AO14&lt;&gt;"",SUMPRODUCT((CZ3:CZ42=AO14)*(DC3:DC42=AO15)*(DD3:DD42="D"))+SUMPRODUCT((CZ3:CZ42=AO14)*(DC3:DC42=AO12)*(DD3:DD42="D"))+SUMPRODUCT((CZ3:CZ42=AO14)*(DC3:DC42=AO13)*(DD3:DD42="D"))+SUMPRODUCT((CZ3:CZ42=AO15)*(DC3:DC42=AO14)*(DD3:DD42="D"))+SUMPRODUCT((CZ3:CZ42=AO12)*(DC3:DC42=AO14)*(DD3:DD42="D"))+SUMPRODUCT((CZ3:CZ42=AO13)*(DC3:DC42=AO14)*(DD3:DD42="D")),"")</f>
        <v/>
      </c>
      <c r="AR14" s="2" t="str">
        <f>IF(AO14&lt;&gt;"",SUMPRODUCT((CZ3:CZ42=AO14)*(DC3:DC42=AO15)*(DD3:DD42="L"))+SUMPRODUCT((CZ3:CZ42=AO14)*(DC3:DC42=AO12)*(DD3:DD42="L"))+SUMPRODUCT((CZ3:CZ42=AO14)*(DC3:DC42=AO13)*(DD3:DD42="L"))+SUMPRODUCT((CZ3:CZ42=AO15)*(DC3:DC42=AO14)*(DE3:DE42="L"))+SUMPRODUCT((CZ3:CZ42=AO12)*(DC3:DC42=AO14)*(DE3:DE42="L"))+SUMPRODUCT((CZ3:CZ42=AO13)*(DC3:DC42=AO14)*(DE3:DE42="L")),"")</f>
        <v/>
      </c>
      <c r="AS14" s="2">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2">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2">
        <f>AS14-AT14+1000</f>
        <v>1000</v>
      </c>
      <c r="AV14" s="2" t="str">
        <f t="shared" si="18"/>
        <v/>
      </c>
      <c r="AW14" s="2" t="str">
        <f>IF(AO14&lt;&gt;"",VLOOKUP(AO14,B4:H40,7,FALSE),"")</f>
        <v/>
      </c>
      <c r="AX14" s="2" t="str">
        <f>IF(AO14&lt;&gt;"",VLOOKUP(AO14,B4:H40,5,FALSE),"")</f>
        <v/>
      </c>
      <c r="AY14" s="2" t="str">
        <f>IF(AO14&lt;&gt;"",VLOOKUP(AO14,B4:J40,9,FALSE),"")</f>
        <v/>
      </c>
      <c r="AZ14" s="2" t="str">
        <f t="shared" si="19"/>
        <v/>
      </c>
      <c r="BA14" s="2" t="str">
        <f>IF(AO14&lt;&gt;"",RANK(AZ14,AZ11:AZ15),"")</f>
        <v/>
      </c>
      <c r="BB14" s="2" t="str">
        <f>IF(AO14&lt;&gt;"",SUMPRODUCT((AZ11:AZ15=AZ14)*(AU11:AU15&gt;AU14)),"")</f>
        <v/>
      </c>
      <c r="BC14" s="2" t="str">
        <f>IF(AO14&lt;&gt;"",SUMPRODUCT((AZ11:AZ15=AZ14)*(AU11:AU15=AU14)*(AS11:AS15&gt;AS14)),"")</f>
        <v/>
      </c>
      <c r="BD14" s="2" t="str">
        <f>IF(AO14&lt;&gt;"",SUMPRODUCT((AZ11:AZ15=AZ14)*(AU11:AU15=AU14)*(AS11:AS15=AS14)*(AW11:AW15&gt;AW14)),"")</f>
        <v/>
      </c>
      <c r="BE14" s="2" t="str">
        <f>IF(AO14&lt;&gt;"",SUMPRODUCT((AZ11:AZ15=AZ14)*(AU11:AU15=AU14)*(AS11:AS15=AS14)*(AW11:AW15=AW14)*(AX11:AX15&gt;AX14)),"")</f>
        <v/>
      </c>
      <c r="BF14" s="2" t="str">
        <f>IF(AO14&lt;&gt;"",SUMPRODUCT((AZ11:AZ15=AZ14)*(AU11:AU15=AU14)*(AS11:AS15=AS14)*(AW11:AW15=AW14)*(AX11:AX15=AX14)*(AY11:AY15&gt;AY14)),"")</f>
        <v/>
      </c>
      <c r="BG14" s="2" t="str">
        <f>IF(AO14&lt;&gt;"",IF(BG54&lt;&gt;"",IF(AN50=3,BG54,BG54+AN50),SUM(BA14:BF14)+1),"")</f>
        <v/>
      </c>
      <c r="BH14" s="2" t="str">
        <f>IF(AO14&lt;&gt;"",INDEX(AO12:AO15,MATCH(4,BG12:BG15,0),0),"")</f>
        <v/>
      </c>
      <c r="BI14" s="2" t="str">
        <f>IF(R12&lt;&gt;"",R12,"")</f>
        <v/>
      </c>
      <c r="BJ14" s="2">
        <f>SUMPRODUCT((CZ3:CZ42=BI14)*(DC3:DC42=BI15)*(DD3:DD42="W"))+SUMPRODUCT((CZ3:CZ42=BI14)*(DC3:DC42=BI16)*(DD3:DD42="W"))+SUMPRODUCT((CZ3:CZ42=BI14)*(DC3:DC42=BI13)*(DD3:DD42="W"))+SUMPRODUCT((CZ3:CZ42=BI15)*(DC3:DC42=BI14)*(DE3:DE42="W"))+SUMPRODUCT((CZ3:CZ42=BI16)*(DC3:DC42=BI14)*(DE3:DE42="W"))+SUMPRODUCT((CZ3:CZ42=BI13)*(DC3:DC42=BI14)*(DE3:DE42="W"))</f>
        <v>0</v>
      </c>
      <c r="BK14" s="2">
        <f>SUMPRODUCT((CZ3:CZ42=BI14)*(DC3:DC42=BI15)*(DD3:DD42="D"))+SUMPRODUCT((CZ3:CZ42=BI14)*(DC3:DC42=BI16)*(DD3:DD42="D"))+SUMPRODUCT((CZ3:CZ42=BI14)*(DC3:DC42=BI13)*(DD3:DD42="D"))+SUMPRODUCT((CZ3:CZ42=BI15)*(DC3:DC42=BI14)*(DD3:DD42="D"))+SUMPRODUCT((CZ3:CZ42=BI16)*(DC3:DC42=BI14)*(DD3:DD42="D"))+SUMPRODUCT((CZ3:CZ42=BI13)*(DC3:DC42=BI14)*(DD3:DD42="D"))</f>
        <v>0</v>
      </c>
      <c r="BL14" s="2">
        <f>SUMPRODUCT((CZ3:CZ42=BI14)*(DC3:DC42=BI15)*(DD3:DD42="L"))+SUMPRODUCT((CZ3:CZ42=BI14)*(DC3:DC42=BI16)*(DD3:DD42="L"))+SUMPRODUCT((CZ3:CZ42=BI14)*(DC3:DC42=BI13)*(DD3:DD42="L"))+SUMPRODUCT((CZ3:CZ42=BI15)*(DC3:DC42=BI14)*(DE3:DE42="L"))+SUMPRODUCT((CZ3:CZ42=BI16)*(DC3:DC42=BI14)*(DE3:DE42="L"))+SUMPRODUCT((CZ3:CZ42=BI13)*(DC3:DC42=BI14)*(DE3:DE42="L"))</f>
        <v>0</v>
      </c>
      <c r="BM14" s="2">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2">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2">
        <f>BM14-BN14+1000</f>
        <v>1000</v>
      </c>
      <c r="BP14" s="2" t="str">
        <f t="shared" si="20"/>
        <v/>
      </c>
      <c r="BQ14" s="2" t="str">
        <f>IF(BI14&lt;&gt;"",VLOOKUP(BI14,B4:H40,7,FALSE),"")</f>
        <v/>
      </c>
      <c r="BR14" s="2" t="str">
        <f>IF(BI14&lt;&gt;"",VLOOKUP(BI14,B4:H40,5,FALSE),"")</f>
        <v/>
      </c>
      <c r="BS14" s="2" t="str">
        <f>IF(BI14&lt;&gt;"",VLOOKUP(BI14,B4:J40,9,FALSE),"")</f>
        <v/>
      </c>
      <c r="BT14" s="2" t="str">
        <f t="shared" si="21"/>
        <v/>
      </c>
      <c r="BU14" s="2" t="str">
        <f>IF(BI14&lt;&gt;"",RANK(BT14,BT11:BT15),"")</f>
        <v/>
      </c>
      <c r="BV14" s="2" t="str">
        <f>IF(BI14&lt;&gt;"",SUMPRODUCT((BT11:BT15=BT14)*(BO11:BO15&gt;BO14)),"")</f>
        <v/>
      </c>
      <c r="BW14" s="2" t="str">
        <f>IF(BI14&lt;&gt;"",SUMPRODUCT((BT11:BT15=BT14)*(BO11:BO15=BO14)*(BM11:BM15&gt;BM14)),"")</f>
        <v/>
      </c>
      <c r="BX14" s="2" t="str">
        <f>IF(BI14&lt;&gt;"",SUMPRODUCT((BT11:BT15=BT14)*(BO11:BO15=BO14)*(BM11:BM15=BM14)*(BQ11:BQ15&gt;BQ14)),"")</f>
        <v/>
      </c>
      <c r="BY14" s="2" t="str">
        <f>IF(BI14&lt;&gt;"",SUMPRODUCT((BT11:BT15=BT14)*(BO11:BO15=BO14)*(BM11:BM15=BM14)*(BQ11:BQ15=BQ14)*(BR11:BR15&gt;BR14)),"")</f>
        <v/>
      </c>
      <c r="BZ14" s="2" t="str">
        <f>IF(BI14&lt;&gt;"",SUMPRODUCT((BT11:BT15=BT14)*(BO11:BO15=BO14)*(BM11:BM15=BM14)*(BQ11:BQ15=BQ14)*(BR11:BR15=BR14)*(BS11:BS15&gt;BS14)),"")</f>
        <v/>
      </c>
      <c r="CA14" s="2" t="str">
        <f>IF(BI14&lt;&gt;"",SUM(BU14:BZ14)+2,"")</f>
        <v/>
      </c>
      <c r="CB14" s="2" t="str">
        <f>IF(BI14&lt;&gt;"",INDEX(BI13:BI15,MATCH(4,CA13:CA15,0),0),"")</f>
        <v/>
      </c>
      <c r="CC14" s="2" t="str">
        <f>IF(S11&lt;&gt;"",S11,"")</f>
        <v/>
      </c>
      <c r="CD14" s="2">
        <f>SUMPRODUCT((CZ3:CZ42=CC14)*(DC3:DC42=CC15)*(DD3:DD42="W"))+SUMPRODUCT((CZ3:CZ42=CC14)*(DC3:DC42=CC16)*(DD3:DD42="W"))+SUMPRODUCT((CZ3:CZ42=CC14)*(DC3:DC42=CC17)*(DD3:DD42="W"))+SUMPRODUCT((CZ3:CZ42=CC15)*(DC3:DC42=CC14)*(DE3:DE42="W"))+SUMPRODUCT((CZ3:CZ42=CC16)*(DC3:DC42=CC14)*(DE3:DE42="W"))+SUMPRODUCT((CZ3:CZ42=CC17)*(DC3:DC42=CC14)*(DE3:DE42="W"))</f>
        <v>0</v>
      </c>
      <c r="CE14" s="2">
        <f>SUMPRODUCT((CZ3:CZ42=CC14)*(DC3:DC42=CC15)*(DD3:DD42="D"))+SUMPRODUCT((CZ3:CZ42=CC14)*(DC3:DC42=CC16)*(DD3:DD42="D"))+SUMPRODUCT((CZ3:CZ42=CC14)*(DC3:DC42=CC17)*(DD3:DD42="D"))+SUMPRODUCT((CZ3:CZ42=CC15)*(DC3:DC42=CC14)*(DD3:DD42="D"))+SUMPRODUCT((CZ3:CZ42=CC16)*(DC3:DC42=CC14)*(DD3:DD42="D"))+SUMPRODUCT((CZ3:CZ42=CC17)*(DC3:DC42=CC14)*(DD3:DD42="D"))</f>
        <v>0</v>
      </c>
      <c r="CF14" s="2">
        <f>SUMPRODUCT((CZ3:CZ42=CC14)*(DC3:DC42=CC15)*(DD3:DD42="L"))+SUMPRODUCT((CZ3:CZ42=CC14)*(DC3:DC42=CC16)*(DD3:DD42="L"))+SUMPRODUCT((CZ3:CZ42=CC14)*(DC3:DC42=CC17)*(DD3:DD42="L"))+SUMPRODUCT((CZ3:CZ42=CC15)*(DC3:DC42=CC14)*(DE3:DE42="L"))+SUMPRODUCT((CZ3:CZ42=CC16)*(DC3:DC42=CC14)*(DE3:DE42="L"))+SUMPRODUCT((CZ3:CZ42=CC17)*(DC3:DC42=CC14)*(DE3:DE42="L"))</f>
        <v>0</v>
      </c>
      <c r="CG14" s="2">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2">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2">
        <f>CG14-CH14+1000</f>
        <v>1000</v>
      </c>
      <c r="CJ14" s="2" t="str">
        <f t="shared" ref="CJ14" si="23">IF(CC14&lt;&gt;"",CD14*3+CE14*1,"")</f>
        <v/>
      </c>
      <c r="CK14" s="2" t="str">
        <f>IF(CC14&lt;&gt;"",VLOOKUP(CC14,B4:H40,7,FALSE),"")</f>
        <v/>
      </c>
      <c r="CL14" s="2" t="str">
        <f>IF(CC14&lt;&gt;"",VLOOKUP(CC14,B4:H40,5,FALSE),"")</f>
        <v/>
      </c>
      <c r="CM14" s="2" t="str">
        <f>IF(CC14&lt;&gt;"",VLOOKUP(CC14,B4:J40,9,FALSE),"")</f>
        <v/>
      </c>
      <c r="CN14" s="2" t="str">
        <f t="shared" ref="CN14" si="24">CJ14</f>
        <v/>
      </c>
      <c r="CO14" s="2" t="str">
        <f>IF(CC14&lt;&gt;"",RANK(CN14,CN11:CN15),"")</f>
        <v/>
      </c>
      <c r="CP14" s="2" t="str">
        <f>IF(CC14&lt;&gt;"",SUMPRODUCT((CN11:CN15=CN14)*(CI11:CI15&gt;CI14)),"")</f>
        <v/>
      </c>
      <c r="CQ14" s="2" t="str">
        <f>IF(CC14&lt;&gt;"",SUMPRODUCT((CN11:CN15=CN14)*(CI11:CI15=CI14)*(CG11:CG15&gt;CG14)),"")</f>
        <v/>
      </c>
      <c r="CR14" s="2" t="str">
        <f>IF(CC14&lt;&gt;"",SUMPRODUCT((CN11:CN15=CN14)*(CI11:CI15=CI14)*(CG11:CG15=CG14)*(CK11:CK15&gt;CK14)),"")</f>
        <v/>
      </c>
      <c r="CS14" s="2" t="str">
        <f>IF(CC14&lt;&gt;"",SUMPRODUCT((CN11:CN15=CN14)*(CI11:CI15=CI14)*(CG11:CG15=CG14)*(CK11:CK15=CK14)*(CL11:CL15&gt;CL14)),"")</f>
        <v/>
      </c>
      <c r="CT14" s="2" t="str">
        <f>IF(CC14&lt;&gt;"",SUMPRODUCT((CN11:CN15=CN14)*(CI11:CI15=CI14)*(CG11:CG15=CG14)*(CK11:CK15=CK14)*(CL11:CL15=CL14)*(CM11:CM15&gt;CM14)),"")</f>
        <v/>
      </c>
      <c r="CU14" s="2" t="str">
        <f>IF(CC14&lt;&gt;"",SUM(CO14:CT14)+3,"")</f>
        <v/>
      </c>
      <c r="CV14" s="2" t="str">
        <f>IF(CC14&lt;&gt;"",IF(CU14=4,CC14,CC15),"")</f>
        <v/>
      </c>
      <c r="CW14" s="2" t="str">
        <f>IF(CV14&lt;&gt;"",CV14,IF(CB14&lt;&gt;"",CB14,IF(BH14&lt;&gt;"",BH14,IF(AN14&lt;&gt;"",AN14,N14))))</f>
        <v>Italy</v>
      </c>
      <c r="CX14" s="2">
        <v>4</v>
      </c>
      <c r="CY14" s="2">
        <v>12</v>
      </c>
      <c r="CZ14" s="2" t="str">
        <f>Fixtures!G18</f>
        <v>Portugal</v>
      </c>
      <c r="DA14" s="2">
        <f>IF(AND(Fixtures!H18&lt;&gt;"",Fixtures!I18&lt;&gt;""),Fixtures!H18,0)</f>
        <v>0</v>
      </c>
      <c r="DB14" s="2">
        <f>IF(AND(Fixtures!I18&lt;&gt;"",Fixtures!H18&lt;&gt;""),Fixtures!I18,0)</f>
        <v>0</v>
      </c>
      <c r="DC14" s="2" t="str">
        <f>Fixtures!J18</f>
        <v>Czechia</v>
      </c>
      <c r="DD14" s="2" t="str">
        <f>IF(AND(Fixtures!H18&lt;&gt;"",Fixtures!I18&lt;&gt;""),IF(DA14&gt;DB14,"W",IF(DA14=DB14,"D","L")),"")</f>
        <v/>
      </c>
      <c r="DE14" s="2" t="str">
        <f t="shared" si="0"/>
        <v/>
      </c>
      <c r="DH14" s="55" t="s">
        <v>15</v>
      </c>
      <c r="DI14" s="8" t="s">
        <v>3</v>
      </c>
      <c r="DJ14" s="8" t="s">
        <v>4</v>
      </c>
      <c r="DK14" s="8" t="s">
        <v>108</v>
      </c>
      <c r="DL14" s="55" t="s">
        <v>15</v>
      </c>
      <c r="DM14" s="55" t="s">
        <v>108</v>
      </c>
      <c r="DN14" s="55" t="s">
        <v>3</v>
      </c>
      <c r="DO14" s="55" t="s">
        <v>4</v>
      </c>
      <c r="DP14" s="8"/>
      <c r="DQ14" s="56">
        <f>IFERROR(MATCH(DQ12,DH14:DK14,0),0)</f>
        <v>1</v>
      </c>
      <c r="DR14" s="56">
        <f>IFERROR(MATCH(DR12,DH14:DK14,0),0)</f>
        <v>0</v>
      </c>
      <c r="DS14" s="56">
        <f>IFERROR(MATCH(DS12,DH14:DK14,0),0)</f>
        <v>2</v>
      </c>
      <c r="DT14" s="56">
        <f>IFERROR(MATCH(DT12,DH14:DK14,0),0)</f>
        <v>3</v>
      </c>
      <c r="DU14" s="56">
        <f t="shared" si="22"/>
        <v>6</v>
      </c>
      <c r="DV14" s="8"/>
      <c r="DW14" s="8"/>
      <c r="DX14" s="8"/>
      <c r="EF14" s="233"/>
      <c r="EG14" s="48"/>
      <c r="EH14" s="49" t="str">
        <f>Fixtures!J9</f>
        <v>Croatia</v>
      </c>
      <c r="EI14" s="50" t="s">
        <v>99</v>
      </c>
      <c r="EJ14" s="49" t="str">
        <f>"'Countries and Timezone'!"&amp;VLOOKUP(Fixtures!P15,EH7:EI38,2,FALSE)</f>
        <v>'Countries and Timezone'!B11</v>
      </c>
      <c r="EL14" s="51">
        <v>45460.875</v>
      </c>
      <c r="EM14" s="52">
        <f>EL14+EK7/24</f>
        <v>45460.875</v>
      </c>
      <c r="EO14" s="54">
        <v>-9</v>
      </c>
      <c r="EP14" s="2">
        <v>-9</v>
      </c>
      <c r="EQ14" s="2" t="s">
        <v>521</v>
      </c>
      <c r="ER14" s="2" t="s">
        <v>520</v>
      </c>
    </row>
    <row r="15" spans="1:148" x14ac:dyDescent="0.25">
      <c r="CY15" s="2">
        <v>13</v>
      </c>
      <c r="CZ15" s="2" t="str">
        <f>Fixtures!G19</f>
        <v>Scotland</v>
      </c>
      <c r="DA15" s="2">
        <f>IF(AND(Fixtures!H19&lt;&gt;"",Fixtures!I19&lt;&gt;""),Fixtures!H19,0)</f>
        <v>0</v>
      </c>
      <c r="DB15" s="2">
        <f>IF(AND(Fixtures!I19&lt;&gt;"",Fixtures!H19&lt;&gt;""),Fixtures!I19,0)</f>
        <v>0</v>
      </c>
      <c r="DC15" s="2" t="str">
        <f>Fixtures!J19</f>
        <v>Switzerland</v>
      </c>
      <c r="DD15" s="2" t="str">
        <f>IF(AND(Fixtures!H19&lt;&gt;"",Fixtures!I19&lt;&gt;""),IF(DA15&gt;DB15,"W",IF(DA15=DB15,"D","L")),"")</f>
        <v/>
      </c>
      <c r="DE15" s="2" t="str">
        <f t="shared" si="0"/>
        <v/>
      </c>
      <c r="DH15" s="55" t="s">
        <v>15</v>
      </c>
      <c r="DI15" s="8" t="s">
        <v>3</v>
      </c>
      <c r="DJ15" s="8" t="s">
        <v>4</v>
      </c>
      <c r="DK15" s="8" t="s">
        <v>113</v>
      </c>
      <c r="DL15" s="55" t="s">
        <v>15</v>
      </c>
      <c r="DM15" s="55" t="s">
        <v>113</v>
      </c>
      <c r="DN15" s="55" t="s">
        <v>3</v>
      </c>
      <c r="DO15" s="55" t="s">
        <v>4</v>
      </c>
      <c r="DP15" s="8"/>
      <c r="DQ15" s="56">
        <f>IFERROR(MATCH(DQ12,DH15:DK15,0),0)</f>
        <v>1</v>
      </c>
      <c r="DR15" s="56">
        <f>IFERROR(MATCH(DR12,DH15:DK15,0),0)</f>
        <v>0</v>
      </c>
      <c r="DS15" s="56">
        <f>IFERROR(MATCH(DS12,DH15:DK15,0),0)</f>
        <v>2</v>
      </c>
      <c r="DT15" s="56">
        <f>IFERROR(MATCH(DT12,DH15:DK15,0),0)</f>
        <v>3</v>
      </c>
      <c r="DU15" s="56">
        <f t="shared" si="22"/>
        <v>6</v>
      </c>
      <c r="DV15" s="8"/>
      <c r="DW15" s="8"/>
      <c r="DX15" s="8"/>
      <c r="EF15" s="233" t="s">
        <v>4</v>
      </c>
      <c r="EG15" s="48"/>
      <c r="EH15" s="49" t="str">
        <f>Fixtures!G11</f>
        <v>Serbia</v>
      </c>
      <c r="EI15" s="50" t="s">
        <v>100</v>
      </c>
      <c r="EJ15" s="49" t="str">
        <f>"'Countries and Timezone'!"&amp;VLOOKUP(Fixtures!P17,EH7:EI38,2,FALSE)</f>
        <v>'Countries and Timezone'!B16</v>
      </c>
      <c r="EL15" s="51">
        <v>45460.75</v>
      </c>
      <c r="EM15" s="52">
        <f>EL15+EK7/24</f>
        <v>45460.75</v>
      </c>
      <c r="EO15" s="54">
        <v>-8.5</v>
      </c>
      <c r="EP15" s="2">
        <v>-8</v>
      </c>
      <c r="EQ15" s="2" t="s">
        <v>523</v>
      </c>
      <c r="ER15" s="2" t="s">
        <v>522</v>
      </c>
    </row>
    <row r="16" spans="1:148" x14ac:dyDescent="0.25">
      <c r="CY16" s="2">
        <v>14</v>
      </c>
      <c r="CZ16" s="2" t="str">
        <f>Fixtures!G20</f>
        <v>Germany</v>
      </c>
      <c r="DA16" s="2">
        <f>IF(AND(Fixtures!H20&lt;&gt;"",Fixtures!I20&lt;&gt;""),Fixtures!H20,0)</f>
        <v>0</v>
      </c>
      <c r="DB16" s="2">
        <f>IF(AND(Fixtures!I20&lt;&gt;"",Fixtures!H20&lt;&gt;""),Fixtures!I20,0)</f>
        <v>0</v>
      </c>
      <c r="DC16" s="2" t="str">
        <f>Fixtures!J20</f>
        <v>Hungary</v>
      </c>
      <c r="DD16" s="2" t="str">
        <f>IF(AND(Fixtures!H20&lt;&gt;"",Fixtures!I20&lt;&gt;""),IF(DA16&gt;DB16,"W",IF(DA16=DB16,"D","L")),"")</f>
        <v/>
      </c>
      <c r="DE16" s="2" t="str">
        <f t="shared" si="0"/>
        <v/>
      </c>
      <c r="DH16" s="55" t="s">
        <v>15</v>
      </c>
      <c r="DI16" s="8" t="s">
        <v>3</v>
      </c>
      <c r="DJ16" s="8" t="s">
        <v>13</v>
      </c>
      <c r="DK16" s="8" t="s">
        <v>108</v>
      </c>
      <c r="DL16" s="55" t="s">
        <v>13</v>
      </c>
      <c r="DM16" s="55" t="s">
        <v>108</v>
      </c>
      <c r="DN16" s="55" t="s">
        <v>15</v>
      </c>
      <c r="DO16" s="55" t="s">
        <v>3</v>
      </c>
      <c r="DP16" s="8"/>
      <c r="DQ16" s="56">
        <f>IFERROR(MATCH(DQ12,DH16:DK16,0),0)</f>
        <v>1</v>
      </c>
      <c r="DR16" s="56">
        <f>IFERROR(MATCH(DR12,DH16:DK16,0),0)</f>
        <v>3</v>
      </c>
      <c r="DS16" s="56">
        <f>IFERROR(MATCH(DS12,DH16:DK16,0),0)</f>
        <v>2</v>
      </c>
      <c r="DT16" s="56">
        <f>IFERROR(MATCH(DT12,DH16:DK16,0),0)</f>
        <v>0</v>
      </c>
      <c r="DU16" s="56">
        <f t="shared" si="22"/>
        <v>6</v>
      </c>
      <c r="DV16" s="8"/>
      <c r="DW16" s="8"/>
      <c r="DX16" s="8"/>
      <c r="EF16" s="233"/>
      <c r="EG16" s="48"/>
      <c r="EH16" s="49" t="str">
        <f>Fixtures!J11</f>
        <v>England</v>
      </c>
      <c r="EI16" s="50" t="s">
        <v>101</v>
      </c>
      <c r="EJ16" s="49" t="str">
        <f>"'Countries and Timezone'!"&amp;VLOOKUP(Fixtures!P18,EH7:EI38,2,FALSE)</f>
        <v>'Countries and Timezone'!B18</v>
      </c>
      <c r="EL16" s="51">
        <v>45460.625</v>
      </c>
      <c r="EM16" s="52">
        <f>EL16+EK7/24</f>
        <v>45460.625</v>
      </c>
      <c r="EO16" s="54">
        <v>-8</v>
      </c>
      <c r="EP16" s="2">
        <v>-8</v>
      </c>
      <c r="EQ16" s="2" t="s">
        <v>525</v>
      </c>
      <c r="ER16" s="2" t="s">
        <v>524</v>
      </c>
    </row>
    <row r="17" spans="1:148" x14ac:dyDescent="0.25">
      <c r="V17" s="2" t="s">
        <v>15</v>
      </c>
      <c r="CY17" s="2">
        <v>15</v>
      </c>
      <c r="CZ17" s="2" t="str">
        <f>Fixtures!G21</f>
        <v>Croatia</v>
      </c>
      <c r="DA17" s="2">
        <f>IF(AND(Fixtures!H21&lt;&gt;"",Fixtures!I21&lt;&gt;""),Fixtures!H21,0)</f>
        <v>0</v>
      </c>
      <c r="DB17" s="2">
        <f>IF(AND(Fixtures!I21&lt;&gt;"",Fixtures!H21&lt;&gt;""),Fixtures!I21,0)</f>
        <v>0</v>
      </c>
      <c r="DC17" s="2" t="str">
        <f>Fixtures!J21</f>
        <v>Albania</v>
      </c>
      <c r="DD17" s="2" t="str">
        <f>IF(AND(Fixtures!H21&lt;&gt;"",Fixtures!I21&lt;&gt;""),IF(DA17&gt;DB17,"W",IF(DA17=DB17,"D","L")),"")</f>
        <v/>
      </c>
      <c r="DE17" s="2" t="str">
        <f t="shared" si="0"/>
        <v/>
      </c>
      <c r="DH17" s="55" t="s">
        <v>15</v>
      </c>
      <c r="DI17" s="8" t="s">
        <v>3</v>
      </c>
      <c r="DJ17" s="8" t="s">
        <v>13</v>
      </c>
      <c r="DK17" s="8" t="s">
        <v>113</v>
      </c>
      <c r="DL17" s="55" t="s">
        <v>13</v>
      </c>
      <c r="DM17" s="55" t="s">
        <v>113</v>
      </c>
      <c r="DN17" s="55" t="s">
        <v>15</v>
      </c>
      <c r="DO17" s="55" t="s">
        <v>3</v>
      </c>
      <c r="DP17" s="8"/>
      <c r="DQ17" s="56">
        <f>IFERROR(MATCH(DQ12,DH17:DK17,0),0)</f>
        <v>1</v>
      </c>
      <c r="DR17" s="56">
        <f>IFERROR(MATCH(DR12,DH17:DK17,0),0)</f>
        <v>3</v>
      </c>
      <c r="DS17" s="56">
        <f>IFERROR(MATCH(DS12,DH17:DK17,0),0)</f>
        <v>2</v>
      </c>
      <c r="DT17" s="56">
        <f>IFERROR(MATCH(DT12,DH17:DK17,0),0)</f>
        <v>0</v>
      </c>
      <c r="DU17" s="56">
        <f t="shared" si="22"/>
        <v>6</v>
      </c>
      <c r="DV17" s="8"/>
      <c r="DW17" s="8"/>
      <c r="DX17" s="8"/>
      <c r="EF17" s="233"/>
      <c r="EG17" s="48"/>
      <c r="EH17" s="49" t="str">
        <f>Fixtures!G12</f>
        <v>Slovenia</v>
      </c>
      <c r="EI17" s="50" t="s">
        <v>102</v>
      </c>
      <c r="EJ17" s="49" t="str">
        <f>"'Countries and Timezone'!"&amp;VLOOKUP(Fixtures!P19,EH7:EI38,2,FALSE)</f>
        <v>'Countries and Timezone'!B17</v>
      </c>
      <c r="EL17" s="51">
        <v>45461.75</v>
      </c>
      <c r="EM17" s="52">
        <f>EL17+EK7/24</f>
        <v>45461.75</v>
      </c>
      <c r="EO17" s="54">
        <v>-7.5</v>
      </c>
      <c r="EP17" s="2">
        <v>-8</v>
      </c>
      <c r="EQ17" s="2" t="s">
        <v>527</v>
      </c>
      <c r="ER17" s="2" t="s">
        <v>526</v>
      </c>
    </row>
    <row r="18" spans="1:148" x14ac:dyDescent="0.25">
      <c r="A18" s="2">
        <f>VLOOKUP(B18,CW18:CX22,2,FALSE)</f>
        <v>4</v>
      </c>
      <c r="B18" s="2" t="str">
        <f>'Dummy Table'!EH15</f>
        <v>Serbia</v>
      </c>
      <c r="C18" s="2">
        <f>SUMPRODUCT((CZ3:CZ42=B18)*(DD3:DD42="W"))+SUMPRODUCT((DC3:DC42=B18)*(DE3:DE42="W"))</f>
        <v>0</v>
      </c>
      <c r="D18" s="2">
        <f>SUMPRODUCT((CZ3:CZ42=B18)*(DD3:DD42="D"))+SUMPRODUCT((DC3:DC42=B18)*(DE3:DE42="D"))</f>
        <v>0</v>
      </c>
      <c r="E18" s="2">
        <f>SUMPRODUCT((CZ3:CZ42=B18)*(DD3:DD42="L"))+SUMPRODUCT((DC3:DC42=B18)*(DE3:DE42="L"))</f>
        <v>0</v>
      </c>
      <c r="F18" s="2">
        <f>SUMIF(CZ3:CZ60,B18,DA3:DA60)+SUMIF(DC3:DC60,B18,DB3:DB60)</f>
        <v>0</v>
      </c>
      <c r="G18" s="2">
        <f>SUMIF(DC3:DC60,B18,DA3:DA60)+SUMIF(CZ3:CZ60,B18,DB3:DB60)</f>
        <v>0</v>
      </c>
      <c r="H18" s="2">
        <f t="shared" ref="H18:H21" si="25">F18-G18+1000</f>
        <v>1000</v>
      </c>
      <c r="I18" s="2">
        <f t="shared" ref="I18:I21" si="26">C18*3+D18*1</f>
        <v>0</v>
      </c>
      <c r="J18" s="2">
        <v>35</v>
      </c>
      <c r="K18" s="2">
        <f>IF(COUNTIF(I18:I22,4)&lt;&gt;4,RANK(I18,I18:I22),I58)</f>
        <v>1</v>
      </c>
      <c r="M18" s="2">
        <f>SUMPRODUCT((K18:K21=K18)*(J18:J21&lt;J18))+K18</f>
        <v>1</v>
      </c>
      <c r="N18" s="2" t="str">
        <f>INDEX(B18:B22,MATCH(1,M18:M22,0),0)</f>
        <v>Serbia</v>
      </c>
      <c r="O18" s="2">
        <f>INDEX(K18:K22,MATCH(N18,B18:B22,0),0)</f>
        <v>1</v>
      </c>
      <c r="P18" s="2" t="str">
        <f>IF(O19=1,N18,"")</f>
        <v>Serbia</v>
      </c>
      <c r="Q18" s="2" t="str">
        <f>IF(O20=2,N19,"")</f>
        <v/>
      </c>
      <c r="R18" s="2" t="str">
        <f>IF(O21=3,N20,"")</f>
        <v/>
      </c>
      <c r="S18" s="2" t="str">
        <f>IF(O22=4,N21,"")</f>
        <v/>
      </c>
      <c r="U18" s="2" t="str">
        <f>IF(P18&lt;&gt;"",P18,"")</f>
        <v>Serbia</v>
      </c>
      <c r="V18" s="2">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2">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2">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2">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2">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2">
        <f>Y18-Z18+1000</f>
        <v>1000</v>
      </c>
      <c r="AB18" s="2">
        <f t="shared" ref="AB18:AB21" si="27">IF(U18&lt;&gt;"",V18*3+W18*1,"")</f>
        <v>0</v>
      </c>
      <c r="AC18" s="2">
        <f>IF(U18&lt;&gt;"",VLOOKUP(U18,B4:H40,7,FALSE),"")</f>
        <v>1000</v>
      </c>
      <c r="AD18" s="2">
        <f>IF(U18&lt;&gt;"",VLOOKUP(U18,B4:H40,5,FALSE),"")</f>
        <v>0</v>
      </c>
      <c r="AE18" s="2">
        <f>IF(U18&lt;&gt;"",VLOOKUP(U18,B4:J40,9,FALSE),"")</f>
        <v>35</v>
      </c>
      <c r="AF18" s="2">
        <f t="shared" ref="AF18:AF21" si="28">AB18</f>
        <v>0</v>
      </c>
      <c r="AG18" s="2">
        <f>IF(U18&lt;&gt;"",RANK(AF18,AF18:AF22),"")</f>
        <v>1</v>
      </c>
      <c r="AH18" s="2">
        <f>IF(U18&lt;&gt;"",SUMPRODUCT((AF18:AF22=AF18)*(AA18:AA22&gt;AA18)),"")</f>
        <v>0</v>
      </c>
      <c r="AI18" s="2">
        <f>IF(U18&lt;&gt;"",SUMPRODUCT((AF18:AF22=AF18)*(AA18:AA22=AA18)*(Y18:Y22&gt;Y18)),"")</f>
        <v>0</v>
      </c>
      <c r="AJ18" s="2">
        <f>IF(U18&lt;&gt;"",SUMPRODUCT((AF18:AF22=AF18)*(AA18:AA22=AA18)*(Y18:Y22=Y18)*(AC18:AC22&gt;AC18)),"")</f>
        <v>0</v>
      </c>
      <c r="AK18" s="2">
        <f>IF(U18&lt;&gt;"",SUMPRODUCT((AF18:AF22=AF18)*(AA18:AA22=AA18)*(Y18:Y22=Y18)*(AC18:AC22=AC18)*(AD18:AD22&gt;AD18)),"")</f>
        <v>0</v>
      </c>
      <c r="AL18" s="2">
        <f>IF(U18&lt;&gt;"",SUMPRODUCT((AF18:AF22=AF18)*(AA18:AA22=AA18)*(Y18:Y22=Y18)*(AC18:AC22=AC18)*(AD18:AD22=AD18)*(AE18:AE22&gt;AE18)),"")</f>
        <v>3</v>
      </c>
      <c r="AM18" s="2">
        <f>IF(Matches!C61="© 2024 | journalSHEET.com",IF(U18&lt;&gt;"",IF(AM58&lt;&gt;"",IF(T57=3,AM58,AM58+T57),SUM(AG18:AL18)),""),1)</f>
        <v>4</v>
      </c>
      <c r="AN18" s="2" t="str">
        <f>IF(U18&lt;&gt;"",INDEX(U18:U22,MATCH(1,AM18:AM22,0),0),"")</f>
        <v>England</v>
      </c>
      <c r="CW18" s="2" t="str">
        <f>IF(AN18&lt;&gt;"",AN18,N18)</f>
        <v>England</v>
      </c>
      <c r="CX18" s="2">
        <v>1</v>
      </c>
      <c r="CY18" s="2">
        <v>16</v>
      </c>
      <c r="CZ18" s="2" t="str">
        <f>Fixtures!G22</f>
        <v>Spain</v>
      </c>
      <c r="DA18" s="2">
        <f>IF(AND(Fixtures!H22&lt;&gt;"",Fixtures!I22&lt;&gt;""),Fixtures!H22,0)</f>
        <v>0</v>
      </c>
      <c r="DB18" s="2">
        <f>IF(AND(Fixtures!I22&lt;&gt;"",Fixtures!H22&lt;&gt;""),Fixtures!I22,0)</f>
        <v>0</v>
      </c>
      <c r="DC18" s="2" t="str">
        <f>IF(License!G14="Musa",Fixtures!J22,0)</f>
        <v>Italy</v>
      </c>
      <c r="DD18" s="2" t="str">
        <f>IF(AND(Fixtures!H22&lt;&gt;"",Fixtures!I22&lt;&gt;""),IF(DA18&gt;DB18,"W",IF(DA18=DB18,"D","L")),"")</f>
        <v/>
      </c>
      <c r="DE18" s="2" t="str">
        <f t="shared" si="0"/>
        <v/>
      </c>
      <c r="DH18" s="55" t="s">
        <v>15</v>
      </c>
      <c r="DI18" s="8" t="s">
        <v>3</v>
      </c>
      <c r="DJ18" s="8" t="s">
        <v>108</v>
      </c>
      <c r="DK18" s="8" t="s">
        <v>113</v>
      </c>
      <c r="DL18" s="55" t="s">
        <v>108</v>
      </c>
      <c r="DM18" s="55" t="s">
        <v>113</v>
      </c>
      <c r="DN18" s="55" t="s">
        <v>3</v>
      </c>
      <c r="DO18" s="55" t="s">
        <v>15</v>
      </c>
      <c r="DP18" s="8"/>
      <c r="DQ18" s="56">
        <f>IFERROR(MATCH(DQ12,DH18:DK18,0),0)</f>
        <v>1</v>
      </c>
      <c r="DR18" s="56">
        <f>IFERROR(MATCH(DR12,DH18:DK18,0),0)</f>
        <v>0</v>
      </c>
      <c r="DS18" s="56">
        <f>IFERROR(MATCH(DS12,DH18:DK18,0),0)</f>
        <v>2</v>
      </c>
      <c r="DT18" s="56">
        <f>IFERROR(MATCH(DT12,DH18:DK18,0),0)</f>
        <v>0</v>
      </c>
      <c r="DU18" s="56">
        <f t="shared" si="22"/>
        <v>3</v>
      </c>
      <c r="DV18" s="8"/>
      <c r="DW18" s="8"/>
      <c r="DX18" s="8"/>
      <c r="EF18" s="233"/>
      <c r="EG18" s="48"/>
      <c r="EH18" s="49" t="str">
        <f>Fixtures!J12</f>
        <v>Denmark</v>
      </c>
      <c r="EI18" s="50" t="s">
        <v>103</v>
      </c>
      <c r="EJ18" s="49" t="str">
        <f>"'Countries and Timezone'!"&amp;VLOOKUP(Fixtures!P20,EH7:EI38,2,FALSE)</f>
        <v>'Countries and Timezone'!B15</v>
      </c>
      <c r="EL18" s="51">
        <v>45461.875</v>
      </c>
      <c r="EM18" s="52">
        <f>EL18+EK7/24</f>
        <v>45461.875</v>
      </c>
      <c r="EO18" s="54">
        <v>-7</v>
      </c>
      <c r="EP18" s="2">
        <v>-7</v>
      </c>
      <c r="EQ18" s="2" t="s">
        <v>529</v>
      </c>
      <c r="ER18" s="2" t="s">
        <v>528</v>
      </c>
    </row>
    <row r="19" spans="1:148" x14ac:dyDescent="0.25">
      <c r="A19" s="2">
        <f>VLOOKUP(B19,CW18:CX22,2,FALSE)</f>
        <v>1</v>
      </c>
      <c r="B19" s="2" t="str">
        <f>'Dummy Table'!EH16</f>
        <v>England</v>
      </c>
      <c r="C19" s="2">
        <f>SUMPRODUCT((CZ3:CZ42=B19)*(DD3:DD42="W"))+SUMPRODUCT((DC3:DC42=B19)*(DE3:DE42="W"))</f>
        <v>0</v>
      </c>
      <c r="D19" s="2">
        <f>SUMPRODUCT((CZ3:CZ42=B19)*(DD3:DD42="D"))+SUMPRODUCT((DC3:DC42=B19)*(DE3:DE42="D"))</f>
        <v>0</v>
      </c>
      <c r="E19" s="2">
        <f>SUMPRODUCT((CZ3:CZ42=B19)*(DD3:DD42="L"))+SUMPRODUCT((DC3:DC42=B19)*(DE3:DE42="L"))</f>
        <v>0</v>
      </c>
      <c r="F19" s="2">
        <f>SUMIF(CZ3:CZ60,B19,DA3:DA60)+SUMIF(DC3:DC60,B19,DB3:DB60)</f>
        <v>0</v>
      </c>
      <c r="G19" s="2">
        <f>SUMIF(DC3:DC60,B19,DA3:DA60)+SUMIF(CZ3:CZ60,B19,DB3:DB60)</f>
        <v>0</v>
      </c>
      <c r="H19" s="2">
        <f t="shared" si="25"/>
        <v>1000</v>
      </c>
      <c r="I19" s="2">
        <f t="shared" si="26"/>
        <v>0</v>
      </c>
      <c r="J19" s="2">
        <v>49</v>
      </c>
      <c r="K19" s="2">
        <f>IF(COUNTIF(I18:I22,4)&lt;&gt;4,RANK(I19,I18:I22),I59)</f>
        <v>1</v>
      </c>
      <c r="M19" s="2">
        <f>SUMPRODUCT((K18:K21=K19)*(J18:J21&lt;J19))+K19</f>
        <v>4</v>
      </c>
      <c r="N19" s="2" t="str">
        <f>INDEX(B18:B22,MATCH(2,M18:M22,0),0)</f>
        <v>Slovenia</v>
      </c>
      <c r="O19" s="2">
        <f>INDEX(K18:K22,MATCH(N19,B18:B22,0),0)</f>
        <v>1</v>
      </c>
      <c r="P19" s="2" t="str">
        <f>IF(P18&lt;&gt;"",N19,"")</f>
        <v>Slovenia</v>
      </c>
      <c r="Q19" s="2" t="str">
        <f>IF(Q18&lt;&gt;"",N20,"")</f>
        <v/>
      </c>
      <c r="R19" s="2" t="str">
        <f>IF(R18&lt;&gt;"",N21,"")</f>
        <v/>
      </c>
      <c r="S19" s="2" t="str">
        <f>IF(S18&lt;&gt;"",N22,"")</f>
        <v/>
      </c>
      <c r="U19" s="2" t="str">
        <f t="shared" ref="U19:U21" si="29">IF(P19&lt;&gt;"",P19,"")</f>
        <v>Slovenia</v>
      </c>
      <c r="V19" s="2">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2">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2">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2">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2">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2">
        <f>Y19-Z19+1000</f>
        <v>1000</v>
      </c>
      <c r="AB19" s="2">
        <f t="shared" si="27"/>
        <v>0</v>
      </c>
      <c r="AC19" s="2">
        <f>IF(U19&lt;&gt;"",VLOOKUP(U19,B4:H40,7,FALSE),"")</f>
        <v>1000</v>
      </c>
      <c r="AD19" s="2">
        <f>IF(U19&lt;&gt;"",VLOOKUP(U19,B4:H40,5,FALSE),"")</f>
        <v>0</v>
      </c>
      <c r="AE19" s="2">
        <f>IF(U19&lt;&gt;"",VLOOKUP(U19,B4:J40,9,FALSE),"")</f>
        <v>39</v>
      </c>
      <c r="AF19" s="2">
        <f t="shared" si="28"/>
        <v>0</v>
      </c>
      <c r="AG19" s="2">
        <f>IF(U19&lt;&gt;"",RANK(AF19,AF18:AF22),"")</f>
        <v>1</v>
      </c>
      <c r="AH19" s="2">
        <f>IF(U19&lt;&gt;"",SUMPRODUCT((AF18:AF22=AF19)*(AA18:AA22&gt;AA19)),"")</f>
        <v>0</v>
      </c>
      <c r="AI19" s="2">
        <f>IF(U19&lt;&gt;"",SUMPRODUCT((AF18:AF22=AF19)*(AA18:AA22=AA19)*(Y18:Y22&gt;Y19)),"")</f>
        <v>0</v>
      </c>
      <c r="AJ19" s="2">
        <f>IF(U19&lt;&gt;"",SUMPRODUCT((AF18:AF22=AF19)*(AA18:AA22=AA19)*(Y18:Y22=Y19)*(AC18:AC22&gt;AC19)),"")</f>
        <v>0</v>
      </c>
      <c r="AK19" s="2">
        <f>IF(U19&lt;&gt;"",SUMPRODUCT((AF18:AF22=AF19)*(AA18:AA22=AA19)*(Y18:Y22=Y19)*(AC18:AC22=AC19)*(AD18:AD22&gt;AD19)),"")</f>
        <v>0</v>
      </c>
      <c r="AL19" s="2">
        <f>IF(U19&lt;&gt;"",SUMPRODUCT((AF18:AF22=AF19)*(AA18:AA22=AA19)*(Y18:Y22=Y19)*(AC18:AC22=AC19)*(AD18:AD22=AD19)*(AE18:AE22&gt;AE19)),"")</f>
        <v>2</v>
      </c>
      <c r="AM19" s="2">
        <f>IF(U19&lt;&gt;"",IF(AM59&lt;&gt;"",IF(T57=3,AM59,AM59+T57),SUM(AG19:AL19)),"")</f>
        <v>3</v>
      </c>
      <c r="AN19" s="2" t="str">
        <f>IF(U19&lt;&gt;"",INDEX(U18:U22,MATCH(2,AM18:AM22,0),0),"")</f>
        <v>Denmark</v>
      </c>
      <c r="AO19" s="2" t="str">
        <f>IF(Q18&lt;&gt;"",Q18,"")</f>
        <v/>
      </c>
      <c r="AP19" s="2">
        <f>SUMPRODUCT((CZ3:CZ42=AO19)*(DC3:DC42=AO20)*(DD3:DD42="W"))+SUMPRODUCT((CZ3:CZ42=AO19)*(DC3:DC42=AO21)*(DD3:DD42="W"))+SUMPRODUCT((CZ3:CZ42=AO19)*(DC3:DC42=AO22)*(DD3:DD42="W"))+SUMPRODUCT((CZ3:CZ42=AO20)*(DC3:DC42=AO19)*(DE3:DE42="W"))+SUMPRODUCT((CZ3:CZ42=AO21)*(DC3:DC42=AO19)*(DE3:DE42="W"))+SUMPRODUCT((CZ3:CZ42=AO22)*(DC3:DC42=AO19)*(DE3:DE42="W"))</f>
        <v>0</v>
      </c>
      <c r="AQ19" s="2">
        <f>SUMPRODUCT((CZ3:CZ42=AO19)*(DC3:DC42=AO20)*(DD3:DD42="D"))+SUMPRODUCT((CZ3:CZ42=AO19)*(DC3:DC42=AO21)*(DD3:DD42="D"))+SUMPRODUCT((CZ3:CZ42=AO19)*(DC3:DC42=AO22)*(DD3:DD42="D"))+SUMPRODUCT((CZ3:CZ42=AO20)*(DC3:DC42=AO19)*(DD3:DD42="D"))+SUMPRODUCT((CZ3:CZ42=AO21)*(DC3:DC42=AO19)*(DD3:DD42="D"))+SUMPRODUCT((CZ3:CZ42=AO22)*(DC3:DC42=AO19)*(DD3:DD42="D"))</f>
        <v>0</v>
      </c>
      <c r="AR19" s="2">
        <f>SUMPRODUCT((CZ3:CZ42=AO19)*(DC3:DC42=AO20)*(DD3:DD42="L"))+SUMPRODUCT((CZ3:CZ42=AO19)*(DC3:DC42=AO21)*(DD3:DD42="L"))+SUMPRODUCT((CZ3:CZ42=AO19)*(DC3:DC42=AO22)*(DD3:DD42="L"))+SUMPRODUCT((CZ3:CZ42=AO20)*(DC3:DC42=AO19)*(DE3:DE42="L"))+SUMPRODUCT((CZ3:CZ42=AO21)*(DC3:DC42=AO19)*(DE3:DE42="L"))+SUMPRODUCT((CZ3:CZ42=AO22)*(DC3:DC42=AO19)*(DE3:DE42="L"))</f>
        <v>0</v>
      </c>
      <c r="AS19" s="2">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0</v>
      </c>
      <c r="AT19" s="2">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0</v>
      </c>
      <c r="AU19" s="2">
        <f>AS19-AT19+1000</f>
        <v>1000</v>
      </c>
      <c r="AV19" s="2" t="str">
        <f t="shared" ref="AV19:AV21" si="30">IF(AO19&lt;&gt;"",AP19*3+AQ19*1,"")</f>
        <v/>
      </c>
      <c r="AW19" s="2" t="str">
        <f>IF(AO19&lt;&gt;"",VLOOKUP(AO19,B4:H40,7,FALSE),"")</f>
        <v/>
      </c>
      <c r="AX19" s="2" t="str">
        <f>IF(AO19&lt;&gt;"",VLOOKUP(AO19,B4:H40,5,FALSE),"")</f>
        <v/>
      </c>
      <c r="AY19" s="2" t="str">
        <f>IF(AO19&lt;&gt;"",VLOOKUP(AO19,B4:J40,9,FALSE),"")</f>
        <v/>
      </c>
      <c r="AZ19" s="2" t="str">
        <f t="shared" ref="AZ19:AZ21" si="31">AV19</f>
        <v/>
      </c>
      <c r="BA19" s="2" t="str">
        <f>IF(AO19&lt;&gt;"",RANK(AZ19,AZ18:AZ22),"")</f>
        <v/>
      </c>
      <c r="BB19" s="2" t="str">
        <f>IF(AO19&lt;&gt;"",SUMPRODUCT((AZ18:AZ22=AZ19)*(AU18:AU22&gt;AU19)),"")</f>
        <v/>
      </c>
      <c r="BC19" s="2" t="str">
        <f>IF(AO19&lt;&gt;"",SUMPRODUCT((AZ18:AZ22=AZ19)*(AU18:AU22=AU19)*(AS18:AS22&gt;AS19)),"")</f>
        <v/>
      </c>
      <c r="BD19" s="2" t="str">
        <f>IF(AO19&lt;&gt;"",SUMPRODUCT((AZ18:AZ22=AZ19)*(AU18:AU22=AU19)*(AS18:AS22=AS19)*(AW18:AW22&gt;AW19)),"")</f>
        <v/>
      </c>
      <c r="BE19" s="2" t="str">
        <f>IF(AO19&lt;&gt;"",SUMPRODUCT((AZ18:AZ22=AZ19)*(AU18:AU22=AU19)*(AS18:AS22=AS19)*(AW18:AW22=AW19)*(AX18:AX22&gt;AX19)),"")</f>
        <v/>
      </c>
      <c r="BF19" s="2" t="str">
        <f>IF(AO19&lt;&gt;"",SUMPRODUCT((AZ18:AZ22=AZ19)*(AU18:AU22=AU19)*(AS18:AS22=AS19)*(AW18:AW22=AW19)*(AX18:AX22=AX19)*(AY18:AY22&gt;AY19)),"")</f>
        <v/>
      </c>
      <c r="BG19" s="2" t="str">
        <f>IF(AO19&lt;&gt;"",IF(BG59&lt;&gt;"",IF(AN57=3,BG59,BG59+AN57),SUM(BA19:BF19)+1),"")</f>
        <v/>
      </c>
      <c r="BH19" s="2" t="str">
        <f>IF(AO19&lt;&gt;"",INDEX(AO19:AO22,MATCH(2,BG19:BG22,0),0),"")</f>
        <v/>
      </c>
      <c r="CW19" s="2" t="str">
        <f>IF(BH19&lt;&gt;"",BH19,IF(AN19&lt;&gt;"",AN19,N19))</f>
        <v>Denmark</v>
      </c>
      <c r="CX19" s="2">
        <v>2</v>
      </c>
      <c r="CY19" s="2">
        <v>17</v>
      </c>
      <c r="CZ19" s="2" t="str">
        <f>Fixtures!G23</f>
        <v>Denmark</v>
      </c>
      <c r="DA19" s="2">
        <f>IF(AND(Fixtures!H23&lt;&gt;"",Fixtures!I23&lt;&gt;""),Fixtures!H23,0)</f>
        <v>0</v>
      </c>
      <c r="DB19" s="2">
        <f>IF(AND(Fixtures!I23&lt;&gt;"",Fixtures!H23&lt;&gt;""),Fixtures!I23,0)</f>
        <v>0</v>
      </c>
      <c r="DC19" s="2" t="str">
        <f>Fixtures!J23</f>
        <v>England</v>
      </c>
      <c r="DD19" s="2" t="str">
        <f>IF(AND(Fixtures!H23&lt;&gt;"",Fixtures!I23&lt;&gt;""),IF(DA19&gt;DB19,"W",IF(DA19=DB19,"D","L")),"")</f>
        <v/>
      </c>
      <c r="DE19" s="2" t="str">
        <f t="shared" si="0"/>
        <v/>
      </c>
      <c r="DH19" s="55" t="s">
        <v>15</v>
      </c>
      <c r="DI19" s="8" t="s">
        <v>4</v>
      </c>
      <c r="DJ19" s="8" t="s">
        <v>13</v>
      </c>
      <c r="DK19" s="8" t="s">
        <v>108</v>
      </c>
      <c r="DL19" s="55" t="s">
        <v>108</v>
      </c>
      <c r="DM19" s="55" t="s">
        <v>13</v>
      </c>
      <c r="DN19" s="55" t="s">
        <v>4</v>
      </c>
      <c r="DO19" s="55" t="s">
        <v>15</v>
      </c>
      <c r="DP19" s="8"/>
      <c r="DQ19" s="56">
        <f>IFERROR(MATCH(DQ12,DH19:DK19,0),0)</f>
        <v>1</v>
      </c>
      <c r="DR19" s="56">
        <f>IFERROR(MATCH(DR12,DH19:DK19,0),0)</f>
        <v>3</v>
      </c>
      <c r="DS19" s="56">
        <f>IFERROR(MATCH(DS12,DH19:DK19,0),0)</f>
        <v>0</v>
      </c>
      <c r="DT19" s="56">
        <f>IFERROR(MATCH(DT12,DH19:DK19,0),0)</f>
        <v>2</v>
      </c>
      <c r="DU19" s="56">
        <f t="shared" si="22"/>
        <v>6</v>
      </c>
      <c r="DV19" s="8"/>
      <c r="DW19" s="8"/>
      <c r="DX19" s="8"/>
      <c r="EF19" s="233" t="s">
        <v>13</v>
      </c>
      <c r="EG19" s="48"/>
      <c r="EH19" s="49" t="str">
        <f>Fixtures!G13</f>
        <v>Poland</v>
      </c>
      <c r="EI19" s="50" t="s">
        <v>104</v>
      </c>
      <c r="EJ19" s="49" t="str">
        <f>"'Countries and Timezone'!"&amp;VLOOKUP(Fixtures!P22,EH7:EI38,2,FALSE)</f>
        <v>'Countries and Timezone'!B22</v>
      </c>
      <c r="EL19" s="51">
        <v>45462.875</v>
      </c>
      <c r="EM19" s="52">
        <f>EL19+EK7/24</f>
        <v>45462.875</v>
      </c>
      <c r="EO19" s="54">
        <v>-6.5</v>
      </c>
      <c r="EP19" s="2">
        <v>-7</v>
      </c>
      <c r="EQ19" s="2" t="s">
        <v>531</v>
      </c>
      <c r="ER19" s="2" t="s">
        <v>530</v>
      </c>
    </row>
    <row r="20" spans="1:148" x14ac:dyDescent="0.25">
      <c r="A20" s="2">
        <f>VLOOKUP(B20,CW18:CX22,2,FALSE)</f>
        <v>3</v>
      </c>
      <c r="B20" s="2" t="str">
        <f>'Dummy Table'!EH17</f>
        <v>Slovenia</v>
      </c>
      <c r="C20" s="2">
        <f>SUMPRODUCT((CZ3:CZ42=B20)*(DD3:DD42="W"))+SUMPRODUCT((DC3:DC42=B20)*(DE3:DE42="W"))</f>
        <v>0</v>
      </c>
      <c r="D20" s="2">
        <f>SUMPRODUCT((CZ3:CZ42=B20)*(DD3:DD42="D"))+SUMPRODUCT((DC3:DC42=B20)*(DE3:DE42="D"))</f>
        <v>0</v>
      </c>
      <c r="E20" s="2">
        <f>SUMPRODUCT((CZ3:CZ42=B20)*(DD3:DD42="L"))+SUMPRODUCT((DC3:DC42=B20)*(DE3:DE42="L"))</f>
        <v>0</v>
      </c>
      <c r="F20" s="2">
        <f>SUMIF(CZ3:CZ60,B20,DA3:DA60)+SUMIF(DC3:DC60,B20,DB3:DB60)</f>
        <v>0</v>
      </c>
      <c r="G20" s="2">
        <f>SUMIF(DC3:DC60,B20,DA3:DA60)+SUMIF(CZ3:CZ60,B20,DB3:DB60)</f>
        <v>0</v>
      </c>
      <c r="H20" s="2">
        <f t="shared" si="25"/>
        <v>1000</v>
      </c>
      <c r="I20" s="2">
        <f t="shared" si="26"/>
        <v>0</v>
      </c>
      <c r="J20" s="2">
        <v>39</v>
      </c>
      <c r="K20" s="2">
        <f>IF(COUNTIF(I18:I22,4)&lt;&gt;4,RANK(I20,I18:I22),I60)</f>
        <v>1</v>
      </c>
      <c r="M20" s="2">
        <f>SUMPRODUCT((K18:K21=K20)*(J18:J21&lt;J20))+K20</f>
        <v>2</v>
      </c>
      <c r="N20" s="2" t="str">
        <f>INDEX(B18:B22,MATCH(3,M18:M22,0),0)</f>
        <v>Denmark</v>
      </c>
      <c r="O20" s="2">
        <f>INDEX(K18:K22,MATCH(N20,B18:B22,0),0)</f>
        <v>1</v>
      </c>
      <c r="P20" s="2" t="str">
        <f>IF(AND(P19&lt;&gt;"",O20=1),N20,"")</f>
        <v>Denmark</v>
      </c>
      <c r="Q20" s="2" t="str">
        <f>IF(AND(Q19&lt;&gt;"",O21=2),N21,"")</f>
        <v/>
      </c>
      <c r="R20" s="2" t="str">
        <f>IF(AND(R19&lt;&gt;"",O22=3),N22,"")</f>
        <v/>
      </c>
      <c r="U20" s="2" t="str">
        <f t="shared" si="29"/>
        <v>Denmark</v>
      </c>
      <c r="V20" s="2">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2">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2">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2">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2">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2">
        <f>Y20-Z20+1000</f>
        <v>1000</v>
      </c>
      <c r="AB20" s="2">
        <f t="shared" si="27"/>
        <v>0</v>
      </c>
      <c r="AC20" s="2">
        <f>IF(U20&lt;&gt;"",VLOOKUP(U20,B4:H40,7,FALSE),"")</f>
        <v>1000</v>
      </c>
      <c r="AD20" s="2">
        <f>IF(U20&lt;&gt;"",VLOOKUP(U20,B4:H40,5,FALSE),"")</f>
        <v>0</v>
      </c>
      <c r="AE20" s="2">
        <f>IF(U20&lt;&gt;"",VLOOKUP(U20,B4:J40,9,FALSE),"")</f>
        <v>45</v>
      </c>
      <c r="AF20" s="2">
        <f t="shared" si="28"/>
        <v>0</v>
      </c>
      <c r="AG20" s="2">
        <f>IF(U20&lt;&gt;"",RANK(AF20,AF18:AF22),"")</f>
        <v>1</v>
      </c>
      <c r="AH20" s="2">
        <f>IF(U20&lt;&gt;"",SUMPRODUCT((AF18:AF22=AF20)*(AA18:AA22&gt;AA20)),"")</f>
        <v>0</v>
      </c>
      <c r="AI20" s="2">
        <f>IF(U20&lt;&gt;"",SUMPRODUCT((AF18:AF22=AF20)*(AA18:AA22=AA20)*(Y18:Y22&gt;Y20)),"")</f>
        <v>0</v>
      </c>
      <c r="AJ20" s="2">
        <f>IF(U20&lt;&gt;"",SUMPRODUCT((AF18:AF22=AF20)*(AA18:AA22=AA20)*(Y18:Y22=Y20)*(AC18:AC22&gt;AC20)),"")</f>
        <v>0</v>
      </c>
      <c r="AK20" s="2">
        <f>IF(U20&lt;&gt;"",SUMPRODUCT((AF18:AF22=AF20)*(AA18:AA22=AA20)*(Y18:Y22=Y20)*(AC18:AC22=AC20)*(AD18:AD22&gt;AD20)),"")</f>
        <v>0</v>
      </c>
      <c r="AL20" s="2">
        <f>IF(U20&lt;&gt;"",SUMPRODUCT((AF18:AF22=AF20)*(AA18:AA22=AA20)*(Y18:Y22=Y20)*(AC18:AC22=AC20)*(AD18:AD22=AD20)*(AE18:AE22&gt;AE20)),"")</f>
        <v>1</v>
      </c>
      <c r="AM20" s="2">
        <f>IF(U20&lt;&gt;"",IF(AM60&lt;&gt;"",IF(T57=3,AM60,AM60+T57),SUM(AG20:AL20)),"")</f>
        <v>2</v>
      </c>
      <c r="AN20" s="2" t="str">
        <f>IF(U20&lt;&gt;"",INDEX(U18:U22,MATCH(3,AM18:AM22,0),0),"")</f>
        <v>Slovenia</v>
      </c>
      <c r="AO20" s="2" t="str">
        <f>IF(Q19&lt;&gt;"",Q19,"")</f>
        <v/>
      </c>
      <c r="AP20" s="2">
        <f>SUMPRODUCT((CZ3:CZ42=AO20)*(DC3:DC42=AO21)*(DD3:DD42="W"))+SUMPRODUCT((CZ3:CZ42=AO20)*(DC3:DC42=AO22)*(DD3:DD42="W"))+SUMPRODUCT((CZ3:CZ42=AO20)*(DC3:DC42=AO19)*(DD3:DD42="W"))+SUMPRODUCT((CZ3:CZ42=AO21)*(DC3:DC42=AO20)*(DE3:DE42="W"))+SUMPRODUCT((CZ3:CZ42=AO22)*(DC3:DC42=AO20)*(DE3:DE42="W"))+SUMPRODUCT((CZ3:CZ42=AO19)*(DC3:DC42=AO20)*(DE3:DE42="W"))</f>
        <v>0</v>
      </c>
      <c r="AQ20" s="2">
        <f>SUMPRODUCT((CZ3:CZ42=AO20)*(DC3:DC42=AO21)*(DD3:DD42="D"))+SUMPRODUCT((CZ3:CZ42=AO20)*(DC3:DC42=AO22)*(DD3:DD42="D"))+SUMPRODUCT((CZ3:CZ42=AO20)*(DC3:DC42=AO19)*(DD3:DD42="D"))+SUMPRODUCT((CZ3:CZ42=AO21)*(DC3:DC42=AO20)*(DD3:DD42="D"))+SUMPRODUCT((CZ3:CZ42=AO22)*(DC3:DC42=AO20)*(DD3:DD42="D"))+SUMPRODUCT((CZ3:CZ42=AO19)*(DC3:DC42=AO20)*(DD3:DD42="D"))</f>
        <v>0</v>
      </c>
      <c r="AR20" s="2">
        <f>SUMPRODUCT((CZ3:CZ42=AO20)*(DC3:DC42=AO21)*(DD3:DD42="L"))+SUMPRODUCT((CZ3:CZ42=AO20)*(DC3:DC42=AO22)*(DD3:DD42="L"))+SUMPRODUCT((CZ3:CZ42=AO20)*(DC3:DC42=AO19)*(DD3:DD42="L"))+SUMPRODUCT((CZ3:CZ42=AO21)*(DC3:DC42=AO20)*(DE3:DE42="L"))+SUMPRODUCT((CZ3:CZ42=AO22)*(DC3:DC42=AO20)*(DE3:DE42="L"))+SUMPRODUCT((CZ3:CZ42=AO19)*(DC3:DC42=AO20)*(DE3:DE42="L"))</f>
        <v>0</v>
      </c>
      <c r="AS20" s="2">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0</v>
      </c>
      <c r="AT20" s="2">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0</v>
      </c>
      <c r="AU20" s="2">
        <f>AS20-AT20+1000</f>
        <v>1000</v>
      </c>
      <c r="AV20" s="2" t="str">
        <f t="shared" si="30"/>
        <v/>
      </c>
      <c r="AW20" s="2" t="str">
        <f>IF(AO20&lt;&gt;"",VLOOKUP(AO20,B4:H40,7,FALSE),"")</f>
        <v/>
      </c>
      <c r="AX20" s="2" t="str">
        <f>IF(AO20&lt;&gt;"",VLOOKUP(AO20,B4:H40,5,FALSE),"")</f>
        <v/>
      </c>
      <c r="AY20" s="2" t="str">
        <f>IF(AO20&lt;&gt;"",VLOOKUP(AO20,B4:J40,9,FALSE),"")</f>
        <v/>
      </c>
      <c r="AZ20" s="2" t="str">
        <f t="shared" si="31"/>
        <v/>
      </c>
      <c r="BA20" s="2" t="str">
        <f>IF(AO20&lt;&gt;"",RANK(AZ20,AZ18:AZ22),"")</f>
        <v/>
      </c>
      <c r="BB20" s="2" t="str">
        <f>IF(AO20&lt;&gt;"",SUMPRODUCT((AZ18:AZ22=AZ20)*(AU18:AU22&gt;AU20)),"")</f>
        <v/>
      </c>
      <c r="BC20" s="2" t="str">
        <f>IF(AO20&lt;&gt;"",SUMPRODUCT((AZ18:AZ22=AZ20)*(AU18:AU22=AU20)*(AS18:AS22&gt;AS20)),"")</f>
        <v/>
      </c>
      <c r="BD20" s="2" t="str">
        <f>IF(AO20&lt;&gt;"",SUMPRODUCT((AZ18:AZ22=AZ20)*(AU18:AU22=AU20)*(AS18:AS22=AS20)*(AW18:AW22&gt;AW20)),"")</f>
        <v/>
      </c>
      <c r="BE20" s="2" t="str">
        <f>IF(AO20&lt;&gt;"",SUMPRODUCT((AZ18:AZ22=AZ20)*(AU18:AU22=AU20)*(AS18:AS22=AS20)*(AW18:AW22=AW20)*(AX18:AX22&gt;AX20)),"")</f>
        <v/>
      </c>
      <c r="BF20" s="2" t="str">
        <f>IF(AO20&lt;&gt;"",SUMPRODUCT((AZ18:AZ22=AZ20)*(AU18:AU22=AU20)*(AS18:AS22=AS20)*(AW18:AW22=AW20)*(AX18:AX22=AX20)*(AY18:AY22&gt;AY20)),"")</f>
        <v/>
      </c>
      <c r="BG20" s="2" t="str">
        <f>IF(AO20&lt;&gt;"",IF(BG60&lt;&gt;"",IF(AN57=3,BG60,BG60+AN57),SUM(BA20:BF20)+1),"")</f>
        <v/>
      </c>
      <c r="BH20" s="2" t="str">
        <f>IF(AO20&lt;&gt;"",INDEX(AO19:AO22,MATCH(3,BG19:BG22,0),0),"")</f>
        <v/>
      </c>
      <c r="BI20" s="2" t="str">
        <f>IF(R18&lt;&gt;"",R18,"")</f>
        <v/>
      </c>
      <c r="BJ20" s="2">
        <f>SUMPRODUCT((CZ3:CZ42=BI20)*(DC3:DC42=BI21)*(DD3:DD42="W"))+SUMPRODUCT((CZ3:CZ42=BI20)*(DC3:DC42=BI22)*(DD3:DD42="W"))+SUMPRODUCT((CZ3:CZ42=BI20)*(DC3:DC42=BI23)*(DD3:DD42="W"))+SUMPRODUCT((CZ3:CZ42=BI21)*(DC3:DC42=BI20)*(DE3:DE42="W"))+SUMPRODUCT((CZ3:CZ42=BI22)*(DC3:DC42=BI20)*(DE3:DE42="W"))+SUMPRODUCT((CZ3:CZ42=BI23)*(DC3:DC42=BI20)*(DE3:DE42="W"))</f>
        <v>0</v>
      </c>
      <c r="BK20" s="2">
        <f>SUMPRODUCT((CZ3:CZ42=BI20)*(DC3:DC42=BI21)*(DD3:DD42="D"))+SUMPRODUCT((CZ3:CZ42=BI20)*(DC3:DC42=BI22)*(DD3:DD42="D"))+SUMPRODUCT((CZ3:CZ42=BI20)*(DC3:DC42=BI23)*(DD3:DD42="D"))+SUMPRODUCT((CZ3:CZ42=BI21)*(DC3:DC42=BI20)*(DD3:DD42="D"))+SUMPRODUCT((CZ3:CZ42=BI22)*(DC3:DC42=BI20)*(DD3:DD42="D"))+SUMPRODUCT((CZ3:CZ42=BI23)*(DC3:DC42=BI20)*(DD3:DD42="D"))</f>
        <v>0</v>
      </c>
      <c r="BL20" s="2">
        <f>SUMPRODUCT((CZ3:CZ42=BI20)*(DC3:DC42=BI21)*(DD3:DD42="L"))+SUMPRODUCT((CZ3:CZ42=BI20)*(DC3:DC42=BI22)*(DD3:DD42="L"))+SUMPRODUCT((CZ3:CZ42=BI20)*(DC3:DC42=BI23)*(DD3:DD42="L"))+SUMPRODUCT((CZ3:CZ42=BI21)*(DC3:DC42=BI20)*(DE3:DE42="L"))+SUMPRODUCT((CZ3:CZ42=BI22)*(DC3:DC42=BI20)*(DE3:DE42="L"))+SUMPRODUCT((CZ3:CZ42=BI23)*(DC3:DC42=BI20)*(DE3:DE42="L"))</f>
        <v>0</v>
      </c>
      <c r="BM20" s="2">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2">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2">
        <f>BM20-BN20+1000</f>
        <v>1000</v>
      </c>
      <c r="BP20" s="2" t="str">
        <f t="shared" ref="BP20:BP21" si="32">IF(BI20&lt;&gt;"",BJ20*3+BK20*1,"")</f>
        <v/>
      </c>
      <c r="BQ20" s="2" t="str">
        <f>IF(BI20&lt;&gt;"",VLOOKUP(BI20,B4:H40,7,FALSE),"")</f>
        <v/>
      </c>
      <c r="BR20" s="2" t="str">
        <f>IF(BI20&lt;&gt;"",VLOOKUP(BI20,B4:H40,5,FALSE),"")</f>
        <v/>
      </c>
      <c r="BS20" s="2" t="str">
        <f>IF(BI20&lt;&gt;"",VLOOKUP(BI20,B4:J40,9,FALSE),"")</f>
        <v/>
      </c>
      <c r="BT20" s="2" t="str">
        <f t="shared" ref="BT20:BT21" si="33">BP20</f>
        <v/>
      </c>
      <c r="BU20" s="2" t="str">
        <f>IF(BI20&lt;&gt;"",RANK(BT20,BT18:BT22),"")</f>
        <v/>
      </c>
      <c r="BV20" s="2" t="str">
        <f>IF(BI20&lt;&gt;"",SUMPRODUCT((BT18:BT22=BT20)*(BO18:BO22&gt;BO20)),"")</f>
        <v/>
      </c>
      <c r="BW20" s="2" t="str">
        <f>IF(BI20&lt;&gt;"",SUMPRODUCT((BT18:BT22=BT20)*(BO18:BO22=BO20)*(BM18:BM22&gt;BM20)),"")</f>
        <v/>
      </c>
      <c r="BX20" s="2" t="str">
        <f>IF(BI20&lt;&gt;"",SUMPRODUCT((BT18:BT22=BT20)*(BO18:BO22=BO20)*(BM18:BM22=BM20)*(BQ18:BQ22&gt;BQ20)),"")</f>
        <v/>
      </c>
      <c r="BY20" s="2" t="str">
        <f>IF(BI20&lt;&gt;"",SUMPRODUCT((BT18:BT22=BT20)*(BO18:BO22=BO20)*(BM18:BM22=BM20)*(BQ18:BQ22=BQ20)*(BR18:BR22&gt;BR20)),"")</f>
        <v/>
      </c>
      <c r="BZ20" s="2" t="str">
        <f>IF(BI20&lt;&gt;"",SUMPRODUCT((BT18:BT22=BT20)*(BO18:BO22=BO20)*(BM18:BM22=BM20)*(BQ18:BQ22=BQ20)*(BR18:BR22=BR20)*(BS18:BS22&gt;BS20)),"")</f>
        <v/>
      </c>
      <c r="CA20" s="2" t="str">
        <f>IF(BI20&lt;&gt;"",SUM(BU20:BZ20)+2,"")</f>
        <v/>
      </c>
      <c r="CB20" s="2" t="str">
        <f>IF(BI20&lt;&gt;"",INDEX(BI20:BI22,MATCH(3,CA20:CA22,0),0),"")</f>
        <v/>
      </c>
      <c r="CW20" s="2" t="str">
        <f>IF(CB20&lt;&gt;"",CB20,IF(BH20&lt;&gt;"",BH20,IF(AN20&lt;&gt;"",AN20,N20)))</f>
        <v>Slovenia</v>
      </c>
      <c r="CX20" s="2">
        <v>3</v>
      </c>
      <c r="CY20" s="2">
        <v>18</v>
      </c>
      <c r="CZ20" s="2" t="str">
        <f>Fixtures!G24</f>
        <v>Slovenia</v>
      </c>
      <c r="DA20" s="2">
        <f>IF(AND(Fixtures!H24&lt;&gt;"",Fixtures!I24&lt;&gt;""),Fixtures!H24,0)</f>
        <v>0</v>
      </c>
      <c r="DB20" s="2">
        <f>IF(AND(Fixtures!I24&lt;&gt;"",Fixtures!H24&lt;&gt;""),Fixtures!I24,0)</f>
        <v>0</v>
      </c>
      <c r="DC20" s="2" t="str">
        <f>Fixtures!J24</f>
        <v>Serbia</v>
      </c>
      <c r="DD20" s="2" t="str">
        <f>IF(AND(Fixtures!H24&lt;&gt;"",Fixtures!I24&lt;&gt;""),IF(DA20&gt;DB20,"W",IF(DA20=DB20,"D","L")),"")</f>
        <v/>
      </c>
      <c r="DE20" s="2" t="str">
        <f t="shared" si="0"/>
        <v/>
      </c>
      <c r="DH20" s="55" t="s">
        <v>15</v>
      </c>
      <c r="DI20" s="8" t="s">
        <v>4</v>
      </c>
      <c r="DJ20" s="8" t="s">
        <v>13</v>
      </c>
      <c r="DK20" s="8" t="s">
        <v>113</v>
      </c>
      <c r="DL20" s="55" t="s">
        <v>113</v>
      </c>
      <c r="DM20" s="55" t="s">
        <v>13</v>
      </c>
      <c r="DN20" s="55" t="s">
        <v>4</v>
      </c>
      <c r="DO20" s="55" t="s">
        <v>15</v>
      </c>
      <c r="DP20" s="8"/>
      <c r="DQ20" s="56">
        <f>IFERROR(MATCH(DQ12,DH20:DK20,0),0)</f>
        <v>1</v>
      </c>
      <c r="DR20" s="56">
        <f>IFERROR(MATCH(DR12,DH20:DK20,0),0)</f>
        <v>3</v>
      </c>
      <c r="DS20" s="56">
        <f>IFERROR(MATCH(DS12,DH20:DK20,0),0)</f>
        <v>0</v>
      </c>
      <c r="DT20" s="56">
        <f>IFERROR(MATCH(DT12,DH20:DK20,0),0)</f>
        <v>2</v>
      </c>
      <c r="DU20" s="56">
        <f t="shared" si="22"/>
        <v>6</v>
      </c>
      <c r="DV20" s="8"/>
      <c r="DW20" s="8"/>
      <c r="DX20" s="8"/>
      <c r="EF20" s="233"/>
      <c r="EG20" s="48"/>
      <c r="EH20" s="49" t="str">
        <f>Fixtures!J13</f>
        <v>Netherlands</v>
      </c>
      <c r="EI20" s="50" t="s">
        <v>105</v>
      </c>
      <c r="EJ20" s="49" t="str">
        <f>"'Countries and Timezone'!"&amp;VLOOKUP(Fixtures!P23,EH7:EI38,2,FALSE)</f>
        <v>'Countries and Timezone'!B20</v>
      </c>
      <c r="EL20" s="51">
        <v>45462.75</v>
      </c>
      <c r="EM20" s="52">
        <f>EL20+EK7/24</f>
        <v>45462.75</v>
      </c>
      <c r="EO20" s="54">
        <v>-6</v>
      </c>
      <c r="EP20" s="2">
        <v>-7</v>
      </c>
      <c r="EQ20" s="2" t="s">
        <v>533</v>
      </c>
      <c r="ER20" s="2" t="s">
        <v>532</v>
      </c>
    </row>
    <row r="21" spans="1:148" x14ac:dyDescent="0.25">
      <c r="A21" s="2">
        <f>VLOOKUP(B21,CW18:CX22,2,FALSE)</f>
        <v>2</v>
      </c>
      <c r="B21" s="2" t="str">
        <f>'Dummy Table'!EH18</f>
        <v>Denmark</v>
      </c>
      <c r="C21" s="2">
        <f>SUMPRODUCT((CZ3:CZ42=B21)*(DD3:DD42="W"))+SUMPRODUCT((DC3:DC42=B21)*(DE3:DE42="W"))</f>
        <v>0</v>
      </c>
      <c r="D21" s="2">
        <f>SUMPRODUCT((CZ3:CZ42=B21)*(DD3:DD42="D"))+SUMPRODUCT((DC3:DC42=B21)*(DE3:DE42="D"))</f>
        <v>0</v>
      </c>
      <c r="E21" s="2">
        <f>SUMPRODUCT((CZ3:CZ42=B21)*(DD3:DD42="L"))+SUMPRODUCT((DC3:DC42=B21)*(DE3:DE42="L"))</f>
        <v>0</v>
      </c>
      <c r="F21" s="2">
        <f>SUMIF(CZ3:CZ60,B21,DA3:DA60)+SUMIF(DC3:DC60,B21,DB3:DB60)</f>
        <v>0</v>
      </c>
      <c r="G21" s="2">
        <f>SUMIF(DC3:DC60,B21,DA3:DA60)+SUMIF(CZ3:CZ60,B21,DB3:DB60)</f>
        <v>0</v>
      </c>
      <c r="H21" s="2">
        <f t="shared" si="25"/>
        <v>1000</v>
      </c>
      <c r="I21" s="2">
        <f t="shared" si="26"/>
        <v>0</v>
      </c>
      <c r="J21" s="2">
        <v>45</v>
      </c>
      <c r="K21" s="2">
        <f>IF(COUNTIF(I18:I22,4)&lt;&gt;4,RANK(I21,I18:I22),I61)</f>
        <v>1</v>
      </c>
      <c r="M21" s="2">
        <f>SUMPRODUCT((K18:K21=K21)*(J18:J21&lt;J21))+K21</f>
        <v>3</v>
      </c>
      <c r="N21" s="2" t="str">
        <f>INDEX(B18:B22,MATCH(4,M18:M22,0),0)</f>
        <v>England</v>
      </c>
      <c r="O21" s="2">
        <f>INDEX(K18:K22,MATCH(N21,B18:B22,0),0)</f>
        <v>1</v>
      </c>
      <c r="P21" s="2" t="str">
        <f>IF(AND(P20&lt;&gt;"",O21=1),N21,"")</f>
        <v>England</v>
      </c>
      <c r="Q21" s="2" t="str">
        <f>IF(AND(Q20&lt;&gt;"",O22=2),N22,"")</f>
        <v/>
      </c>
      <c r="U21" s="2" t="str">
        <f t="shared" si="29"/>
        <v>England</v>
      </c>
      <c r="V21" s="2">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2">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2">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2">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2">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2">
        <f>Y21-Z21+1000</f>
        <v>1000</v>
      </c>
      <c r="AB21" s="2">
        <f t="shared" si="27"/>
        <v>0</v>
      </c>
      <c r="AC21" s="2">
        <f>IF(U21&lt;&gt;"",VLOOKUP(U21,B4:H40,7,FALSE),"")</f>
        <v>1000</v>
      </c>
      <c r="AD21" s="2">
        <f>IF(U21&lt;&gt;"",VLOOKUP(U21,B4:H40,5,FALSE),"")</f>
        <v>0</v>
      </c>
      <c r="AE21" s="2">
        <f>IF(U21&lt;&gt;"",VLOOKUP(U21,B4:J40,9,FALSE),"")</f>
        <v>49</v>
      </c>
      <c r="AF21" s="2">
        <f t="shared" si="28"/>
        <v>0</v>
      </c>
      <c r="AG21" s="2">
        <f>IF(U21&lt;&gt;"",RANK(AF21,AF18:AF22),"")</f>
        <v>1</v>
      </c>
      <c r="AH21" s="2">
        <f>IF(U21&lt;&gt;"",SUMPRODUCT((AF18:AF22=AF21)*(AA18:AA22&gt;AA21)),"")</f>
        <v>0</v>
      </c>
      <c r="AI21" s="2">
        <f>IF(U21&lt;&gt;"",SUMPRODUCT((AF18:AF22=AF21)*(AA18:AA22=AA21)*(Y18:Y22&gt;Y21)),"")</f>
        <v>0</v>
      </c>
      <c r="AJ21" s="2">
        <f>IF(U21&lt;&gt;"",SUMPRODUCT((AF18:AF22=AF21)*(AA18:AA22=AA21)*(Y18:Y22=Y21)*(AC18:AC22&gt;AC21)),"")</f>
        <v>0</v>
      </c>
      <c r="AK21" s="2">
        <f>IF(U21&lt;&gt;"",SUMPRODUCT((AF18:AF22=AF21)*(AA18:AA22=AA21)*(Y18:Y22=Y21)*(AC18:AC22=AC21)*(AD18:AD22&gt;AD21)),"")</f>
        <v>0</v>
      </c>
      <c r="AL21" s="2">
        <f>IF(U21&lt;&gt;"",SUMPRODUCT((AF18:AF22=AF21)*(AA18:AA22=AA21)*(Y18:Y22=Y21)*(AC18:AC22=AC21)*(AD18:AD22=AD21)*(AE18:AE22&gt;AE21)),"")</f>
        <v>0</v>
      </c>
      <c r="AM21" s="2">
        <f>IF(U21&lt;&gt;"",IF(AM61&lt;&gt;"",IF(T57=3,AM61,AM61+T57),SUM(AG21:AL21)),"")</f>
        <v>1</v>
      </c>
      <c r="AN21" s="2" t="str">
        <f>IF(U21&lt;&gt;"",INDEX(U18:U22,MATCH(4,AM18:AM22,0),0),"")</f>
        <v>Serbia</v>
      </c>
      <c r="AO21" s="2" t="str">
        <f>IF(Q20&lt;&gt;"",Q20,"")</f>
        <v/>
      </c>
      <c r="AP21" s="2" t="str">
        <f>IF(AO21&lt;&gt;"",SUMPRODUCT((CZ3:CZ42=AO21)*(DC3:DC42=AO22)*(DD3:DD42="W"))+SUMPRODUCT((CZ3:CZ42=AO21)*(DC3:DC42=AO19)*(DD3:DD42="W"))+SUMPRODUCT((CZ3:CZ42=AO21)*(DC3:DC42=AO20)*(DD3:DD42="W"))+SUMPRODUCT((CZ3:CZ42=AO22)*(DC3:DC42=AO21)*(DE3:DE42="W"))+SUMPRODUCT((CZ3:CZ42=AO19)*(DC3:DC42=AO21)*(DE3:DE42="W"))+SUMPRODUCT((CZ3:CZ42=AO20)*(DC3:DC42=AO21)*(DE3:DE42="W")),"")</f>
        <v/>
      </c>
      <c r="AQ21" s="2" t="str">
        <f>IF(AO21&lt;&gt;"",SUMPRODUCT((CZ3:CZ42=AO21)*(DC3:DC42=AO22)*(DD3:DD42="D"))+SUMPRODUCT((CZ3:CZ42=AO21)*(DC3:DC42=AO19)*(DD3:DD42="D"))+SUMPRODUCT((CZ3:CZ42=AO21)*(DC3:DC42=AO20)*(DD3:DD42="D"))+SUMPRODUCT((CZ3:CZ42=AO22)*(DC3:DC42=AO21)*(DD3:DD42="D"))+SUMPRODUCT((CZ3:CZ42=AO19)*(DC3:DC42=AO21)*(DD3:DD42="D"))+SUMPRODUCT((CZ3:CZ42=AO20)*(DC3:DC42=AO21)*(DD3:DD42="D")),"")</f>
        <v/>
      </c>
      <c r="AR21" s="2" t="str">
        <f>IF(AO21&lt;&gt;"",SUMPRODUCT((CZ3:CZ42=AO21)*(DC3:DC42=AO22)*(DD3:DD42="L"))+SUMPRODUCT((CZ3:CZ42=AO21)*(DC3:DC42=AO19)*(DD3:DD42="L"))+SUMPRODUCT((CZ3:CZ42=AO21)*(DC3:DC42=AO20)*(DD3:DD42="L"))+SUMPRODUCT((CZ3:CZ42=AO22)*(DC3:DC42=AO21)*(DE3:DE42="L"))+SUMPRODUCT((CZ3:CZ42=AO19)*(DC3:DC42=AO21)*(DE3:DE42="L"))+SUMPRODUCT((CZ3:CZ42=AO20)*(DC3:DC42=AO21)*(DE3:DE42="L")),"")</f>
        <v/>
      </c>
      <c r="AS21" s="2">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2">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2">
        <f>AS21-AT21+1000</f>
        <v>1000</v>
      </c>
      <c r="AV21" s="2" t="str">
        <f t="shared" si="30"/>
        <v/>
      </c>
      <c r="AW21" s="2" t="str">
        <f>IF(AO21&lt;&gt;"",VLOOKUP(AO21,B4:H40,7,FALSE),"")</f>
        <v/>
      </c>
      <c r="AX21" s="2" t="str">
        <f>IF(AO21&lt;&gt;"",VLOOKUP(AO21,B4:H40,5,FALSE),"")</f>
        <v/>
      </c>
      <c r="AY21" s="2" t="str">
        <f>IF(AO21&lt;&gt;"",VLOOKUP(AO21,B4:J40,9,FALSE),"")</f>
        <v/>
      </c>
      <c r="AZ21" s="2" t="str">
        <f t="shared" si="31"/>
        <v/>
      </c>
      <c r="BA21" s="2" t="str">
        <f>IF(AO21&lt;&gt;"",RANK(AZ21,AZ18:AZ22),"")</f>
        <v/>
      </c>
      <c r="BB21" s="2" t="str">
        <f>IF(AO21&lt;&gt;"",SUMPRODUCT((AZ18:AZ22=AZ21)*(AU18:AU22&gt;AU21)),"")</f>
        <v/>
      </c>
      <c r="BC21" s="2" t="str">
        <f>IF(AO21&lt;&gt;"",SUMPRODUCT((AZ18:AZ22=AZ21)*(AU18:AU22=AU21)*(AS18:AS22&gt;AS21)),"")</f>
        <v/>
      </c>
      <c r="BD21" s="2" t="str">
        <f>IF(AO21&lt;&gt;"",SUMPRODUCT((AZ18:AZ22=AZ21)*(AU18:AU22=AU21)*(AS18:AS22=AS21)*(AW18:AW22&gt;AW21)),"")</f>
        <v/>
      </c>
      <c r="BE21" s="2" t="str">
        <f>IF(AO21&lt;&gt;"",SUMPRODUCT((AZ18:AZ22=AZ21)*(AU18:AU22=AU21)*(AS18:AS22=AS21)*(AW18:AW22=AW21)*(AX18:AX22&gt;AX21)),"")</f>
        <v/>
      </c>
      <c r="BF21" s="2" t="str">
        <f>IF(AO21&lt;&gt;"",SUMPRODUCT((AZ18:AZ22=AZ21)*(AU18:AU22=AU21)*(AS18:AS22=AS21)*(AW18:AW22=AW21)*(AX18:AX22=AX21)*(AY18:AY22&gt;AY21)),"")</f>
        <v/>
      </c>
      <c r="BG21" s="2" t="str">
        <f>IF(AO21&lt;&gt;"",IF(BG61&lt;&gt;"",IF(AN57=3,BG61,BG61+AN57),SUM(BA21:BF21)+1),"")</f>
        <v/>
      </c>
      <c r="BH21" s="2" t="str">
        <f>IF(AO21&lt;&gt;"",INDEX(AO19:AO22,MATCH(4,BG19:BG22,0),0),"")</f>
        <v/>
      </c>
      <c r="BI21" s="2" t="str">
        <f>IF(R19&lt;&gt;"",R19,"")</f>
        <v/>
      </c>
      <c r="BJ21" s="2">
        <f>SUMPRODUCT((CZ3:CZ42=BI21)*(DC3:DC42=BI22)*(DD3:DD42="W"))+SUMPRODUCT((CZ3:CZ42=BI21)*(DC3:DC42=BI23)*(DD3:DD42="W"))+SUMPRODUCT((CZ3:CZ42=BI21)*(DC3:DC42=BI20)*(DD3:DD42="W"))+SUMPRODUCT((CZ3:CZ42=BI22)*(DC3:DC42=BI21)*(DE3:DE42="W"))+SUMPRODUCT((CZ3:CZ42=BI23)*(DC3:DC42=BI21)*(DE3:DE42="W"))+SUMPRODUCT((CZ3:CZ42=BI20)*(DC3:DC42=BI21)*(DE3:DE42="W"))</f>
        <v>0</v>
      </c>
      <c r="BK21" s="2">
        <f>SUMPRODUCT((CZ3:CZ42=BI21)*(DC3:DC42=BI22)*(DD3:DD42="D"))+SUMPRODUCT((CZ3:CZ42=BI21)*(DC3:DC42=BI23)*(DD3:DD42="D"))+SUMPRODUCT((CZ3:CZ42=BI21)*(DC3:DC42=BI20)*(DD3:DD42="D"))+SUMPRODUCT((CZ3:CZ42=BI22)*(DC3:DC42=BI21)*(DD3:DD42="D"))+SUMPRODUCT((CZ3:CZ42=BI23)*(DC3:DC42=BI21)*(DD3:DD42="D"))+SUMPRODUCT((CZ3:CZ42=BI20)*(DC3:DC42=BI21)*(DD3:DD42="D"))</f>
        <v>0</v>
      </c>
      <c r="BL21" s="2">
        <f>SUMPRODUCT((CZ3:CZ42=BI21)*(DC3:DC42=BI22)*(DD3:DD42="L"))+SUMPRODUCT((CZ3:CZ42=BI21)*(DC3:DC42=BI23)*(DD3:DD42="L"))+SUMPRODUCT((CZ3:CZ42=BI21)*(DC3:DC42=BI20)*(DD3:DD42="L"))+SUMPRODUCT((CZ3:CZ42=BI22)*(DC3:DC42=BI21)*(DE3:DE42="L"))+SUMPRODUCT((CZ3:CZ42=BI23)*(DC3:DC42=BI21)*(DE3:DE42="L"))+SUMPRODUCT((CZ3:CZ42=BI20)*(DC3:DC42=BI21)*(DE3:DE42="L"))</f>
        <v>0</v>
      </c>
      <c r="BM21" s="2">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2">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2">
        <f>BM21-BN21+1000</f>
        <v>1000</v>
      </c>
      <c r="BP21" s="2" t="str">
        <f t="shared" si="32"/>
        <v/>
      </c>
      <c r="BQ21" s="2" t="str">
        <f>IF(BI21&lt;&gt;"",VLOOKUP(BI21,B4:H40,7,FALSE),"")</f>
        <v/>
      </c>
      <c r="BR21" s="2" t="str">
        <f>IF(BI21&lt;&gt;"",VLOOKUP(BI21,B4:H40,5,FALSE),"")</f>
        <v/>
      </c>
      <c r="BS21" s="2" t="str">
        <f>IF(BI21&lt;&gt;"",VLOOKUP(BI21,B4:J40,9,FALSE),"")</f>
        <v/>
      </c>
      <c r="BT21" s="2" t="str">
        <f t="shared" si="33"/>
        <v/>
      </c>
      <c r="BU21" s="2" t="str">
        <f>IF(BI21&lt;&gt;"",RANK(BT21,BT18:BT22),"")</f>
        <v/>
      </c>
      <c r="BV21" s="2" t="str">
        <f>IF(BI21&lt;&gt;"",SUMPRODUCT((BT18:BT22=BT21)*(BO18:BO22&gt;BO21)),"")</f>
        <v/>
      </c>
      <c r="BW21" s="2" t="str">
        <f>IF(BI21&lt;&gt;"",SUMPRODUCT((BT18:BT22=BT21)*(BO18:BO22=BO21)*(BM18:BM22&gt;BM21)),"")</f>
        <v/>
      </c>
      <c r="BX21" s="2" t="str">
        <f>IF(BI21&lt;&gt;"",SUMPRODUCT((BT18:BT22=BT21)*(BO18:BO22=BO21)*(BM18:BM22=BM21)*(BQ18:BQ22&gt;BQ21)),"")</f>
        <v/>
      </c>
      <c r="BY21" s="2" t="str">
        <f>IF(BI21&lt;&gt;"",SUMPRODUCT((BT18:BT22=BT21)*(BO18:BO22=BO21)*(BM18:BM22=BM21)*(BQ18:BQ22=BQ21)*(BR18:BR22&gt;BR21)),"")</f>
        <v/>
      </c>
      <c r="BZ21" s="2" t="str">
        <f>IF(BI21&lt;&gt;"",SUMPRODUCT((BT18:BT22=BT21)*(BO18:BO22=BO21)*(BM18:BM22=BM21)*(BQ18:BQ22=BQ21)*(BR18:BR22=BR21)*(BS18:BS22&gt;BS21)),"")</f>
        <v/>
      </c>
      <c r="CA21" s="2" t="str">
        <f>IF(BI21&lt;&gt;"",SUM(BU21:BZ21)+2,"")</f>
        <v/>
      </c>
      <c r="CB21" s="2" t="str">
        <f>IF(BI21&lt;&gt;"",INDEX(BI20:BI22,MATCH(4,CA20:CA22,0),0),"")</f>
        <v/>
      </c>
      <c r="CC21" s="2" t="str">
        <f>IF(S18&lt;&gt;"",S18,"")</f>
        <v/>
      </c>
      <c r="CD21" s="2">
        <f>SUMPRODUCT((CZ3:CZ42=CC21)*(DC3:DC42=CC22)*(DD3:DD42="W"))+SUMPRODUCT((CZ3:CZ42=CC21)*(DC3:DC42=CC23)*(DD3:DD42="W"))+SUMPRODUCT((CZ3:CZ42=CC21)*(DC3:DC42=CC24)*(DD3:DD42="W"))+SUMPRODUCT((CZ3:CZ42=CC22)*(DC3:DC42=CC21)*(DE3:DE42="W"))+SUMPRODUCT((CZ3:CZ42=CC23)*(DC3:DC42=CC21)*(DE3:DE42="W"))+SUMPRODUCT((CZ3:CZ42=CC24)*(DC3:DC42=CC21)*(DE3:DE42="W"))</f>
        <v>0</v>
      </c>
      <c r="CE21" s="2">
        <f>SUMPRODUCT((CZ3:CZ42=CC21)*(DC3:DC42=CC22)*(DD3:DD42="D"))+SUMPRODUCT((CZ3:CZ42=CC21)*(DC3:DC42=CC23)*(DD3:DD42="D"))+SUMPRODUCT((CZ3:CZ42=CC21)*(DC3:DC42=CC24)*(DD3:DD42="D"))+SUMPRODUCT((CZ3:CZ42=CC22)*(DC3:DC42=CC21)*(DD3:DD42="D"))+SUMPRODUCT((CZ3:CZ42=CC23)*(DC3:DC42=CC21)*(DD3:DD42="D"))+SUMPRODUCT((CZ3:CZ42=CC24)*(DC3:DC42=CC21)*(DD3:DD42="D"))</f>
        <v>0</v>
      </c>
      <c r="CF21" s="2">
        <f>SUMPRODUCT((CZ3:CZ42=CC21)*(DC3:DC42=CC22)*(DD3:DD42="L"))+SUMPRODUCT((CZ3:CZ42=CC21)*(DC3:DC42=CC23)*(DD3:DD42="L"))+SUMPRODUCT((CZ3:CZ42=CC21)*(DC3:DC42=CC24)*(DD3:DD42="L"))+SUMPRODUCT((CZ3:CZ42=CC22)*(DC3:DC42=CC21)*(DE3:DE42="L"))+SUMPRODUCT((CZ3:CZ42=CC23)*(DC3:DC42=CC21)*(DE3:DE42="L"))+SUMPRODUCT((CZ3:CZ42=CC24)*(DC3:DC42=CC21)*(DE3:DE42="L"))</f>
        <v>0</v>
      </c>
      <c r="CG21" s="2">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2">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2">
        <f>CG21-CH21+1000</f>
        <v>1000</v>
      </c>
      <c r="CJ21" s="2" t="str">
        <f t="shared" ref="CJ21" si="34">IF(CC21&lt;&gt;"",CD21*3+CE21*1,"")</f>
        <v/>
      </c>
      <c r="CK21" s="2" t="str">
        <f>IF(CC21&lt;&gt;"",VLOOKUP(CC21,B4:H40,7,FALSE),"")</f>
        <v/>
      </c>
      <c r="CL21" s="2" t="str">
        <f>IF(CC21&lt;&gt;"",VLOOKUP(CC21,B4:H40,5,FALSE),"")</f>
        <v/>
      </c>
      <c r="CM21" s="2" t="str">
        <f>IF(CC21&lt;&gt;"",VLOOKUP(CC21,B4:J40,9,FALSE),"")</f>
        <v/>
      </c>
      <c r="CN21" s="2" t="str">
        <f t="shared" ref="CN21" si="35">CJ21</f>
        <v/>
      </c>
      <c r="CO21" s="2" t="str">
        <f>IF(CC21&lt;&gt;"",RANK(CN21,CN18:CN22),"")</f>
        <v/>
      </c>
      <c r="CP21" s="2" t="str">
        <f>IF(CC21&lt;&gt;"",SUMPRODUCT((CN18:CN22=CN21)*(CI18:CI22&gt;CI21)),"")</f>
        <v/>
      </c>
      <c r="CQ21" s="2" t="str">
        <f>IF(CC21&lt;&gt;"",SUMPRODUCT((CN18:CN22=CN21)*(CI18:CI22=CI21)*(CG18:CG22&gt;CG21)),"")</f>
        <v/>
      </c>
      <c r="CR21" s="2" t="str">
        <f>IF(CC21&lt;&gt;"",SUMPRODUCT((CN18:CN22=CN21)*(CI18:CI22=CI21)*(CG18:CG22=CG21)*(CK18:CK22&gt;CK21)),"")</f>
        <v/>
      </c>
      <c r="CS21" s="2" t="str">
        <f>IF(CC21&lt;&gt;"",SUMPRODUCT((CN18:CN22=CN21)*(CI18:CI22=CI21)*(CG18:CG22=CG21)*(CK18:CK22=CK21)*(CL18:CL22&gt;CL21)),"")</f>
        <v/>
      </c>
      <c r="CT21" s="2" t="str">
        <f>IF(CC21&lt;&gt;"",SUMPRODUCT((CN18:CN22=CN21)*(CI18:CI22=CI21)*(CG18:CG22=CG21)*(CK18:CK22=CK21)*(CL18:CL22=CL21)*(CM18:CM22&gt;CM21)),"")</f>
        <v/>
      </c>
      <c r="CU21" s="2" t="str">
        <f>IF(CC21&lt;&gt;"",SUM(CO21:CT21)+3,"")</f>
        <v/>
      </c>
      <c r="CV21" s="2" t="str">
        <f>IF(CC21&lt;&gt;"",IF(CU21=4,CC21,CC22),"")</f>
        <v/>
      </c>
      <c r="CW21" s="2" t="str">
        <f>IF(CV21&lt;&gt;"",CV21,IF(CB21&lt;&gt;"",CB21,IF(BH21&lt;&gt;"",BH21,IF(AN21&lt;&gt;"",AN21,N21))))</f>
        <v>Serbia</v>
      </c>
      <c r="CX21" s="2">
        <v>4</v>
      </c>
      <c r="CY21" s="2">
        <v>19</v>
      </c>
      <c r="CZ21" s="2" t="str">
        <f>Fixtures!G25</f>
        <v>Poland</v>
      </c>
      <c r="DA21" s="2">
        <f>IF(AND(Fixtures!H25&lt;&gt;"",Fixtures!I25&lt;&gt;""),Fixtures!H25,0)</f>
        <v>0</v>
      </c>
      <c r="DB21" s="2">
        <f>IF(AND(Fixtures!I25&lt;&gt;"",Fixtures!H25&lt;&gt;""),Fixtures!I25,0)</f>
        <v>0</v>
      </c>
      <c r="DC21" s="2" t="str">
        <f>Fixtures!J25</f>
        <v>Austria</v>
      </c>
      <c r="DD21" s="2" t="str">
        <f>IF(AND(Fixtures!H25&lt;&gt;"",Fixtures!I25&lt;&gt;""),IF(DA21&gt;DB21,"W",IF(DA21=DB21,"D","L")),"")</f>
        <v/>
      </c>
      <c r="DE21" s="2" t="str">
        <f t="shared" si="0"/>
        <v/>
      </c>
      <c r="DH21" s="55" t="s">
        <v>15</v>
      </c>
      <c r="DI21" s="8" t="s">
        <v>4</v>
      </c>
      <c r="DJ21" s="8" t="s">
        <v>108</v>
      </c>
      <c r="DK21" s="8" t="s">
        <v>113</v>
      </c>
      <c r="DL21" s="55" t="s">
        <v>108</v>
      </c>
      <c r="DM21" s="55" t="s">
        <v>113</v>
      </c>
      <c r="DN21" s="55" t="s">
        <v>4</v>
      </c>
      <c r="DO21" s="55" t="s">
        <v>15</v>
      </c>
      <c r="DP21" s="8"/>
      <c r="DQ21" s="56">
        <f>IFERROR(MATCH(DQ12,DH21:DK21,0),0)</f>
        <v>1</v>
      </c>
      <c r="DR21" s="56">
        <f>IFERROR(MATCH(DR12,DH21:DK21,0),0)</f>
        <v>0</v>
      </c>
      <c r="DS21" s="56">
        <f>IFERROR(MATCH(DS12,DH21:DK21,0),0)</f>
        <v>0</v>
      </c>
      <c r="DT21" s="56">
        <f>IFERROR(MATCH(DT12,DH21:DK21,0),0)</f>
        <v>2</v>
      </c>
      <c r="DU21" s="56">
        <f t="shared" si="22"/>
        <v>3</v>
      </c>
      <c r="DV21" s="8"/>
      <c r="DW21" s="8"/>
      <c r="DX21" s="8"/>
      <c r="EF21" s="233"/>
      <c r="EG21" s="48"/>
      <c r="EH21" s="49" t="str">
        <f>Fixtures!G14</f>
        <v>Austria</v>
      </c>
      <c r="EI21" s="50" t="s">
        <v>106</v>
      </c>
      <c r="EJ21" s="49" t="str">
        <f>"'Countries and Timezone'!"&amp;VLOOKUP(Fixtures!P24,EH7:EI38,2,FALSE)</f>
        <v>'Countries and Timezone'!B21</v>
      </c>
      <c r="EL21" s="51">
        <v>45462.625</v>
      </c>
      <c r="EM21" s="52">
        <f>EL21+EK7/24</f>
        <v>45462.625</v>
      </c>
      <c r="EO21" s="54">
        <v>-5.5</v>
      </c>
      <c r="EP21" s="2">
        <v>-6</v>
      </c>
      <c r="EQ21" s="2" t="s">
        <v>535</v>
      </c>
      <c r="ER21" s="2" t="s">
        <v>534</v>
      </c>
    </row>
    <row r="22" spans="1:148" x14ac:dyDescent="0.25">
      <c r="CY22" s="2">
        <v>20</v>
      </c>
      <c r="CZ22" s="2" t="str">
        <f>Fixtures!G26</f>
        <v>Netherlands</v>
      </c>
      <c r="DA22" s="2">
        <f>IF(AND(Fixtures!H26&lt;&gt;"",Fixtures!I26&lt;&gt;""),Fixtures!H26,0)</f>
        <v>0</v>
      </c>
      <c r="DB22" s="2">
        <f>IF(AND(Fixtures!I26&lt;&gt;"",Fixtures!H26&lt;&gt;""),Fixtures!I26,0)</f>
        <v>0</v>
      </c>
      <c r="DC22" s="2" t="str">
        <f>Fixtures!J26</f>
        <v>France</v>
      </c>
      <c r="DD22" s="2" t="str">
        <f>IF(AND(Fixtures!H26&lt;&gt;"",Fixtures!I26&lt;&gt;""),IF(DA22&gt;DB22,"W",IF(DA22=DB22,"D","L")),"")</f>
        <v/>
      </c>
      <c r="DE22" s="2" t="str">
        <f t="shared" si="0"/>
        <v/>
      </c>
      <c r="DH22" s="55" t="s">
        <v>15</v>
      </c>
      <c r="DI22" s="8" t="s">
        <v>13</v>
      </c>
      <c r="DJ22" s="8" t="s">
        <v>108</v>
      </c>
      <c r="DK22" s="8" t="s">
        <v>113</v>
      </c>
      <c r="DL22" s="55" t="s">
        <v>108</v>
      </c>
      <c r="DM22" s="55" t="s">
        <v>113</v>
      </c>
      <c r="DN22" s="55" t="s">
        <v>13</v>
      </c>
      <c r="DO22" s="55" t="s">
        <v>15</v>
      </c>
      <c r="DP22" s="8"/>
      <c r="DQ22" s="56">
        <f>IFERROR(MATCH(DQ12,DH22:DK22,0),0)</f>
        <v>1</v>
      </c>
      <c r="DR22" s="56">
        <f>IFERROR(MATCH(DR12,DH22:DK22,0),0)</f>
        <v>2</v>
      </c>
      <c r="DS22" s="56">
        <f>IFERROR(MATCH(DS12,DH22:DK22,0),0)</f>
        <v>0</v>
      </c>
      <c r="DT22" s="56">
        <f>IFERROR(MATCH(DT12,DH22:DK22,0),0)</f>
        <v>0</v>
      </c>
      <c r="DU22" s="56">
        <f t="shared" si="22"/>
        <v>3</v>
      </c>
      <c r="DV22" s="8"/>
      <c r="DW22" s="8"/>
      <c r="DX22" s="8"/>
      <c r="EF22" s="233"/>
      <c r="EG22" s="48"/>
      <c r="EH22" s="49" t="str">
        <f>Fixtures!J14</f>
        <v>France</v>
      </c>
      <c r="EI22" s="50" t="s">
        <v>107</v>
      </c>
      <c r="EJ22" s="49" t="str">
        <f>"'Countries and Timezone'!"&amp;VLOOKUP(Fixtures!P25,EH7:EI38,2,FALSE)</f>
        <v>'Countries and Timezone'!B19</v>
      </c>
      <c r="EL22" s="51">
        <v>45463.875</v>
      </c>
      <c r="EM22" s="52">
        <f>EL22+EK7/24</f>
        <v>45463.875</v>
      </c>
      <c r="EO22" s="54">
        <v>-5</v>
      </c>
      <c r="EP22" s="2">
        <v>-6</v>
      </c>
      <c r="EQ22" s="2" t="s">
        <v>537</v>
      </c>
      <c r="ER22" s="2" t="s">
        <v>536</v>
      </c>
    </row>
    <row r="23" spans="1:148" x14ac:dyDescent="0.25">
      <c r="CY23" s="2">
        <v>21</v>
      </c>
      <c r="CZ23" s="2" t="str">
        <f>Fixtures!G27</f>
        <v>Slovakia</v>
      </c>
      <c r="DA23" s="2">
        <f>IF(AND(Fixtures!H27&lt;&gt;"",Fixtures!I27&lt;&gt;""),Fixtures!H27,0)</f>
        <v>0</v>
      </c>
      <c r="DB23" s="2">
        <f>IF(AND(Fixtures!I27&lt;&gt;"",Fixtures!H27&lt;&gt;""),Fixtures!I27,0)</f>
        <v>0</v>
      </c>
      <c r="DC23" s="2" t="str">
        <f>Fixtures!J27</f>
        <v>Ukraine</v>
      </c>
      <c r="DD23" s="2" t="str">
        <f>IF(AND(Fixtures!H27&lt;&gt;"",Fixtures!I27&lt;&gt;""),IF(DA23&gt;DB23,"W",IF(DA23=DB23,"D","L")),"")</f>
        <v/>
      </c>
      <c r="DE23" s="2" t="str">
        <f t="shared" si="0"/>
        <v/>
      </c>
      <c r="DH23" s="55" t="s">
        <v>3</v>
      </c>
      <c r="DI23" s="8" t="s">
        <v>4</v>
      </c>
      <c r="DJ23" s="8" t="s">
        <v>13</v>
      </c>
      <c r="DK23" s="8" t="s">
        <v>108</v>
      </c>
      <c r="DL23" s="55" t="s">
        <v>108</v>
      </c>
      <c r="DM23" s="55" t="s">
        <v>13</v>
      </c>
      <c r="DN23" s="55" t="s">
        <v>3</v>
      </c>
      <c r="DO23" s="55" t="s">
        <v>4</v>
      </c>
      <c r="DP23" s="8"/>
      <c r="DQ23" s="56">
        <f>IFERROR(MATCH(DQ12,DH23:DK23,0),0)</f>
        <v>0</v>
      </c>
      <c r="DR23" s="56">
        <f>IFERROR(MATCH(DR12,DH23:DK23,0),0)</f>
        <v>3</v>
      </c>
      <c r="DS23" s="56">
        <f>IFERROR(MATCH(DS12,DH23:DK23,0),0)</f>
        <v>1</v>
      </c>
      <c r="DT23" s="56">
        <f>IFERROR(MATCH(DT12,DH23:DK23,0),0)</f>
        <v>2</v>
      </c>
      <c r="DU23" s="56">
        <f t="shared" si="22"/>
        <v>6</v>
      </c>
      <c r="DV23" s="8"/>
      <c r="DW23" s="8"/>
      <c r="DX23" s="8"/>
      <c r="EF23" s="233" t="s">
        <v>108</v>
      </c>
      <c r="EG23" s="48"/>
      <c r="EH23" s="49" t="str">
        <f>Fixtures!G15</f>
        <v>Belgium</v>
      </c>
      <c r="EI23" s="50" t="s">
        <v>109</v>
      </c>
      <c r="EJ23" s="49" t="str">
        <f>"'Countries and Timezone'!"&amp;VLOOKUP(Fixtures!P27,EH7:EI38,2,FALSE)</f>
        <v>'Countries and Timezone'!B23</v>
      </c>
      <c r="EL23" s="51">
        <v>45463.75</v>
      </c>
      <c r="EM23" s="52">
        <f>EL23+EK7/24</f>
        <v>45463.75</v>
      </c>
      <c r="EO23" s="54">
        <v>-4.5</v>
      </c>
      <c r="EP23" s="2">
        <v>-6</v>
      </c>
      <c r="EQ23" s="2" t="s">
        <v>539</v>
      </c>
      <c r="ER23" s="2" t="s">
        <v>538</v>
      </c>
    </row>
    <row r="24" spans="1:148" x14ac:dyDescent="0.25">
      <c r="CY24" s="2">
        <v>22</v>
      </c>
      <c r="CZ24" s="2" t="str">
        <f>Fixtures!G28</f>
        <v>Belgium</v>
      </c>
      <c r="DA24" s="2">
        <f>IF(AND(Fixtures!H28&lt;&gt;"",Fixtures!I28&lt;&gt;""),Fixtures!H28,0)</f>
        <v>0</v>
      </c>
      <c r="DB24" s="2">
        <f>IF(AND(Fixtures!I28&lt;&gt;"",Fixtures!H28&lt;&gt;""),Fixtures!I28,0)</f>
        <v>0</v>
      </c>
      <c r="DC24" s="2" t="str">
        <f>Fixtures!J28</f>
        <v>Romania</v>
      </c>
      <c r="DD24" s="2" t="str">
        <f>IF(AND(Fixtures!H28&lt;&gt;"",Fixtures!I28&lt;&gt;""),IF(DA24&gt;DB24,"W",IF(DA24=DB24,"D","L")),"")</f>
        <v/>
      </c>
      <c r="DE24" s="2" t="str">
        <f t="shared" si="0"/>
        <v/>
      </c>
      <c r="DH24" s="55" t="s">
        <v>3</v>
      </c>
      <c r="DI24" s="8" t="s">
        <v>4</v>
      </c>
      <c r="DJ24" s="8" t="s">
        <v>13</v>
      </c>
      <c r="DK24" s="8" t="s">
        <v>113</v>
      </c>
      <c r="DL24" s="55" t="s">
        <v>113</v>
      </c>
      <c r="DM24" s="55" t="s">
        <v>13</v>
      </c>
      <c r="DN24" s="55" t="s">
        <v>4</v>
      </c>
      <c r="DO24" s="55" t="s">
        <v>3</v>
      </c>
      <c r="DP24" s="8"/>
      <c r="DQ24" s="56">
        <f>IFERROR(MATCH(DQ12,DH24:DK24,0),0)</f>
        <v>0</v>
      </c>
      <c r="DR24" s="56">
        <f>IFERROR(MATCH(DR12,DH24:DK24,0),0)</f>
        <v>3</v>
      </c>
      <c r="DS24" s="56">
        <f>IFERROR(MATCH(DS12,DH24:DK24,0),0)</f>
        <v>1</v>
      </c>
      <c r="DT24" s="56">
        <f>IFERROR(MATCH(DT12,DH24:DK24,0),0)</f>
        <v>2</v>
      </c>
      <c r="DU24" s="56">
        <f t="shared" si="22"/>
        <v>6</v>
      </c>
      <c r="DV24" s="8"/>
      <c r="DW24" s="8"/>
      <c r="DX24" s="8"/>
      <c r="EF24" s="233"/>
      <c r="EG24" s="48"/>
      <c r="EH24" s="49" t="str">
        <f>Fixtures!J15</f>
        <v>Slovakia</v>
      </c>
      <c r="EI24" s="50" t="s">
        <v>110</v>
      </c>
      <c r="EJ24" s="49" t="str">
        <f>"'Countries and Timezone'!"&amp;VLOOKUP(Fixtures!P28,EH7:EI38,2,FALSE)</f>
        <v>'Countries and Timezone'!B25</v>
      </c>
      <c r="EL24" s="51">
        <v>45463.625</v>
      </c>
      <c r="EM24" s="52">
        <f>EL24+EK7/24</f>
        <v>45463.625</v>
      </c>
      <c r="EO24" s="54">
        <v>-4</v>
      </c>
      <c r="EP24" s="2">
        <v>-6</v>
      </c>
      <c r="EQ24" s="2" t="s">
        <v>541</v>
      </c>
      <c r="ER24" s="2" t="s">
        <v>540</v>
      </c>
    </row>
    <row r="25" spans="1:148" x14ac:dyDescent="0.25">
      <c r="A25" s="2">
        <f>VLOOKUP(B25,CW25:CX29,2,FALSE)</f>
        <v>4</v>
      </c>
      <c r="B25" s="2" t="str">
        <f>'Dummy Table'!EH19</f>
        <v>Poland</v>
      </c>
      <c r="C25" s="2">
        <f>SUMPRODUCT((CZ3:CZ42=B25)*(DD3:DD42="W"))+SUMPRODUCT((DC3:DC42=B25)*(DE3:DE42="W"))</f>
        <v>0</v>
      </c>
      <c r="D25" s="2">
        <f>SUMPRODUCT((CZ3:CZ42=B25)*(DD3:DD42="D"))+SUMPRODUCT((DC3:DC42=B25)*(DE3:DE42="D"))</f>
        <v>0</v>
      </c>
      <c r="E25" s="2">
        <f>SUMPRODUCT((CZ3:CZ42=B25)*(DD3:DD42="L"))+SUMPRODUCT((DC3:DC42=B25)*(DE3:DE42="L"))</f>
        <v>0</v>
      </c>
      <c r="F25" s="2">
        <f>SUMIF(CZ3:CZ60,B25,DA3:DA60)+SUMIF(DC3:DC60,B25,DB3:DB60)</f>
        <v>0</v>
      </c>
      <c r="G25" s="2">
        <f>SUMIF(DC3:DC60,B25,DA3:DA60)+SUMIF(CZ3:CZ60,B25,DB3:DB60)</f>
        <v>0</v>
      </c>
      <c r="H25" s="2">
        <f t="shared" ref="H25:H28" si="36">F25-G25+1000</f>
        <v>1000</v>
      </c>
      <c r="I25" s="2">
        <f t="shared" ref="I25:I28" si="37">C25*3+D25*1</f>
        <v>0</v>
      </c>
      <c r="J25" s="2">
        <v>1</v>
      </c>
      <c r="K25" s="2">
        <f>IF(COUNTIF(I25:I29,4)&lt;&gt;4,RANK(I25,I25:I29),I65)</f>
        <v>1</v>
      </c>
      <c r="M25" s="2">
        <f>SUMPRODUCT((K25:K28=K25)*(J25:J28&lt;J25))+K25</f>
        <v>1</v>
      </c>
      <c r="N25" s="2" t="str">
        <f>INDEX(B25:B29,MATCH(1,M25:M29,0),0)</f>
        <v>Poland</v>
      </c>
      <c r="O25" s="2">
        <f>INDEX(K25:K29,MATCH(N25,B25:B29,0),0)</f>
        <v>1</v>
      </c>
      <c r="P25" s="2" t="str">
        <f>IF(O26=1,N25,"")</f>
        <v>Poland</v>
      </c>
      <c r="Q25" s="2" t="str">
        <f>IF(O27=2,N26,"")</f>
        <v/>
      </c>
      <c r="R25" s="2" t="str">
        <f>IF(O28=3,N27,"")</f>
        <v/>
      </c>
      <c r="S25" s="2" t="str">
        <f>IF(O29=4,N28,"")</f>
        <v/>
      </c>
      <c r="U25" s="2" t="str">
        <f>IF(P25&lt;&gt;"",P25,"")</f>
        <v>Poland</v>
      </c>
      <c r="V25" s="2">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2">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2">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2">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2">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2">
        <f>Y25-Z25+1000</f>
        <v>1000</v>
      </c>
      <c r="AB25" s="2">
        <f t="shared" ref="AB25:AB28" si="38">IF(U25&lt;&gt;"",V25*3+W25*1,"")</f>
        <v>0</v>
      </c>
      <c r="AC25" s="2">
        <f>IF(U25&lt;&gt;"",VLOOKUP(U25,B4:H40,7,FALSE),"")</f>
        <v>1000</v>
      </c>
      <c r="AD25" s="2">
        <f>IF(U25&lt;&gt;"",VLOOKUP(U25,B4:H40,5,FALSE),"")</f>
        <v>0</v>
      </c>
      <c r="AE25" s="2">
        <f>IF(U25&lt;&gt;"",VLOOKUP(U25,B4:J40,9,FALSE),"")</f>
        <v>1</v>
      </c>
      <c r="AF25" s="2">
        <f t="shared" ref="AF25:AF28" si="39">AB25</f>
        <v>0</v>
      </c>
      <c r="AG25" s="2">
        <f>IF(U25&lt;&gt;"",RANK(AF25,AF25:AF29),"")</f>
        <v>1</v>
      </c>
      <c r="AH25" s="2">
        <f>IF(U25&lt;&gt;"",SUMPRODUCT((AF25:AF29=AF25)*(AA25:AA29&gt;AA25)),"")</f>
        <v>0</v>
      </c>
      <c r="AI25" s="2">
        <f>IF(U25&lt;&gt;"",SUMPRODUCT((AF25:AF29=AF25)*(AA25:AA29=AA25)*(Y25:Y29&gt;Y25)),"")</f>
        <v>0</v>
      </c>
      <c r="AJ25" s="2">
        <f>IF(U25&lt;&gt;"",SUMPRODUCT((AF25:AF29=AF25)*(AA25:AA29=AA25)*(Y25:Y29=Y25)*(AC25:AC29&gt;AC25)),"")</f>
        <v>0</v>
      </c>
      <c r="AK25" s="2">
        <f>IF(U25&lt;&gt;"",SUMPRODUCT((AF25:AF29=AF25)*(AA25:AA29=AA25)*(Y25:Y29=Y25)*(AC25:AC29=AC25)*(AD25:AD29&gt;AD25)),"")</f>
        <v>0</v>
      </c>
      <c r="AL25" s="2">
        <f>IF(U25&lt;&gt;"",SUMPRODUCT((AF25:AF29=AF25)*(AA25:AA29=AA25)*(Y25:Y29=Y25)*(AC25:AC29=AC25)*(AD25:AD29=AD25)*(AE25:AE29&gt;AE25)),"")</f>
        <v>3</v>
      </c>
      <c r="AM25" s="2">
        <f>IF(U25&lt;&gt;"",IF(AM65&lt;&gt;"",IF(T64=3,AM65,AM65+T64),SUM(AG25:AL25)),"")</f>
        <v>4</v>
      </c>
      <c r="AN25" s="2" t="str">
        <f>IF(U25&lt;&gt;"",INDEX(U25:U29,MATCH(1,AM25:AM29,0),0),"")</f>
        <v>France</v>
      </c>
      <c r="CW25" s="2" t="str">
        <f>IF(AN25&lt;&gt;"",AN25,N25)</f>
        <v>France</v>
      </c>
      <c r="CX25" s="2">
        <v>1</v>
      </c>
      <c r="CY25" s="2">
        <v>23</v>
      </c>
      <c r="CZ25" s="2" t="str">
        <f>Fixtures!G29</f>
        <v>Türkiye</v>
      </c>
      <c r="DA25" s="2">
        <f>IF(AND(Fixtures!H29&lt;&gt;"",Fixtures!I29&lt;&gt;""),Fixtures!H29,0)</f>
        <v>0</v>
      </c>
      <c r="DB25" s="2">
        <f>IF(AND(Fixtures!I29&lt;&gt;"",Fixtures!H29&lt;&gt;""),Fixtures!I29,0)</f>
        <v>0</v>
      </c>
      <c r="DC25" s="2" t="str">
        <f>Fixtures!J29</f>
        <v>Portugal</v>
      </c>
      <c r="DD25" s="2" t="str">
        <f>IF(AND(Fixtures!H29&lt;&gt;"",Fixtures!I29&lt;&gt;""),IF(DA25&gt;DB25,"W",IF(DA25=DB25,"D","L")),"")</f>
        <v/>
      </c>
      <c r="DE25" s="2" t="str">
        <f t="shared" si="0"/>
        <v/>
      </c>
      <c r="DH25" s="55" t="s">
        <v>3</v>
      </c>
      <c r="DI25" s="8" t="s">
        <v>4</v>
      </c>
      <c r="DJ25" s="8" t="s">
        <v>108</v>
      </c>
      <c r="DK25" s="8" t="s">
        <v>113</v>
      </c>
      <c r="DL25" s="57" t="s">
        <v>113</v>
      </c>
      <c r="DM25" s="55" t="s">
        <v>108</v>
      </c>
      <c r="DN25" s="55" t="s">
        <v>4</v>
      </c>
      <c r="DO25" s="55" t="s">
        <v>3</v>
      </c>
      <c r="DP25" s="8"/>
      <c r="DQ25" s="56">
        <f>IFERROR(MATCH(DQ12,DH25:DK25,0),0)</f>
        <v>0</v>
      </c>
      <c r="DR25" s="56">
        <f>IFERROR(MATCH(DR12,DH25:DK25,0),0)</f>
        <v>0</v>
      </c>
      <c r="DS25" s="56">
        <f>IFERROR(MATCH(DS12,DH25:DK25,0),0)</f>
        <v>1</v>
      </c>
      <c r="DT25" s="56">
        <f>IFERROR(MATCH(DT12,DH25:DK25,0),0)</f>
        <v>2</v>
      </c>
      <c r="DU25" s="58">
        <f t="shared" si="22"/>
        <v>3</v>
      </c>
      <c r="DV25" s="8"/>
      <c r="DW25" s="8"/>
      <c r="DX25" s="8"/>
      <c r="EF25" s="233"/>
      <c r="EG25" s="48"/>
      <c r="EH25" s="49" t="str">
        <f>Fixtures!G16</f>
        <v>Romania</v>
      </c>
      <c r="EI25" s="50" t="s">
        <v>111</v>
      </c>
      <c r="EJ25" s="49" t="str">
        <f>"'Countries and Timezone'!"&amp;VLOOKUP(Fixtures!P29,EH7:EI38,2,FALSE)</f>
        <v>'Countries and Timezone'!B24</v>
      </c>
      <c r="EL25" s="51">
        <v>45464.75</v>
      </c>
      <c r="EM25" s="52">
        <f>EL25+EK7/24</f>
        <v>45464.75</v>
      </c>
      <c r="EO25" s="54">
        <v>-3.5</v>
      </c>
      <c r="EP25" s="2">
        <v>-6</v>
      </c>
      <c r="EQ25" s="2" t="s">
        <v>543</v>
      </c>
      <c r="ER25" s="2" t="s">
        <v>542</v>
      </c>
    </row>
    <row r="26" spans="1:148" x14ac:dyDescent="0.25">
      <c r="A26" s="2">
        <f>VLOOKUP(B26,CW25:CX29,2,FALSE)</f>
        <v>2</v>
      </c>
      <c r="B26" s="2" t="str">
        <f>'Dummy Table'!EH20</f>
        <v>Netherlands</v>
      </c>
      <c r="C26" s="2">
        <f>SUMPRODUCT((CZ3:CZ42=B26)*(DD3:DD42="W"))+SUMPRODUCT((DC3:DC42=B26)*(DE3:DE42="W"))</f>
        <v>0</v>
      </c>
      <c r="D26" s="2">
        <f>SUMPRODUCT((CZ3:CZ42=B26)*(DD3:DD42="D"))+SUMPRODUCT((DC3:DC42=B26)*(DE3:DE42="D"))</f>
        <v>0</v>
      </c>
      <c r="E26" s="2">
        <f>SUMPRODUCT((CZ3:CZ42=B26)*(DD3:DD42="L"))+SUMPRODUCT((DC3:DC42=B26)*(DE3:DE42="L"))</f>
        <v>0</v>
      </c>
      <c r="F26" s="2">
        <f>SUMIF(CZ3:CZ60,B26,DA3:DA60)+SUMIF(DC3:DC60,B26,DB3:DB60)</f>
        <v>0</v>
      </c>
      <c r="G26" s="2">
        <f>SUMIF(DC3:DC60,B26,DA3:DA60)+SUMIF(CZ3:CZ60,B26,DB3:DB60)</f>
        <v>0</v>
      </c>
      <c r="H26" s="2">
        <f t="shared" si="36"/>
        <v>1000</v>
      </c>
      <c r="I26" s="2">
        <f t="shared" si="37"/>
        <v>0</v>
      </c>
      <c r="J26" s="2">
        <v>42</v>
      </c>
      <c r="K26" s="2">
        <f>IF(COUNTIF(I25:I29,4)&lt;&gt;4,RANK(I26,I25:I29),I66)</f>
        <v>1</v>
      </c>
      <c r="M26" s="2">
        <f>SUMPRODUCT((K25:K28=K26)*(J25:J28&lt;J26))+K26</f>
        <v>3</v>
      </c>
      <c r="N26" s="2" t="str">
        <f>INDEX(B25:B29,MATCH(2,M25:M29,0),0)</f>
        <v>Austria</v>
      </c>
      <c r="O26" s="2">
        <f>INDEX(K25:K29,MATCH(N26,B25:B29,0),0)</f>
        <v>1</v>
      </c>
      <c r="P26" s="2" t="str">
        <f>IF(P25&lt;&gt;"",N26,"")</f>
        <v>Austria</v>
      </c>
      <c r="Q26" s="2" t="str">
        <f>IF(Q25&lt;&gt;"",N27,"")</f>
        <v/>
      </c>
      <c r="R26" s="2" t="str">
        <f>IF(R25&lt;&gt;"",N28,"")</f>
        <v/>
      </c>
      <c r="S26" s="2" t="str">
        <f>IF(S25&lt;&gt;"",N29,"")</f>
        <v/>
      </c>
      <c r="U26" s="2" t="str">
        <f t="shared" ref="U26:U28" si="40">IF(P26&lt;&gt;"",P26,"")</f>
        <v>Austria</v>
      </c>
      <c r="V26" s="2">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2">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2">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2">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2">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2">
        <f>Y26-Z26+1000</f>
        <v>1000</v>
      </c>
      <c r="AB26" s="2">
        <f t="shared" si="38"/>
        <v>0</v>
      </c>
      <c r="AC26" s="2">
        <f>IF(U26&lt;&gt;"",VLOOKUP(U26,B4:H40,7,FALSE),"")</f>
        <v>1000</v>
      </c>
      <c r="AD26" s="2">
        <f>IF(U26&lt;&gt;"",VLOOKUP(U26,B4:H40,5,FALSE),"")</f>
        <v>0</v>
      </c>
      <c r="AE26" s="2">
        <f>IF(U26&lt;&gt;"",VLOOKUP(U26,B4:J40,9,FALSE),"")</f>
        <v>41</v>
      </c>
      <c r="AF26" s="2">
        <f t="shared" si="39"/>
        <v>0</v>
      </c>
      <c r="AG26" s="2">
        <f>IF(U26&lt;&gt;"",RANK(AF26,AF25:AF29),"")</f>
        <v>1</v>
      </c>
      <c r="AH26" s="2">
        <f>IF(U26&lt;&gt;"",SUMPRODUCT((AF25:AF29=AF26)*(AA25:AA29&gt;AA26)),"")</f>
        <v>0</v>
      </c>
      <c r="AI26" s="2">
        <f>IF(U26&lt;&gt;"",SUMPRODUCT((AF25:AF29=AF26)*(AA25:AA29=AA26)*(Y25:Y29&gt;Y26)),"")</f>
        <v>0</v>
      </c>
      <c r="AJ26" s="2">
        <f>IF(U26&lt;&gt;"",SUMPRODUCT((AF25:AF29=AF26)*(AA25:AA29=AA26)*(Y25:Y29=Y26)*(AC25:AC29&gt;AC26)),"")</f>
        <v>0</v>
      </c>
      <c r="AK26" s="2">
        <f>IF(U26&lt;&gt;"",SUMPRODUCT((AF25:AF29=AF26)*(AA25:AA29=AA26)*(Y25:Y29=Y26)*(AC25:AC29=AC26)*(AD25:AD29&gt;AD26)),"")</f>
        <v>0</v>
      </c>
      <c r="AL26" s="2">
        <f>IF(U26&lt;&gt;"",SUMPRODUCT((AF25:AF29=AF26)*(AA25:AA29=AA26)*(Y25:Y29=Y26)*(AC25:AC29=AC26)*(AD25:AD29=AD26)*(AE25:AE29&gt;AE26)),"")</f>
        <v>2</v>
      </c>
      <c r="AM26" s="2">
        <f>IF(U26&lt;&gt;"",IF(AM66&lt;&gt;"",IF(T64=3,AM66,AM66+T64),SUM(AG26:AL26)),"")</f>
        <v>3</v>
      </c>
      <c r="AN26" s="2" t="str">
        <f>IF(U26&lt;&gt;"",INDEX(U25:U29,MATCH(2,AM25:AM29,0),0),"")</f>
        <v>Netherlands</v>
      </c>
      <c r="AO26" s="2" t="str">
        <f>IF(Q25&lt;&gt;"",Q25,"")</f>
        <v/>
      </c>
      <c r="AP26" s="2">
        <f>SUMPRODUCT((CZ3:CZ42=AO26)*(DC3:DC42=AO27)*(DD3:DD42="W"))+SUMPRODUCT((CZ3:CZ42=AO26)*(DC3:DC42=AO28)*(DD3:DD42="W"))+SUMPRODUCT((CZ3:CZ42=AO26)*(DC3:DC42=AO29)*(DD3:DD42="W"))+SUMPRODUCT((CZ3:CZ42=AO27)*(DC3:DC42=AO26)*(DE3:DE42="W"))+SUMPRODUCT((CZ3:CZ42=AO28)*(DC3:DC42=AO26)*(DE3:DE42="W"))+SUMPRODUCT((CZ3:CZ42=AO29)*(DC3:DC42=AO26)*(DE3:DE42="W"))</f>
        <v>0</v>
      </c>
      <c r="AQ26" s="2">
        <f>SUMPRODUCT((CZ3:CZ42=AO26)*(DC3:DC42=AO27)*(DD3:DD42="D"))+SUMPRODUCT((CZ3:CZ42=AO26)*(DC3:DC42=AO28)*(DD3:DD42="D"))+SUMPRODUCT((CZ3:CZ42=AO26)*(DC3:DC42=AO29)*(DD3:DD42="D"))+SUMPRODUCT((CZ3:CZ42=AO27)*(DC3:DC42=AO26)*(DD3:DD42="D"))+SUMPRODUCT((CZ3:CZ42=AO28)*(DC3:DC42=AO26)*(DD3:DD42="D"))+SUMPRODUCT((CZ3:CZ42=AO29)*(DC3:DC42=AO26)*(DD3:DD42="D"))</f>
        <v>0</v>
      </c>
      <c r="AR26" s="2">
        <f>SUMPRODUCT((CZ3:CZ42=AO26)*(DC3:DC42=AO27)*(DD3:DD42="L"))+SUMPRODUCT((CZ3:CZ42=AO26)*(DC3:DC42=AO28)*(DD3:DD42="L"))+SUMPRODUCT((CZ3:CZ42=AO26)*(DC3:DC42=AO29)*(DD3:DD42="L"))+SUMPRODUCT((CZ3:CZ42=AO27)*(DC3:DC42=AO26)*(DE3:DE42="L"))+SUMPRODUCT((CZ3:CZ42=AO28)*(DC3:DC42=AO26)*(DE3:DE42="L"))+SUMPRODUCT((CZ3:CZ42=AO29)*(DC3:DC42=AO26)*(DE3:DE42="L"))</f>
        <v>0</v>
      </c>
      <c r="AS26" s="2">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2">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2">
        <f>AS26-AT26+1000</f>
        <v>1000</v>
      </c>
      <c r="AV26" s="2" t="str">
        <f t="shared" ref="AV26:AV28" si="41">IF(AO26&lt;&gt;"",AP26*3+AQ26*1,"")</f>
        <v/>
      </c>
      <c r="AW26" s="2" t="str">
        <f>IF(AO26&lt;&gt;"",VLOOKUP(AO26,B4:H40,7,FALSE),"")</f>
        <v/>
      </c>
      <c r="AX26" s="2" t="str">
        <f>IF(AO26&lt;&gt;"",VLOOKUP(AO26,B4:H40,5,FALSE),"")</f>
        <v/>
      </c>
      <c r="AY26" s="2" t="str">
        <f>IF(AO26&lt;&gt;"",VLOOKUP(AO26,B4:J40,9,FALSE),"")</f>
        <v/>
      </c>
      <c r="AZ26" s="2" t="str">
        <f t="shared" ref="AZ26:AZ28" si="42">AV26</f>
        <v/>
      </c>
      <c r="BA26" s="2" t="str">
        <f>IF(AO26&lt;&gt;"",RANK(AZ26,AZ25:AZ29),"")</f>
        <v/>
      </c>
      <c r="BB26" s="2" t="str">
        <f>IF(AO26&lt;&gt;"",SUMPRODUCT((AZ25:AZ29=AZ26)*(AU25:AU29&gt;AU26)),"")</f>
        <v/>
      </c>
      <c r="BC26" s="2" t="str">
        <f>IF(AO26&lt;&gt;"",SUMPRODUCT((AZ25:AZ29=AZ26)*(AU25:AU29=AU26)*(AS25:AS29&gt;AS26)),"")</f>
        <v/>
      </c>
      <c r="BD26" s="2" t="str">
        <f>IF(AO26&lt;&gt;"",SUMPRODUCT((AZ25:AZ29=AZ26)*(AU25:AU29=AU26)*(AS25:AS29=AS26)*(AW25:AW29&gt;AW26)),"")</f>
        <v/>
      </c>
      <c r="BE26" s="2" t="str">
        <f>IF(AO26&lt;&gt;"",SUMPRODUCT((AZ25:AZ29=AZ26)*(AU25:AU29=AU26)*(AS25:AS29=AS26)*(AW25:AW29=AW26)*(AX25:AX29&gt;AX26)),"")</f>
        <v/>
      </c>
      <c r="BF26" s="2" t="str">
        <f>IF(AO26&lt;&gt;"",SUMPRODUCT((AZ25:AZ29=AZ26)*(AU25:AU29=AU26)*(AS25:AS29=AS26)*(AW25:AW29=AW26)*(AX25:AX29=AX26)*(AY25:AY29&gt;AY26)),"")</f>
        <v/>
      </c>
      <c r="BG26" s="2" t="str">
        <f>IF(AO26&lt;&gt;"",IF(BG66&lt;&gt;"",IF(AN64=3,BG66,BG66+AN64),SUM(BA26:BF26)+1),"")</f>
        <v/>
      </c>
      <c r="BH26" s="2" t="str">
        <f>IF(AO26&lt;&gt;"",INDEX(AO26:AO29,MATCH(2,BG26:BG29,0),0),"")</f>
        <v/>
      </c>
      <c r="CW26" s="2" t="str">
        <f>IF(BH26&lt;&gt;"",BH26,IF(AN26&lt;&gt;"",AN26,N26))</f>
        <v>Netherlands</v>
      </c>
      <c r="CX26" s="2">
        <v>2</v>
      </c>
      <c r="CY26" s="2">
        <v>24</v>
      </c>
      <c r="CZ26" s="2" t="str">
        <f>Fixtures!G30</f>
        <v>Georgia</v>
      </c>
      <c r="DA26" s="2">
        <f>IF(AND(Fixtures!H30&lt;&gt;"",Fixtures!I30&lt;&gt;""),Fixtures!H30,0)</f>
        <v>0</v>
      </c>
      <c r="DB26" s="2">
        <f>IF(AND(Fixtures!I30&lt;&gt;"",Fixtures!H30&lt;&gt;""),Fixtures!I30,0)</f>
        <v>0</v>
      </c>
      <c r="DC26" s="2" t="str">
        <f>Fixtures!J30</f>
        <v>Czechia</v>
      </c>
      <c r="DD26" s="2" t="str">
        <f>IF(AND(Fixtures!H30&lt;&gt;"",Fixtures!I30&lt;&gt;""),IF(DA26&gt;DB26,"W",IF(DA26=DB26,"D","L")),"")</f>
        <v/>
      </c>
      <c r="DE26" s="2" t="str">
        <f t="shared" si="0"/>
        <v/>
      </c>
      <c r="DH26" s="55" t="s">
        <v>3</v>
      </c>
      <c r="DI26" s="8" t="s">
        <v>13</v>
      </c>
      <c r="DJ26" s="8" t="s">
        <v>108</v>
      </c>
      <c r="DK26" s="8" t="s">
        <v>113</v>
      </c>
      <c r="DL26" s="55" t="s">
        <v>113</v>
      </c>
      <c r="DM26" s="55" t="s">
        <v>108</v>
      </c>
      <c r="DN26" s="55" t="s">
        <v>13</v>
      </c>
      <c r="DO26" s="55" t="s">
        <v>3</v>
      </c>
      <c r="DP26" s="8"/>
      <c r="DQ26" s="56">
        <f>IFERROR(MATCH(DQ12,DH26:DK26,0),0)</f>
        <v>0</v>
      </c>
      <c r="DR26" s="56">
        <f>IFERROR(MATCH(DR12,DH26:DK26,0),0)</f>
        <v>2</v>
      </c>
      <c r="DS26" s="56">
        <f>IFERROR(MATCH(DS12,DH26:DK26,0),0)</f>
        <v>1</v>
      </c>
      <c r="DT26" s="56">
        <f>IFERROR(MATCH(DT12,DH26:DK26,0),0)</f>
        <v>0</v>
      </c>
      <c r="DU26" s="56">
        <f t="shared" si="22"/>
        <v>3</v>
      </c>
      <c r="DV26" s="8"/>
      <c r="DW26" s="8"/>
      <c r="DX26" s="8"/>
      <c r="EF26" s="233"/>
      <c r="EG26" s="48"/>
      <c r="EH26" s="49" t="str">
        <f>Fixtures!J16</f>
        <v>Ukraine</v>
      </c>
      <c r="EI26" s="50" t="s">
        <v>112</v>
      </c>
      <c r="EJ26" s="49" t="str">
        <f>"'Countries and Timezone'!"&amp;VLOOKUP(Fixtures!P30,EH7:EI38,2,FALSE)</f>
        <v>'Countries and Timezone'!B26</v>
      </c>
      <c r="EL26" s="51">
        <v>45464.875</v>
      </c>
      <c r="EM26" s="52">
        <f>EL26+EK7/24</f>
        <v>45464.875</v>
      </c>
      <c r="EO26" s="54">
        <v>-3</v>
      </c>
      <c r="EP26" s="2">
        <v>-5</v>
      </c>
      <c r="EQ26" s="2" t="s">
        <v>545</v>
      </c>
      <c r="ER26" s="2" t="s">
        <v>544</v>
      </c>
    </row>
    <row r="27" spans="1:148" x14ac:dyDescent="0.25">
      <c r="A27" s="2">
        <f>VLOOKUP(B27,CW25:CX29,2,FALSE)</f>
        <v>3</v>
      </c>
      <c r="B27" s="2" t="str">
        <f>'Dummy Table'!EH21</f>
        <v>Austria</v>
      </c>
      <c r="C27" s="2">
        <f>SUMPRODUCT((CZ3:CZ42=B27)*(DD3:DD42="W"))+SUMPRODUCT((DC3:DC42=B27)*(DE3:DE42="W"))</f>
        <v>0</v>
      </c>
      <c r="D27" s="2">
        <f>SUMPRODUCT((CZ3:CZ42=B27)*(DD3:DD42="D"))+SUMPRODUCT((DC3:DC42=B27)*(DE3:DE42="D"))</f>
        <v>0</v>
      </c>
      <c r="E27" s="2">
        <f>SUMPRODUCT((CZ3:CZ42=B27)*(DD3:DD42="L"))+SUMPRODUCT((DC3:DC42=B27)*(DE3:DE42="L"))</f>
        <v>0</v>
      </c>
      <c r="F27" s="2">
        <f>SUMIF(CZ3:CZ60,B27,DA3:DA60)+SUMIF(DC3:DC60,B27,DB3:DB60)</f>
        <v>0</v>
      </c>
      <c r="G27" s="2">
        <f>SUMIF(DC3:DC60,B27,DA3:DA60)+SUMIF(CZ3:CZ60,B27,DB3:DB60)</f>
        <v>0</v>
      </c>
      <c r="H27" s="2">
        <f t="shared" si="36"/>
        <v>1000</v>
      </c>
      <c r="I27" s="2">
        <f t="shared" si="37"/>
        <v>0</v>
      </c>
      <c r="J27" s="2">
        <v>41</v>
      </c>
      <c r="K27" s="2">
        <f>IF(COUNTIF(I25:I29,4)&lt;&gt;4,RANK(I27,I25:I29),I67)</f>
        <v>1</v>
      </c>
      <c r="M27" s="2">
        <f>SUMPRODUCT((K25:K28=K27)*(J25:J28&lt;J27))+K27</f>
        <v>2</v>
      </c>
      <c r="N27" s="2" t="str">
        <f>INDEX(B25:B29,MATCH(3,M25:M29,0),0)</f>
        <v>Netherlands</v>
      </c>
      <c r="O27" s="2">
        <f>INDEX(K25:K29,MATCH(N27,B25:B29,0),0)</f>
        <v>1</v>
      </c>
      <c r="P27" s="2" t="str">
        <f>IF(AND(P26&lt;&gt;"",O27=1),N27,"")</f>
        <v>Netherlands</v>
      </c>
      <c r="Q27" s="2" t="str">
        <f>IF(AND(Q26&lt;&gt;"",O28=2),N28,"")</f>
        <v/>
      </c>
      <c r="R27" s="2" t="str">
        <f>IF(AND(R26&lt;&gt;"",O29=3),N29,"")</f>
        <v/>
      </c>
      <c r="U27" s="2" t="str">
        <f t="shared" si="40"/>
        <v>Netherlands</v>
      </c>
      <c r="V27" s="2">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2">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2">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2">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2">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2">
        <f>Y27-Z27+1000</f>
        <v>1000</v>
      </c>
      <c r="AB27" s="2">
        <f t="shared" si="38"/>
        <v>0</v>
      </c>
      <c r="AC27" s="2">
        <f>IF(U27&lt;&gt;"",VLOOKUP(U27,B4:H40,7,FALSE),"")</f>
        <v>1000</v>
      </c>
      <c r="AD27" s="2">
        <f>IF(U27&lt;&gt;"",VLOOKUP(U27,B4:H40,5,FALSE),"")</f>
        <v>0</v>
      </c>
      <c r="AE27" s="2">
        <f>IF(U27&lt;&gt;"",VLOOKUP(U27,B4:J40,9,FALSE),"")</f>
        <v>42</v>
      </c>
      <c r="AF27" s="2">
        <f t="shared" si="39"/>
        <v>0</v>
      </c>
      <c r="AG27" s="2">
        <f>IF(U27&lt;&gt;"",RANK(AF27,AF25:AF29),"")</f>
        <v>1</v>
      </c>
      <c r="AH27" s="2">
        <f>IF(U27&lt;&gt;"",SUMPRODUCT((AF25:AF29=AF27)*(AA25:AA29&gt;AA27)),"")</f>
        <v>0</v>
      </c>
      <c r="AI27" s="2">
        <f>IF(U27&lt;&gt;"",SUMPRODUCT((AF25:AF29=AF27)*(AA25:AA29=AA27)*(Y25:Y29&gt;Y27)),"")</f>
        <v>0</v>
      </c>
      <c r="AJ27" s="2">
        <f>IF(U27&lt;&gt;"",SUMPRODUCT((AF25:AF29=AF27)*(AA25:AA29=AA27)*(Y25:Y29=Y27)*(AC25:AC29&gt;AC27)),"")</f>
        <v>0</v>
      </c>
      <c r="AK27" s="2">
        <f>IF(U27&lt;&gt;"",SUMPRODUCT((AF25:AF29=AF27)*(AA25:AA29=AA27)*(Y25:Y29=Y27)*(AC25:AC29=AC27)*(AD25:AD29&gt;AD27)),"")</f>
        <v>0</v>
      </c>
      <c r="AL27" s="2">
        <f>IF(U27&lt;&gt;"",SUMPRODUCT((AF25:AF29=AF27)*(AA25:AA29=AA27)*(Y25:Y29=Y27)*(AC25:AC29=AC27)*(AD25:AD29=AD27)*(AE25:AE29&gt;AE27)),"")</f>
        <v>1</v>
      </c>
      <c r="AM27" s="2">
        <f>IF(U27&lt;&gt;"",IF(AM67&lt;&gt;"",IF(T64=3,AM67,AM67+T64),SUM(AG27:AL27)),"")</f>
        <v>2</v>
      </c>
      <c r="AN27" s="2" t="str">
        <f>IF(U27&lt;&gt;"",INDEX(U25:U29,MATCH(3,AM25:AM29,0),0),"")</f>
        <v>Austria</v>
      </c>
      <c r="AO27" s="2" t="str">
        <f>IF(Q26&lt;&gt;"",Q26,"")</f>
        <v/>
      </c>
      <c r="AP27" s="2">
        <f>SUMPRODUCT((CZ3:CZ42=AO27)*(DC3:DC42=AO28)*(DD3:DD42="W"))+SUMPRODUCT((CZ3:CZ42=AO27)*(DC3:DC42=AO29)*(DD3:DD42="W"))+SUMPRODUCT((CZ3:CZ42=AO27)*(DC3:DC42=AO26)*(DD3:DD42="W"))+SUMPRODUCT((CZ3:CZ42=AO28)*(DC3:DC42=AO27)*(DE3:DE42="W"))+SUMPRODUCT((CZ3:CZ42=AO29)*(DC3:DC42=AO27)*(DE3:DE42="W"))+SUMPRODUCT((CZ3:CZ42=AO26)*(DC3:DC42=AO27)*(DE3:DE42="W"))</f>
        <v>0</v>
      </c>
      <c r="AQ27" s="2">
        <f>SUMPRODUCT((CZ3:CZ42=AO27)*(DC3:DC42=AO28)*(DD3:DD42="D"))+SUMPRODUCT((CZ3:CZ42=AO27)*(DC3:DC42=AO29)*(DD3:DD42="D"))+SUMPRODUCT((CZ3:CZ42=AO27)*(DC3:DC42=AO26)*(DD3:DD42="D"))+SUMPRODUCT((CZ3:CZ42=AO28)*(DC3:DC42=AO27)*(DD3:DD42="D"))+SUMPRODUCT((CZ3:CZ42=AO29)*(DC3:DC42=AO27)*(DD3:DD42="D"))+SUMPRODUCT((CZ3:CZ42=AO26)*(DC3:DC42=AO27)*(DD3:DD42="D"))</f>
        <v>0</v>
      </c>
      <c r="AR27" s="2">
        <f>SUMPRODUCT((CZ3:CZ42=AO27)*(DC3:DC42=AO28)*(DD3:DD42="L"))+SUMPRODUCT((CZ3:CZ42=AO27)*(DC3:DC42=AO29)*(DD3:DD42="L"))+SUMPRODUCT((CZ3:CZ42=AO27)*(DC3:DC42=AO26)*(DD3:DD42="L"))+SUMPRODUCT((CZ3:CZ42=AO28)*(DC3:DC42=AO27)*(DE3:DE42="L"))+SUMPRODUCT((CZ3:CZ42=AO29)*(DC3:DC42=AO27)*(DE3:DE42="L"))+SUMPRODUCT((CZ3:CZ42=AO26)*(DC3:DC42=AO27)*(DE3:DE42="L"))</f>
        <v>0</v>
      </c>
      <c r="AS27" s="2">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2">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2">
        <f>AS27-AT27+1000</f>
        <v>1000</v>
      </c>
      <c r="AV27" s="2" t="str">
        <f t="shared" si="41"/>
        <v/>
      </c>
      <c r="AW27" s="2" t="str">
        <f>IF(AO27&lt;&gt;"",VLOOKUP(AO27,B4:H40,7,FALSE),"")</f>
        <v/>
      </c>
      <c r="AX27" s="2" t="str">
        <f>IF(AO27&lt;&gt;"",VLOOKUP(AO27,B4:H40,5,FALSE),"")</f>
        <v/>
      </c>
      <c r="AY27" s="2" t="str">
        <f>IF(AO27&lt;&gt;"",VLOOKUP(AO27,B4:J40,9,FALSE),"")</f>
        <v/>
      </c>
      <c r="AZ27" s="2" t="str">
        <f t="shared" si="42"/>
        <v/>
      </c>
      <c r="BA27" s="2" t="str">
        <f>IF(AO27&lt;&gt;"",RANK(AZ27,AZ25:AZ29),"")</f>
        <v/>
      </c>
      <c r="BB27" s="2" t="str">
        <f>IF(AO27&lt;&gt;"",SUMPRODUCT((AZ25:AZ29=AZ27)*(AU25:AU29&gt;AU27)),"")</f>
        <v/>
      </c>
      <c r="BC27" s="2" t="str">
        <f>IF(AO27&lt;&gt;"",SUMPRODUCT((AZ25:AZ29=AZ27)*(AU25:AU29=AU27)*(AS25:AS29&gt;AS27)),"")</f>
        <v/>
      </c>
      <c r="BD27" s="2" t="str">
        <f>IF(AO27&lt;&gt;"",SUMPRODUCT((AZ25:AZ29=AZ27)*(AU25:AU29=AU27)*(AS25:AS29=AS27)*(AW25:AW29&gt;AW27)),"")</f>
        <v/>
      </c>
      <c r="BE27" s="2" t="str">
        <f>IF(AO27&lt;&gt;"",SUMPRODUCT((AZ25:AZ29=AZ27)*(AU25:AU29=AU27)*(AS25:AS29=AS27)*(AW25:AW29=AW27)*(AX25:AX29&gt;AX27)),"")</f>
        <v/>
      </c>
      <c r="BF27" s="2" t="str">
        <f>IF(AO27&lt;&gt;"",SUMPRODUCT((AZ25:AZ29=AZ27)*(AU25:AU29=AU27)*(AS25:AS29=AS27)*(AW25:AW29=AW27)*(AX25:AX29=AX27)*(AY25:AY29&gt;AY27)),"")</f>
        <v/>
      </c>
      <c r="BG27" s="2" t="str">
        <f>IF(AO27&lt;&gt;"",IF(BG67&lt;&gt;"",IF(AN64=3,BG67,BG67+AN64),SUM(BA27:BF27)+1),"")</f>
        <v/>
      </c>
      <c r="BH27" s="2" t="str">
        <f>IF(AO27&lt;&gt;"",INDEX(AO26:AO29,MATCH(3,BG26:BG29,0),0),"")</f>
        <v/>
      </c>
      <c r="BI27" s="2" t="str">
        <f>IF(R25&lt;&gt;"",R25,"")</f>
        <v/>
      </c>
      <c r="BJ27" s="2">
        <f>SUMPRODUCT((CZ3:CZ42=BI27)*(DC3:DC42=BI28)*(DD3:DD42="W"))+SUMPRODUCT((CZ3:CZ42=BI27)*(DC3:DC42=BI29)*(DD3:DD42="W"))+SUMPRODUCT((CZ3:CZ42=BI27)*(DC3:DC42=BI30)*(DD3:DD42="W"))+SUMPRODUCT((CZ3:CZ42=BI28)*(DC3:DC42=BI27)*(DE3:DE42="W"))+SUMPRODUCT((CZ3:CZ42=BI29)*(DC3:DC42=BI27)*(DE3:DE42="W"))+SUMPRODUCT((CZ3:CZ42=BI30)*(DC3:DC42=BI27)*(DE3:DE42="W"))</f>
        <v>0</v>
      </c>
      <c r="BK27" s="2">
        <f>SUMPRODUCT((CZ3:CZ42=BI27)*(DC3:DC42=BI28)*(DD3:DD42="D"))+SUMPRODUCT((CZ3:CZ42=BI27)*(DC3:DC42=BI29)*(DD3:DD42="D"))+SUMPRODUCT((CZ3:CZ42=BI27)*(DC3:DC42=BI30)*(DD3:DD42="D"))+SUMPRODUCT((CZ3:CZ42=BI28)*(DC3:DC42=BI27)*(DD3:DD42="D"))+SUMPRODUCT((CZ3:CZ42=BI29)*(DC3:DC42=BI27)*(DD3:DD42="D"))+SUMPRODUCT((CZ3:CZ42=BI30)*(DC3:DC42=BI27)*(DD3:DD42="D"))</f>
        <v>0</v>
      </c>
      <c r="BL27" s="2">
        <f>SUMPRODUCT((CZ3:CZ42=BI27)*(DC3:DC42=BI28)*(DD3:DD42="L"))+SUMPRODUCT((CZ3:CZ42=BI27)*(DC3:DC42=BI29)*(DD3:DD42="L"))+SUMPRODUCT((CZ3:CZ42=BI27)*(DC3:DC42=BI30)*(DD3:DD42="L"))+SUMPRODUCT((CZ3:CZ42=BI28)*(DC3:DC42=BI27)*(DE3:DE42="L"))+SUMPRODUCT((CZ3:CZ42=BI29)*(DC3:DC42=BI27)*(DE3:DE42="L"))+SUMPRODUCT((CZ3:CZ42=BI30)*(DC3:DC42=BI27)*(DE3:DE42="L"))</f>
        <v>0</v>
      </c>
      <c r="BM27" s="2">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2">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2">
        <f>BM27-BN27+1000</f>
        <v>1000</v>
      </c>
      <c r="BP27" s="2" t="str">
        <f>IF(BI27&lt;&gt;"",BJ27*3+BK27*1,"")</f>
        <v/>
      </c>
      <c r="BQ27" s="2" t="str">
        <f>IF(BI27&lt;&gt;"",VLOOKUP(BI27,B4:H40,7,FALSE),"")</f>
        <v/>
      </c>
      <c r="BR27" s="2" t="str">
        <f>IF(BI27&lt;&gt;"",VLOOKUP(BI27,B4:H40,5,FALSE),"")</f>
        <v/>
      </c>
      <c r="BS27" s="2" t="str">
        <f>IF(BI27&lt;&gt;"",VLOOKUP(BI27,B4:J40,9,FALSE),"")</f>
        <v/>
      </c>
      <c r="BT27" s="2" t="str">
        <f t="shared" ref="BT27:BT28" si="43">BP27</f>
        <v/>
      </c>
      <c r="BU27" s="2" t="str">
        <f>IF(BI27&lt;&gt;"",RANK(BT27,BT25:BT29),"")</f>
        <v/>
      </c>
      <c r="BV27" s="2" t="str">
        <f>IF(BI27&lt;&gt;"",SUMPRODUCT((BT25:BT29=BT27)*(BO25:BO29&gt;BO27)),"")</f>
        <v/>
      </c>
      <c r="BW27" s="2" t="str">
        <f>IF(BI27&lt;&gt;"",SUMPRODUCT((BT25:BT29=BT27)*(BO25:BO29=BO27)*(BM25:BM29&gt;BM27)),"")</f>
        <v/>
      </c>
      <c r="BX27" s="2" t="str">
        <f>IF(BI27&lt;&gt;"",SUMPRODUCT((BT25:BT29=BT27)*(BO25:BO29=BO27)*(BM25:BM29=BM27)*(BQ25:BQ29&gt;BQ27)),"")</f>
        <v/>
      </c>
      <c r="BY27" s="2" t="str">
        <f>IF(BI27&lt;&gt;"",SUMPRODUCT((BT25:BT29=BT27)*(BO25:BO29=BO27)*(BM25:BM29=BM27)*(BQ25:BQ29=BQ27)*(BR25:BR29&gt;BR27)),"")</f>
        <v/>
      </c>
      <c r="BZ27" s="2" t="str">
        <f>IF(BI27&lt;&gt;"",SUMPRODUCT((BT25:BT29=BT27)*(BO25:BO29=BO27)*(BM25:BM29=BM27)*(BQ25:BQ29=BQ27)*(BR25:BR29=BR27)*(BS25:BS29&gt;BS27)),"")</f>
        <v/>
      </c>
      <c r="CA27" s="2" t="str">
        <f>IF(BI27&lt;&gt;"",SUM(BU27:BZ27)+2,"")</f>
        <v/>
      </c>
      <c r="CB27" s="2" t="str">
        <f>IF(BI27&lt;&gt;"",INDEX(BI27:BI29,MATCH(3,CA27:CA29,0),0),"")</f>
        <v/>
      </c>
      <c r="CW27" s="2" t="str">
        <f>IF(CB27&lt;&gt;"",CB27,IF(BH27&lt;&gt;"",BH27,IF(AN27&lt;&gt;"",AN27,N27)))</f>
        <v>Austria</v>
      </c>
      <c r="CX27" s="2">
        <v>3</v>
      </c>
      <c r="CY27" s="2">
        <v>25</v>
      </c>
      <c r="CZ27" s="2" t="str">
        <f>Fixtures!G31</f>
        <v>Switzerland</v>
      </c>
      <c r="DA27" s="2">
        <f>IF(AND(Fixtures!H31&lt;&gt;"",Fixtures!I31&lt;&gt;""),Fixtures!H31,0)</f>
        <v>0</v>
      </c>
      <c r="DB27" s="2">
        <f>IF(AND(Fixtures!I31&lt;&gt;"",Fixtures!H31&lt;&gt;""),Fixtures!I31,0)</f>
        <v>0</v>
      </c>
      <c r="DC27" s="2" t="str">
        <f>Fixtures!J31</f>
        <v>Germany</v>
      </c>
      <c r="DD27" s="2" t="str">
        <f>IF(AND(Fixtures!H31&lt;&gt;"",Fixtures!I31&lt;&gt;""),IF(DA27&gt;DB27,"W",IF(DA27=DB27,"D","L")),"")</f>
        <v/>
      </c>
      <c r="DE27" s="2" t="str">
        <f t="shared" si="0"/>
        <v/>
      </c>
      <c r="DH27" s="55" t="s">
        <v>4</v>
      </c>
      <c r="DI27" s="8" t="s">
        <v>13</v>
      </c>
      <c r="DJ27" s="8" t="s">
        <v>108</v>
      </c>
      <c r="DK27" s="8" t="s">
        <v>113</v>
      </c>
      <c r="DL27" s="55" t="s">
        <v>113</v>
      </c>
      <c r="DM27" s="55" t="s">
        <v>108</v>
      </c>
      <c r="DN27" s="55" t="s">
        <v>13</v>
      </c>
      <c r="DO27" s="55" t="s">
        <v>4</v>
      </c>
      <c r="DP27" s="8"/>
      <c r="DQ27" s="56">
        <f>IFERROR(MATCH(DQ12,DH27:DK27,0),0)</f>
        <v>0</v>
      </c>
      <c r="DR27" s="56">
        <f>IFERROR(MATCH(DR12,DH27:DK27,0),0)</f>
        <v>2</v>
      </c>
      <c r="DS27" s="56">
        <f>IFERROR(MATCH(DS12,DH27:DK27,0),0)</f>
        <v>0</v>
      </c>
      <c r="DT27" s="56">
        <f>IFERROR(MATCH(DT12,DH27:DK27,0),0)</f>
        <v>1</v>
      </c>
      <c r="DU27" s="56">
        <f t="shared" si="22"/>
        <v>3</v>
      </c>
      <c r="DV27" s="8"/>
      <c r="DW27" s="8"/>
      <c r="DX27" s="8"/>
      <c r="EF27" s="233" t="s">
        <v>113</v>
      </c>
      <c r="EG27" s="48"/>
      <c r="EH27" s="49" t="str">
        <f>Fixtures!G18</f>
        <v>Portugal</v>
      </c>
      <c r="EI27" s="50" t="s">
        <v>114</v>
      </c>
      <c r="EJ27" s="49" t="str">
        <f>"'Countries and Timezone'!"&amp;VLOOKUP(Fixtures!P32,EH7:EI38,2,FALSE)</f>
        <v>'Countries and Timezone'!B27</v>
      </c>
      <c r="EL27" s="51">
        <v>45464.625</v>
      </c>
      <c r="EM27" s="52">
        <f>EL27+EK7/24</f>
        <v>45464.625</v>
      </c>
      <c r="EO27" s="54">
        <v>-2.5</v>
      </c>
      <c r="EP27" s="2">
        <v>-5</v>
      </c>
      <c r="EQ27" s="2" t="s">
        <v>547</v>
      </c>
      <c r="ER27" s="2" t="s">
        <v>546</v>
      </c>
    </row>
    <row r="28" spans="1:148" x14ac:dyDescent="0.25">
      <c r="A28" s="2">
        <f>VLOOKUP(B28,CW25:CX29,2,FALSE)</f>
        <v>1</v>
      </c>
      <c r="B28" s="2" t="str">
        <f>'Dummy Table'!EH22</f>
        <v>France</v>
      </c>
      <c r="C28" s="2">
        <f>SUMPRODUCT((CZ3:CZ42=B28)*(DD3:DD42="W"))+SUMPRODUCT((DC3:DC42=B28)*(DE3:DE42="W"))</f>
        <v>0</v>
      </c>
      <c r="D28" s="2">
        <f>SUMPRODUCT((CZ3:CZ42=B28)*(DD3:DD42="D"))+SUMPRODUCT((DC3:DC42=B28)*(DE3:DE42="D"))</f>
        <v>0</v>
      </c>
      <c r="E28" s="2">
        <f>SUMPRODUCT((CZ3:CZ42=B28)*(DD3:DD42="L"))+SUMPRODUCT((DC3:DC42=B28)*(DE3:DE42="L"))</f>
        <v>0</v>
      </c>
      <c r="F28" s="2">
        <f>SUMIF(CZ3:CZ60,B28,DA3:DA60)+SUMIF(DC3:DC60,B28,DB3:DB60)</f>
        <v>0</v>
      </c>
      <c r="G28" s="2">
        <f>SUMIF(DC3:DC60,B28,DA3:DA60)+SUMIF(CZ3:CZ60,B28,DB3:DB60)</f>
        <v>0</v>
      </c>
      <c r="H28" s="2">
        <f t="shared" si="36"/>
        <v>1000</v>
      </c>
      <c r="I28" s="2">
        <f t="shared" si="37"/>
        <v>0</v>
      </c>
      <c r="J28" s="2">
        <v>52</v>
      </c>
      <c r="K28" s="2">
        <f>IF(COUNTIF(I25:I29,4)&lt;&gt;4,RANK(I28,I25:I29),I68)</f>
        <v>1</v>
      </c>
      <c r="M28" s="2">
        <f>SUMPRODUCT((K25:K28=K28)*(J25:J28&lt;J28))+K28</f>
        <v>4</v>
      </c>
      <c r="N28" s="2" t="str">
        <f>INDEX(B25:B29,MATCH(4,M25:M29,0),0)</f>
        <v>France</v>
      </c>
      <c r="O28" s="2">
        <f>INDEX(K25:K29,MATCH(N28,B25:B29,0),0)</f>
        <v>1</v>
      </c>
      <c r="P28" s="2" t="str">
        <f>IF(AND(P27&lt;&gt;"",O28=1),N28,"")</f>
        <v>France</v>
      </c>
      <c r="Q28" s="2" t="str">
        <f>IF(AND(Q27&lt;&gt;"",O29=2),N29,"")</f>
        <v/>
      </c>
      <c r="U28" s="2" t="str">
        <f t="shared" si="40"/>
        <v>France</v>
      </c>
      <c r="V28" s="2">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2">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2">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2">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2">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2">
        <f>Y28-Z28+1000</f>
        <v>1000</v>
      </c>
      <c r="AB28" s="2">
        <f t="shared" si="38"/>
        <v>0</v>
      </c>
      <c r="AC28" s="2">
        <f>IF(U28&lt;&gt;"",VLOOKUP(U28,B4:H40,7,FALSE),"")</f>
        <v>1000</v>
      </c>
      <c r="AD28" s="2">
        <f>IF(U28&lt;&gt;"",VLOOKUP(U28,B4:H40,5,FALSE),"")</f>
        <v>0</v>
      </c>
      <c r="AE28" s="2">
        <f>IF(U28&lt;&gt;"",VLOOKUP(U28,B4:J40,9,FALSE),"")</f>
        <v>52</v>
      </c>
      <c r="AF28" s="2">
        <f t="shared" si="39"/>
        <v>0</v>
      </c>
      <c r="AG28" s="2">
        <f>IF(U28&lt;&gt;"",RANK(AF28,AF25:AF29),"")</f>
        <v>1</v>
      </c>
      <c r="AH28" s="2">
        <f>IF(U28&lt;&gt;"",SUMPRODUCT((AF25:AF29=AF28)*(AA25:AA29&gt;AA28)),"")</f>
        <v>0</v>
      </c>
      <c r="AI28" s="2">
        <f>IF(U28&lt;&gt;"",SUMPRODUCT((AF25:AF29=AF28)*(AA25:AA29=AA28)*(Y25:Y29&gt;Y28)),"")</f>
        <v>0</v>
      </c>
      <c r="AJ28" s="2">
        <f>IF(U28&lt;&gt;"",SUMPRODUCT((AF25:AF29=AF28)*(AA25:AA29=AA28)*(Y25:Y29=Y28)*(AC25:AC29&gt;AC28)),"")</f>
        <v>0</v>
      </c>
      <c r="AK28" s="2">
        <f>IF(U28&lt;&gt;"",SUMPRODUCT((AF25:AF29=AF28)*(AA25:AA29=AA28)*(Y25:Y29=Y28)*(AC25:AC29=AC28)*(AD25:AD29&gt;AD28)),"")</f>
        <v>0</v>
      </c>
      <c r="AL28" s="2">
        <f>IF(U28&lt;&gt;"",SUMPRODUCT((AF25:AF29=AF28)*(AA25:AA29=AA28)*(Y25:Y29=Y28)*(AC25:AC29=AC28)*(AD25:AD29=AD28)*(AE25:AE29&gt;AE28)),"")</f>
        <v>0</v>
      </c>
      <c r="AM28" s="2">
        <f>IF(U28&lt;&gt;"",IF(AM68&lt;&gt;"",IF(T64=3,AM68,AM68+T64),SUM(AG28:AL28)),"")</f>
        <v>1</v>
      </c>
      <c r="AN28" s="2" t="str">
        <f>IF(U28&lt;&gt;"",INDEX(U25:U29,MATCH(4,AM25:AM29,0),0),"")</f>
        <v>Poland</v>
      </c>
      <c r="AO28" s="2" t="str">
        <f>IF(Q27&lt;&gt;"",Q27,"")</f>
        <v/>
      </c>
      <c r="AP28" s="2" t="str">
        <f>IF(AO28&lt;&gt;"",SUMPRODUCT((CZ3:CZ42=AO28)*(DC3:DC42=AO29)*(DD3:DD42="W"))+SUMPRODUCT((CZ3:CZ42=AO28)*(DC3:DC42=AO26)*(DD3:DD42="W"))+SUMPRODUCT((CZ3:CZ42=AO28)*(DC3:DC42=AO27)*(DD3:DD42="W"))+SUMPRODUCT((CZ3:CZ42=AO29)*(DC3:DC42=AO28)*(DE3:DE42="W"))+SUMPRODUCT((CZ3:CZ42=AO26)*(DC3:DC42=AO28)*(DE3:DE42="W"))+SUMPRODUCT((CZ3:CZ42=AO27)*(DC3:DC42=AO28)*(DE3:DE42="W")),"")</f>
        <v/>
      </c>
      <c r="AQ28" s="2" t="str">
        <f>IF(AO28&lt;&gt;"",SUMPRODUCT((CZ3:CZ42=AO28)*(DC3:DC42=AO29)*(DD3:DD42="D"))+SUMPRODUCT((CZ3:CZ42=AO28)*(DC3:DC42=AO26)*(DD3:DD42="D"))+SUMPRODUCT((CZ3:CZ42=AO28)*(DC3:DC42=AO27)*(DD3:DD42="D"))+SUMPRODUCT((CZ3:CZ42=AO29)*(DC3:DC42=AO28)*(DD3:DD42="D"))+SUMPRODUCT((CZ3:CZ42=AO26)*(DC3:DC42=AO28)*(DD3:DD42="D"))+SUMPRODUCT((CZ3:CZ42=AO27)*(DC3:DC42=AO28)*(DD3:DD42="D")),"")</f>
        <v/>
      </c>
      <c r="AR28" s="2" t="str">
        <f>IF(AO28&lt;&gt;"",SUMPRODUCT((CZ3:CZ42=AO28)*(DC3:DC42=AO29)*(DD3:DD42="L"))+SUMPRODUCT((CZ3:CZ42=AO28)*(DC3:DC42=AO26)*(DD3:DD42="L"))+SUMPRODUCT((CZ3:CZ42=AO28)*(DC3:DC42=AO27)*(DD3:DD42="L"))+SUMPRODUCT((CZ3:CZ42=AO29)*(DC3:DC42=AO28)*(DE3:DE42="L"))+SUMPRODUCT((CZ3:CZ42=AO26)*(DC3:DC42=AO28)*(DE3:DE42="L"))+SUMPRODUCT((CZ3:CZ42=AO27)*(DC3:DC42=AO28)*(DE3:DE42="L")),"")</f>
        <v/>
      </c>
      <c r="AS28" s="2">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2">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2">
        <f>AS28-AT28+1000</f>
        <v>1000</v>
      </c>
      <c r="AV28" s="2" t="str">
        <f t="shared" si="41"/>
        <v/>
      </c>
      <c r="AW28" s="2" t="str">
        <f>IF(AO28&lt;&gt;"",VLOOKUP(AO28,B4:H40,7,FALSE),"")</f>
        <v/>
      </c>
      <c r="AX28" s="2" t="str">
        <f>IF(AO28&lt;&gt;"",VLOOKUP(AO28,B4:H40,5,FALSE),"")</f>
        <v/>
      </c>
      <c r="AY28" s="2" t="str">
        <f>IF(AO28&lt;&gt;"",VLOOKUP(AO28,B4:J40,9,FALSE),"")</f>
        <v/>
      </c>
      <c r="AZ28" s="2" t="str">
        <f t="shared" si="42"/>
        <v/>
      </c>
      <c r="BA28" s="2" t="str">
        <f>IF(AO28&lt;&gt;"",RANK(AZ28,AZ25:AZ29),"")</f>
        <v/>
      </c>
      <c r="BB28" s="2" t="str">
        <f>IF(AO28&lt;&gt;"",SUMPRODUCT((AZ25:AZ29=AZ28)*(AU25:AU29&gt;AU28)),"")</f>
        <v/>
      </c>
      <c r="BC28" s="2" t="str">
        <f>IF(AO28&lt;&gt;"",SUMPRODUCT((AZ25:AZ29=AZ28)*(AU25:AU29=AU28)*(AS25:AS29&gt;AS28)),"")</f>
        <v/>
      </c>
      <c r="BD28" s="2" t="str">
        <f>IF(AO28&lt;&gt;"",SUMPRODUCT((AZ25:AZ29=AZ28)*(AU25:AU29=AU28)*(AS25:AS29=AS28)*(AW25:AW29&gt;AW28)),"")</f>
        <v/>
      </c>
      <c r="BE28" s="2" t="str">
        <f>IF(AO28&lt;&gt;"",SUMPRODUCT((AZ25:AZ29=AZ28)*(AU25:AU29=AU28)*(AS25:AS29=AS28)*(AW25:AW29=AW28)*(AX25:AX29&gt;AX28)),"")</f>
        <v/>
      </c>
      <c r="BF28" s="2" t="str">
        <f>IF(AO28&lt;&gt;"",SUMPRODUCT((AZ25:AZ29=AZ28)*(AU25:AU29=AU28)*(AS25:AS29=AS28)*(AW25:AW29=AW28)*(AX25:AX29=AX28)*(AY25:AY29&gt;AY28)),"")</f>
        <v/>
      </c>
      <c r="BG28" s="2" t="str">
        <f>IF(AO28&lt;&gt;"",IF(BG68&lt;&gt;"",IF(AN64=3,BG68,BG68+AN64),SUM(BA28:BF28)+1),"")</f>
        <v/>
      </c>
      <c r="BH28" s="2" t="str">
        <f>IF(AO28&lt;&gt;"",INDEX(AO26:AO29,MATCH(4,BG26:BG29,0),0),"")</f>
        <v/>
      </c>
      <c r="BI28" s="2" t="str">
        <f>IF(R26&lt;&gt;"",R26,"")</f>
        <v/>
      </c>
      <c r="BJ28" s="2">
        <f>SUMPRODUCT((CZ3:CZ42=BI28)*(DC3:DC42=BI29)*(DD3:DD42="W"))+SUMPRODUCT((CZ3:CZ42=BI28)*(DC3:DC42=BI30)*(DD3:DD42="W"))+SUMPRODUCT((CZ3:CZ42=BI28)*(DC3:DC42=BI27)*(DD3:DD42="W"))+SUMPRODUCT((CZ3:CZ42=BI29)*(DC3:DC42=BI28)*(DE3:DE42="W"))+SUMPRODUCT((CZ3:CZ42=BI30)*(DC3:DC42=BI28)*(DE3:DE42="W"))+SUMPRODUCT((CZ3:CZ42=BI27)*(DC3:DC42=BI28)*(DE3:DE42="W"))</f>
        <v>0</v>
      </c>
      <c r="BK28" s="2">
        <f>SUMPRODUCT((CZ3:CZ42=BI28)*(DC3:DC42=BI29)*(DD3:DD42="D"))+SUMPRODUCT((CZ3:CZ42=BI28)*(DC3:DC42=BI30)*(DD3:DD42="D"))+SUMPRODUCT((CZ3:CZ42=BI28)*(DC3:DC42=BI27)*(DD3:DD42="D"))+SUMPRODUCT((CZ3:CZ42=BI29)*(DC3:DC42=BI28)*(DD3:DD42="D"))+SUMPRODUCT((CZ3:CZ42=BI30)*(DC3:DC42=BI28)*(DD3:DD42="D"))+SUMPRODUCT((CZ3:CZ42=BI27)*(DC3:DC42=BI28)*(DD3:DD42="D"))</f>
        <v>0</v>
      </c>
      <c r="BL28" s="2">
        <f>SUMPRODUCT((CZ3:CZ42=BI28)*(DC3:DC42=BI29)*(DD3:DD42="L"))+SUMPRODUCT((CZ3:CZ42=BI28)*(DC3:DC42=BI30)*(DD3:DD42="L"))+SUMPRODUCT((CZ3:CZ42=BI28)*(DC3:DC42=BI27)*(DD3:DD42="L"))+SUMPRODUCT((CZ3:CZ42=BI29)*(DC3:DC42=BI28)*(DE3:DE42="L"))+SUMPRODUCT((CZ3:CZ42=BI30)*(DC3:DC42=BI28)*(DE3:DE42="L"))+SUMPRODUCT((CZ3:CZ42=BI27)*(DC3:DC42=BI28)*(DE3:DE42="L"))</f>
        <v>0</v>
      </c>
      <c r="BM28" s="2">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2">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2">
        <f>BM28-BN28+1000</f>
        <v>1000</v>
      </c>
      <c r="BP28" s="2" t="str">
        <f t="shared" ref="BP28" si="44">IF(BI28&lt;&gt;"",BJ28*3+BK28*1,"")</f>
        <v/>
      </c>
      <c r="BQ28" s="2" t="str">
        <f>IF(BI28&lt;&gt;"",VLOOKUP(BI28,B4:H40,7,FALSE),"")</f>
        <v/>
      </c>
      <c r="BR28" s="2" t="str">
        <f>IF(BI28&lt;&gt;"",VLOOKUP(BI28,B4:H40,5,FALSE),"")</f>
        <v/>
      </c>
      <c r="BS28" s="2" t="str">
        <f>IF(BI28&lt;&gt;"",VLOOKUP(BI28,B4:J40,9,FALSE),"")</f>
        <v/>
      </c>
      <c r="BT28" s="2" t="str">
        <f t="shared" si="43"/>
        <v/>
      </c>
      <c r="BU28" s="2" t="str">
        <f>IF(BI28&lt;&gt;"",RANK(BT28,BT25:BT29),"")</f>
        <v/>
      </c>
      <c r="BV28" s="2" t="str">
        <f>IF(BI28&lt;&gt;"",SUMPRODUCT((BT25:BT29=BT28)*(BO25:BO29&gt;BO28)),"")</f>
        <v/>
      </c>
      <c r="BW28" s="2" t="str">
        <f>IF(BI28&lt;&gt;"",SUMPRODUCT((BT25:BT29=BT28)*(BO25:BO29=BO28)*(BM25:BM29&gt;BM28)),"")</f>
        <v/>
      </c>
      <c r="BX28" s="2" t="str">
        <f>IF(BI28&lt;&gt;"",SUMPRODUCT((BT25:BT29=BT28)*(BO25:BO29=BO28)*(BM25:BM29=BM28)*(BQ25:BQ29&gt;BQ28)),"")</f>
        <v/>
      </c>
      <c r="BY28" s="2" t="str">
        <f>IF(BI28&lt;&gt;"",SUMPRODUCT((BT25:BT29=BT28)*(BO25:BO29=BO28)*(BM25:BM29=BM28)*(BQ25:BQ29=BQ28)*(BR25:BR29&gt;BR28)),"")</f>
        <v/>
      </c>
      <c r="BZ28" s="2" t="str">
        <f>IF(BI28&lt;&gt;"",SUMPRODUCT((BT25:BT29=BT28)*(BO25:BO29=BO28)*(BM25:BM29=BM28)*(BQ25:BQ29=BQ28)*(BR25:BR29=BR28)*(BS25:BS29&gt;BS28)),"")</f>
        <v/>
      </c>
      <c r="CA28" s="2" t="str">
        <f>IF(BI28&lt;&gt;"",SUM(BU28:BZ28)+2,"")</f>
        <v/>
      </c>
      <c r="CB28" s="2" t="str">
        <f>IF(BI28&lt;&gt;"",INDEX(BI27:BI29,MATCH(4,CA27:CA29,0),0),"")</f>
        <v/>
      </c>
      <c r="CC28" s="2" t="str">
        <f>IF(S25&lt;&gt;"",S25,"")</f>
        <v/>
      </c>
      <c r="CD28" s="2">
        <f>SUMPRODUCT((CZ3:CZ42=CC28)*(DC3:DC42=CC29)*(DD3:DD42="W"))+SUMPRODUCT((CZ3:CZ42=CC28)*(DC3:DC42=CC30)*(DD3:DD42="W"))+SUMPRODUCT((CZ3:CZ42=CC28)*(DC3:DC42=CC31)*(DD3:DD42="W"))+SUMPRODUCT((CZ3:CZ42=CC29)*(DC3:DC42=CC28)*(DE3:DE42="W"))+SUMPRODUCT((CZ3:CZ42=CC30)*(DC3:DC42=CC28)*(DE3:DE42="W"))+SUMPRODUCT((CZ3:CZ42=CC31)*(DC3:DC42=CC28)*(DE3:DE42="W"))</f>
        <v>0</v>
      </c>
      <c r="CE28" s="2">
        <f>SUMPRODUCT((CZ3:CZ42=CC28)*(DC3:DC42=CC29)*(DD3:DD42="D"))+SUMPRODUCT((CZ3:CZ42=CC28)*(DC3:DC42=CC30)*(DD3:DD42="D"))+SUMPRODUCT((CZ3:CZ42=CC28)*(DC3:DC42=CC31)*(DD3:DD42="D"))+SUMPRODUCT((CZ3:CZ42=CC29)*(DC3:DC42=CC28)*(DD3:DD42="D"))+SUMPRODUCT((CZ3:CZ42=CC30)*(DC3:DC42=CC28)*(DD3:DD42="D"))+SUMPRODUCT((CZ3:CZ42=CC31)*(DC3:DC42=CC28)*(DD3:DD42="D"))</f>
        <v>0</v>
      </c>
      <c r="CF28" s="2">
        <f>SUMPRODUCT((CZ3:CZ42=CC28)*(DC3:DC42=CC29)*(DD3:DD42="L"))+SUMPRODUCT((CZ3:CZ42=CC28)*(DC3:DC42=CC30)*(DD3:DD42="L"))+SUMPRODUCT((CZ3:CZ42=CC28)*(DC3:DC42=CC31)*(DD3:DD42="L"))+SUMPRODUCT((CZ3:CZ42=CC29)*(DC3:DC42=CC28)*(DE3:DE42="L"))+SUMPRODUCT((CZ3:CZ42=CC30)*(DC3:DC42=CC28)*(DE3:DE42="L"))+SUMPRODUCT((CZ3:CZ42=CC31)*(DC3:DC42=CC28)*(DE3:DE42="L"))</f>
        <v>0</v>
      </c>
      <c r="CG28" s="2">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2">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2">
        <f>CG28-CH28+1000</f>
        <v>1000</v>
      </c>
      <c r="CJ28" s="2" t="str">
        <f t="shared" ref="CJ28" si="45">IF(CC28&lt;&gt;"",CD28*3+CE28*1,"")</f>
        <v/>
      </c>
      <c r="CK28" s="2" t="str">
        <f>IF(CC28&lt;&gt;"",VLOOKUP(CC28,B4:H40,7,FALSE),"")</f>
        <v/>
      </c>
      <c r="CL28" s="2" t="str">
        <f>IF(CC28&lt;&gt;"",VLOOKUP(CC28,B4:H40,5,FALSE),"")</f>
        <v/>
      </c>
      <c r="CM28" s="2" t="str">
        <f>IF(CC28&lt;&gt;"",VLOOKUP(CC28,B4:J40,9,FALSE),"")</f>
        <v/>
      </c>
      <c r="CN28" s="2" t="str">
        <f t="shared" ref="CN28" si="46">CJ28</f>
        <v/>
      </c>
      <c r="CO28" s="2" t="str">
        <f>IF(CC28&lt;&gt;"",RANK(CN28,AF25:AF29),"")</f>
        <v/>
      </c>
      <c r="CP28" s="2" t="str">
        <f>IF(CC28&lt;&gt;"",SUMPRODUCT((CN25:CN29=CN28)*(CI25:CI29&gt;CI28)),"")</f>
        <v/>
      </c>
      <c r="CQ28" s="2" t="str">
        <f>IF(CC28&lt;&gt;"",SUMPRODUCT((CN25:CN29=CN28)*(CI25:CI29=CI28)*(CG25:CG29&gt;CG28)),"")</f>
        <v/>
      </c>
      <c r="CR28" s="2" t="str">
        <f>IF(CC28&lt;&gt;"",SUMPRODUCT((CN25:CN29=CN28)*(CI25:CI29=CI28)*(CG25:CG29=CG28)*(CK25:CK29&gt;CK28)),"")</f>
        <v/>
      </c>
      <c r="CS28" s="2" t="str">
        <f>IF(CC28&lt;&gt;"",SUMPRODUCT((CN25:CN29=CN28)*(CI25:CI29=CI28)*(CG25:CG29=CG28)*(CK25:CK29=CK28)*(CL25:CL29&gt;CL28)),"")</f>
        <v/>
      </c>
      <c r="CT28" s="2" t="str">
        <f>IF(CC28&lt;&gt;"",SUMPRODUCT((CN25:CN29=CN28)*(CI25:CI29=CI28)*(CG25:CG29=CG28)*(CK25:CK29=CK28)*(CL25:CL29=CL28)*(CM25:CM29&gt;CM28)),"")</f>
        <v/>
      </c>
      <c r="CU28" s="2" t="str">
        <f>IF(CC28&lt;&gt;"",SUM(CO28:CT28)+3,"")</f>
        <v/>
      </c>
      <c r="CV28" s="2" t="str">
        <f>IF(CC28&lt;&gt;"",IF(CU28=4,CC28,CC29),"")</f>
        <v/>
      </c>
      <c r="CW28" s="2" t="str">
        <f>IF(CV28&lt;&gt;"",CV28,IF(CB28&lt;&gt;"",CB28,IF(BH28&lt;&gt;"",BH28,IF(AN28&lt;&gt;"",AN28,N28))))</f>
        <v>Poland</v>
      </c>
      <c r="CX28" s="2">
        <v>4</v>
      </c>
      <c r="CY28" s="2">
        <v>26</v>
      </c>
      <c r="CZ28" s="2" t="str">
        <f>Fixtures!G32</f>
        <v>Scotland</v>
      </c>
      <c r="DA28" s="2">
        <f>IF(AND(Fixtures!H32&lt;&gt;"",Fixtures!I32&lt;&gt;""),Fixtures!H32,0)</f>
        <v>0</v>
      </c>
      <c r="DB28" s="2">
        <f>IF(AND(Fixtures!I32&lt;&gt;"",Fixtures!H32&lt;&gt;""),Fixtures!I32,0)</f>
        <v>0</v>
      </c>
      <c r="DC28" s="2" t="str">
        <f>Fixtures!J32</f>
        <v>Hungary</v>
      </c>
      <c r="DD28" s="2" t="str">
        <f>IF(AND(Fixtures!H32&lt;&gt;"",Fixtures!I32&lt;&gt;""),IF(DA28&gt;DB28,"W",IF(DA28=DB28,"D","L")),"")</f>
        <v/>
      </c>
      <c r="DE28" s="2" t="str">
        <f t="shared" si="0"/>
        <v/>
      </c>
      <c r="DH28" s="2" t="s">
        <v>13</v>
      </c>
      <c r="EF28" s="233"/>
      <c r="EG28" s="48"/>
      <c r="EH28" s="49" t="str">
        <f>Fixtures!J18</f>
        <v>Czechia</v>
      </c>
      <c r="EI28" s="50" t="s">
        <v>115</v>
      </c>
      <c r="EJ28" s="49" t="str">
        <f>"'Countries and Timezone'!"&amp;VLOOKUP(Fixtures!P33,EH7:EI38,2,FALSE)</f>
        <v>'Countries and Timezone'!B29</v>
      </c>
      <c r="EL28" s="51">
        <v>45465.875</v>
      </c>
      <c r="EM28" s="52">
        <f>EL28+EK7/24</f>
        <v>45465.875</v>
      </c>
      <c r="EO28" s="54">
        <v>-2</v>
      </c>
      <c r="EP28" s="2">
        <v>-5</v>
      </c>
      <c r="EQ28" s="2" t="s">
        <v>549</v>
      </c>
      <c r="ER28" s="2" t="s">
        <v>548</v>
      </c>
    </row>
    <row r="29" spans="1:148" x14ac:dyDescent="0.25">
      <c r="CV29" s="2" t="str">
        <f>IF(CC28&lt;&gt;"",IF(CC28=CV28,CC29,CC28),"")</f>
        <v/>
      </c>
      <c r="CY29" s="2">
        <v>27</v>
      </c>
      <c r="CZ29" s="2" t="str">
        <f>Fixtures!G33</f>
        <v>Albania</v>
      </c>
      <c r="DA29" s="2">
        <f>IF(AND(Fixtures!H33&lt;&gt;"",Fixtures!I33&lt;&gt;""),Fixtures!H33,0)</f>
        <v>0</v>
      </c>
      <c r="DB29" s="2">
        <f>IF(AND(Fixtures!I33&lt;&gt;"",Fixtures!H33&lt;&gt;""),Fixtures!I33,0)</f>
        <v>0</v>
      </c>
      <c r="DC29" s="2" t="str">
        <f>Fixtures!J33</f>
        <v>Spain</v>
      </c>
      <c r="DD29" s="2" t="str">
        <f>IF(AND(Fixtures!H33&lt;&gt;"",Fixtures!I33&lt;&gt;""),IF(DA29&gt;DB29,"W",IF(DA29=DB29,"D","L")),"")</f>
        <v/>
      </c>
      <c r="DE29" s="2" t="str">
        <f t="shared" si="0"/>
        <v/>
      </c>
      <c r="EF29" s="233"/>
      <c r="EG29" s="48"/>
      <c r="EH29" s="49" t="str">
        <f>Fixtures!G17</f>
        <v>Türkiye</v>
      </c>
      <c r="EI29" s="50" t="s">
        <v>116</v>
      </c>
      <c r="EJ29" s="49" t="str">
        <f>"'Countries and Timezone'!"&amp;VLOOKUP(Fixtures!P34,EH7:EI38,2,FALSE)</f>
        <v>'Countries and Timezone'!B28</v>
      </c>
      <c r="EL29" s="51">
        <v>45465.75</v>
      </c>
      <c r="EM29" s="52">
        <f>EL29+EK7/24</f>
        <v>45465.75</v>
      </c>
      <c r="EO29" s="54">
        <v>-1.5</v>
      </c>
      <c r="EP29" s="2">
        <v>-5</v>
      </c>
      <c r="EQ29" s="2" t="s">
        <v>551</v>
      </c>
      <c r="ER29" s="2" t="s">
        <v>550</v>
      </c>
    </row>
    <row r="30" spans="1:148" x14ac:dyDescent="0.25">
      <c r="CC30" s="2" t="str">
        <f>IF(BN29&lt;&gt;"",BN29,"")</f>
        <v/>
      </c>
      <c r="CY30" s="2">
        <v>28</v>
      </c>
      <c r="CZ30" s="2" t="str">
        <f>Fixtures!G34</f>
        <v>Croatia</v>
      </c>
      <c r="DA30" s="2">
        <f>IF(AND(Fixtures!H34&lt;&gt;"",Fixtures!I34&lt;&gt;""),Fixtures!H34,0)</f>
        <v>0</v>
      </c>
      <c r="DB30" s="2">
        <f>IF(AND(Fixtures!I34&lt;&gt;"",Fixtures!H34&lt;&gt;""),Fixtures!I34,0)</f>
        <v>0</v>
      </c>
      <c r="DC30" s="2" t="str">
        <f>Fixtures!J34</f>
        <v>Italy</v>
      </c>
      <c r="DD30" s="2" t="str">
        <f>IF(AND(Fixtures!H34&lt;&gt;"",Fixtures!I34&lt;&gt;""),IF(DA30&gt;DB30,"W",IF(DA30=DB30,"D","L")),"")</f>
        <v/>
      </c>
      <c r="DE30" s="2" t="str">
        <f t="shared" si="0"/>
        <v/>
      </c>
      <c r="EF30" s="233"/>
      <c r="EG30" s="48"/>
      <c r="EH30" s="49" t="str">
        <f>Fixtures!J17</f>
        <v>Georgia</v>
      </c>
      <c r="EI30" s="50" t="s">
        <v>117</v>
      </c>
      <c r="EJ30" s="49" t="str">
        <f>"'Countries and Timezone'!"&amp;VLOOKUP(Fixtures!P35,EH7:EI38,2,FALSE)</f>
        <v>'Countries and Timezone'!B30</v>
      </c>
      <c r="EL30" s="51">
        <v>45465.625</v>
      </c>
      <c r="EM30" s="52">
        <f>EL30+EK7/24</f>
        <v>45465.625</v>
      </c>
      <c r="EO30" s="54">
        <v>-1</v>
      </c>
      <c r="EP30" s="2">
        <v>-5</v>
      </c>
      <c r="EQ30" s="2" t="s">
        <v>553</v>
      </c>
      <c r="ER30" s="2" t="s">
        <v>552</v>
      </c>
    </row>
    <row r="31" spans="1:148" x14ac:dyDescent="0.25">
      <c r="A31" s="2">
        <f>VLOOKUP(B31,CW31:CX35,2,FALSE)</f>
        <v>1</v>
      </c>
      <c r="B31" s="2" t="str">
        <f>'Dummy Table'!EH23</f>
        <v>Belgium</v>
      </c>
      <c r="C31" s="2">
        <f>SUMPRODUCT((CZ3:CZ42=B31)*(DD3:DD42="W"))+SUMPRODUCT((DC3:DC42=B31)*(DE3:DE42="W"))</f>
        <v>0</v>
      </c>
      <c r="D31" s="2">
        <f>SUMPRODUCT((CZ3:CZ42=B31)*(DD3:DD42="D"))+SUMPRODUCT((DC3:DC42=B31)*(DE3:DE42="D"))</f>
        <v>0</v>
      </c>
      <c r="E31" s="2">
        <f>SUMPRODUCT((CZ3:CZ42=B31)*(DD3:DD42="L"))+SUMPRODUCT((DC3:DC42=B31)*(DE3:DE42="L"))</f>
        <v>0</v>
      </c>
      <c r="F31" s="2">
        <f>SUMIF(CZ3:CZ60,B31,DA3:DA60)+SUMIF(DC3:DC60,B31,DB3:DB60)</f>
        <v>0</v>
      </c>
      <c r="G31" s="2">
        <f>SUMIF(DC3:DC60,B31,DA3:DA60)+SUMIF(CZ3:CZ60,B31,DB3:DB60)</f>
        <v>0</v>
      </c>
      <c r="H31" s="2">
        <f t="shared" ref="H31:H34" si="47">F31-G31+1000</f>
        <v>1000</v>
      </c>
      <c r="I31" s="2">
        <f t="shared" ref="I31:I34" si="48">C31*3+D31*1</f>
        <v>0</v>
      </c>
      <c r="J31" s="2">
        <v>50</v>
      </c>
      <c r="K31" s="2">
        <f>IF(COUNTIF(I31:I35,4)&lt;&gt;4,RANK(I31,I31:I35),I71)</f>
        <v>1</v>
      </c>
      <c r="M31" s="2">
        <f>SUMPRODUCT((K31:K34=K31)*(J31:J34&lt;J31))+K31</f>
        <v>4</v>
      </c>
      <c r="N31" s="2" t="str">
        <f>INDEX(B31:B35,MATCH(1,M31:M35,0),0)</f>
        <v>Ukraine</v>
      </c>
      <c r="O31" s="2">
        <f>INDEX(K31:K35,MATCH(N31,B31:B35,0),0)</f>
        <v>1</v>
      </c>
      <c r="P31" s="2" t="str">
        <f>IF(O32=1,N31,"")</f>
        <v>Ukraine</v>
      </c>
      <c r="Q31" s="2" t="str">
        <f>IF(O33=2,N32,"")</f>
        <v/>
      </c>
      <c r="R31" s="2" t="str">
        <f>IF(O34=3,N33,"")</f>
        <v/>
      </c>
      <c r="S31" s="2" t="str">
        <f>IF(O35=4,N34,"")</f>
        <v/>
      </c>
      <c r="U31" s="2" t="str">
        <f>IF(P31&lt;&gt;"",P31,"")</f>
        <v>Ukraine</v>
      </c>
      <c r="V31" s="2">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2">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2">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2">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2">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2">
        <f>Y31-Z31+1000</f>
        <v>1000</v>
      </c>
      <c r="AB31" s="2">
        <f t="shared" ref="AB31:AB34" si="49">IF(U31&lt;&gt;"",V31*3+W31*1,"")</f>
        <v>0</v>
      </c>
      <c r="AC31" s="2">
        <f>IF(U31&lt;&gt;"",VLOOKUP(U31,B4:H40,7,FALSE),"")</f>
        <v>1000</v>
      </c>
      <c r="AD31" s="2">
        <f>IF(U31&lt;&gt;"",VLOOKUP(U31,B4:H40,5,FALSE),"")</f>
        <v>0</v>
      </c>
      <c r="AE31" s="2">
        <f>IF(U31&lt;&gt;"",VLOOKUP(U31,B4:J40,9,FALSE),"")</f>
        <v>2</v>
      </c>
      <c r="AF31" s="2">
        <f t="shared" ref="AF31:AF34" si="50">AB31</f>
        <v>0</v>
      </c>
      <c r="AG31" s="2">
        <f>IF(U31&lt;&gt;"",RANK(AF31,AF31:AF35),"")</f>
        <v>1</v>
      </c>
      <c r="AH31" s="2">
        <f>IF(U31&lt;&gt;"",SUMPRODUCT((AF31:AF35=AF31)*(AA31:AA35&gt;AA31)),"")</f>
        <v>0</v>
      </c>
      <c r="AI31" s="2">
        <f>IF(U31&lt;&gt;"",SUMPRODUCT((AF31:AF35=AF31)*(AA31:AA35=AA31)*(Y31:Y35&gt;Y31)),"")</f>
        <v>0</v>
      </c>
      <c r="AJ31" s="2">
        <f>IF(U31&lt;&gt;"",SUMPRODUCT((AF31:AF35=AF31)*(AA31:AA35=AA31)*(Y31:Y35=Y31)*(AC31:AC35&gt;AC31)),"")</f>
        <v>0</v>
      </c>
      <c r="AK31" s="2">
        <f>IF(U31&lt;&gt;"",SUMPRODUCT((AF31:AF35=AF31)*(AA31:AA35=AA31)*(Y31:Y35=Y31)*(AC31:AC35=AC31)*(AD31:AD35&gt;AD31)),"")</f>
        <v>0</v>
      </c>
      <c r="AL31" s="2">
        <f>IF(U31&lt;&gt;"",SUMPRODUCT((AF31:AF35=AF31)*(AA31:AA35=AA31)*(Y31:Y35=Y31)*(AC31:AC35=AC31)*(AD31:AD35=AD31)*(AE31:AE35&gt;AE31)),"")</f>
        <v>3</v>
      </c>
      <c r="AM31" s="2">
        <f>IF(U31&lt;&gt;"",IF(AM71&lt;&gt;"",IF(T70=3,AM71,AM71+T70),SUM(AG31:AL31)),"")</f>
        <v>4</v>
      </c>
      <c r="AN31" s="2" t="str">
        <f>IF(U31&lt;&gt;"",INDEX(U31:U35,MATCH(1,AM31:AM35,0),0),"")</f>
        <v>Belgium</v>
      </c>
      <c r="CW31" s="2" t="str">
        <f>IF(AN31&lt;&gt;"",AN31,N31)</f>
        <v>Belgium</v>
      </c>
      <c r="CX31" s="2">
        <v>1</v>
      </c>
      <c r="CY31" s="2">
        <v>29</v>
      </c>
      <c r="CZ31" s="2" t="str">
        <f>Fixtures!G35</f>
        <v>England</v>
      </c>
      <c r="DA31" s="2">
        <f>IF(AND(Fixtures!H35&lt;&gt;"",Fixtures!I35&lt;&gt;""),Fixtures!H35,0)</f>
        <v>0</v>
      </c>
      <c r="DB31" s="2">
        <f>IF(AND(Fixtures!I35&lt;&gt;"",Fixtures!H35&lt;&gt;""),Fixtures!I35,0)</f>
        <v>0</v>
      </c>
      <c r="DC31" s="2" t="str">
        <f>Fixtures!J35</f>
        <v>Slovenia</v>
      </c>
      <c r="DD31" s="2" t="str">
        <f>IF(AND(Fixtures!H35&lt;&gt;"",Fixtures!I35&lt;&gt;""),IF(DA31&gt;DB31,"W",IF(DA31=DB31,"D","L")),"")</f>
        <v/>
      </c>
      <c r="DE31" s="2" t="str">
        <f t="shared" si="0"/>
        <v/>
      </c>
      <c r="EF31" s="233" t="s">
        <v>118</v>
      </c>
      <c r="EG31" s="48"/>
      <c r="EH31" s="49"/>
      <c r="EI31" s="50"/>
      <c r="EJ31" s="49"/>
      <c r="EL31" s="51">
        <v>45466.875</v>
      </c>
      <c r="EM31" s="52">
        <f>EL31+EK7/24</f>
        <v>45466.875</v>
      </c>
      <c r="EO31" s="54">
        <v>-0.5</v>
      </c>
      <c r="EP31" s="2">
        <v>-5</v>
      </c>
      <c r="EQ31" s="2" t="s">
        <v>555</v>
      </c>
      <c r="ER31" s="2" t="s">
        <v>554</v>
      </c>
    </row>
    <row r="32" spans="1:148" x14ac:dyDescent="0.25">
      <c r="A32" s="2">
        <f>VLOOKUP(B32,CW31:CX35,2,FALSE)</f>
        <v>3</v>
      </c>
      <c r="B32" s="2" t="str">
        <f>'Dummy Table'!EH24</f>
        <v>Slovakia</v>
      </c>
      <c r="C32" s="2">
        <f>SUMPRODUCT((CZ3:CZ42=B32)*(DD3:DD42="W"))+SUMPRODUCT((DC3:DC42=B32)*(DE3:DE42="W"))</f>
        <v>0</v>
      </c>
      <c r="D32" s="2">
        <f>SUMPRODUCT((CZ3:CZ42=B32)*(DD3:DD42="D"))+SUMPRODUCT((DC3:DC42=B32)*(DE3:DE42="D"))</f>
        <v>0</v>
      </c>
      <c r="E32" s="2">
        <f>SUMPRODUCT((CZ3:CZ42=B32)*(DD3:DD42="L"))+SUMPRODUCT((DC3:DC42=B32)*(DE3:DE42="L"))</f>
        <v>0</v>
      </c>
      <c r="F32" s="2">
        <f>SUMIF(CZ3:CZ60,B32,DA3:DA60)+SUMIF(DC3:DC60,B32,DB3:DB60)</f>
        <v>0</v>
      </c>
      <c r="G32" s="2">
        <f>SUMIF(DC3:DC60,B32,DA3:DA60)+SUMIF(CZ3:CZ60,B32,DB3:DB60)</f>
        <v>0</v>
      </c>
      <c r="H32" s="2">
        <f t="shared" si="47"/>
        <v>1000</v>
      </c>
      <c r="I32" s="2">
        <f t="shared" si="48"/>
        <v>0</v>
      </c>
      <c r="J32" s="2">
        <v>38</v>
      </c>
      <c r="K32" s="2">
        <f>IF(COUNTIF(I31:I35,4)&lt;&gt;4,RANK(I32,I31:I35),I72)</f>
        <v>1</v>
      </c>
      <c r="M32" s="2">
        <f>SUMPRODUCT((K31:K34=K32)*(J31:J34&lt;J32))+K32</f>
        <v>2</v>
      </c>
      <c r="N32" s="2" t="str">
        <f>INDEX(B31:B35,MATCH(2,M31:M35,0),0)</f>
        <v>Slovakia</v>
      </c>
      <c r="O32" s="2">
        <f>INDEX(K31:K35,MATCH(N32,B31:B35,0),0)</f>
        <v>1</v>
      </c>
      <c r="P32" s="2" t="str">
        <f>IF(P31&lt;&gt;"",N32,"")</f>
        <v>Slovakia</v>
      </c>
      <c r="Q32" s="2" t="str">
        <f>IF(Q31&lt;&gt;"",N33,"")</f>
        <v/>
      </c>
      <c r="R32" s="2" t="str">
        <f>IF(R31&lt;&gt;"",N34,"")</f>
        <v/>
      </c>
      <c r="S32" s="2" t="str">
        <f>IF(S31&lt;&gt;"",N35,"")</f>
        <v/>
      </c>
      <c r="U32" s="2" t="str">
        <f t="shared" ref="U32:U34" si="51">IF(P32&lt;&gt;"",P32,"")</f>
        <v>Slovakia</v>
      </c>
      <c r="V32" s="2">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2">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2">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2">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2">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2">
        <f>Y32-Z32+1000</f>
        <v>1000</v>
      </c>
      <c r="AB32" s="2">
        <f t="shared" si="49"/>
        <v>0</v>
      </c>
      <c r="AC32" s="2">
        <f>IF(U32&lt;&gt;"",VLOOKUP(U32,B4:H40,7,FALSE),"")</f>
        <v>1000</v>
      </c>
      <c r="AD32" s="2">
        <f>IF(U32&lt;&gt;"",VLOOKUP(U32,B4:H40,5,FALSE),"")</f>
        <v>0</v>
      </c>
      <c r="AE32" s="2">
        <f>IF(U32&lt;&gt;"",VLOOKUP(U32,B4:J40,9,FALSE),"")</f>
        <v>38</v>
      </c>
      <c r="AF32" s="2">
        <f t="shared" si="50"/>
        <v>0</v>
      </c>
      <c r="AG32" s="2">
        <f>IF(U32&lt;&gt;"",RANK(AF32,AF31:AF35),"")</f>
        <v>1</v>
      </c>
      <c r="AH32" s="2">
        <f>IF(U32&lt;&gt;"",SUMPRODUCT((AF31:AF35=AF32)*(AA31:AA35&gt;AA32)),"")</f>
        <v>0</v>
      </c>
      <c r="AI32" s="2">
        <f>IF(U32&lt;&gt;"",SUMPRODUCT((AF31:AF35=AF32)*(AA31:AA35=AA32)*(Y31:Y35&gt;Y32)),"")</f>
        <v>0</v>
      </c>
      <c r="AJ32" s="2">
        <f>IF(U32&lt;&gt;"",SUMPRODUCT((AF31:AF35=AF32)*(AA31:AA35=AA32)*(Y31:Y35=Y32)*(AC31:AC35&gt;AC32)),"")</f>
        <v>0</v>
      </c>
      <c r="AK32" s="2">
        <f>IF(U32&lt;&gt;"",SUMPRODUCT((AF31:AF35=AF32)*(AA31:AA35=AA32)*(Y31:Y35=Y32)*(AC31:AC35=AC32)*(AD31:AD35&gt;AD32)),"")</f>
        <v>0</v>
      </c>
      <c r="AL32" s="2">
        <f>IF(U32&lt;&gt;"",SUMPRODUCT((AF31:AF35=AF32)*(AA31:AA35=AA32)*(Y31:Y35=Y32)*(AC31:AC35=AC32)*(AD31:AD35=AD32)*(AE31:AE35&gt;AE32)),"")</f>
        <v>2</v>
      </c>
      <c r="AM32" s="2">
        <f>IF(U32&lt;&gt;"",IF(AM72&lt;&gt;"",IF(T70=3,AM72,AM72+T70),SUM(AG32:AL32)),"")</f>
        <v>3</v>
      </c>
      <c r="AN32" s="2" t="str">
        <f>IF(U32&lt;&gt;"",INDEX(U31:U35,MATCH(2,AM31:AM35,0),0),"")</f>
        <v>Romania</v>
      </c>
      <c r="AO32" s="2" t="str">
        <f>IF(Q31&lt;&gt;"",Q31,"")</f>
        <v/>
      </c>
      <c r="AP32" s="2">
        <f>SUMPRODUCT((CZ3:CZ42=AO32)*(DC3:DC42=AO33)*(DD3:DD42="W"))+SUMPRODUCT((CZ3:CZ42=AO32)*(DC3:DC42=AO34)*(DD3:DD42="W"))+SUMPRODUCT((CZ3:CZ42=AO32)*(DC3:DC42=AO35)*(DD3:DD42="W"))+SUMPRODUCT((CZ3:CZ42=AO33)*(DC3:DC42=AO32)*(DE3:DE42="W"))+SUMPRODUCT((CZ3:CZ42=AO34)*(DC3:DC42=AO32)*(DE3:DE42="W"))+SUMPRODUCT((CZ3:CZ42=AO35)*(DC3:DC42=AO32)*(DE3:DE42="W"))</f>
        <v>0</v>
      </c>
      <c r="AQ32" s="2">
        <f>SUMPRODUCT((CZ3:CZ42=AO32)*(DC3:DC42=AO33)*(DD3:DD42="D"))+SUMPRODUCT((CZ3:CZ42=AO32)*(DC3:DC42=AO34)*(DD3:DD42="D"))+SUMPRODUCT((CZ3:CZ42=AO32)*(DC3:DC42=AO35)*(DD3:DD42="D"))+SUMPRODUCT((CZ3:CZ42=AO33)*(DC3:DC42=AO32)*(DD3:DD42="D"))+SUMPRODUCT((CZ3:CZ42=AO34)*(DC3:DC42=AO32)*(DD3:DD42="D"))+SUMPRODUCT((CZ3:CZ42=AO35)*(DC3:DC42=AO32)*(DD3:DD42="D"))</f>
        <v>0</v>
      </c>
      <c r="AR32" s="2">
        <f>SUMPRODUCT((CZ3:CZ42=AO32)*(DC3:DC42=AO33)*(DD3:DD42="L"))+SUMPRODUCT((CZ3:CZ42=AO32)*(DC3:DC42=AO34)*(DD3:DD42="L"))+SUMPRODUCT((CZ3:CZ42=AO32)*(DC3:DC42=AO35)*(DD3:DD42="L"))+SUMPRODUCT((CZ3:CZ42=AO33)*(DC3:DC42=AO32)*(DE3:DE42="L"))+SUMPRODUCT((CZ3:CZ42=AO34)*(DC3:DC42=AO32)*(DE3:DE42="L"))+SUMPRODUCT((CZ3:CZ42=AO35)*(DC3:DC42=AO32)*(DE3:DE42="L"))</f>
        <v>0</v>
      </c>
      <c r="AS32" s="2">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2">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2">
        <f>AS32-AT32+1000</f>
        <v>1000</v>
      </c>
      <c r="AV32" s="2" t="str">
        <f t="shared" ref="AV32:AV34" si="52">IF(AO32&lt;&gt;"",AP32*3+AQ32*1,"")</f>
        <v/>
      </c>
      <c r="AW32" s="2" t="str">
        <f>IF(AO32&lt;&gt;"",VLOOKUP(AO32,B4:H40,7,FALSE),"")</f>
        <v/>
      </c>
      <c r="AX32" s="2" t="str">
        <f>IF(AO32&lt;&gt;"",VLOOKUP(AO32,B4:H40,5,FALSE),"")</f>
        <v/>
      </c>
      <c r="AY32" s="2" t="str">
        <f>IF(AO32&lt;&gt;"",VLOOKUP(AO32,B4:J40,9,FALSE),"")</f>
        <v/>
      </c>
      <c r="AZ32" s="2" t="str">
        <f t="shared" ref="AZ32:AZ34" si="53">AV32</f>
        <v/>
      </c>
      <c r="BA32" s="2" t="str">
        <f>IF(AO32&lt;&gt;"",RANK(AZ32,AZ31:AZ35),"")</f>
        <v/>
      </c>
      <c r="BB32" s="2" t="str">
        <f>IF(AO32&lt;&gt;"",SUMPRODUCT((AZ31:AZ35=AZ32)*(AU31:AU35&gt;AU32)),"")</f>
        <v/>
      </c>
      <c r="BC32" s="2" t="str">
        <f>IF(AO32&lt;&gt;"",SUMPRODUCT((AZ31:AZ35=AZ32)*(AU31:AU35=AU32)*(AS31:AS35&gt;AS32)),"")</f>
        <v/>
      </c>
      <c r="BD32" s="2" t="str">
        <f>IF(AO32&lt;&gt;"",SUMPRODUCT((AZ31:AZ35=AZ32)*(AU31:AU35=AU32)*(AS31:AS35=AS32)*(AW31:AW35&gt;AW32)),"")</f>
        <v/>
      </c>
      <c r="BE32" s="2" t="str">
        <f>IF(AO32&lt;&gt;"",SUMPRODUCT((AZ31:AZ35=AZ32)*(AU31:AU35=AU32)*(AS31:AS35=AS32)*(AW31:AW35=AW32)*(AX31:AX35&gt;AX32)),"")</f>
        <v/>
      </c>
      <c r="BF32" s="2" t="str">
        <f>IF(AO32&lt;&gt;"",SUMPRODUCT((AZ31:AZ35=AZ32)*(AU31:AU35=AU32)*(AS31:AS35=AS32)*(AW31:AW35=AW32)*(AX31:AX35=AX32)*(AY31:AY35&gt;AY32)),"")</f>
        <v/>
      </c>
      <c r="BG32" s="2" t="str">
        <f>IF(AO32&lt;&gt;"",IF(BG72&lt;&gt;"",IF(AN70=3,BG72,BG72+AN70),SUM(BA32:BF32)+1),"")</f>
        <v/>
      </c>
      <c r="BH32" s="2" t="str">
        <f>IF(AO32&lt;&gt;"",INDEX(AO32:AO35,MATCH(2,BG32:BG35,0),0),"")</f>
        <v/>
      </c>
      <c r="CW32" s="2" t="str">
        <f>IF(BH32&lt;&gt;"",BH32,IF(AN32&lt;&gt;"",AN32,N32))</f>
        <v>Romania</v>
      </c>
      <c r="CX32" s="2">
        <v>2</v>
      </c>
      <c r="CY32" s="2">
        <v>30</v>
      </c>
      <c r="CZ32" s="2" t="str">
        <f>Fixtures!G36</f>
        <v>Denmark</v>
      </c>
      <c r="DA32" s="2">
        <f>IF(AND(Fixtures!H36&lt;&gt;"",Fixtures!I36&lt;&gt;""),Fixtures!H36,0)</f>
        <v>0</v>
      </c>
      <c r="DB32" s="2">
        <f>IF(AND(Fixtures!I36&lt;&gt;"",Fixtures!H36&lt;&gt;""),Fixtures!I36,0)</f>
        <v>0</v>
      </c>
      <c r="DC32" s="2" t="str">
        <f>Fixtures!J36</f>
        <v>Serbia</v>
      </c>
      <c r="DD32" s="2" t="str">
        <f>IF(AND(Fixtures!H36&lt;&gt;"",Fixtures!I36&lt;&gt;""),IF(DA32&gt;DB32,"W",IF(DA32=DB32,"D","L")),"")</f>
        <v/>
      </c>
      <c r="DE32" s="2" t="str">
        <f t="shared" si="0"/>
        <v/>
      </c>
      <c r="EF32" s="233"/>
      <c r="EG32" s="48"/>
      <c r="EH32" s="49"/>
      <c r="EI32" s="50"/>
      <c r="EJ32" s="49"/>
      <c r="EL32" s="51">
        <v>45466.875</v>
      </c>
      <c r="EM32" s="52">
        <f>EL32+EK7/24</f>
        <v>45466.875</v>
      </c>
      <c r="EO32" s="54">
        <v>0</v>
      </c>
      <c r="EP32" s="2">
        <v>-5</v>
      </c>
      <c r="EQ32" s="2" t="s">
        <v>557</v>
      </c>
      <c r="ER32" s="2" t="s">
        <v>556</v>
      </c>
    </row>
    <row r="33" spans="1:148" x14ac:dyDescent="0.25">
      <c r="A33" s="2">
        <f>VLOOKUP(B33,CW31:CX35,2,FALSE)</f>
        <v>2</v>
      </c>
      <c r="B33" s="2" t="str">
        <f>'Dummy Table'!EH25</f>
        <v>Romania</v>
      </c>
      <c r="C33" s="2">
        <f>SUMPRODUCT((CZ3:CZ42=B33)*(DD3:DD42="W"))+SUMPRODUCT((DC3:DC42=B33)*(DE3:DE42="W"))</f>
        <v>0</v>
      </c>
      <c r="D33" s="2">
        <f>SUMPRODUCT((CZ3:CZ42=B33)*(DD3:DD42="D"))+SUMPRODUCT((DC3:DC42=B33)*(DE3:DE42="D"))</f>
        <v>0</v>
      </c>
      <c r="E33" s="2">
        <f>SUMPRODUCT((CZ3:CZ42=B33)*(DD3:DD42="L"))+SUMPRODUCT((DC3:DC42=B33)*(DE3:DE42="L"))</f>
        <v>0</v>
      </c>
      <c r="F33" s="2">
        <f>SUMIF(CZ3:CZ60,B33,DA3:DA60)+SUMIF(DC3:DC60,B33,DB3:DB60)</f>
        <v>0</v>
      </c>
      <c r="G33" s="2">
        <f>SUMIF(DC3:DC60,B33,DA3:DA60)+SUMIF(CZ3:CZ60,B33,DB3:DB60)</f>
        <v>0</v>
      </c>
      <c r="H33" s="2">
        <f t="shared" si="47"/>
        <v>1000</v>
      </c>
      <c r="I33" s="2">
        <f t="shared" si="48"/>
        <v>0</v>
      </c>
      <c r="J33" s="2">
        <v>46</v>
      </c>
      <c r="K33" s="2">
        <f>IF(COUNTIF(I31:I35,4)&lt;&gt;4,RANK(I33,I31:I35),I73)</f>
        <v>1</v>
      </c>
      <c r="M33" s="2">
        <f>SUMPRODUCT((K31:K34=K33)*(J31:J34&lt;J33))+K33</f>
        <v>3</v>
      </c>
      <c r="N33" s="2" t="str">
        <f>INDEX(B31:B35,MATCH(3,M31:M35,0),0)</f>
        <v>Romania</v>
      </c>
      <c r="O33" s="2">
        <f>INDEX(K31:K35,MATCH(N33,B31:B35,0),0)</f>
        <v>1</v>
      </c>
      <c r="P33" s="2" t="str">
        <f>IF(AND(P32&lt;&gt;"",O33=1),N33,"")</f>
        <v>Romania</v>
      </c>
      <c r="Q33" s="2" t="str">
        <f>IF(AND(Q32&lt;&gt;"",O34=2),N34,"")</f>
        <v/>
      </c>
      <c r="R33" s="2" t="str">
        <f>IF(AND(R32&lt;&gt;"",O35=3),N35,"")</f>
        <v/>
      </c>
      <c r="U33" s="2" t="str">
        <f t="shared" si="51"/>
        <v>Romania</v>
      </c>
      <c r="V33" s="2">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2">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2">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2">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2">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2">
        <f>Y33-Z33+1000</f>
        <v>1000</v>
      </c>
      <c r="AB33" s="2">
        <f t="shared" si="49"/>
        <v>0</v>
      </c>
      <c r="AC33" s="2">
        <f>IF(U33&lt;&gt;"",VLOOKUP(U33,B4:H40,7,FALSE),"")</f>
        <v>1000</v>
      </c>
      <c r="AD33" s="2">
        <f>IF(U33&lt;&gt;"",VLOOKUP(U33,B4:H40,5,FALSE),"")</f>
        <v>0</v>
      </c>
      <c r="AE33" s="2">
        <f>IF(U33&lt;&gt;"",VLOOKUP(U33,B4:J40,9,FALSE),"")</f>
        <v>46</v>
      </c>
      <c r="AF33" s="2">
        <f t="shared" si="50"/>
        <v>0</v>
      </c>
      <c r="AG33" s="2">
        <f>IF(U33&lt;&gt;"",RANK(AF33,AF31:AF35),"")</f>
        <v>1</v>
      </c>
      <c r="AH33" s="2">
        <f>IF(U33&lt;&gt;"",SUMPRODUCT((AF31:AF35=AF33)*(AA31:AA35&gt;AA33)),"")</f>
        <v>0</v>
      </c>
      <c r="AI33" s="2">
        <f>IF(U33&lt;&gt;"",SUMPRODUCT((AF31:AF35=AF33)*(AA31:AA35=AA33)*(Y31:Y35&gt;Y33)),"")</f>
        <v>0</v>
      </c>
      <c r="AJ33" s="2">
        <f>IF(U33&lt;&gt;"",SUMPRODUCT((AF31:AF35=AF33)*(AA31:AA35=AA33)*(Y31:Y35=Y33)*(AC31:AC35&gt;AC33)),"")</f>
        <v>0</v>
      </c>
      <c r="AK33" s="2">
        <f>IF(U33&lt;&gt;"",SUMPRODUCT((AF31:AF35=AF33)*(AA31:AA35=AA33)*(Y31:Y35=Y33)*(AC31:AC35=AC33)*(AD31:AD35&gt;AD33)),"")</f>
        <v>0</v>
      </c>
      <c r="AL33" s="2">
        <f>IF(U33&lt;&gt;"",SUMPRODUCT((AF31:AF35=AF33)*(AA31:AA35=AA33)*(Y31:Y35=Y33)*(AC31:AC35=AC33)*(AD31:AD35=AD33)*(AE31:AE35&gt;AE33)),"")</f>
        <v>1</v>
      </c>
      <c r="AM33" s="2">
        <f>IF(U33&lt;&gt;"",IF(AM73&lt;&gt;"",IF(T70=3,AM73,AM73+T70),SUM(AG33:AL33)),"")</f>
        <v>2</v>
      </c>
      <c r="AN33" s="2" t="str">
        <f>IF(U33&lt;&gt;"",INDEX(U31:U35,MATCH(3,AM31:AM35,0),0),"")</f>
        <v>Slovakia</v>
      </c>
      <c r="AO33" s="2" t="str">
        <f>IF(Q32&lt;&gt;"",Q32,"")</f>
        <v/>
      </c>
      <c r="AP33" s="2">
        <f>SUMPRODUCT((CZ3:CZ42=AO33)*(DC3:DC42=AO34)*(DD3:DD42="W"))+SUMPRODUCT((CZ3:CZ42=AO33)*(DC3:DC42=AO35)*(DD3:DD42="W"))+SUMPRODUCT((CZ3:CZ42=AO33)*(DC3:DC42=AO32)*(DD3:DD42="W"))+SUMPRODUCT((CZ3:CZ42=AO34)*(DC3:DC42=AO33)*(DE3:DE42="W"))+SUMPRODUCT((CZ3:CZ42=AO35)*(DC3:DC42=AO33)*(DE3:DE42="W"))+SUMPRODUCT((CZ3:CZ42=AO32)*(DC3:DC42=AO33)*(DE3:DE42="W"))</f>
        <v>0</v>
      </c>
      <c r="AQ33" s="2">
        <f>SUMPRODUCT((CZ3:CZ42=AO33)*(DC3:DC42=AO34)*(DD3:DD42="D"))+SUMPRODUCT((CZ3:CZ42=AO33)*(DC3:DC42=AO35)*(DD3:DD42="D"))+SUMPRODUCT((CZ3:CZ42=AO33)*(DC3:DC42=AO32)*(DD3:DD42="D"))+SUMPRODUCT((CZ3:CZ42=AO34)*(DC3:DC42=AO33)*(DD3:DD42="D"))+SUMPRODUCT((CZ3:CZ42=AO35)*(DC3:DC42=AO33)*(DD3:DD42="D"))+SUMPRODUCT((CZ3:CZ42=AO32)*(DC3:DC42=AO33)*(DD3:DD42="D"))</f>
        <v>0</v>
      </c>
      <c r="AR33" s="2">
        <f>SUMPRODUCT((CZ3:CZ42=AO33)*(DC3:DC42=AO34)*(DD3:DD42="L"))+SUMPRODUCT((CZ3:CZ42=AO33)*(DC3:DC42=AO35)*(DD3:DD42="L"))+SUMPRODUCT((CZ3:CZ42=AO33)*(DC3:DC42=AO32)*(DD3:DD42="L"))+SUMPRODUCT((CZ3:CZ42=AO34)*(DC3:DC42=AO33)*(DE3:DE42="L"))+SUMPRODUCT((CZ3:CZ42=AO35)*(DC3:DC42=AO33)*(DE3:DE42="L"))+SUMPRODUCT((CZ3:CZ42=AO32)*(DC3:DC42=AO33)*(DE3:DE42="L"))</f>
        <v>0</v>
      </c>
      <c r="AS33" s="2">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2">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2">
        <f>AS33-AT33+1000</f>
        <v>1000</v>
      </c>
      <c r="AV33" s="2" t="str">
        <f t="shared" si="52"/>
        <v/>
      </c>
      <c r="AW33" s="2" t="str">
        <f>IF(AO33&lt;&gt;"",VLOOKUP(AO33,B4:H40,7,FALSE),"")</f>
        <v/>
      </c>
      <c r="AX33" s="2" t="str">
        <f>IF(AO33&lt;&gt;"",VLOOKUP(AO33,B4:H40,5,FALSE),"")</f>
        <v/>
      </c>
      <c r="AY33" s="2" t="str">
        <f>IF(AO33&lt;&gt;"",VLOOKUP(AO33,B4:J40,9,FALSE),"")</f>
        <v/>
      </c>
      <c r="AZ33" s="2" t="str">
        <f t="shared" si="53"/>
        <v/>
      </c>
      <c r="BA33" s="2" t="str">
        <f>IF(AO33&lt;&gt;"",RANK(AZ33,AZ31:AZ35),"")</f>
        <v/>
      </c>
      <c r="BB33" s="2" t="str">
        <f>IF(AO33&lt;&gt;"",SUMPRODUCT((AZ31:AZ35=AZ33)*(AU31:AU35&gt;AU33)),"")</f>
        <v/>
      </c>
      <c r="BC33" s="2" t="str">
        <f>IF(AO33&lt;&gt;"",SUMPRODUCT((AZ31:AZ35=AZ33)*(AU31:AU35=AU33)*(AS31:AS35&gt;AS33)),"")</f>
        <v/>
      </c>
      <c r="BD33" s="2" t="str">
        <f>IF(AO33&lt;&gt;"",SUMPRODUCT((AZ31:AZ35=AZ33)*(AU31:AU35=AU33)*(AS31:AS35=AS33)*(AW31:AW35&gt;AW33)),"")</f>
        <v/>
      </c>
      <c r="BE33" s="2" t="str">
        <f>IF(AO33&lt;&gt;"",SUMPRODUCT((AZ31:AZ35=AZ33)*(AU31:AU35=AU33)*(AS31:AS35=AS33)*(AW31:AW35=AW33)*(AX31:AX35&gt;AX33)),"")</f>
        <v/>
      </c>
      <c r="BF33" s="2" t="str">
        <f>IF(AO33&lt;&gt;"",SUMPRODUCT((AZ31:AZ35=AZ33)*(AU31:AU35=AU33)*(AS31:AS35=AS33)*(AW31:AW35=AW33)*(AX31:AX35=AX33)*(AY31:AY35&gt;AY33)),"")</f>
        <v/>
      </c>
      <c r="BG33" s="2" t="str">
        <f>IF(AO33&lt;&gt;"",IF(BG73&lt;&gt;"",IF(AN70=3,BG73,BG73+AN70),SUM(BA33:BF33)+1),"")</f>
        <v/>
      </c>
      <c r="BH33" s="2" t="str">
        <f>IF(AO33&lt;&gt;"",INDEX(AO32:AO35,MATCH(3,BG32:BG35,0),0),"")</f>
        <v/>
      </c>
      <c r="BI33" s="2" t="str">
        <f>IF(R31&lt;&gt;"",R31,"")</f>
        <v/>
      </c>
      <c r="BJ33" s="2">
        <f>SUMPRODUCT((CZ3:CZ42=BI33)*(DC3:DC42=BI34)*(DD3:DD42="W"))+SUMPRODUCT((CZ3:CZ42=BI33)*(DC3:DC42=BI35)*(DD3:DD42="W"))+SUMPRODUCT((CZ3:CZ42=BI33)*(DC3:DC42=BI36)*(DD3:DD42="W"))+SUMPRODUCT((CZ3:CZ42=BI34)*(DC3:DC42=BI33)*(DE3:DE42="W"))+SUMPRODUCT((CZ3:CZ42=BI35)*(DC3:DC42=BI33)*(DE3:DE42="W"))+SUMPRODUCT((CZ3:CZ42=BI36)*(DC3:DC42=BI33)*(DE3:DE42="W"))</f>
        <v>0</v>
      </c>
      <c r="BK33" s="2">
        <f>SUMPRODUCT((CZ3:CZ42=BI33)*(DC3:DC42=BI34)*(DD3:DD42="D"))+SUMPRODUCT((CZ3:CZ42=BI33)*(DC3:DC42=BI35)*(DD3:DD42="D"))+SUMPRODUCT((CZ3:CZ42=BI33)*(DC3:DC42=BI36)*(DD3:DD42="D"))+SUMPRODUCT((CZ3:CZ42=BI34)*(DC3:DC42=BI33)*(DD3:DD42="D"))+SUMPRODUCT((CZ3:CZ42=BI35)*(DC3:DC42=BI33)*(DD3:DD42="D"))+SUMPRODUCT((CZ3:CZ42=BI36)*(DC3:DC42=BI33)*(DD3:DD42="D"))</f>
        <v>0</v>
      </c>
      <c r="BL33" s="2">
        <f>SUMPRODUCT((CZ3:CZ42=BI33)*(DC3:DC42=BI34)*(DD3:DD42="L"))+SUMPRODUCT((CZ3:CZ42=BI33)*(DC3:DC42=BI35)*(DD3:DD42="L"))+SUMPRODUCT((CZ3:CZ42=BI33)*(DC3:DC42=BI36)*(DD3:DD42="L"))+SUMPRODUCT((CZ3:CZ42=BI34)*(DC3:DC42=BI33)*(DE3:DE42="L"))+SUMPRODUCT((CZ3:CZ42=BI35)*(DC3:DC42=BI33)*(DE3:DE42="L"))+SUMPRODUCT((CZ3:CZ42=BI36)*(DC3:DC42=BI33)*(DE3:DE42="L"))</f>
        <v>0</v>
      </c>
      <c r="BM33" s="2">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2">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2">
        <f>BM33-BN33+1000</f>
        <v>1000</v>
      </c>
      <c r="BP33" s="2" t="str">
        <f t="shared" ref="BP33:BP34" si="54">IF(BI33&lt;&gt;"",BJ33*3+BK33*1,"")</f>
        <v/>
      </c>
      <c r="BQ33" s="2" t="str">
        <f>IF(BI33&lt;&gt;"",VLOOKUP(BI33,B4:H40,7,FALSE),"")</f>
        <v/>
      </c>
      <c r="BR33" s="2" t="str">
        <f>IF(BI33&lt;&gt;"",VLOOKUP(BI33,B4:H40,5,FALSE),"")</f>
        <v/>
      </c>
      <c r="BS33" s="2" t="str">
        <f>IF(BI33&lt;&gt;"",VLOOKUP(BI33,B4:J40,9,FALSE),"")</f>
        <v/>
      </c>
      <c r="BT33" s="2" t="str">
        <f t="shared" ref="BT33:BT34" si="55">BP33</f>
        <v/>
      </c>
      <c r="BU33" s="2" t="str">
        <f>IF(BI33&lt;&gt;"",RANK(BT33,BT32:BT35),"")</f>
        <v/>
      </c>
      <c r="BV33" s="2" t="str">
        <f>IF(BI33&lt;&gt;"",SUMPRODUCT((BT31:BT35=BT33)*(BO31:BO35&gt;BO33)),"")</f>
        <v/>
      </c>
      <c r="BW33" s="2" t="str">
        <f>IF(BI33&lt;&gt;"",SUMPRODUCT((BT31:BT35=BT33)*(BO31:BO35=BO33)*(BM31:BM35&gt;BM33)),"")</f>
        <v/>
      </c>
      <c r="BX33" s="2" t="str">
        <f>IF(BI33&lt;&gt;"",SUMPRODUCT((BT31:BT35=BT33)*(BO31:BO35=BO33)*(BM31:BM35=BM33)*(BQ31:BQ35&gt;BQ33)),"")</f>
        <v/>
      </c>
      <c r="BY33" s="2" t="str">
        <f>IF(BI33&lt;&gt;"",SUMPRODUCT((BT31:BT35=BT33)*(BO31:BO35=BO33)*(BM31:BM35=BM33)*(BQ31:BQ35=BQ33)*(BR31:BR35&gt;BR33)),"")</f>
        <v/>
      </c>
      <c r="BZ33" s="2" t="str">
        <f>IF(BI33&lt;&gt;"",SUMPRODUCT((BT31:BT35=BT33)*(BO31:BO35=BO33)*(BM31:BM35=BM33)*(BQ31:BQ35=BQ33)*(BR31:BR35=BR33)*(BS31:BS35&gt;BS33)),"")</f>
        <v/>
      </c>
      <c r="CA33" s="2" t="str">
        <f>IF(BI33&lt;&gt;"",SUM(BU33:BZ33)+2,"")</f>
        <v/>
      </c>
      <c r="CB33" s="2" t="str">
        <f>IF(BI33&lt;&gt;"",INDEX(BI33:BI35,MATCH(3,CA33:CA35,0),0),"")</f>
        <v/>
      </c>
      <c r="CW33" s="2" t="str">
        <f>IF(CB33&lt;&gt;"",CB33,IF(BH33&lt;&gt;"",BH33,IF(AN33&lt;&gt;"",AN33,N33)))</f>
        <v>Slovakia</v>
      </c>
      <c r="CX33" s="2">
        <v>3</v>
      </c>
      <c r="CY33" s="2">
        <v>31</v>
      </c>
      <c r="CZ33" s="2" t="str">
        <f>Fixtures!G37</f>
        <v>Netherlands</v>
      </c>
      <c r="DA33" s="2">
        <f>IF(AND(Fixtures!H37&lt;&gt;"",Fixtures!I37&lt;&gt;""),Fixtures!H37,0)</f>
        <v>0</v>
      </c>
      <c r="DB33" s="2">
        <f>IF(AND(Fixtures!I37&lt;&gt;"",Fixtures!H37&lt;&gt;""),Fixtures!I37,0)</f>
        <v>0</v>
      </c>
      <c r="DC33" s="2" t="str">
        <f>Fixtures!J37</f>
        <v>Austria</v>
      </c>
      <c r="DD33" s="2" t="str">
        <f>IF(AND(Fixtures!H37&lt;&gt;"",Fixtures!I37&lt;&gt;""),IF(DA33&gt;DB33,"W",IF(DA33=DB33,"D","L")),"")</f>
        <v/>
      </c>
      <c r="DE33" s="2" t="str">
        <f t="shared" si="0"/>
        <v/>
      </c>
      <c r="EF33" s="233"/>
      <c r="EG33" s="48"/>
      <c r="EH33" s="49"/>
      <c r="EI33" s="50"/>
      <c r="EJ33" s="49"/>
      <c r="EL33" s="51">
        <v>45467.875</v>
      </c>
      <c r="EM33" s="52">
        <f>EL33+EK7/24</f>
        <v>45467.875</v>
      </c>
      <c r="EO33" s="59" t="s">
        <v>782</v>
      </c>
      <c r="EP33" s="2">
        <v>-4</v>
      </c>
      <c r="EQ33" s="2" t="s">
        <v>559</v>
      </c>
      <c r="ER33" s="2" t="s">
        <v>558</v>
      </c>
    </row>
    <row r="34" spans="1:148" x14ac:dyDescent="0.25">
      <c r="A34" s="2">
        <f>VLOOKUP(B34,CW31:CX35,2,FALSE)</f>
        <v>4</v>
      </c>
      <c r="B34" s="2" t="str">
        <f>'Dummy Table'!EH26</f>
        <v>Ukraine</v>
      </c>
      <c r="C34" s="2">
        <f>SUMPRODUCT((CZ3:CZ42=B34)*(DD3:DD42="W"))+SUMPRODUCT((DC3:DC42=B34)*(DE3:DE42="W"))</f>
        <v>0</v>
      </c>
      <c r="D34" s="2">
        <f>SUMPRODUCT((CZ3:CZ42=B34)*(DD3:DD42="D"))+SUMPRODUCT((DC3:DC42=B34)*(DE3:DE42="D"))</f>
        <v>0</v>
      </c>
      <c r="E34" s="2">
        <f>SUMPRODUCT((CZ3:CZ42=B34)*(DD3:DD42="L"))+SUMPRODUCT((DC3:DC42=B34)*(DE3:DE42="L"))</f>
        <v>0</v>
      </c>
      <c r="F34" s="2">
        <f>SUMIF(CZ3:CZ60,B34,DA3:DA60)+SUMIF(DC3:DC60,B34,DB3:DB60)</f>
        <v>0</v>
      </c>
      <c r="G34" s="2">
        <f>SUMIF(DC3:DC60,B34,DA3:DA60)+SUMIF(CZ3:CZ60,B34,DB3:DB60)</f>
        <v>0</v>
      </c>
      <c r="H34" s="2">
        <f t="shared" si="47"/>
        <v>1000</v>
      </c>
      <c r="I34" s="2">
        <f t="shared" si="48"/>
        <v>0</v>
      </c>
      <c r="J34" s="2">
        <v>2</v>
      </c>
      <c r="K34" s="2">
        <f>IF(COUNTIF(I31:I35,4)&lt;&gt;4,RANK(I34,I31:I35),I74)</f>
        <v>1</v>
      </c>
      <c r="M34" s="2">
        <f>SUMPRODUCT((K31:K34=K34)*(J31:J34&lt;J34))+K34</f>
        <v>1</v>
      </c>
      <c r="N34" s="2" t="str">
        <f>INDEX(B31:B35,MATCH(4,M31:M35,0),0)</f>
        <v>Belgium</v>
      </c>
      <c r="O34" s="2">
        <f>INDEX(K31:K35,MATCH(N34,B31:B35,0),0)</f>
        <v>1</v>
      </c>
      <c r="P34" s="2" t="str">
        <f>IF(AND(P33&lt;&gt;"",O34=1),N34,"")</f>
        <v>Belgium</v>
      </c>
      <c r="Q34" s="2" t="str">
        <f>IF(AND(Q33&lt;&gt;"",O35=2),N35,"")</f>
        <v/>
      </c>
      <c r="U34" s="2" t="str">
        <f t="shared" si="51"/>
        <v>Belgium</v>
      </c>
      <c r="V34" s="2">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2">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2">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2">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2">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2">
        <f>Y34-Z34+1000</f>
        <v>1000</v>
      </c>
      <c r="AB34" s="2">
        <f t="shared" si="49"/>
        <v>0</v>
      </c>
      <c r="AC34" s="2">
        <f>IF(U34&lt;&gt;"",VLOOKUP(U34,B4:H40,7,FALSE),"")</f>
        <v>1000</v>
      </c>
      <c r="AD34" s="2">
        <f>IF(U34&lt;&gt;"",VLOOKUP(U34,B4:H40,5,FALSE),"")</f>
        <v>0</v>
      </c>
      <c r="AE34" s="2">
        <f>IF(U34&lt;&gt;"",VLOOKUP(U34,B4:J40,9,FALSE),"")</f>
        <v>50</v>
      </c>
      <c r="AF34" s="2">
        <f t="shared" si="50"/>
        <v>0</v>
      </c>
      <c r="AG34" s="2">
        <f>IF(U34&lt;&gt;"",RANK(AF34,AF31:AF35),"")</f>
        <v>1</v>
      </c>
      <c r="AH34" s="2">
        <f>IF(U34&lt;&gt;"",SUMPRODUCT((AF31:AF35=AF34)*(AA31:AA35&gt;AA34)),"")</f>
        <v>0</v>
      </c>
      <c r="AI34" s="2">
        <f>IF(U34&lt;&gt;"",SUMPRODUCT((AF31:AF35=AF34)*(AA31:AA35=AA34)*(Y31:Y35&gt;Y34)),"")</f>
        <v>0</v>
      </c>
      <c r="AJ34" s="2">
        <f>IF(U34&lt;&gt;"",SUMPRODUCT((AF31:AF35=AF34)*(AA31:AA35=AA34)*(Y31:Y35=Y34)*(AC31:AC35&gt;AC34)),"")</f>
        <v>0</v>
      </c>
      <c r="AK34" s="2">
        <f>IF(U34&lt;&gt;"",SUMPRODUCT((AF31:AF35=AF34)*(AA31:AA35=AA34)*(Y31:Y35=Y34)*(AC31:AC35=AC34)*(AD31:AD35&gt;AD34)),"")</f>
        <v>0</v>
      </c>
      <c r="AL34" s="2">
        <f>IF(U34&lt;&gt;"",SUMPRODUCT((AF31:AF35=AF34)*(AA31:AA35=AA34)*(Y31:Y35=Y34)*(AC31:AC35=AC34)*(AD31:AD35=AD34)*(AE31:AE35&gt;AE34)),"")</f>
        <v>0</v>
      </c>
      <c r="AM34" s="2">
        <f>IF(U34&lt;&gt;"",IF(AM74&lt;&gt;"",IF(T70=3,AM74,AM74+T70),SUM(AG34:AL34)),"")</f>
        <v>1</v>
      </c>
      <c r="AN34" s="2" t="str">
        <f>IF(U34&lt;&gt;"",INDEX(U31:U35,MATCH(4,AM31:AM35,0),0),"")</f>
        <v>Ukraine</v>
      </c>
      <c r="AO34" s="2" t="str">
        <f>IF(Q33&lt;&gt;"",Q33,"")</f>
        <v/>
      </c>
      <c r="AP34" s="2" t="str">
        <f>IF(AO34&lt;&gt;"",SUMPRODUCT((CZ3:CZ42=AO34)*(DC3:DC42=AO35)*(DD3:DD42="W"))+SUMPRODUCT((CZ3:CZ42=AO34)*(DC3:DC42=AO32)*(DD3:DD42="W"))+SUMPRODUCT((CZ3:CZ42=AO34)*(DC3:DC42=AO33)*(DD3:DD42="W"))+SUMPRODUCT((CZ3:CZ42=AO35)*(DC3:DC42=AO34)*(DE3:DE42="W"))+SUMPRODUCT((CZ3:CZ42=AO32)*(DC3:DC42=AO34)*(DE3:DE42="W"))+SUMPRODUCT((CZ3:CZ42=AO33)*(DC3:DC42=AO34)*(DE3:DE42="W")),"")</f>
        <v/>
      </c>
      <c r="AQ34" s="2" t="str">
        <f>IF(AO34&lt;&gt;"",SUMPRODUCT((CZ3:CZ42=AO34)*(DC3:DC42=AO35)*(DD3:DD42="D"))+SUMPRODUCT((CZ3:CZ42=AO34)*(DC3:DC42=AO32)*(DD3:DD42="D"))+SUMPRODUCT((CZ3:CZ42=AO34)*(DC3:DC42=AO33)*(DD3:DD42="D"))+SUMPRODUCT((CZ3:CZ42=AO35)*(DC3:DC42=AO34)*(DD3:DD42="D"))+SUMPRODUCT((CZ3:CZ42=AO32)*(DC3:DC42=AO34)*(DD3:DD42="D"))+SUMPRODUCT((CZ3:CZ42=AO33)*(DC3:DC42=AO34)*(DD3:DD42="D")),"")</f>
        <v/>
      </c>
      <c r="AR34" s="2" t="str">
        <f>IF(AO34&lt;&gt;"",SUMPRODUCT((CZ3:CZ42=AO34)*(DC3:DC42=AO35)*(DD3:DD42="L"))+SUMPRODUCT((CZ3:CZ42=AO34)*(DC3:DC42=AO32)*(DD3:DD42="L"))+SUMPRODUCT((CZ3:CZ42=AO34)*(DC3:DC42=AO33)*(DD3:DD42="L"))+SUMPRODUCT((CZ3:CZ42=AO35)*(DC3:DC42=AO34)*(DE3:DE42="L"))+SUMPRODUCT((CZ3:CZ42=AO32)*(DC3:DC42=AO34)*(DE3:DE42="L"))+SUMPRODUCT((CZ3:CZ42=AO33)*(DC3:DC42=AO34)*(DE3:DE42="L")),"")</f>
        <v/>
      </c>
      <c r="AS34" s="2">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2">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2">
        <f>AS34-AT34+1000</f>
        <v>1000</v>
      </c>
      <c r="AV34" s="2" t="str">
        <f t="shared" si="52"/>
        <v/>
      </c>
      <c r="AW34" s="2" t="str">
        <f>IF(AO34&lt;&gt;"",VLOOKUP(AO34,B4:H40,7,FALSE),"")</f>
        <v/>
      </c>
      <c r="AX34" s="2" t="str">
        <f>IF(AO34&lt;&gt;"",VLOOKUP(AO34,B4:H40,5,FALSE),"")</f>
        <v/>
      </c>
      <c r="AY34" s="2" t="str">
        <f>IF(AO34&lt;&gt;"",VLOOKUP(AO34,B4:J40,9,FALSE),"")</f>
        <v/>
      </c>
      <c r="AZ34" s="2" t="str">
        <f t="shared" si="53"/>
        <v/>
      </c>
      <c r="BA34" s="2" t="str">
        <f>IF(AO34&lt;&gt;"",RANK(AZ34,AZ31:AZ35),"")</f>
        <v/>
      </c>
      <c r="BB34" s="2" t="str">
        <f>IF(AO34&lt;&gt;"",SUMPRODUCT((AZ31:AZ35=AZ34)*(AU31:AU35&gt;AU34)),"")</f>
        <v/>
      </c>
      <c r="BC34" s="2" t="str">
        <f>IF(AO34&lt;&gt;"",SUMPRODUCT((AZ31:AZ35=AZ34)*(AU31:AU35=AU34)*(AS31:AS35&gt;AS34)),"")</f>
        <v/>
      </c>
      <c r="BD34" s="2" t="str">
        <f>IF(AO34&lt;&gt;"",SUMPRODUCT((AZ31:AZ35=AZ34)*(AU31:AU35=AU34)*(AS31:AS35=AS34)*(AW31:AW35&gt;AW34)),"")</f>
        <v/>
      </c>
      <c r="BE34" s="2" t="str">
        <f>IF(AO34&lt;&gt;"",SUMPRODUCT((AZ31:AZ35=AZ34)*(AU31:AU35=AU34)*(AS31:AS35=AS34)*(AW31:AW35=AW34)*(AX31:AX35&gt;AX34)),"")</f>
        <v/>
      </c>
      <c r="BF34" s="2" t="str">
        <f>IF(AO34&lt;&gt;"",SUMPRODUCT((AZ31:AZ35=AZ34)*(AU31:AU35=AU34)*(AS31:AS35=AS34)*(AW31:AW35=AW34)*(AX31:AX35=AX34)*(AY31:AY35&gt;AY34)),"")</f>
        <v/>
      </c>
      <c r="BG34" s="2" t="str">
        <f>IF(AO34&lt;&gt;"",IF(BG74&lt;&gt;"",IF(AN70=3,BG74,BG74+AN70),SUM(BA34:BF34)+1),"")</f>
        <v/>
      </c>
      <c r="BH34" s="2" t="str">
        <f>IF(AO34&lt;&gt;"",INDEX(AO32:AO35,MATCH(4,BG32:BG35,0),0),"")</f>
        <v/>
      </c>
      <c r="BI34" s="2" t="str">
        <f>IF(R32&lt;&gt;"",R32,"")</f>
        <v/>
      </c>
      <c r="BJ34" s="2">
        <f>SUMPRODUCT((CZ3:CZ42=BI34)*(DC3:DC42=BI35)*(DD3:DD42="W"))+SUMPRODUCT((CZ3:CZ42=BI34)*(DC3:DC42=BI36)*(DD3:DD42="W"))+SUMPRODUCT((CZ3:CZ42=BI34)*(DC3:DC42=BI33)*(DD3:DD42="W"))+SUMPRODUCT((CZ3:CZ42=BI35)*(DC3:DC42=BI34)*(DE3:DE42="W"))+SUMPRODUCT((CZ3:CZ42=BI36)*(DC3:DC42=BI34)*(DE3:DE42="W"))+SUMPRODUCT((CZ3:CZ42=BI33)*(DC3:DC42=BI34)*(DE3:DE42="W"))</f>
        <v>0</v>
      </c>
      <c r="BK34" s="2">
        <f>SUMPRODUCT((CZ3:CZ42=BI34)*(DC3:DC42=BI35)*(DD3:DD42="D"))+SUMPRODUCT((CZ3:CZ42=BI34)*(DC3:DC42=BI36)*(DD3:DD42="D"))+SUMPRODUCT((CZ3:CZ42=BI34)*(DC3:DC42=BI33)*(DD3:DD42="D"))+SUMPRODUCT((CZ3:CZ42=BI35)*(DC3:DC42=BI34)*(DD3:DD42="D"))+SUMPRODUCT((CZ3:CZ42=BI36)*(DC3:DC42=BI34)*(DD3:DD42="D"))+SUMPRODUCT((CZ3:CZ42=BI33)*(DC3:DC42=BI34)*(DD3:DD42="D"))</f>
        <v>0</v>
      </c>
      <c r="BL34" s="2">
        <f>SUMPRODUCT((CZ3:CZ42=BI34)*(DC3:DC42=BI35)*(DD3:DD42="L"))+SUMPRODUCT((CZ3:CZ42=BI34)*(DC3:DC42=BI36)*(DD3:DD42="L"))+SUMPRODUCT((CZ3:CZ42=BI34)*(DC3:DC42=BI33)*(DD3:DD42="L"))+SUMPRODUCT((CZ3:CZ42=BI35)*(DC3:DC42=BI34)*(DE3:DE42="L"))+SUMPRODUCT((CZ3:CZ42=BI36)*(DC3:DC42=BI34)*(DE3:DE42="L"))+SUMPRODUCT((CZ3:CZ42=BI33)*(DC3:DC42=BI34)*(DE3:DE42="L"))</f>
        <v>0</v>
      </c>
      <c r="BM34" s="2">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2">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2">
        <f>BM34-BN34+1000</f>
        <v>1000</v>
      </c>
      <c r="BP34" s="2" t="str">
        <f t="shared" si="54"/>
        <v/>
      </c>
      <c r="BQ34" s="2" t="str">
        <f>IF(BI34&lt;&gt;"",VLOOKUP(BI34,B4:H40,7,FALSE),"")</f>
        <v/>
      </c>
      <c r="BR34" s="2" t="str">
        <f>IF(BI34&lt;&gt;"",VLOOKUP(BI34,B4:H40,5,FALSE),"")</f>
        <v/>
      </c>
      <c r="BS34" s="2" t="str">
        <f>IF(BI34&lt;&gt;"",VLOOKUP(BI34,B4:J40,9,FALSE),"")</f>
        <v/>
      </c>
      <c r="BT34" s="2" t="str">
        <f t="shared" si="55"/>
        <v/>
      </c>
      <c r="BU34" s="2" t="str">
        <f>IF(BI34&lt;&gt;"",RANK(BT34,BT32:BT35),"")</f>
        <v/>
      </c>
      <c r="BV34" s="2" t="str">
        <f>IF(BI34&lt;&gt;"",SUMPRODUCT((BT31:BT35=BT34)*(BO31:BO35&gt;BO34)),"")</f>
        <v/>
      </c>
      <c r="BW34" s="2" t="str">
        <f>IF(BI34&lt;&gt;"",SUMPRODUCT((BT31:BT35=BT34)*(BO31:BO35=BO34)*(BM31:BM35&gt;BM34)),"")</f>
        <v/>
      </c>
      <c r="BX34" s="2" t="str">
        <f>IF(BI34&lt;&gt;"",SUMPRODUCT((BT31:BT35=BT34)*(BO31:BO35=BO34)*(BM31:BM35=BM34)*(BQ31:BQ35&gt;BQ34)),"")</f>
        <v/>
      </c>
      <c r="BY34" s="2" t="str">
        <f>IF(BI34&lt;&gt;"",SUMPRODUCT((BT31:BT35=BT34)*(BO31:BO35=BO34)*(BM31:BM35=BM34)*(BQ31:BQ35=BQ34)*(BR31:BR35&gt;BR34)),"")</f>
        <v/>
      </c>
      <c r="BZ34" s="2" t="str">
        <f>IF(BI34&lt;&gt;"",SUMPRODUCT((BT31:BT35=BT34)*(BO31:BO35=BO34)*(BM31:BM35=BM34)*(BQ31:BQ35=BQ34)*(BR31:BR35=BR34)*(BS31:BS35&gt;BS34)),"")</f>
        <v/>
      </c>
      <c r="CA34" s="2" t="str">
        <f>IF(BI34&lt;&gt;"",SUM(BU34:BZ34)+2,"")</f>
        <v/>
      </c>
      <c r="CB34" s="2" t="str">
        <f>IF(BI34&lt;&gt;"",INDEX(BI33:BI35,MATCH(4,CA33:CA35,0),0),"")</f>
        <v/>
      </c>
      <c r="CC34" s="2" t="str">
        <f>IF(S31&lt;&gt;"",S31,"")</f>
        <v/>
      </c>
      <c r="CD34" s="2">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2">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2">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2">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2">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2">
        <f>CG34-CH34+1000</f>
        <v>1000</v>
      </c>
      <c r="CJ34" s="2" t="str">
        <f t="shared" ref="CJ34" si="56">IF(CC34&lt;&gt;"",CD34*3+CE34*1,"")</f>
        <v/>
      </c>
      <c r="CK34" s="2" t="str">
        <f>IF(CC34&lt;&gt;"",VLOOKUP(CC34,B4:H40,7,FALSE),"")</f>
        <v/>
      </c>
      <c r="CL34" s="2" t="str">
        <f>IF(CC34&lt;&gt;"",VLOOKUP(CC34,B4:H40,5,FALSE),"")</f>
        <v/>
      </c>
      <c r="CM34" s="2" t="str">
        <f>IF(CC34&lt;&gt;"",VLOOKUP(CC34,B4:J40,9,FALSE),"")</f>
        <v/>
      </c>
      <c r="CN34" s="2" t="str">
        <f t="shared" ref="CN34" si="57">CJ34</f>
        <v/>
      </c>
      <c r="CO34" s="2" t="str">
        <f>IF(CC34&lt;&gt;"",RANK(CN34,AF31:AF35),"")</f>
        <v/>
      </c>
      <c r="CP34" s="2" t="str">
        <f>IF(CC34&lt;&gt;"",SUMPRODUCT((CN31:CN35=CN34)*(CI31:CI35&gt;CI34)),"")</f>
        <v/>
      </c>
      <c r="CQ34" s="2" t="str">
        <f>IF(CC34&lt;&gt;"",SUMPRODUCT((CN31:CN35=CN34)*(CI31:CI35=CI34)*(CG31:CG35&gt;CG34)),"")</f>
        <v/>
      </c>
      <c r="CR34" s="2" t="str">
        <f>IF(CC34&lt;&gt;"",SUMPRODUCT((CN31:CN35=CN34)*(CI31:CI35=CI34)*(CG31:CG35=CG34)*(CK31:CK35&gt;CK34)),"")</f>
        <v/>
      </c>
      <c r="CS34" s="2" t="str">
        <f>IF(CC34&lt;&gt;"",SUMPRODUCT((CN31:CN35=CN34)*(CI31:CI35=CI34)*(CG31:CG35=CG34)*(CK31:CK35=CK34)*(CL31:CL35&gt;CL34)),"")</f>
        <v/>
      </c>
      <c r="CT34" s="2" t="str">
        <f>IF(CC34&lt;&gt;"",SUMPRODUCT((CN31:CN35=CN34)*(CI31:CI35=CI34)*(CG31:CG35=CG34)*(CK31:CK35=CK34)*(CL31:CL35=CL34)*(CM31:CM35&gt;CM34)),"")</f>
        <v/>
      </c>
      <c r="CU34" s="2" t="str">
        <f>IF(CC34&lt;&gt;"",SUM(CO34:CT34)+3,"")</f>
        <v/>
      </c>
      <c r="CV34" s="2" t="str">
        <f>IF(CC34&lt;&gt;"",INDEX(U31:U35,MATCH(1,AM31:AM35,0),0),"")</f>
        <v/>
      </c>
      <c r="CW34" s="2" t="str">
        <f>IF(CV34&lt;&gt;"",CV34,IF(CB34&lt;&gt;"",CB34,IF(BH34&lt;&gt;"",BH34,IF(AN34&lt;&gt;"",AN34,N34))))</f>
        <v>Ukraine</v>
      </c>
      <c r="CX34" s="2">
        <v>4</v>
      </c>
      <c r="CY34" s="2">
        <v>32</v>
      </c>
      <c r="CZ34" s="2" t="str">
        <f>Fixtures!G38</f>
        <v>France</v>
      </c>
      <c r="DA34" s="2">
        <f>IF(AND(Fixtures!H38&lt;&gt;"",Fixtures!I38&lt;&gt;""),Fixtures!H38,0)</f>
        <v>0</v>
      </c>
      <c r="DB34" s="2">
        <f>IF(AND(Fixtures!I38&lt;&gt;"",Fixtures!H38&lt;&gt;""),Fixtures!I38,0)</f>
        <v>0</v>
      </c>
      <c r="DC34" s="2" t="str">
        <f>Fixtures!J38</f>
        <v>Poland</v>
      </c>
      <c r="DD34" s="2" t="str">
        <f>IF(AND(Fixtures!H38&lt;&gt;"",Fixtures!I38&lt;&gt;""),IF(DA34&gt;DB34,"W",IF(DA34=DB34,"D","L")),"")</f>
        <v/>
      </c>
      <c r="DE34" s="2" t="str">
        <f t="shared" si="0"/>
        <v/>
      </c>
      <c r="EF34" s="233"/>
      <c r="EG34" s="48"/>
      <c r="EH34" s="49"/>
      <c r="EI34" s="50"/>
      <c r="EJ34" s="49"/>
      <c r="EL34" s="51">
        <v>45467.875</v>
      </c>
      <c r="EM34" s="52">
        <f>EL34+EK7/24</f>
        <v>45467.875</v>
      </c>
      <c r="EO34" s="59" t="s">
        <v>783</v>
      </c>
      <c r="EP34" s="2">
        <v>-4</v>
      </c>
      <c r="EQ34" s="2" t="s">
        <v>561</v>
      </c>
      <c r="ER34" s="2" t="s">
        <v>560</v>
      </c>
    </row>
    <row r="35" spans="1:148" x14ac:dyDescent="0.25">
      <c r="CY35" s="2">
        <v>33</v>
      </c>
      <c r="CZ35" s="2" t="str">
        <f>Fixtures!G39</f>
        <v>Slovakia</v>
      </c>
      <c r="DA35" s="2">
        <f>IF(AND(Fixtures!H39&lt;&gt;"",Fixtures!I39&lt;&gt;""),Fixtures!H39,0)</f>
        <v>0</v>
      </c>
      <c r="DB35" s="2">
        <f>IF(AND(Fixtures!I39&lt;&gt;"",Fixtures!H39&lt;&gt;""),Fixtures!I39,0)</f>
        <v>0</v>
      </c>
      <c r="DC35" s="2" t="str">
        <f>Fixtures!J39</f>
        <v>Romania</v>
      </c>
      <c r="DD35" s="2" t="str">
        <f>IF(AND(Fixtures!H39&lt;&gt;"",Fixtures!I39&lt;&gt;""),IF(DA35&gt;DB35,"W",IF(DA35=DB35,"D","L")),"")</f>
        <v/>
      </c>
      <c r="DE35" s="2" t="str">
        <f t="shared" si="0"/>
        <v/>
      </c>
      <c r="EF35" s="233" t="s">
        <v>119</v>
      </c>
      <c r="EG35" s="48"/>
      <c r="EH35" s="49"/>
      <c r="EI35" s="50"/>
      <c r="EJ35" s="49"/>
      <c r="EL35" s="51">
        <v>45468.875</v>
      </c>
      <c r="EM35" s="52">
        <f>EL35+EK7/24</f>
        <v>45468.875</v>
      </c>
      <c r="EO35" s="59" t="s">
        <v>784</v>
      </c>
      <c r="EP35" s="2">
        <v>-4</v>
      </c>
      <c r="EQ35" s="2" t="s">
        <v>563</v>
      </c>
      <c r="ER35" s="2" t="s">
        <v>562</v>
      </c>
    </row>
    <row r="36" spans="1:148" x14ac:dyDescent="0.25">
      <c r="CY36" s="2">
        <v>34</v>
      </c>
      <c r="CZ36" s="2" t="str">
        <f>Fixtures!G40</f>
        <v>Ukraine</v>
      </c>
      <c r="DA36" s="2">
        <f>IF(AND(Fixtures!H40&lt;&gt;"",Fixtures!I40&lt;&gt;""),Fixtures!H40,0)</f>
        <v>0</v>
      </c>
      <c r="DB36" s="2">
        <f>IF(AND(Fixtures!I40&lt;&gt;"",Fixtures!H40&lt;&gt;""),Fixtures!I40,0)</f>
        <v>0</v>
      </c>
      <c r="DC36" s="2" t="str">
        <f>Fixtures!J40</f>
        <v>Belgium</v>
      </c>
      <c r="DD36" s="2" t="str">
        <f>IF(AND(Fixtures!H40&lt;&gt;"",Fixtures!I40&lt;&gt;""),IF(DA36&gt;DB36,"W",IF(DA36=DB36,"D","L")),"")</f>
        <v/>
      </c>
      <c r="DE36" s="2" t="str">
        <f t="shared" si="0"/>
        <v/>
      </c>
      <c r="EF36" s="233"/>
      <c r="EG36" s="48"/>
      <c r="EH36" s="49"/>
      <c r="EI36" s="50"/>
      <c r="EJ36" s="49"/>
      <c r="EL36" s="51">
        <v>45468.875</v>
      </c>
      <c r="EM36" s="52">
        <f>EL36+EK7/24</f>
        <v>45468.875</v>
      </c>
      <c r="EO36" s="59" t="s">
        <v>785</v>
      </c>
      <c r="EP36" s="2">
        <v>-4</v>
      </c>
      <c r="EQ36" s="2" t="s">
        <v>565</v>
      </c>
      <c r="ER36" s="2" t="s">
        <v>564</v>
      </c>
    </row>
    <row r="37" spans="1:148" x14ac:dyDescent="0.25">
      <c r="A37" s="2">
        <f>VLOOKUP(B37,CW37:CX41,2,FALSE)</f>
        <v>1</v>
      </c>
      <c r="B37" s="2" t="str">
        <f>'Dummy Table'!EH27</f>
        <v>Portugal</v>
      </c>
      <c r="C37" s="2">
        <f>SUMPRODUCT((CZ3:CZ42=B37)*(DD3:DD42="W"))+SUMPRODUCT((DC3:DC42=B37)*(DE3:DE42="W"))</f>
        <v>0</v>
      </c>
      <c r="D37" s="2">
        <f>SUMPRODUCT((CZ3:CZ42=B37)*(DD3:DD42="D"))+SUMPRODUCT((DC3:DC42=B37)*(DE3:DE42="D"))</f>
        <v>0</v>
      </c>
      <c r="E37" s="2">
        <f>SUMPRODUCT((CZ3:CZ42=B37)*(DD3:DD42="L"))+SUMPRODUCT((DC3:DC42=B37)*(DE3:DE42="L"))</f>
        <v>0</v>
      </c>
      <c r="F37" s="2">
        <f>SUMIF(CZ3:CZ60,B37,DA3:DA60)+SUMIF(DC3:DC60,B37,DB3:DB60)</f>
        <v>0</v>
      </c>
      <c r="G37" s="2">
        <f>SUMIF(DC3:DC60,B37,DA3:DA60)+SUMIF(CZ3:CZ60,B37,DB3:DB60)</f>
        <v>0</v>
      </c>
      <c r="H37" s="2">
        <f t="shared" ref="H37:H40" si="58">F37-G37+1000</f>
        <v>1000</v>
      </c>
      <c r="I37" s="2">
        <f t="shared" ref="I37:I40" si="59">C37*3+D37*1</f>
        <v>0</v>
      </c>
      <c r="J37" s="2">
        <v>53</v>
      </c>
      <c r="K37" s="2">
        <f>IF(COUNTIF(I37:I41,4)&lt;&gt;4,RANK(I37,I37:I41),I77)</f>
        <v>1</v>
      </c>
      <c r="M37" s="2">
        <f>SUMPRODUCT((K37:K40=K37)*(J37:J40&lt;J37))+K37</f>
        <v>4</v>
      </c>
      <c r="N37" s="2" t="str">
        <f>INDEX(B37:B41,MATCH(1,M37:M41,0),0)</f>
        <v>Georgia</v>
      </c>
      <c r="O37" s="2">
        <f>INDEX(K37:K41,MATCH(N37,B37:B41,0),0)</f>
        <v>1</v>
      </c>
      <c r="P37" s="2" t="str">
        <f>IF(O38=1,N37,"")</f>
        <v>Georgia</v>
      </c>
      <c r="Q37" s="2" t="str">
        <f>IF(O39=2,N38,"")</f>
        <v/>
      </c>
      <c r="R37" s="2" t="str">
        <f>IF(O40=3,N39,"")</f>
        <v/>
      </c>
      <c r="S37" s="2" t="str">
        <f>IF(O41=4,N40,"")</f>
        <v/>
      </c>
      <c r="U37" s="2" t="str">
        <f>IF(P37&lt;&gt;"",P37,"")</f>
        <v>Georgia</v>
      </c>
      <c r="V37" s="2">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2">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2">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2">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2">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2">
        <f>Y37-Z37+1000</f>
        <v>1000</v>
      </c>
      <c r="AB37" s="2">
        <f t="shared" ref="AB37:AB40" si="60">IF(U37&lt;&gt;"",V37*3+W37*1,"")</f>
        <v>0</v>
      </c>
      <c r="AC37" s="2">
        <f>IF(U37&lt;&gt;"",VLOOKUP(U37,B4:H40,7,FALSE),"")</f>
        <v>1000</v>
      </c>
      <c r="AD37" s="2">
        <f>IF(U37&lt;&gt;"",VLOOKUP(U37,B4:H40,5,FALSE),"")</f>
        <v>0</v>
      </c>
      <c r="AE37" s="2">
        <f>IF(U37&lt;&gt;"",VLOOKUP(U37,B4:J40,9,FALSE),"")</f>
        <v>0</v>
      </c>
      <c r="AF37" s="2">
        <f t="shared" ref="AF37:AF40" si="61">AB37</f>
        <v>0</v>
      </c>
      <c r="AG37" s="2">
        <f>IF(U37&lt;&gt;"",RANK(AF37,AF37:AF41),"")</f>
        <v>1</v>
      </c>
      <c r="AH37" s="2">
        <f>IF(U37&lt;&gt;"",SUMPRODUCT((AF37:AF41=AF37)*(AA37:AA41&gt;AA37)),"")</f>
        <v>0</v>
      </c>
      <c r="AI37" s="2">
        <f>IF(U37&lt;&gt;"",SUMPRODUCT((AF37:AF41=AF37)*(AA37:AA41=AA37)*(Y37:Y41&gt;Y37)),"")</f>
        <v>0</v>
      </c>
      <c r="AJ37" s="2">
        <f>IF(U37&lt;&gt;"",SUMPRODUCT((AF37:AF41=AF37)*(AA37:AA41=AA37)*(Y37:Y41=Y37)*(AC37:AC41&gt;AC37)),"")</f>
        <v>0</v>
      </c>
      <c r="AK37" s="2">
        <f>IF(U37&lt;&gt;"",SUMPRODUCT((AF37:AF41=AF37)*(AA37:AA41=AA37)*(Y37:Y41=Y37)*(AC37:AC41=AC37)*(AD37:AD41&gt;AD37)),"")</f>
        <v>0</v>
      </c>
      <c r="AL37" s="2">
        <f>IF(U37&lt;&gt;"",SUMPRODUCT((AF37:AF41=AF37)*(AA37:AA41=AA37)*(Y37:Y41=Y37)*(AC37:AC41=AC37)*(AD37:AD41=AD37)*(AE37:AE41&gt;AE37)),"")</f>
        <v>3</v>
      </c>
      <c r="AM37" s="2">
        <f>IF(U37&lt;&gt;"",IF(AM77&lt;&gt;"",IF(T76=3,AM77,AM77+T76),SUM(AG37:AL37)),"")</f>
        <v>4</v>
      </c>
      <c r="AN37" s="2" t="str">
        <f>IF(U37&lt;&gt;"",INDEX(U37:U41,MATCH(1,AM37:AM41,0),0),"")</f>
        <v>Portugal</v>
      </c>
      <c r="CW37" s="2" t="str">
        <f>IF(AN37&lt;&gt;"",AN37,N37)</f>
        <v>Portugal</v>
      </c>
      <c r="CX37" s="2">
        <v>1</v>
      </c>
      <c r="CY37" s="2">
        <v>35</v>
      </c>
      <c r="CZ37" s="2" t="str">
        <f>Fixtures!G41</f>
        <v>Georgia</v>
      </c>
      <c r="DA37" s="2">
        <f>IF(AND(Fixtures!H41&lt;&gt;"",Fixtures!I41&lt;&gt;""),Fixtures!H41,0)</f>
        <v>0</v>
      </c>
      <c r="DB37" s="2">
        <f>IF(AND(Fixtures!I41&lt;&gt;"",Fixtures!H41&lt;&gt;""),Fixtures!I41,0)</f>
        <v>0</v>
      </c>
      <c r="DC37" s="2" t="str">
        <f>Fixtures!J41</f>
        <v>Portugal</v>
      </c>
      <c r="DD37" s="2" t="str">
        <f>IF(AND(Fixtures!H41&lt;&gt;"",Fixtures!I41&lt;&gt;""),IF(DA37&gt;DB37,"W",IF(DA37=DB37,"D","L")),"")</f>
        <v/>
      </c>
      <c r="DE37" s="2" t="str">
        <f t="shared" si="0"/>
        <v/>
      </c>
      <c r="EF37" s="233"/>
      <c r="EG37" s="48"/>
      <c r="EH37" s="49"/>
      <c r="EI37" s="50"/>
      <c r="EJ37" s="49"/>
      <c r="EL37" s="51">
        <v>45468.75</v>
      </c>
      <c r="EM37" s="52">
        <f>EL37+EK7/24</f>
        <v>45468.75</v>
      </c>
      <c r="EO37" s="59" t="s">
        <v>786</v>
      </c>
      <c r="EP37" s="2">
        <v>-4</v>
      </c>
      <c r="EQ37" s="2" t="s">
        <v>567</v>
      </c>
      <c r="ER37" s="2" t="s">
        <v>566</v>
      </c>
    </row>
    <row r="38" spans="1:148" x14ac:dyDescent="0.25">
      <c r="A38" s="2">
        <f>VLOOKUP(B38,CW37:CX41,2,FALSE)</f>
        <v>3</v>
      </c>
      <c r="B38" s="2" t="str">
        <f>'Dummy Table'!EH28</f>
        <v>Czechia</v>
      </c>
      <c r="C38" s="2">
        <f>SUMPRODUCT((CZ3:CZ42=B38)*(DD3:DD42="W"))+SUMPRODUCT((DC3:DC42=B38)*(DE3:DE42="W"))</f>
        <v>0</v>
      </c>
      <c r="D38" s="2">
        <f>SUMPRODUCT((CZ3:CZ42=B38)*(DD3:DD42="D"))+SUMPRODUCT((DC3:DC42=B38)*(DE3:DE42="D"))</f>
        <v>0</v>
      </c>
      <c r="E38" s="2">
        <f>SUMPRODUCT((CZ3:CZ42=B38)*(DD3:DD42="L"))+SUMPRODUCT((DC3:DC42=B38)*(DE3:DE42="L"))</f>
        <v>0</v>
      </c>
      <c r="F38" s="2">
        <f>SUMIF(CZ3:CZ60,B38,DA3:DA60)+SUMIF(DC3:DC60,B38,DB3:DB60)</f>
        <v>0</v>
      </c>
      <c r="G38" s="2">
        <f>SUMIF(DC3:DC60,B38,DA3:DA60)+SUMIF(CZ3:CZ60,B38,DB3:DB60)</f>
        <v>0</v>
      </c>
      <c r="H38" s="2">
        <f t="shared" si="58"/>
        <v>1000</v>
      </c>
      <c r="I38" s="2">
        <f t="shared" si="59"/>
        <v>0</v>
      </c>
      <c r="J38" s="2">
        <v>37</v>
      </c>
      <c r="K38" s="2">
        <f>IF(COUNTIF(I37:I41,4)&lt;&gt;4,RANK(I38,I37:I41),I78)</f>
        <v>1</v>
      </c>
      <c r="M38" s="2">
        <f>SUMPRODUCT((K37:K40=K38)*(J37:J40&lt;J38))+K38</f>
        <v>2</v>
      </c>
      <c r="N38" s="2" t="str">
        <f>INDEX(B37:B41,MATCH(2,M37:M41,0),0)</f>
        <v>Czechia</v>
      </c>
      <c r="O38" s="2">
        <f>INDEX(K37:K41,MATCH(N38,B37:B41,0),0)</f>
        <v>1</v>
      </c>
      <c r="P38" s="2" t="str">
        <f>IF(P37&lt;&gt;"",N38,"")</f>
        <v>Czechia</v>
      </c>
      <c r="Q38" s="2" t="str">
        <f>IF(Q37&lt;&gt;"",N39,"")</f>
        <v/>
      </c>
      <c r="R38" s="2" t="str">
        <f>IF(R37&lt;&gt;"",N40,"")</f>
        <v/>
      </c>
      <c r="S38" s="2" t="str">
        <f>IF(S37&lt;&gt;"",N41,"")</f>
        <v/>
      </c>
      <c r="U38" s="2" t="str">
        <f t="shared" ref="U38:U40" si="62">IF(P38&lt;&gt;"",P38,"")</f>
        <v>Czechia</v>
      </c>
      <c r="V38" s="2">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2">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2">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2">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2">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2">
        <f>Y38-Z38+1000</f>
        <v>1000</v>
      </c>
      <c r="AB38" s="2">
        <f t="shared" si="60"/>
        <v>0</v>
      </c>
      <c r="AC38" s="2">
        <f>IF(U38&lt;&gt;"",VLOOKUP(U38,B4:H40,7,FALSE),"")</f>
        <v>1000</v>
      </c>
      <c r="AD38" s="2">
        <f>IF(U38&lt;&gt;"",VLOOKUP(U38,B4:H40,5,FALSE),"")</f>
        <v>0</v>
      </c>
      <c r="AE38" s="2">
        <f>IF(U38&lt;&gt;"",VLOOKUP(U38,B4:J40,9,FALSE),"")</f>
        <v>37</v>
      </c>
      <c r="AF38" s="2">
        <f t="shared" si="61"/>
        <v>0</v>
      </c>
      <c r="AG38" s="2">
        <f>IF(U38&lt;&gt;"",RANK(AF38,AF37:AF41),"")</f>
        <v>1</v>
      </c>
      <c r="AH38" s="2">
        <f>IF(U38&lt;&gt;"",SUMPRODUCT((AF37:AF41=AF38)*(AA37:AA41&gt;AA38)),"")</f>
        <v>0</v>
      </c>
      <c r="AI38" s="2">
        <f>IF(U38&lt;&gt;"",SUMPRODUCT((AF37:AF41=AF38)*(AA37:AA41=AA38)*(Y37:Y41&gt;Y38)),"")</f>
        <v>0</v>
      </c>
      <c r="AJ38" s="2">
        <f>IF(U38&lt;&gt;"",SUMPRODUCT((AF37:AF41=AF38)*(AA37:AA41=AA38)*(Y37:Y41=Y38)*(AC37:AC41&gt;AC38)),"")</f>
        <v>0</v>
      </c>
      <c r="AK38" s="2">
        <f>IF(U38&lt;&gt;"",SUMPRODUCT((AF37:AF41=AF38)*(AA37:AA41=AA38)*(Y37:Y41=Y38)*(AC37:AC41=AC38)*(AD37:AD41&gt;AD38)),"")</f>
        <v>0</v>
      </c>
      <c r="AL38" s="2">
        <f>IF(U38&lt;&gt;"",SUMPRODUCT((AF37:AF41=AF38)*(AA37:AA41=AA38)*(Y37:Y41=Y38)*(AC37:AC41=AC38)*(AD37:AD41=AD38)*(AE37:AE41&gt;AE38)),"")</f>
        <v>2</v>
      </c>
      <c r="AM38" s="2">
        <f>IF(U38&lt;&gt;"",IF(AM78&lt;&gt;"",IF(T76=3,AM78,AM78+T76),SUM(AG38:AL38)),"")</f>
        <v>3</v>
      </c>
      <c r="AN38" s="2" t="str">
        <f>IF(U38&lt;&gt;"",INDEX(U37:U41,MATCH(2,AM37:AM41,0),0),"")</f>
        <v>Türkiye</v>
      </c>
      <c r="AO38" s="2" t="str">
        <f>IF(Q37&lt;&gt;"",Q37,"")</f>
        <v/>
      </c>
      <c r="AP38" s="2">
        <f>SUMPRODUCT((CZ3:CZ42=AO38)*(DC3:DC42=AO39)*(DD3:DD42="W"))+SUMPRODUCT((CZ3:CZ42=AO38)*(DC3:DC42=AO40)*(DD3:DD42="W"))+SUMPRODUCT((CZ3:CZ42=AO38)*(DC3:DC42=AO41)*(DD3:DD42="W"))+SUMPRODUCT((CZ3:CZ42=AO39)*(DC3:DC42=AO38)*(DE3:DE42="W"))+SUMPRODUCT((CZ3:CZ42=AO40)*(DC3:DC42=AO38)*(DE3:DE42="W"))+SUMPRODUCT((CZ3:CZ42=AO41)*(DC3:DC42=AO38)*(DE3:DE42="W"))</f>
        <v>0</v>
      </c>
      <c r="AQ38" s="2">
        <f>SUMPRODUCT((CZ3:CZ42=AO38)*(DC3:DC42=AO39)*(DD3:DD42="D"))+SUMPRODUCT((CZ3:CZ42=AO38)*(DC3:DC42=AO40)*(DD3:DD42="D"))+SUMPRODUCT((CZ3:CZ42=AO38)*(DC3:DC42=AO41)*(DD3:DD42="D"))+SUMPRODUCT((CZ3:CZ42=AO39)*(DC3:DC42=AO38)*(DD3:DD42="D"))+SUMPRODUCT((CZ3:CZ42=AO40)*(DC3:DC42=AO38)*(DD3:DD42="D"))+SUMPRODUCT((CZ3:CZ42=AO41)*(DC3:DC42=AO38)*(DD3:DD42="D"))</f>
        <v>0</v>
      </c>
      <c r="AR38" s="2">
        <f>SUMPRODUCT((CZ3:CZ42=AO38)*(DC3:DC42=AO39)*(DD3:DD42="L"))+SUMPRODUCT((CZ3:CZ42=AO38)*(DC3:DC42=AO40)*(DD3:DD42="L"))+SUMPRODUCT((CZ3:CZ42=AO38)*(DC3:DC42=AO41)*(DD3:DD42="L"))+SUMPRODUCT((CZ3:CZ42=AO39)*(DC3:DC42=AO38)*(DE3:DE42="L"))+SUMPRODUCT((CZ3:CZ42=AO40)*(DC3:DC42=AO38)*(DE3:DE42="L"))+SUMPRODUCT((CZ3:CZ42=AO41)*(DC3:DC42=AO38)*(DE3:DE42="L"))</f>
        <v>0</v>
      </c>
      <c r="AS38" s="2">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2">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2">
        <f>AS38-AT38+1000</f>
        <v>1000</v>
      </c>
      <c r="AV38" s="2" t="str">
        <f t="shared" ref="AV38:AV40" si="63">IF(AO38&lt;&gt;"",AP38*3+AQ38*1,"")</f>
        <v/>
      </c>
      <c r="AW38" s="2" t="str">
        <f>IF(AO38&lt;&gt;"",VLOOKUP(AO38,B4:H40,7,FALSE),"")</f>
        <v/>
      </c>
      <c r="AX38" s="2" t="str">
        <f>IF(AO38&lt;&gt;"",VLOOKUP(AO38,B4:H40,5,FALSE),"")</f>
        <v/>
      </c>
      <c r="AY38" s="2" t="str">
        <f>IF(AO38&lt;&gt;"",VLOOKUP(AO38,B4:J40,9,FALSE),"")</f>
        <v/>
      </c>
      <c r="AZ38" s="2" t="str">
        <f t="shared" ref="AZ38:AZ40" si="64">AV38</f>
        <v/>
      </c>
      <c r="BA38" s="2" t="str">
        <f>IF(AO38&lt;&gt;"",RANK(AZ38,AZ37:AZ40),"")</f>
        <v/>
      </c>
      <c r="BB38" s="2" t="str">
        <f>IF(AO38&lt;&gt;"",SUMPRODUCT((AZ37:AZ41=AZ38)*(AU37:AU41&gt;AU38)),"")</f>
        <v/>
      </c>
      <c r="BC38" s="2" t="str">
        <f>IF(AO38&lt;&gt;"",SUMPRODUCT((AZ37:AZ41=AZ38)*(AU37:AU41=AU38)*(AS37:AS41&gt;AS38)),"")</f>
        <v/>
      </c>
      <c r="BD38" s="2" t="str">
        <f>IF(AO38&lt;&gt;"",SUMPRODUCT((AZ37:AZ41=AZ38)*(AU37:AU41=AU38)*(AS37:AS41=AS38)*(AW37:AW41&gt;AW38)),"")</f>
        <v/>
      </c>
      <c r="BE38" s="2" t="str">
        <f>IF(AO38&lt;&gt;"",SUMPRODUCT((AZ37:AZ41=AZ38)*(AU37:AU41=AU38)*(AS37:AS41=AS38)*(AW37:AW41=AW38)*(AX37:AX41&gt;AX38)),"")</f>
        <v/>
      </c>
      <c r="BF38" s="2" t="str">
        <f>IF(AO38&lt;&gt;"",SUMPRODUCT((AZ37:AZ41=AZ38)*(AU37:AU41=AU38)*(AS37:AS41=AS38)*(AW37:AW41=AW38)*(AX37:AX41=AX38)*(AY37:AY41&gt;AY38)),"")</f>
        <v/>
      </c>
      <c r="BG38" s="2" t="str">
        <f>IF(AO38&lt;&gt;"",IF(BG78&lt;&gt;"",IF(AN76=3,BG78,BG78+AN76),SUM(BA38:BF38)+1),"")</f>
        <v/>
      </c>
      <c r="BH38" s="2" t="str">
        <f>IF(AO38&lt;&gt;"",INDEX(AO38:AO41,MATCH(2,BG38:BG41,0),0),"")</f>
        <v/>
      </c>
      <c r="CW38" s="2" t="str">
        <f>IF(BH38&lt;&gt;"",BH38,IF(AN38&lt;&gt;"",AN38,N38))</f>
        <v>Türkiye</v>
      </c>
      <c r="CX38" s="2">
        <v>2</v>
      </c>
      <c r="CY38" s="2">
        <v>36</v>
      </c>
      <c r="CZ38" s="2" t="str">
        <f>Fixtures!G42</f>
        <v>Czechia</v>
      </c>
      <c r="DA38" s="2">
        <f>IF(AND(Fixtures!H42&lt;&gt;"",Fixtures!I42&lt;&gt;""),Fixtures!H42,0)</f>
        <v>0</v>
      </c>
      <c r="DB38" s="2">
        <f>IF(AND(Fixtures!I42&lt;&gt;"",Fixtures!H42&lt;&gt;""),Fixtures!I42,0)</f>
        <v>0</v>
      </c>
      <c r="DC38" s="2" t="str">
        <f>Fixtures!J42</f>
        <v>Türkiye</v>
      </c>
      <c r="DD38" s="2" t="str">
        <f>IF(AND(Fixtures!H42&lt;&gt;"",Fixtures!I42&lt;&gt;""),IF(DA38&gt;DB38,"W",IF(DA38=DB38,"D","L")),"")</f>
        <v/>
      </c>
      <c r="DE38" s="2" t="str">
        <f t="shared" si="0"/>
        <v/>
      </c>
      <c r="EF38" s="233"/>
      <c r="EG38" s="48"/>
      <c r="EH38" s="49"/>
      <c r="EI38" s="50"/>
      <c r="EJ38" s="49"/>
      <c r="EL38" s="51">
        <v>45468.75</v>
      </c>
      <c r="EM38" s="52">
        <f>EL38+EK7/24</f>
        <v>45468.75</v>
      </c>
      <c r="EO38" s="59" t="s">
        <v>787</v>
      </c>
      <c r="EP38" s="2">
        <v>-4</v>
      </c>
      <c r="EQ38" s="2" t="s">
        <v>569</v>
      </c>
      <c r="ER38" s="2" t="s">
        <v>568</v>
      </c>
    </row>
    <row r="39" spans="1:148" x14ac:dyDescent="0.25">
      <c r="A39" s="2">
        <f>VLOOKUP(B39,CW37:CX41,2,FALSE)</f>
        <v>2</v>
      </c>
      <c r="B39" s="2" t="str">
        <f>'Dummy Table'!EH29</f>
        <v>Türkiye</v>
      </c>
      <c r="C39" s="2">
        <f>SUMPRODUCT((CZ3:CZ42=B39)*(DD3:DD42="W"))+SUMPRODUCT((DC3:DC42=B39)*(DE3:DE42="W"))</f>
        <v>0</v>
      </c>
      <c r="D39" s="2">
        <f>SUMPRODUCT((CZ3:CZ42=B39)*(DD3:DD42="D"))+SUMPRODUCT((DC3:DC42=B39)*(DE3:DE42="D"))</f>
        <v>0</v>
      </c>
      <c r="E39" s="2">
        <f>SUMPRODUCT((CZ3:CZ42=B39)*(DD3:DD42="L"))+SUMPRODUCT((DC3:DC42=B39)*(DE3:DE42="L"))</f>
        <v>0</v>
      </c>
      <c r="F39" s="2">
        <f>SUMIF(CZ3:CZ60,B39,DA3:DA60)+SUMIF(DC3:DC60,B39,DB3:DB60)</f>
        <v>0</v>
      </c>
      <c r="G39" s="2">
        <f>SUMIF(DC3:DC60,B39,DA3:DA60)+SUMIF(CZ3:CZ60,B39,DB3:DB60)</f>
        <v>0</v>
      </c>
      <c r="H39" s="2">
        <f t="shared" si="58"/>
        <v>1000</v>
      </c>
      <c r="I39" s="2">
        <f t="shared" si="59"/>
        <v>0</v>
      </c>
      <c r="J39" s="2">
        <v>47</v>
      </c>
      <c r="K39" s="2">
        <f>IF(COUNTIF(I37:I41,4)&lt;&gt;4,RANK(I39,I37:I41),I79)</f>
        <v>1</v>
      </c>
      <c r="M39" s="2">
        <f>SUMPRODUCT((K37:K40=K39)*(J37:J40&lt;J39))+K39</f>
        <v>3</v>
      </c>
      <c r="N39" s="2" t="str">
        <f>INDEX(B37:B41,MATCH(3,M37:M41,0),0)</f>
        <v>Türkiye</v>
      </c>
      <c r="O39" s="2">
        <f>INDEX(K37:K41,MATCH(N39,B37:B41,0),0)</f>
        <v>1</v>
      </c>
      <c r="P39" s="2" t="str">
        <f>IF(AND(P38&lt;&gt;"",O39=1),N39,"")</f>
        <v>Türkiye</v>
      </c>
      <c r="Q39" s="2" t="str">
        <f>IF(AND(Q38&lt;&gt;"",O40=2),N40,"")</f>
        <v/>
      </c>
      <c r="R39" s="2" t="str">
        <f>IF(AND(R38&lt;&gt;"",O41=3),N41,"")</f>
        <v/>
      </c>
      <c r="U39" s="2" t="str">
        <f t="shared" si="62"/>
        <v>Türkiye</v>
      </c>
      <c r="V39" s="2">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2">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2">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2">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2">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2">
        <f>Y39-Z39+1000</f>
        <v>1000</v>
      </c>
      <c r="AB39" s="2">
        <f t="shared" si="60"/>
        <v>0</v>
      </c>
      <c r="AC39" s="2">
        <f>IF(U39&lt;&gt;"",VLOOKUP(U39,B4:H40,7,FALSE),"")</f>
        <v>1000</v>
      </c>
      <c r="AD39" s="2">
        <f>IF(U39&lt;&gt;"",VLOOKUP(U39,B4:H40,5,FALSE),"")</f>
        <v>0</v>
      </c>
      <c r="AE39" s="2">
        <f>IF(U39&lt;&gt;"",VLOOKUP(U39,B4:J40,9,FALSE),"")</f>
        <v>47</v>
      </c>
      <c r="AF39" s="2">
        <f t="shared" si="61"/>
        <v>0</v>
      </c>
      <c r="AG39" s="2">
        <f>IF(U39&lt;&gt;"",RANK(AF39,AF37:AF41),"")</f>
        <v>1</v>
      </c>
      <c r="AH39" s="2">
        <f>IF(U39&lt;&gt;"",SUMPRODUCT((AF37:AF41=AF39)*(AA37:AA41&gt;AA39)),"")</f>
        <v>0</v>
      </c>
      <c r="AI39" s="2">
        <f>IF(U39&lt;&gt;"",SUMPRODUCT((AF37:AF41=AF39)*(AA37:AA41=AA39)*(Y37:Y41&gt;Y39)),"")</f>
        <v>0</v>
      </c>
      <c r="AJ39" s="2">
        <f>IF(U39&lt;&gt;"",SUMPRODUCT((AF37:AF41=AF39)*(AA37:AA41=AA39)*(Y37:Y41=Y39)*(AC37:AC41&gt;AC39)),"")</f>
        <v>0</v>
      </c>
      <c r="AK39" s="2">
        <f>IF(U39&lt;&gt;"",SUMPRODUCT((AF37:AF41=AF39)*(AA37:AA41=AA39)*(Y37:Y41=Y39)*(AC37:AC41=AC39)*(AD37:AD41&gt;AD39)),"")</f>
        <v>0</v>
      </c>
      <c r="AL39" s="2">
        <f>IF(U39&lt;&gt;"",SUMPRODUCT((AF37:AF41=AF39)*(AA37:AA41=AA39)*(Y37:Y41=Y39)*(AC37:AC41=AC39)*(AD37:AD41=AD39)*(AE37:AE41&gt;AE39)),"")</f>
        <v>1</v>
      </c>
      <c r="AM39" s="2">
        <f>IF(U39&lt;&gt;"",IF(AM79&lt;&gt;"",IF(T76=3,AM79,AM79+T76),SUM(AG39:AL39)),"")</f>
        <v>2</v>
      </c>
      <c r="AN39" s="2" t="str">
        <f>IF(U39&lt;&gt;"",INDEX(U37:U41,MATCH(3,AM37:AM41,0),0),"")</f>
        <v>Czechia</v>
      </c>
      <c r="AO39" s="2" t="str">
        <f>IF(Q38&lt;&gt;"",Q38,"")</f>
        <v/>
      </c>
      <c r="AP39" s="2">
        <f>SUMPRODUCT((CZ3:CZ42=AO39)*(DC3:DC42=AO40)*(DD3:DD42="W"))+SUMPRODUCT((CZ3:CZ42=AO39)*(DC3:DC42=AO41)*(DD3:DD42="W"))+SUMPRODUCT((CZ3:CZ42=AO39)*(DC3:DC42=AO38)*(DD3:DD42="W"))+SUMPRODUCT((CZ3:CZ42=AO40)*(DC3:DC42=AO39)*(DE3:DE42="W"))+SUMPRODUCT((CZ3:CZ42=AO41)*(DC3:DC42=AO39)*(DE3:DE42="W"))+SUMPRODUCT((CZ3:CZ42=AO38)*(DC3:DC42=AO39)*(DE3:DE42="W"))</f>
        <v>0</v>
      </c>
      <c r="AQ39" s="2">
        <f>SUMPRODUCT((CZ3:CZ42=AO39)*(DC3:DC42=AO40)*(DD3:DD42="D"))+SUMPRODUCT((CZ3:CZ42=AO39)*(DC3:DC42=AO41)*(DD3:DD42="D"))+SUMPRODUCT((CZ3:CZ42=AO39)*(DC3:DC42=AO38)*(DD3:DD42="D"))+SUMPRODUCT((CZ3:CZ42=AO40)*(DC3:DC42=AO39)*(DD3:DD42="D"))+SUMPRODUCT((CZ3:CZ42=AO41)*(DC3:DC42=AO39)*(DD3:DD42="D"))+SUMPRODUCT((CZ3:CZ42=AO38)*(DC3:DC42=AO39)*(DD3:DD42="D"))</f>
        <v>0</v>
      </c>
      <c r="AR39" s="2">
        <f>SUMPRODUCT((CZ3:CZ42=AO39)*(DC3:DC42=AO40)*(DD3:DD42="L"))+SUMPRODUCT((CZ3:CZ42=AO39)*(DC3:DC42=AO41)*(DD3:DD42="L"))+SUMPRODUCT((CZ3:CZ42=AO39)*(DC3:DC42=AO38)*(DD3:DD42="L"))+SUMPRODUCT((CZ3:CZ42=AO40)*(DC3:DC42=AO39)*(DE3:DE42="L"))+SUMPRODUCT((CZ3:CZ42=AO41)*(DC3:DC42=AO39)*(DE3:DE42="L"))+SUMPRODUCT((CZ3:CZ42=AO38)*(DC3:DC42=AO39)*(DE3:DE42="L"))</f>
        <v>0</v>
      </c>
      <c r="AS39" s="2">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2">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2">
        <f>AS39-AT39+1000</f>
        <v>1000</v>
      </c>
      <c r="AV39" s="2" t="str">
        <f t="shared" si="63"/>
        <v/>
      </c>
      <c r="AW39" s="2" t="str">
        <f>IF(AO39&lt;&gt;"",VLOOKUP(AO39,B4:H40,7,FALSE),"")</f>
        <v/>
      </c>
      <c r="AX39" s="2" t="str">
        <f>IF(AO39&lt;&gt;"",VLOOKUP(AO39,B4:H40,5,FALSE),"")</f>
        <v/>
      </c>
      <c r="AY39" s="2" t="str">
        <f>IF(AO39&lt;&gt;"",VLOOKUP(AO39,B4:J40,9,FALSE),"")</f>
        <v/>
      </c>
      <c r="AZ39" s="2" t="str">
        <f t="shared" si="64"/>
        <v/>
      </c>
      <c r="BA39" s="2" t="str">
        <f>IF(AO39&lt;&gt;"",RANK(AZ39,AZ37:AZ40),"")</f>
        <v/>
      </c>
      <c r="BB39" s="2" t="str">
        <f>IF(AO39&lt;&gt;"",SUMPRODUCT((AZ37:AZ41=AZ39)*(AU37:AU41&gt;AU39)),"")</f>
        <v/>
      </c>
      <c r="BC39" s="2" t="str">
        <f>IF(AO39&lt;&gt;"",SUMPRODUCT((AZ37:AZ41=AZ39)*(AU37:AU41=AU39)*(AS37:AS41&gt;AS39)),"")</f>
        <v/>
      </c>
      <c r="BD39" s="2" t="str">
        <f>IF(AO39&lt;&gt;"",SUMPRODUCT((AZ37:AZ41=AZ39)*(AU37:AU41=AU39)*(AS37:AS41=AS39)*(AW37:AW41&gt;AW39)),"")</f>
        <v/>
      </c>
      <c r="BE39" s="2" t="str">
        <f>IF(AO39&lt;&gt;"",SUMPRODUCT((AZ37:AZ41=AZ39)*(AU37:AU41=AU39)*(AS37:AS41=AS39)*(AW37:AW41=AW39)*(AX37:AX41&gt;AX39)),"")</f>
        <v/>
      </c>
      <c r="BF39" s="2" t="str">
        <f>IF(AO39&lt;&gt;"",SUMPRODUCT((AZ37:AZ41=AZ39)*(AU37:AU41=AU39)*(AS37:AS41=AS39)*(AW37:AW41=AW39)*(AX37:AX41=AX39)*(AY37:AY41&gt;AY39)),"")</f>
        <v/>
      </c>
      <c r="BG39" s="2" t="str">
        <f>IF(AO39&lt;&gt;"",IF(BG79&lt;&gt;"",IF(AN76=3,BG79,BG79+AN76),SUM(BA39:BF39)+1),"")</f>
        <v/>
      </c>
      <c r="BH39" s="2" t="str">
        <f>IF(AO39&lt;&gt;"",INDEX(AO38:AO41,MATCH(3,BG38:BG41,0),0),"")</f>
        <v/>
      </c>
      <c r="BI39" s="2" t="str">
        <f>IF(R37&lt;&gt;"",R37,"")</f>
        <v/>
      </c>
      <c r="BJ39" s="2">
        <f>SUMPRODUCT((CZ3:CZ42=BI39)*(DC3:DC42=BI40)*(DD3:DD42="W"))+SUMPRODUCT((CZ3:CZ42=BI39)*(DC3:DC42=BI41)*(DD3:DD42="W"))+SUMPRODUCT((CZ3:CZ42=BI39)*(DC3:DC42=BI42)*(DD3:DD42="W"))+SUMPRODUCT((CZ3:CZ42=BI40)*(DC3:DC42=BI39)*(DE3:DE42="W"))+SUMPRODUCT((CZ3:CZ42=BI41)*(DC3:DC42=BI39)*(DE3:DE42="W"))+SUMPRODUCT((CZ3:CZ42=BI42)*(DC3:DC42=BI39)*(DE3:DE42="W"))</f>
        <v>0</v>
      </c>
      <c r="BK39" s="2">
        <f>SUMPRODUCT((CZ3:CZ42=BI39)*(DC3:DC42=BI40)*(DD3:DD42="D"))+SUMPRODUCT((CZ3:CZ42=BI39)*(DC3:DC42=BI41)*(DD3:DD42="D"))+SUMPRODUCT((CZ3:CZ42=BI39)*(DC3:DC42=BI42)*(DD3:DD42="D"))+SUMPRODUCT((CZ3:CZ42=BI40)*(DC3:DC42=BI39)*(DD3:DD42="D"))+SUMPRODUCT((CZ3:CZ42=BI41)*(DC3:DC42=BI39)*(DD3:DD42="D"))+SUMPRODUCT((CZ3:CZ42=BI42)*(DC3:DC42=BI39)*(DD3:DD42="D"))</f>
        <v>0</v>
      </c>
      <c r="BL39" s="2">
        <f>SUMPRODUCT((CZ3:CZ42=BI39)*(DC3:DC42=BI40)*(DD3:DD42="L"))+SUMPRODUCT((CZ3:CZ42=BI39)*(DC3:DC42=BI41)*(DD3:DD42="L"))+SUMPRODUCT((CZ3:CZ42=BI39)*(DC3:DC42=BI42)*(DD3:DD42="L"))+SUMPRODUCT((CZ3:CZ42=BI40)*(DC3:DC42=BI39)*(DE3:DE42="L"))+SUMPRODUCT((CZ3:CZ42=BI41)*(DC3:DC42=BI39)*(DE3:DE42="L"))+SUMPRODUCT((CZ3:CZ42=BI42)*(DC3:DC42=BI39)*(DE3:DE42="L"))</f>
        <v>0</v>
      </c>
      <c r="BM39" s="2">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2">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2">
        <f>BM39-BN39+1000</f>
        <v>1000</v>
      </c>
      <c r="BP39" s="2" t="str">
        <f t="shared" ref="BP39:BP40" si="65">IF(BI39&lt;&gt;"",BJ39*3+BK39*1,"")</f>
        <v/>
      </c>
      <c r="BQ39" s="2" t="str">
        <f>IF(BI39&lt;&gt;"",VLOOKUP(BI39,B4:H40,7,FALSE),"")</f>
        <v/>
      </c>
      <c r="BR39" s="2" t="str">
        <f>IF(BI39&lt;&gt;"",VLOOKUP(BI39,B4:H40,5,FALSE),"")</f>
        <v/>
      </c>
      <c r="BS39" s="2" t="str">
        <f>IF(BI39&lt;&gt;"",VLOOKUP(BI39,B4:J40,9,FALSE),"")</f>
        <v/>
      </c>
      <c r="BT39" s="2" t="str">
        <f t="shared" ref="BT39:BT40" si="66">BP39</f>
        <v/>
      </c>
      <c r="BU39" s="2" t="str">
        <f>IF(BI39&lt;&gt;"",RANK(BT39,BT38:BT40),"")</f>
        <v/>
      </c>
      <c r="BV39" s="2" t="str">
        <f>IF(BI39&lt;&gt;"",SUMPRODUCT((BT37:BT41=BT39)*(BO37:BO41&gt;BO39)),"")</f>
        <v/>
      </c>
      <c r="BW39" s="2" t="str">
        <f>IF(BI39&lt;&gt;"",SUMPRODUCT((BT37:BT41=BT39)*(BO37:BO41=BO39)*(BM37:BM41&gt;BM39)),"")</f>
        <v/>
      </c>
      <c r="BX39" s="2" t="str">
        <f>IF(BI39&lt;&gt;"",SUMPRODUCT((BT37:BT41=BT39)*(BO37:BO41=BO39)*(BM37:BM41=BM39)*(BQ37:BQ41&gt;BQ39)),"")</f>
        <v/>
      </c>
      <c r="BY39" s="2" t="str">
        <f>IF(BI39&lt;&gt;"",SUMPRODUCT((BT37:BT41=BT39)*(BO37:BO41=BO39)*(BM37:BM41=BM39)*(BQ37:BQ41=BQ39)*(BR37:BR41&gt;BR39)),"")</f>
        <v/>
      </c>
      <c r="BZ39" s="2" t="str">
        <f>IF(BI39&lt;&gt;"",SUMPRODUCT((BT37:BT41=BT39)*(BO37:BO41=BO39)*(BM37:BM41=BM39)*(BQ37:BQ41=BQ39)*(BR37:BR41=BR39)*(BS37:BS41&gt;BS39)),"")</f>
        <v/>
      </c>
      <c r="CA39" s="2" t="str">
        <f>IF(BI39&lt;&gt;"",SUM(BU39:BZ39)+2,"")</f>
        <v/>
      </c>
      <c r="CB39" s="2" t="str">
        <f>IF(BI39&lt;&gt;"",INDEX(BI39:BI41,MATCH(3,CA39:CA41,0),0),"")</f>
        <v/>
      </c>
      <c r="CW39" s="2" t="str">
        <f>IF(CB39&lt;&gt;"",CB39,IF(BH39&lt;&gt;"",BH39,IF(AN39&lt;&gt;"",AN39,N39)))</f>
        <v>Czechia</v>
      </c>
      <c r="CX39" s="2">
        <v>3</v>
      </c>
      <c r="EL39" s="51">
        <v>45469.75</v>
      </c>
      <c r="EM39" s="52">
        <f>EL39+EK7/24</f>
        <v>45469.75</v>
      </c>
      <c r="EO39" s="59" t="s">
        <v>788</v>
      </c>
      <c r="EP39" s="2">
        <v>-3.5</v>
      </c>
      <c r="EQ39" s="2" t="s">
        <v>571</v>
      </c>
      <c r="ER39" s="2" t="s">
        <v>570</v>
      </c>
    </row>
    <row r="40" spans="1:148" x14ac:dyDescent="0.25">
      <c r="A40" s="2">
        <f>VLOOKUP(B40,CW37:CX41,2,FALSE)</f>
        <v>4</v>
      </c>
      <c r="B40" s="2" t="str">
        <f>'Dummy Table'!EH30</f>
        <v>Georgia</v>
      </c>
      <c r="C40" s="2">
        <f>SUMPRODUCT((CZ3:CZ42=B40)*(DD3:DD42="W"))+SUMPRODUCT((DC3:DC42=B40)*(DE3:DE42="W"))</f>
        <v>0</v>
      </c>
      <c r="D40" s="2">
        <f>SUMPRODUCT((CZ3:CZ42=B40)*(DD3:DD42="D"))+SUMPRODUCT((DC3:DC42=B40)*(DE3:DE42="D"))</f>
        <v>0</v>
      </c>
      <c r="E40" s="2">
        <f>SUMPRODUCT((CZ3:CZ42=B40)*(DD3:DD42="L"))+SUMPRODUCT((DC3:DC42=B40)*(DE3:DE42="L"))</f>
        <v>0</v>
      </c>
      <c r="F40" s="2">
        <f>SUMIF(CZ3:CZ60,B40,DA3:DA60)+SUMIF(DC3:DC60,B40,DB3:DB60)</f>
        <v>0</v>
      </c>
      <c r="G40" s="2">
        <f>SUMIF(DC3:DC60,B40,DA3:DA60)+SUMIF(CZ3:CZ60,B40,DB3:DB60)</f>
        <v>0</v>
      </c>
      <c r="H40" s="2">
        <f t="shared" si="58"/>
        <v>1000</v>
      </c>
      <c r="I40" s="2">
        <f t="shared" si="59"/>
        <v>0</v>
      </c>
      <c r="J40" s="2">
        <v>0</v>
      </c>
      <c r="K40" s="2">
        <f>IF(COUNTIF(I37:I41,4)&lt;&gt;4,RANK(I40,I37:I41),I80)</f>
        <v>1</v>
      </c>
      <c r="M40" s="2">
        <f>SUMPRODUCT((K37:K40=K40)*(J37:J40&lt;J40))+K40</f>
        <v>1</v>
      </c>
      <c r="N40" s="2" t="str">
        <f>INDEX(B37:B41,MATCH(4,M37:M41,0),0)</f>
        <v>Portugal</v>
      </c>
      <c r="O40" s="2">
        <f>INDEX(K37:K41,MATCH(N40,B37:B41,0),0)</f>
        <v>1</v>
      </c>
      <c r="P40" s="2" t="str">
        <f>IF(AND(P39&lt;&gt;"",O40=1),N40,"")</f>
        <v>Portugal</v>
      </c>
      <c r="Q40" s="2" t="str">
        <f>IF(AND(Q39&lt;&gt;"",O41=2),N41,"")</f>
        <v/>
      </c>
      <c r="U40" s="2" t="str">
        <f t="shared" si="62"/>
        <v>Portugal</v>
      </c>
      <c r="V40" s="2">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2">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2">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2">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2">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2">
        <f>Y40-Z40+1000</f>
        <v>1000</v>
      </c>
      <c r="AB40" s="2">
        <f t="shared" si="60"/>
        <v>0</v>
      </c>
      <c r="AC40" s="2">
        <f>IF(U40&lt;&gt;"",VLOOKUP(U40,B4:H40,7,FALSE),"")</f>
        <v>1000</v>
      </c>
      <c r="AD40" s="2">
        <f>IF(U40&lt;&gt;"",VLOOKUP(U40,B4:H40,5,FALSE),"")</f>
        <v>0</v>
      </c>
      <c r="AE40" s="2">
        <f>IF(U40&lt;&gt;"",VLOOKUP(U40,B4:J40,9,FALSE),"")</f>
        <v>53</v>
      </c>
      <c r="AF40" s="2">
        <f t="shared" si="61"/>
        <v>0</v>
      </c>
      <c r="AG40" s="2">
        <f>IF(U40&lt;&gt;"",RANK(AF40,AF37:AF41),"")</f>
        <v>1</v>
      </c>
      <c r="AH40" s="2">
        <f>IF(U40&lt;&gt;"",SUMPRODUCT((AF37:AF41=AF40)*(AA37:AA41&gt;AA40)),"")</f>
        <v>0</v>
      </c>
      <c r="AI40" s="2">
        <f>IF(U40&lt;&gt;"",SUMPRODUCT((AF37:AF41=AF40)*(AA37:AA41=AA40)*(Y37:Y41&gt;Y40)),"")</f>
        <v>0</v>
      </c>
      <c r="AJ40" s="2">
        <f>IF(U40&lt;&gt;"",SUMPRODUCT((AF37:AF41=AF40)*(AA37:AA41=AA40)*(Y37:Y41=Y40)*(AC37:AC41&gt;AC40)),"")</f>
        <v>0</v>
      </c>
      <c r="AK40" s="2">
        <f>IF(U40&lt;&gt;"",SUMPRODUCT((AF37:AF41=AF40)*(AA37:AA41=AA40)*(Y37:Y41=Y40)*(AC37:AC41=AC40)*(AD37:AD41&gt;AD40)),"")</f>
        <v>0</v>
      </c>
      <c r="AL40" s="2">
        <f>IF(U40&lt;&gt;"",SUMPRODUCT((AF37:AF41=AF40)*(AA37:AA41=AA40)*(Y37:Y41=Y40)*(AC37:AC41=AC40)*(AD37:AD41=AD40)*(AE37:AE41&gt;AE40)),"")</f>
        <v>0</v>
      </c>
      <c r="AM40" s="2">
        <f>IF(U40&lt;&gt;"",IF(AM80&lt;&gt;"",IF(T76=3,AM80,AM80+T76),SUM(AG40:AL40)),"")</f>
        <v>1</v>
      </c>
      <c r="AN40" s="2" t="str">
        <f>IF(U40&lt;&gt;"",INDEX(U37:U41,MATCH(4,AM37:AM41,0),0),"")</f>
        <v>Georgia</v>
      </c>
      <c r="AO40" s="2" t="str">
        <f>IF(Q39&lt;&gt;"",Q39,"")</f>
        <v/>
      </c>
      <c r="AP40" s="2" t="str">
        <f>IF(AO40&lt;&gt;"",SUMPRODUCT((CZ3:CZ42=AO40)*(DC3:DC42=AO41)*(DD3:DD42="W"))+SUMPRODUCT((CZ3:CZ42=AO40)*(DC3:DC42=AO38)*(DD3:DD42="W"))+SUMPRODUCT((CZ3:CZ42=AO40)*(DC3:DC42=AO39)*(DD3:DD42="W"))+SUMPRODUCT((CZ3:CZ42=AO41)*(DC3:DC42=AO40)*(DE3:DE42="W"))+SUMPRODUCT((CZ3:CZ42=AO38)*(DC3:DC42=AO40)*(DE3:DE42="W"))+SUMPRODUCT((CZ3:CZ42=AO39)*(DC3:DC42=AO40)*(DE3:DE42="W")),"")</f>
        <v/>
      </c>
      <c r="AQ40" s="2" t="str">
        <f>IF(AO40&lt;&gt;"",SUMPRODUCT((CZ3:CZ42=AO40)*(DC3:DC42=AO41)*(DD3:DD42="D"))+SUMPRODUCT((CZ3:CZ42=AO40)*(DC3:DC42=AO38)*(DD3:DD42="D"))+SUMPRODUCT((CZ3:CZ42=AO40)*(DC3:DC42=AO39)*(DD3:DD42="D"))+SUMPRODUCT((CZ3:CZ42=AO41)*(DC3:DC42=AO40)*(DD3:DD42="D"))+SUMPRODUCT((CZ3:CZ42=AO38)*(DC3:DC42=AO40)*(DD3:DD42="D"))+SUMPRODUCT((CZ3:CZ42=AO39)*(DC3:DC42=AO40)*(DD3:DD42="D")),"")</f>
        <v/>
      </c>
      <c r="AR40" s="2" t="str">
        <f>IF(AO40&lt;&gt;"",SUMPRODUCT((CZ3:CZ42=AO40)*(DC3:DC42=AO41)*(DD3:DD42="L"))+SUMPRODUCT((CZ3:CZ42=AO40)*(DC3:DC42=AO38)*(DD3:DD42="L"))+SUMPRODUCT((CZ3:CZ42=AO40)*(DC3:DC42=AO39)*(DD3:DD42="L"))+SUMPRODUCT((CZ3:CZ42=AO41)*(DC3:DC42=AO40)*(DE3:DE42="L"))+SUMPRODUCT((CZ3:CZ42=AO38)*(DC3:DC42=AO40)*(DE3:DE42="L"))+SUMPRODUCT((CZ3:CZ42=AO39)*(DC3:DC42=AO40)*(DE3:DE42="L")),"")</f>
        <v/>
      </c>
      <c r="AS40" s="2">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2">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2">
        <f>AS40-AT40+1000</f>
        <v>1000</v>
      </c>
      <c r="AV40" s="2" t="str">
        <f t="shared" si="63"/>
        <v/>
      </c>
      <c r="AW40" s="2" t="str">
        <f>IF(AO40&lt;&gt;"",VLOOKUP(AO40,B4:H40,7,FALSE),"")</f>
        <v/>
      </c>
      <c r="AX40" s="2" t="str">
        <f>IF(AO40&lt;&gt;"",VLOOKUP(AO40,B4:H40,5,FALSE),"")</f>
        <v/>
      </c>
      <c r="AY40" s="2" t="str">
        <f>IF(AO40&lt;&gt;"",VLOOKUP(AO40,B4:J40,9,FALSE),"")</f>
        <v/>
      </c>
      <c r="AZ40" s="2" t="str">
        <f t="shared" si="64"/>
        <v/>
      </c>
      <c r="BA40" s="2" t="str">
        <f>IF(AO40&lt;&gt;"",RANK(AZ40,AZ37:AZ40),"")</f>
        <v/>
      </c>
      <c r="BB40" s="2" t="str">
        <f>IF(AO40&lt;&gt;"",SUMPRODUCT((AZ37:AZ41=AZ40)*(AU37:AU41&gt;AU40)),"")</f>
        <v/>
      </c>
      <c r="BC40" s="2" t="str">
        <f>IF(AO40&lt;&gt;"",SUMPRODUCT((AZ37:AZ41=AZ40)*(AU37:AU41=AU40)*(AS37:AS41&gt;AS40)),"")</f>
        <v/>
      </c>
      <c r="BD40" s="2" t="str">
        <f>IF(AO40&lt;&gt;"",SUMPRODUCT((AZ37:AZ41=AZ40)*(AU37:AU41=AU40)*(AS37:AS41=AS40)*(AW37:AW41&gt;AW40)),"")</f>
        <v/>
      </c>
      <c r="BE40" s="2" t="str">
        <f>IF(AO40&lt;&gt;"",SUMPRODUCT((AZ37:AZ41=AZ40)*(AU37:AU41=AU40)*(AS37:AS41=AS40)*(AW37:AW41=AW40)*(AX37:AX41&gt;AX40)),"")</f>
        <v/>
      </c>
      <c r="BF40" s="2" t="str">
        <f>IF(AO40&lt;&gt;"",SUMPRODUCT((AZ37:AZ41=AZ40)*(AU37:AU41=AU40)*(AS37:AS41=AS40)*(AW37:AW41=AW40)*(AX37:AX41=AX40)*(AY37:AY41&gt;AY40)),"")</f>
        <v/>
      </c>
      <c r="BG40" s="2" t="str">
        <f>IF(AO40&lt;&gt;"",IF(BG80&lt;&gt;"",IF(AN76=3,BG80,BG80+AN76),SUM(BA40:BF40)+1),"")</f>
        <v/>
      </c>
      <c r="BH40" s="2" t="str">
        <f>IF(AO40&lt;&gt;"",INDEX(AO38:AO41,MATCH(4,BG38:BG41,0),0),"")</f>
        <v/>
      </c>
      <c r="BI40" s="2" t="str">
        <f>IF(R38&lt;&gt;"",R38,"")</f>
        <v/>
      </c>
      <c r="BJ40" s="2">
        <f>SUMPRODUCT((CZ3:CZ42=BI40)*(DC3:DC42=BI41)*(DD3:DD42="W"))+SUMPRODUCT((CZ3:CZ42=BI40)*(DC3:DC42=BI42)*(DD3:DD42="W"))+SUMPRODUCT((CZ3:CZ42=BI40)*(DC3:DC42=BI39)*(DD3:DD42="W"))+SUMPRODUCT((CZ3:CZ42=BI41)*(DC3:DC42=BI40)*(DE3:DE42="W"))+SUMPRODUCT((CZ3:CZ42=BI42)*(DC3:DC42=BI40)*(DE3:DE42="W"))+SUMPRODUCT((CZ3:CZ42=BI39)*(DC3:DC42=BI40)*(DE3:DE42="W"))</f>
        <v>0</v>
      </c>
      <c r="BK40" s="2">
        <f>SUMPRODUCT((CZ3:CZ42=BI40)*(DC3:DC42=BI41)*(DD3:DD42="D"))+SUMPRODUCT((CZ3:CZ42=BI40)*(DC3:DC42=BI42)*(DD3:DD42="D"))+SUMPRODUCT((CZ3:CZ42=BI40)*(DC3:DC42=BI39)*(DD3:DD42="D"))+SUMPRODUCT((CZ3:CZ42=BI41)*(DC3:DC42=BI40)*(DD3:DD42="D"))+SUMPRODUCT((CZ3:CZ42=BI42)*(DC3:DC42=BI40)*(DD3:DD42="D"))+SUMPRODUCT((CZ3:CZ42=BI39)*(DC3:DC42=BI40)*(DD3:DD42="D"))</f>
        <v>0</v>
      </c>
      <c r="BL40" s="2">
        <f>SUMPRODUCT((CZ3:CZ42=BI40)*(DC3:DC42=BI41)*(DD3:DD42="L"))+SUMPRODUCT((CZ3:CZ42=BI40)*(DC3:DC42=BI42)*(DD3:DD42="L"))+SUMPRODUCT((CZ3:CZ42=BI40)*(DC3:DC42=BI39)*(DD3:DD42="L"))+SUMPRODUCT((CZ3:CZ42=BI41)*(DC3:DC42=BI40)*(DE3:DE42="L"))+SUMPRODUCT((CZ3:CZ42=BI42)*(DC3:DC42=BI40)*(DE3:DE42="L"))+SUMPRODUCT((CZ3:CZ42=BI39)*(DC3:DC42=BI40)*(DE3:DE42="L"))</f>
        <v>0</v>
      </c>
      <c r="BM40" s="2">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2">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2">
        <f>BM40-BN40+1000</f>
        <v>1000</v>
      </c>
      <c r="BP40" s="2" t="str">
        <f t="shared" si="65"/>
        <v/>
      </c>
      <c r="BQ40" s="2" t="str">
        <f>IF(BI40&lt;&gt;"",VLOOKUP(BI40,B4:H40,7,FALSE),"")</f>
        <v/>
      </c>
      <c r="BR40" s="2" t="str">
        <f>IF(BI40&lt;&gt;"",VLOOKUP(BI40,B4:H40,5,FALSE),"")</f>
        <v/>
      </c>
      <c r="BS40" s="2" t="str">
        <f>IF(BI40&lt;&gt;"",VLOOKUP(BI40,B4:J40,9,FALSE),"")</f>
        <v/>
      </c>
      <c r="BT40" s="2" t="str">
        <f t="shared" si="66"/>
        <v/>
      </c>
      <c r="BU40" s="2" t="str">
        <f>IF(BI40&lt;&gt;"",RANK(BT40,BT38:BT40),"")</f>
        <v/>
      </c>
      <c r="BV40" s="2" t="str">
        <f>IF(BI40&lt;&gt;"",SUMPRODUCT((BT37:BT41=BT40)*(BO37:BO41&gt;BO40)),"")</f>
        <v/>
      </c>
      <c r="BW40" s="2" t="str">
        <f>IF(BI40&lt;&gt;"",SUMPRODUCT((BT37:BT41=BT40)*(BO37:BO41=BO40)*(BM37:BM41&gt;BM40)),"")</f>
        <v/>
      </c>
      <c r="BX40" s="2" t="str">
        <f>IF(BI40&lt;&gt;"",SUMPRODUCT((BT37:BT41=BT40)*(BO37:BO41=BO40)*(BM37:BM41=BM40)*(BQ37:BQ41&gt;BQ40)),"")</f>
        <v/>
      </c>
      <c r="BY40" s="2" t="str">
        <f>IF(BI40&lt;&gt;"",SUMPRODUCT((BT37:BT41=BT40)*(BO37:BO41=BO40)*(BM37:BM41=BM40)*(BQ37:BQ41=BQ40)*(BR37:BR41&gt;BR40)),"")</f>
        <v/>
      </c>
      <c r="BZ40" s="2" t="str">
        <f>IF(BI40&lt;&gt;"",SUMPRODUCT((BT37:BT41=BT40)*(BO37:BO41=BO40)*(BM37:BM41=BM40)*(BQ37:BQ41=BQ40)*(BR37:BR41=BR40)*(BS37:BS41&gt;BS40)),"")</f>
        <v/>
      </c>
      <c r="CA40" s="2" t="str">
        <f>IF(BI40&lt;&gt;"",SUM(BU40:BZ40)+2,"")</f>
        <v/>
      </c>
      <c r="CB40" s="2" t="str">
        <f>IF(BI40&lt;&gt;"",INDEX(BI39:BI41,MATCH(4,CA39:CA41,0),0),"")</f>
        <v/>
      </c>
      <c r="CC40" s="2" t="str">
        <f>IF(S37&lt;&gt;"",S37,"")</f>
        <v/>
      </c>
      <c r="CD40" s="2">
        <f>SUMPRODUCT((CZ3:CZ42=CC40)*(DC3:DC42=CC41)*(DD3:DD42="W"))+SUMPRODUCT((CZ3:CZ42=CC40)*(DC3:DC42=CC42)*(DD3:DD42="W"))+SUMPRODUCT((CZ3:CZ42=CC40)*(DC3:DC42=CC43)*(DD3:DD42="W"))+SUMPRODUCT((CZ3:CZ42=CC41)*(DC3:DC42=CC40)*(DE3:DE42="W"))+SUMPRODUCT((CZ3:CZ42=CC42)*(DC3:DC42=CC40)*(DE3:DE42="W"))+SUMPRODUCT((CZ3:CZ42=CC43)*(DC3:DC42=CC40)*(DE3:DE42="W"))</f>
        <v>0</v>
      </c>
      <c r="CE40" s="2">
        <f>SUMPRODUCT((CZ3:CZ42=CC40)*(DC3:DC42=CC41)*(DD3:DD42="D"))+SUMPRODUCT((CZ3:CZ42=CC40)*(DC3:DC42=CC42)*(DD3:DD42="D"))+SUMPRODUCT((CZ3:CZ42=CC40)*(DC3:DC42=CC43)*(DD3:DD42="D"))+SUMPRODUCT((CZ3:CZ42=CC41)*(DC3:DC42=CC40)*(DD3:DD42="D"))+SUMPRODUCT((CZ3:CZ42=CC42)*(DC3:DC42=CC40)*(DD3:DD42="D"))+SUMPRODUCT((CZ3:CZ42=CC43)*(DC3:DC42=CC40)*(DD3:DD42="D"))</f>
        <v>0</v>
      </c>
      <c r="CF40" s="2">
        <f>SUMPRODUCT((CZ3:CZ42=CC40)*(DC3:DC42=CC41)*(DD3:DD42="L"))+SUMPRODUCT((CZ3:CZ42=CC40)*(DC3:DC42=CC42)*(DD3:DD42="L"))+SUMPRODUCT((CZ3:CZ42=CC40)*(DC3:DC42=CC43)*(DD3:DD42="L"))+SUMPRODUCT((CZ3:CZ42=CC41)*(DC3:DC42=CC40)*(DE3:DE42="L"))+SUMPRODUCT((CZ3:CZ42=CC42)*(DC3:DC42=CC40)*(DE3:DE42="L"))+SUMPRODUCT((CZ3:CZ42=CC43)*(DC3:DC42=CC40)*(DE3:DE42="L"))</f>
        <v>0</v>
      </c>
      <c r="CG40" s="2">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2">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2">
        <f>CG40-CH40+1000</f>
        <v>1000</v>
      </c>
      <c r="CJ40" s="2" t="str">
        <f t="shared" ref="CJ40" si="67">IF(CC40&lt;&gt;"",CD40*3+CE40*1,"")</f>
        <v/>
      </c>
      <c r="CK40" s="2" t="str">
        <f>IF(CC40&lt;&gt;"",VLOOKUP(CC40,B4:H40,7,FALSE),"")</f>
        <v/>
      </c>
      <c r="CL40" s="2" t="str">
        <f>IF(CC40&lt;&gt;"",VLOOKUP(CC40,B4:H40,5,FALSE),"")</f>
        <v/>
      </c>
      <c r="CM40" s="2" t="str">
        <f>IF(CC40&lt;&gt;"",VLOOKUP(CC40,B4:J40,9,FALSE),"")</f>
        <v/>
      </c>
      <c r="CN40" s="2" t="str">
        <f t="shared" ref="CN40" si="68">CJ40</f>
        <v/>
      </c>
      <c r="CO40" s="2" t="str">
        <f>IF(CC40&lt;&gt;"",RANK(CN40,AF37:AF41),"")</f>
        <v/>
      </c>
      <c r="CP40" s="2" t="str">
        <f>IF(CC40&lt;&gt;"",SUMPRODUCT((CN37:CN41=CN40)*(CI37:CI41&gt;CI40)),"")</f>
        <v/>
      </c>
      <c r="CQ40" s="2" t="str">
        <f>IF(CC40&lt;&gt;"",SUMPRODUCT((CN37:CN41=CN40)*(CI37:CI41=CI40)*(CG37:CG41&gt;CG40)),"")</f>
        <v/>
      </c>
      <c r="CR40" s="2" t="str">
        <f>IF(CC40&lt;&gt;"",SUMPRODUCT((CN37:CN41=CN40)*(CI37:CI41=CI40)*(CG37:CG41=CG40)*(CK37:CK41&gt;CK40)),"")</f>
        <v/>
      </c>
      <c r="CS40" s="2" t="str">
        <f>IF(CC40&lt;&gt;"",SUMPRODUCT((CN37:CN41=CN40)*(CI37:CI41=CI40)*(CG37:CG41=CG40)*(CK37:CK41=CK40)*(CL37:CL41&gt;CL40)),"")</f>
        <v/>
      </c>
      <c r="CT40" s="2" t="str">
        <f>IF(CC40&lt;&gt;"",SUMPRODUCT((CN37:CN41=CN40)*(CI37:CI41=CI40)*(CG37:CG41=CG40)*(CK37:CK41=CK40)*(CL37:CL41=CL40)*(CM37:CM41&gt;CM40)),"")</f>
        <v/>
      </c>
      <c r="CU40" s="2" t="str">
        <f>IF(CC40&lt;&gt;"",SUM(CO40:CT40)+3,"")</f>
        <v/>
      </c>
      <c r="CV40" s="2" t="str">
        <f>IF(CC40&lt;&gt;"",IF(CU40=4,CC40,CC41),"")</f>
        <v/>
      </c>
      <c r="CW40" s="2" t="str">
        <f>IF(CV40&lt;&gt;"",CV40,IF(CB40&lt;&gt;"",CB40,IF(BH40&lt;&gt;"",BH40,IF(AN40&lt;&gt;"",AN40,N40))))</f>
        <v>Georgia</v>
      </c>
      <c r="CX40" s="2">
        <v>4</v>
      </c>
      <c r="EH40" s="42" t="e">
        <f>Fixtures!#REF!</f>
        <v>#REF!</v>
      </c>
      <c r="EJ40" s="42" t="str">
        <f>IF(ISERROR("'Countries and Timezone'!"&amp;VLOOKUP(EH40,'Dummy Table'!EH7:EI38,2,FALSE)),"'Countries and Timezone'!b39","'Countries and Timezone'!"&amp;VLOOKUP(EH40,'Dummy Table'!EH7:EI38,2,FALSE))</f>
        <v>'Countries and Timezone'!b39</v>
      </c>
      <c r="EL40" s="51">
        <v>45469.75</v>
      </c>
      <c r="EM40" s="52">
        <f>EL40+EK7/24</f>
        <v>45469.75</v>
      </c>
      <c r="EO40" s="59" t="s">
        <v>789</v>
      </c>
      <c r="EP40" s="2">
        <v>-3</v>
      </c>
      <c r="EQ40" s="2" t="s">
        <v>573</v>
      </c>
      <c r="ER40" s="2" t="s">
        <v>572</v>
      </c>
    </row>
    <row r="41" spans="1:148" x14ac:dyDescent="0.25">
      <c r="EH41" s="42" t="e">
        <f>Fixtures!#REF!</f>
        <v>#REF!</v>
      </c>
      <c r="EJ41" s="42" t="str">
        <f>IF(ISERROR("'Countries and Timezone'!"&amp;VLOOKUP(EH41,'Dummy Table'!EH7:EI38,2,FALSE)),"'Countries and Timezone'!b39","'Countries and Timezone'!"&amp;VLOOKUP(EH41,'Dummy Table'!EH7:EI38,2,FALSE))</f>
        <v>'Countries and Timezone'!b39</v>
      </c>
      <c r="EL41" s="51">
        <v>45469.875</v>
      </c>
      <c r="EM41" s="52">
        <f>EL41+EK7/24</f>
        <v>45469.875</v>
      </c>
      <c r="EO41" s="59" t="s">
        <v>790</v>
      </c>
      <c r="EP41" s="2">
        <v>-3</v>
      </c>
      <c r="EQ41" s="2" t="s">
        <v>575</v>
      </c>
      <c r="ER41" s="2" t="s">
        <v>574</v>
      </c>
    </row>
    <row r="42" spans="1:148" x14ac:dyDescent="0.25">
      <c r="CC42" s="2" t="s">
        <v>15</v>
      </c>
      <c r="EH42" s="42" t="e">
        <f>Fixtures!#REF!</f>
        <v>#REF!</v>
      </c>
      <c r="EJ42" s="42" t="str">
        <f>IF(ISERROR("'Countries and Timezone'!"&amp;VLOOKUP(EH42,'Dummy Table'!EH7:EI38,2,FALSE)),"'Countries and Timezone'!b39","'Countries and Timezone'!"&amp;VLOOKUP(EH42,'Dummy Table'!EH7:EI38,2,FALSE))</f>
        <v>'Countries and Timezone'!b39</v>
      </c>
      <c r="EL42" s="51">
        <v>45469.875</v>
      </c>
      <c r="EM42" s="52">
        <f>EL42+EK7/24</f>
        <v>45469.875</v>
      </c>
      <c r="EO42" s="59" t="s">
        <v>791</v>
      </c>
      <c r="EP42" s="2">
        <v>-3</v>
      </c>
      <c r="EQ42" s="2" t="s">
        <v>577</v>
      </c>
      <c r="ER42" s="2" t="s">
        <v>576</v>
      </c>
    </row>
    <row r="43" spans="1:148" x14ac:dyDescent="0.25">
      <c r="H43" s="2" t="s">
        <v>431</v>
      </c>
      <c r="I43" s="2" t="s">
        <v>432</v>
      </c>
      <c r="T43" s="2">
        <f>IF(U44="",SUM(AG4:AL4),IF(U45="",SUM(AG5:AL5),IF(U46="",SUM(AG6:AL6),IF(U47="",SUM(AG7:AL7),0))))</f>
        <v>0</v>
      </c>
      <c r="U43" s="2" t="s">
        <v>429</v>
      </c>
      <c r="V43" s="2" t="s">
        <v>12</v>
      </c>
      <c r="W43" s="2" t="s">
        <v>13</v>
      </c>
      <c r="X43" s="2" t="s">
        <v>14</v>
      </c>
      <c r="Y43" s="2" t="s">
        <v>20</v>
      </c>
      <c r="Z43" s="2" t="s">
        <v>21</v>
      </c>
      <c r="AA43" s="2" t="s">
        <v>22</v>
      </c>
      <c r="AB43" s="2" t="s">
        <v>0</v>
      </c>
      <c r="AC43" s="2" t="s">
        <v>43</v>
      </c>
      <c r="AD43" s="2" t="s">
        <v>41</v>
      </c>
      <c r="AE43" s="2" t="s">
        <v>39</v>
      </c>
      <c r="AF43" s="2" t="s">
        <v>23</v>
      </c>
      <c r="AG43" s="2" t="s">
        <v>32</v>
      </c>
      <c r="AH43" s="2" t="s">
        <v>33</v>
      </c>
      <c r="AI43" s="2" t="s">
        <v>20</v>
      </c>
      <c r="AJ43" s="2" t="s">
        <v>42</v>
      </c>
      <c r="AK43" s="2" t="s">
        <v>41</v>
      </c>
      <c r="AL43" s="2" t="s">
        <v>39</v>
      </c>
      <c r="AM43" s="2" t="s">
        <v>34</v>
      </c>
      <c r="AN43" s="2">
        <f>IF(AO45="",SUM(BA5:BF5),IF(AO46="",SUM(BA6:BF6),IF(AO47="",SUM(BA7:BF7),0)))</f>
        <v>0</v>
      </c>
      <c r="AO43" s="2" t="s">
        <v>430</v>
      </c>
      <c r="AP43" s="2" t="s">
        <v>12</v>
      </c>
      <c r="AQ43" s="2" t="s">
        <v>13</v>
      </c>
      <c r="AR43" s="2" t="s">
        <v>14</v>
      </c>
      <c r="AS43" s="2" t="s">
        <v>20</v>
      </c>
      <c r="AT43" s="2" t="s">
        <v>21</v>
      </c>
      <c r="AU43" s="2" t="s">
        <v>22</v>
      </c>
      <c r="AV43" s="2" t="s">
        <v>0</v>
      </c>
      <c r="AW43" s="2" t="s">
        <v>43</v>
      </c>
      <c r="AX43" s="2" t="s">
        <v>41</v>
      </c>
      <c r="AY43" s="2" t="s">
        <v>39</v>
      </c>
      <c r="AZ43" s="2" t="s">
        <v>23</v>
      </c>
      <c r="BA43" s="2" t="s">
        <v>32</v>
      </c>
      <c r="BB43" s="2" t="s">
        <v>33</v>
      </c>
      <c r="BC43" s="2" t="s">
        <v>20</v>
      </c>
      <c r="BD43" s="2" t="s">
        <v>42</v>
      </c>
      <c r="BE43" s="2" t="s">
        <v>41</v>
      </c>
      <c r="BF43" s="2" t="s">
        <v>39</v>
      </c>
      <c r="BG43" s="2" t="s">
        <v>34</v>
      </c>
      <c r="EH43" s="42" t="e">
        <f>Fixtures!#REF!</f>
        <v>#REF!</v>
      </c>
      <c r="EJ43" s="42" t="str">
        <f>IF(ISERROR("'Countries and Timezone'!"&amp;VLOOKUP(EH43,'Dummy Table'!EH7:EI38,2,FALSE)),"'Countries and Timezone'!b39","'Countries and Timezone'!"&amp;VLOOKUP(EH43,'Dummy Table'!EH7:EI38,2,FALSE))</f>
        <v>'Countries and Timezone'!b39</v>
      </c>
      <c r="EL43" s="51"/>
      <c r="EM43" s="52">
        <f>EL43+EK7/24</f>
        <v>0</v>
      </c>
      <c r="EO43" s="59" t="s">
        <v>792</v>
      </c>
      <c r="EP43" s="2">
        <v>-3</v>
      </c>
      <c r="EQ43" s="2" t="s">
        <v>579</v>
      </c>
      <c r="ER43" s="2" t="s">
        <v>578</v>
      </c>
    </row>
    <row r="44" spans="1:148" x14ac:dyDescent="0.25">
      <c r="I44" s="2">
        <f>SUMPRODUCT((I4:I7=I4)*(H4:H7=H4)*(F4:F7&gt;F4))+1</f>
        <v>1</v>
      </c>
      <c r="T44" s="2">
        <f>IF(U4&lt;&gt;"",SUMPRODUCT((AB4:AB7=AB4)*(AA4:AA7=AA4)*(Y4:Y7=Y4)*(Z4:Z7=Z4)),"")</f>
        <v>4</v>
      </c>
      <c r="U44" s="2" t="str">
        <f>IF(AND(T44&lt;&gt;"",T44&gt;1),U4,"")</f>
        <v>Switzerland</v>
      </c>
      <c r="V44" s="2">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2">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2">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2">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2">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2">
        <f>Y44-Z44+1000</f>
        <v>1000</v>
      </c>
      <c r="AB44" s="2">
        <f>IF(U44&lt;&gt;"",V44*3+W44*1,"")</f>
        <v>0</v>
      </c>
      <c r="AC44" s="2">
        <f>IF(U44&lt;&gt;"",VLOOKUP(U44,B4:H40,7,FALSE),"")</f>
        <v>1000</v>
      </c>
      <c r="AD44" s="2">
        <f>IF(U44&lt;&gt;"",VLOOKUP(U44,B4:H40,5,FALSE),"")</f>
        <v>0</v>
      </c>
      <c r="AE44" s="2">
        <f>IF(U44&lt;&gt;"",VLOOKUP(U44,B4:J40,9,FALSE),"")</f>
        <v>34</v>
      </c>
      <c r="AF44" s="2">
        <f>AB44</f>
        <v>0</v>
      </c>
      <c r="AG44" s="2">
        <f>IF(U44&lt;&gt;"",RANK(AF44,AF44:AF48),"")</f>
        <v>1</v>
      </c>
      <c r="AH44" s="2">
        <f>IF(U44&lt;&gt;"",SUMPRODUCT((AF44:AF48=AF44)*(AA44:AA48&gt;AA44)),"")</f>
        <v>0</v>
      </c>
      <c r="AI44" s="2">
        <f>IF(U44&lt;&gt;"",SUMPRODUCT((AF44:AF48=AF44)*(AA44:AA48=AA44)*(Y44:Y48&gt;Y44)),"")</f>
        <v>0</v>
      </c>
      <c r="AJ44" s="2">
        <f>IF(U44&lt;&gt;"",SUMPRODUCT((AF44:AF48=AF44)*(AA44:AA48=AA44)*(Y44:Y48=Y44)*(AC44:AC48&gt;AC44)),"")</f>
        <v>0</v>
      </c>
      <c r="AK44" s="2">
        <f>IF(U44&lt;&gt;"",SUMPRODUCT((AF44:AF48=AF44)*(AA44:AA48=AA44)*(Y44:Y48=Y44)*(AC44:AC48=AC44)*(AD44:AD48&gt;AD44)),"")</f>
        <v>0</v>
      </c>
      <c r="AL44" s="2">
        <f>IF(U44&lt;&gt;"",SUMPRODUCT((AF44:AF48=AF44)*(AA44:AA48=AA44)*(Y44:Y48=Y44)*(AC44:AC48=AC44)*(AD44:AD48=AD44)*(AE44:AE48&gt;AE44)),"")</f>
        <v>3</v>
      </c>
      <c r="AM44" s="2">
        <f>IF(U44&lt;&gt;"",SUM(AG44:AL44),"")</f>
        <v>4</v>
      </c>
      <c r="EH44" s="42" t="e">
        <f>Fixtures!#REF!</f>
        <v>#REF!</v>
      </c>
      <c r="EJ44" s="42" t="str">
        <f>IF(ISERROR("'Countries and Timezone'!"&amp;VLOOKUP(EH44,'Dummy Table'!EH7:EI38,2,FALSE)),"'Countries and Timezone'!b39","'Countries and Timezone'!"&amp;VLOOKUP(EH44,'Dummy Table'!EH7:EI38,2,FALSE))</f>
        <v>'Countries and Timezone'!b39</v>
      </c>
      <c r="EL44" s="51">
        <v>45472.875</v>
      </c>
      <c r="EM44" s="52">
        <f>EL44+EK7/24</f>
        <v>45472.875</v>
      </c>
      <c r="EO44" s="59" t="s">
        <v>793</v>
      </c>
      <c r="EP44" s="2">
        <v>-3</v>
      </c>
      <c r="EQ44" s="2" t="s">
        <v>581</v>
      </c>
      <c r="ER44" s="2" t="s">
        <v>580</v>
      </c>
    </row>
    <row r="45" spans="1:148" x14ac:dyDescent="0.25">
      <c r="I45" s="2">
        <f>SUMPRODUCT((I4:I7=I5)*(H4:H7=H5)*(F4:F7&gt;F5))+1</f>
        <v>1</v>
      </c>
      <c r="T45" s="2">
        <f>IF(U5&lt;&gt;"",SUMPRODUCT((AB4:AB7=AB5)*(AA4:AA7=AA5)*(Y4:Y7=Y5)*(Z4:Z7=Z5)),"")</f>
        <v>4</v>
      </c>
      <c r="U45" s="2" t="str">
        <f t="shared" ref="U45:U47" si="69">IF(AND(T45&lt;&gt;"",T45&gt;1),U5,"")</f>
        <v>Scotland</v>
      </c>
      <c r="V45" s="2">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2">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2">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2">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2">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2">
        <f>Y45-Z45+1000</f>
        <v>1000</v>
      </c>
      <c r="AB45" s="2">
        <f t="shared" ref="AB45:AB47" si="70">IF(U45&lt;&gt;"",V45*3+W45*1,"")</f>
        <v>0</v>
      </c>
      <c r="AC45" s="2">
        <f>IF(U45&lt;&gt;"",VLOOKUP(U45,B4:H40,7,FALSE),"")</f>
        <v>1000</v>
      </c>
      <c r="AD45" s="2">
        <f>IF(U45&lt;&gt;"",VLOOKUP(U45,B4:H40,5,FALSE),"")</f>
        <v>0</v>
      </c>
      <c r="AE45" s="2">
        <f>IF(U45&lt;&gt;"",VLOOKUP(U45,B4:J40,9,FALSE),"")</f>
        <v>43</v>
      </c>
      <c r="AF45" s="2">
        <f t="shared" ref="AF45:AF47" si="71">AB45</f>
        <v>0</v>
      </c>
      <c r="AG45" s="2">
        <f>IF(U45&lt;&gt;"",RANK(AF45,AF44:AF48),"")</f>
        <v>1</v>
      </c>
      <c r="AH45" s="2">
        <f>IF(U45&lt;&gt;"",SUMPRODUCT((AF44:AF48=AF45)*(AA44:AA48&gt;AA45)),"")</f>
        <v>0</v>
      </c>
      <c r="AI45" s="2">
        <f>IF(U45&lt;&gt;"",SUMPRODUCT((AF44:AF48=AF45)*(AA44:AA48=AA45)*(Y44:Y48&gt;Y45)),"")</f>
        <v>0</v>
      </c>
      <c r="AJ45" s="2">
        <f>IF(U45&lt;&gt;"",SUMPRODUCT((AF44:AF48=AF45)*(AA44:AA48=AA45)*(Y44:Y48=Y45)*(AC44:AC48&gt;AC45)),"")</f>
        <v>0</v>
      </c>
      <c r="AK45" s="2">
        <f>IF(U45&lt;&gt;"",SUMPRODUCT((AF44:AF48=AF45)*(AA44:AA48=AA45)*(Y44:Y48=Y45)*(AC44:AC48=AC45)*(AD44:AD48&gt;AD45)),"")</f>
        <v>0</v>
      </c>
      <c r="AL45" s="2">
        <f>IF(U45&lt;&gt;"",SUMPRODUCT((AF44:AF48=AF45)*(AA44:AA48=AA45)*(Y44:Y48=Y45)*(AC44:AC48=AC45)*(AD44:AD48=AD45)*(AE44:AE48&gt;AE45)),"")</f>
        <v>2</v>
      </c>
      <c r="AM45" s="2">
        <f>IF(U45&lt;&gt;"",SUM(AG45:AL45),"")</f>
        <v>3</v>
      </c>
      <c r="AN45" s="2" t="str">
        <f>IF(AO5&lt;&gt;"",SUMPRODUCT((AV4:AV7=AV5)*(AU4:AU7=AU5)*(AS4:AS7=AS5)*(AT4:AT7=AT5)),"")</f>
        <v/>
      </c>
      <c r="AO45" s="2" t="str">
        <f t="shared" ref="AO45:AO47" si="72">IF(AND(AN45&lt;&gt;"",AN45&gt;1),AO5,"")</f>
        <v/>
      </c>
      <c r="AP45" s="2">
        <f>SUMPRODUCT((CZ3:CZ42=AO45)*(DC3:DC42=AO46)*(DD3:DD42="W"))+SUMPRODUCT((CZ3:CZ42=AO45)*(DC3:DC42=AO47)*(DD3:DD42="W"))+SUMPRODUCT((CZ3:CZ42=AO45)*(DC3:DC42=AO48)*(DD3:DD42="W"))+SUMPRODUCT((CZ3:CZ42=AO46)*(DC3:DC42=AO45)*(DE3:DE42="W"))+SUMPRODUCT((CZ3:CZ42=AO47)*(DC3:DC42=AO45)*(DE3:DE42="W"))+SUMPRODUCT((CZ3:CZ42=AO48)*(DC3:DC42=AO45)*(DE3:DE42="W"))</f>
        <v>0</v>
      </c>
      <c r="AQ45" s="2">
        <f>SUMPRODUCT((CZ3:CZ42=AO45)*(DC3:DC42=AO46)*(DD3:DD42="D"))+SUMPRODUCT((CZ3:CZ42=AO45)*(DC3:DC42=AO47)*(DD3:DD42="D"))+SUMPRODUCT((CZ3:CZ42=AO45)*(DC3:DC42=AO48)*(DD3:DD42="D"))+SUMPRODUCT((CZ3:CZ42=AO46)*(DC3:DC42=AO45)*(DD3:DD42="D"))+SUMPRODUCT((CZ3:CZ42=AO47)*(DC3:DC42=AO45)*(DD3:DD42="D"))+SUMPRODUCT((CZ3:CZ42=AO48)*(DC3:DC42=AO45)*(DD3:DD42="D"))</f>
        <v>0</v>
      </c>
      <c r="AR45" s="2">
        <f>SUMPRODUCT((CZ3:CZ42=AO45)*(DC3:DC42=AO46)*(DD3:DD42="L"))+SUMPRODUCT((CZ3:CZ42=AO45)*(DC3:DC42=AO47)*(DD3:DD42="L"))+SUMPRODUCT((CZ3:CZ42=AO45)*(DC3:DC42=AO48)*(DD3:DD42="L"))+SUMPRODUCT((CZ3:CZ42=AO46)*(DC3:DC42=AO45)*(DE3:DE42="L"))+SUMPRODUCT((CZ3:CZ42=AO47)*(DC3:DC42=AO45)*(DE3:DE42="L"))+SUMPRODUCT((CZ3:CZ42=AO48)*(DC3:DC42=AO45)*(DE3:DE42="L"))</f>
        <v>0</v>
      </c>
      <c r="AS45" s="2">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2">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2">
        <f>AS45-AT45+1000</f>
        <v>1000</v>
      </c>
      <c r="AV45" s="2" t="str">
        <f t="shared" ref="AV45:AV47" si="73">IF(AO45&lt;&gt;"",AP45*3+AQ45*1,"")</f>
        <v/>
      </c>
      <c r="AW45" s="2" t="str">
        <f>IF(AO45&lt;&gt;"",VLOOKUP(AO45,B4:H40,7,FALSE),"")</f>
        <v/>
      </c>
      <c r="AX45" s="2" t="str">
        <f>IF(AO45&lt;&gt;"",VLOOKUP(AO45,B4:H40,5,FALSE),"")</f>
        <v/>
      </c>
      <c r="AY45" s="2" t="str">
        <f>IF(AO45&lt;&gt;"",VLOOKUP(AO45,B4:J40,9,FALSE),"")</f>
        <v/>
      </c>
      <c r="AZ45" s="2" t="str">
        <f t="shared" ref="AZ45:AZ47" si="74">AV45</f>
        <v/>
      </c>
      <c r="BA45" s="2" t="str">
        <f>IF(AO45&lt;&gt;"",RANK(AZ45,AZ44:AZ47),"")</f>
        <v/>
      </c>
      <c r="BB45" s="2" t="str">
        <f>IF(AO45&lt;&gt;"",SUMPRODUCT((AZ44:AZ47=AZ45)*(AU44:AU47&gt;AU45)),"")</f>
        <v/>
      </c>
      <c r="BC45" s="2" t="str">
        <f>IF(AO45&lt;&gt;"",SUMPRODUCT((AZ44:AZ47=AZ45)*(AU44:AU47=AU45)*(AS44:AS47&gt;AS45)),"")</f>
        <v/>
      </c>
      <c r="BD45" s="2" t="str">
        <f>IF(AO45&lt;&gt;"",SUMPRODUCT((AZ44:AZ47=AZ45)*(AU44:AU47=AU45)*(AS44:AS47=AS45)*(AW44:AW47&gt;AW45)),"")</f>
        <v/>
      </c>
      <c r="BE45" s="2" t="str">
        <f>IF(AO45&lt;&gt;"",SUMPRODUCT((AZ44:AZ47=AZ45)*(AU44:AU47=AU45)*(AS44:AS47=AS45)*(AW44:AW47=AW45)*(AX44:AX47&gt;AX45)),"")</f>
        <v/>
      </c>
      <c r="BF45" s="2" t="str">
        <f>IF(AO45&lt;&gt;"",SUMPRODUCT((AZ44:AZ47=AZ45)*(AU44:AU47=AU45)*(AS44:AS47=AS45)*(AW44:AW47=AW45)*(AX44:AX47=AX45)*(AY44:AY47&gt;AY45)),"")</f>
        <v/>
      </c>
      <c r="BG45" s="2" t="str">
        <f>IF(AO45&lt;&gt;"",SUM(BA45:BF45)+1,"")</f>
        <v/>
      </c>
      <c r="EH45" s="42" t="e">
        <f>Fixtures!#REF!</f>
        <v>#REF!</v>
      </c>
      <c r="EJ45" s="42" t="str">
        <f>IF(ISERROR("'Countries and Timezone'!"&amp;VLOOKUP(EH45,'Dummy Table'!EH7:EI38,2,FALSE)),"'Countries and Timezone'!b39","'Countries and Timezone'!"&amp;VLOOKUP(EH45,'Dummy Table'!EH7:EI38,2,FALSE))</f>
        <v>'Countries and Timezone'!b39</v>
      </c>
      <c r="EL45" s="51">
        <v>45472.75</v>
      </c>
      <c r="EM45" s="52">
        <f>EL45+EK7/24</f>
        <v>45472.75</v>
      </c>
      <c r="EO45" s="59" t="s">
        <v>794</v>
      </c>
      <c r="EP45" s="2">
        <v>-3</v>
      </c>
      <c r="EQ45" s="2" t="s">
        <v>583</v>
      </c>
      <c r="ER45" s="2" t="s">
        <v>582</v>
      </c>
    </row>
    <row r="46" spans="1:148" x14ac:dyDescent="0.25">
      <c r="I46" s="2">
        <f>SUMPRODUCT((I4:I7=I6)*(H4:H7=H6)*(F4:F7&gt;F6))+1</f>
        <v>1</v>
      </c>
      <c r="T46" s="2">
        <f>IF(U6&lt;&gt;"",SUMPRODUCT((AB4:AB7=AB6)*(AA4:AA7=AA6)*(Y4:Y7=Y6)*(Z4:Z7=Z6)),"")</f>
        <v>4</v>
      </c>
      <c r="U46" s="2" t="str">
        <f t="shared" si="69"/>
        <v>Hungary</v>
      </c>
      <c r="V46" s="2">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2">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2">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2">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2">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2">
        <f>Y46-Z46+1000</f>
        <v>1000</v>
      </c>
      <c r="AB46" s="2">
        <f t="shared" si="70"/>
        <v>0</v>
      </c>
      <c r="AC46" s="2">
        <f>IF(U46&lt;&gt;"",VLOOKUP(U46,B4:H40,7,FALSE),"")</f>
        <v>1000</v>
      </c>
      <c r="AD46" s="2">
        <f>IF(U46&lt;&gt;"",VLOOKUP(U46,B4:H40,5,FALSE),"")</f>
        <v>0</v>
      </c>
      <c r="AE46" s="2">
        <f>IF(U46&lt;&gt;"",VLOOKUP(U46,B4:J40,9,FALSE),"")</f>
        <v>48</v>
      </c>
      <c r="AF46" s="2">
        <f t="shared" si="71"/>
        <v>0</v>
      </c>
      <c r="AG46" s="2">
        <f>IF(U46&lt;&gt;"",RANK(AF46,AF44:AF48),"")</f>
        <v>1</v>
      </c>
      <c r="AH46" s="2">
        <f>IF(U46&lt;&gt;"",SUMPRODUCT((AF44:AF48=AF46)*(AA44:AA48&gt;AA46)),"")</f>
        <v>0</v>
      </c>
      <c r="AI46" s="2">
        <f>IF(U46&lt;&gt;"",SUMPRODUCT((AF44:AF48=AF46)*(AA44:AA48=AA46)*(Y44:Y48&gt;Y46)),"")</f>
        <v>0</v>
      </c>
      <c r="AJ46" s="2">
        <f>IF(U46&lt;&gt;"",SUMPRODUCT((AF44:AF48=AF46)*(AA44:AA48=AA46)*(Y44:Y48=Y46)*(AC44:AC48&gt;AC46)),"")</f>
        <v>0</v>
      </c>
      <c r="AK46" s="2">
        <f>IF(U46&lt;&gt;"",SUMPRODUCT((AF44:AF48=AF46)*(AA44:AA48=AA46)*(Y44:Y48=Y46)*(AC44:AC48=AC46)*(AD44:AD48&gt;AD46)),"")</f>
        <v>0</v>
      </c>
      <c r="AL46" s="2">
        <f>IF(U46&lt;&gt;"",SUMPRODUCT((AF44:AF48=AF46)*(AA44:AA48=AA46)*(Y44:Y48=Y46)*(AC44:AC48=AC46)*(AD44:AD48=AD46)*(AE44:AE48&gt;AE46)),"")</f>
        <v>1</v>
      </c>
      <c r="AM46" s="2">
        <f>IF(U46&lt;&gt;"",SUM(AG46:AL46),"")</f>
        <v>2</v>
      </c>
      <c r="AN46" s="2" t="str">
        <f>IF(AO6&lt;&gt;"",SUMPRODUCT((AV4:AV7=AV6)*(AU4:AU7=AU6)*(AS4:AS7=AS6)*(AT4:AT7=AT6)),"")</f>
        <v/>
      </c>
      <c r="AO46" s="2" t="str">
        <f t="shared" si="72"/>
        <v/>
      </c>
      <c r="AP46" s="2">
        <f>SUMPRODUCT((CZ3:CZ42=AO46)*(DC3:DC42=AO47)*(DD3:DD42="W"))+SUMPRODUCT((CZ3:CZ42=AO46)*(DC3:DC42=AO48)*(DD3:DD42="W"))+SUMPRODUCT((CZ3:CZ42=AO46)*(DC3:DC42=AO45)*(DD3:DD42="W"))+SUMPRODUCT((CZ3:CZ42=AO47)*(DC3:DC42=AO46)*(DE3:DE42="W"))+SUMPRODUCT((CZ3:CZ42=AO48)*(DC3:DC42=AO46)*(DE3:DE42="W"))+SUMPRODUCT((CZ3:CZ42=AO45)*(DC3:DC42=AO46)*(DE3:DE42="W"))</f>
        <v>0</v>
      </c>
      <c r="AQ46" s="2">
        <f>SUMPRODUCT((CZ3:CZ42=AO46)*(DC3:DC42=AO47)*(DD3:DD42="D"))+SUMPRODUCT((CZ3:CZ42=AO46)*(DC3:DC42=AO48)*(DD3:DD42="D"))+SUMPRODUCT((CZ3:CZ42=AO46)*(DC3:DC42=AO45)*(DD3:DD42="D"))+SUMPRODUCT((CZ3:CZ42=AO47)*(DC3:DC42=AO46)*(DD3:DD42="D"))+SUMPRODUCT((CZ3:CZ42=AO48)*(DC3:DC42=AO46)*(DD3:DD42="D"))+SUMPRODUCT((CZ3:CZ42=AO45)*(DC3:DC42=AO46)*(DD3:DD42="D"))</f>
        <v>0</v>
      </c>
      <c r="AR46" s="2">
        <f>SUMPRODUCT((CZ3:CZ42=AO46)*(DC3:DC42=AO47)*(DD3:DD42="L"))+SUMPRODUCT((CZ3:CZ42=AO46)*(DC3:DC42=AO48)*(DD3:DD42="L"))+SUMPRODUCT((CZ3:CZ42=AO46)*(DC3:DC42=AO45)*(DD3:DD42="L"))+SUMPRODUCT((CZ3:CZ42=AO47)*(DC3:DC42=AO46)*(DE3:DE42="L"))+SUMPRODUCT((CZ3:CZ42=AO48)*(DC3:DC42=AO46)*(DE3:DE42="L"))+SUMPRODUCT((CZ3:CZ42=AO45)*(DC3:DC42=AO46)*(DE3:DE42="L"))</f>
        <v>0</v>
      </c>
      <c r="AS46" s="2">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2">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2">
        <f>AS46-AT46+1000</f>
        <v>1000</v>
      </c>
      <c r="AV46" s="2" t="str">
        <f t="shared" si="73"/>
        <v/>
      </c>
      <c r="AW46" s="2" t="str">
        <f>IF(AO46&lt;&gt;"",VLOOKUP(AO46,B4:H40,7,FALSE),"")</f>
        <v/>
      </c>
      <c r="AX46" s="2" t="str">
        <f>IF(AO46&lt;&gt;"",VLOOKUP(AO46,B4:H40,5,FALSE),"")</f>
        <v/>
      </c>
      <c r="AY46" s="2" t="str">
        <f>IF(AO46&lt;&gt;"",VLOOKUP(AO46,B4:J40,9,FALSE),"")</f>
        <v/>
      </c>
      <c r="AZ46" s="2" t="str">
        <f t="shared" si="74"/>
        <v/>
      </c>
      <c r="BA46" s="2" t="str">
        <f>IF(AO46&lt;&gt;"",RANK(AZ46,AZ44:AZ47),"")</f>
        <v/>
      </c>
      <c r="BB46" s="2" t="str">
        <f>IF(AO46&lt;&gt;"",SUMPRODUCT((AZ44:AZ47=AZ46)*(AU44:AU47&gt;AU46)),"")</f>
        <v/>
      </c>
      <c r="BC46" s="2" t="str">
        <f>IF(AO46&lt;&gt;"",SUMPRODUCT((AZ44:AZ47=AZ46)*(AU44:AU47=AU46)*(AS44:AS47&gt;AS46)),"")</f>
        <v/>
      </c>
      <c r="BD46" s="2" t="str">
        <f>IF(AO46&lt;&gt;"",SUMPRODUCT((AZ44:AZ47=AZ46)*(AU44:AU47=AU46)*(AS44:AS47=AS46)*(AW44:AW47&gt;AW46)),"")</f>
        <v/>
      </c>
      <c r="BE46" s="2" t="str">
        <f>IF(AO46&lt;&gt;"",SUMPRODUCT((AZ44:AZ47=AZ46)*(AU44:AU47=AU46)*(AS44:AS47=AS46)*(AW44:AW47=AW46)*(AX44:AX47&gt;AX46)),"")</f>
        <v/>
      </c>
      <c r="BF46" s="2" t="str">
        <f>IF(AO46&lt;&gt;"",SUMPRODUCT((AZ44:AZ47=AZ46)*(AU44:AU47=AU46)*(AS44:AS47=AS46)*(AW44:AW47=AW46)*(AX44:AX47=AX46)*(AY44:AY47&gt;AY46)),"")</f>
        <v/>
      </c>
      <c r="BG46" s="2" t="str">
        <f t="shared" ref="BG46:BG47" si="75">IF(AO46&lt;&gt;"",SUM(BA46:BF46)+1,"")</f>
        <v/>
      </c>
      <c r="EH46" s="42" t="e">
        <f>Fixtures!#REF!</f>
        <v>#REF!</v>
      </c>
      <c r="EJ46" s="42" t="str">
        <f>IF(ISERROR("'Countries and Timezone'!"&amp;VLOOKUP(EH46,'Dummy Table'!EH7:EI38,2,FALSE)),"'Countries and Timezone'!b39","'Countries and Timezone'!"&amp;VLOOKUP(EH46,'Dummy Table'!EH7:EI38,2,FALSE))</f>
        <v>'Countries and Timezone'!b39</v>
      </c>
      <c r="EL46" s="51">
        <v>45473.875</v>
      </c>
      <c r="EM46" s="52">
        <f>EL46+EK7/24</f>
        <v>45473.875</v>
      </c>
      <c r="EO46" s="59" t="s">
        <v>795</v>
      </c>
      <c r="EP46" s="2">
        <v>-3</v>
      </c>
      <c r="EQ46" s="2" t="s">
        <v>585</v>
      </c>
      <c r="ER46" s="2" t="s">
        <v>584</v>
      </c>
    </row>
    <row r="47" spans="1:148" x14ac:dyDescent="0.25">
      <c r="I47" s="2">
        <f>SUMPRODUCT((I4:I7=I7)*(H4:H7=H7)*(F4:F7&gt;F7))+1</f>
        <v>1</v>
      </c>
      <c r="T47" s="2">
        <f>IF(U7&lt;&gt;"",SUMPRODUCT((AB4:AB7=AB7)*(AA4:AA7=AA7)*(Y4:Y7=Y7)*(Z4:Z7=Z7)),"")</f>
        <v>4</v>
      </c>
      <c r="U47" s="2" t="str">
        <f t="shared" si="69"/>
        <v>Germany</v>
      </c>
      <c r="V47" s="2">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2">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2">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2">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2">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2">
        <f>Y47-Z47+1000</f>
        <v>1000</v>
      </c>
      <c r="AB47" s="2">
        <f t="shared" si="70"/>
        <v>0</v>
      </c>
      <c r="AC47" s="2">
        <f>IF(U47&lt;&gt;"",VLOOKUP(U47,B4:H40,7,FALSE),"")</f>
        <v>1000</v>
      </c>
      <c r="AD47" s="2">
        <f>IF(U47&lt;&gt;"",VLOOKUP(U47,B4:H40,5,FALSE),"")</f>
        <v>0</v>
      </c>
      <c r="AE47" s="2">
        <f>IF(U47&lt;&gt;"",VLOOKUP(U47,B4:J40,9,FALSE),"")</f>
        <v>54</v>
      </c>
      <c r="AF47" s="2">
        <f t="shared" si="71"/>
        <v>0</v>
      </c>
      <c r="AG47" s="2">
        <f>IF(U47&lt;&gt;"",RANK(AF47,AF44:AF48),"")</f>
        <v>1</v>
      </c>
      <c r="AH47" s="2">
        <f>IF(U47&lt;&gt;"",SUMPRODUCT((AF44:AF48=AF47)*(AA44:AA48&gt;AA47)),"")</f>
        <v>0</v>
      </c>
      <c r="AI47" s="2">
        <f>IF(U47&lt;&gt;"",SUMPRODUCT((AF44:AF48=AF47)*(AA44:AA48=AA47)*(Y44:Y48&gt;Y47)),"")</f>
        <v>0</v>
      </c>
      <c r="AJ47" s="2">
        <f>IF(U47&lt;&gt;"",SUMPRODUCT((AF44:AF48=AF47)*(AA44:AA48=AA47)*(Y44:Y48=Y47)*(AC44:AC48&gt;AC47)),"")</f>
        <v>0</v>
      </c>
      <c r="AK47" s="2">
        <f>IF(U47&lt;&gt;"",SUMPRODUCT((AF44:AF48=AF47)*(AA44:AA48=AA47)*(Y44:Y48=Y47)*(AC44:AC48=AC47)*(AD44:AD48&gt;AD47)),"")</f>
        <v>0</v>
      </c>
      <c r="AL47" s="2">
        <f>IF(U47&lt;&gt;"",SUMPRODUCT((AF44:AF48=AF47)*(AA44:AA48=AA47)*(Y44:Y48=Y47)*(AC44:AC48=AC47)*(AD44:AD48=AD47)*(AE44:AE48&gt;AE47)),"")</f>
        <v>0</v>
      </c>
      <c r="AM47" s="2">
        <f>IF(U47&lt;&gt;"",SUM(AG47:AL47),"")</f>
        <v>1</v>
      </c>
      <c r="AN47" s="2" t="str">
        <f>IF(AO7&lt;&gt;"",SUMPRODUCT((AV4:AV7=AV7)*(AU4:AU7=AU7)*(AS4:AS7=AS7)*(AT4:AT7=AT7)),"")</f>
        <v/>
      </c>
      <c r="AO47" s="2" t="str">
        <f t="shared" si="72"/>
        <v/>
      </c>
      <c r="AP47" s="2">
        <f>SUMPRODUCT((CZ3:CZ42=AO47)*(DC3:DC42=AO48)*(DD3:DD42="W"))+SUMPRODUCT((CZ3:CZ42=AO47)*(DC3:DC42=AO45)*(DD3:DD42="W"))+SUMPRODUCT((CZ3:CZ42=AO47)*(DC3:DC42=AO46)*(DD3:DD42="W"))+SUMPRODUCT((CZ3:CZ42=AO48)*(DC3:DC42=AO47)*(DE3:DE42="W"))+SUMPRODUCT((CZ3:CZ42=AO45)*(DC3:DC42=AO47)*(DE3:DE42="W"))+SUMPRODUCT((CZ3:CZ42=AO46)*(DC3:DC42=AO47)*(DE3:DE42="W"))</f>
        <v>0</v>
      </c>
      <c r="AQ47" s="2">
        <f>SUMPRODUCT((CZ3:CZ42=AO47)*(DC3:DC42=AO48)*(DD3:DD42="D"))+SUMPRODUCT((CZ3:CZ42=AO47)*(DC3:DC42=AO45)*(DD3:DD42="D"))+SUMPRODUCT((CZ3:CZ42=AO47)*(DC3:DC42=AO46)*(DD3:DD42="D"))+SUMPRODUCT((CZ3:CZ42=AO48)*(DC3:DC42=AO47)*(DD3:DD42="D"))+SUMPRODUCT((CZ3:CZ42=AO45)*(DC3:DC42=AO47)*(DD3:DD42="D"))+SUMPRODUCT((CZ3:CZ42=AO46)*(DC3:DC42=AO47)*(DD3:DD42="D"))</f>
        <v>0</v>
      </c>
      <c r="AR47" s="2">
        <f>SUMPRODUCT((CZ3:CZ42=AO47)*(DC3:DC42=AO48)*(DD3:DD42="L"))+SUMPRODUCT((CZ3:CZ42=AO47)*(DC3:DC42=AO45)*(DD3:DD42="L"))+SUMPRODUCT((CZ3:CZ42=AO47)*(DC3:DC42=AO46)*(DD3:DD42="L"))+SUMPRODUCT((CZ3:CZ42=AO48)*(DC3:DC42=AO47)*(DE3:DE42="L"))+SUMPRODUCT((CZ3:CZ42=AO45)*(DC3:DC42=AO47)*(DE3:DE42="L"))+SUMPRODUCT((CZ3:CZ42=AO46)*(DC3:DC42=AO47)*(DE3:DE42="L"))</f>
        <v>0</v>
      </c>
      <c r="AS47" s="2">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2">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2">
        <f>AS47-AT47+1000</f>
        <v>1000</v>
      </c>
      <c r="AV47" s="2" t="str">
        <f t="shared" si="73"/>
        <v/>
      </c>
      <c r="AW47" s="2" t="str">
        <f>IF(AO47&lt;&gt;"",VLOOKUP(AO47,B4:H40,7,FALSE),"")</f>
        <v/>
      </c>
      <c r="AX47" s="2" t="str">
        <f>IF(AO47&lt;&gt;"",VLOOKUP(AO47,B4:H40,5,FALSE),"")</f>
        <v/>
      </c>
      <c r="AY47" s="2" t="str">
        <f>IF(AO47&lt;&gt;"",VLOOKUP(AO47,B4:J40,9,FALSE),"")</f>
        <v/>
      </c>
      <c r="AZ47" s="2" t="str">
        <f t="shared" si="74"/>
        <v/>
      </c>
      <c r="BA47" s="2" t="str">
        <f>IF(AO47&lt;&gt;"",RANK(AZ47,AZ44:AZ47),"")</f>
        <v/>
      </c>
      <c r="BB47" s="2" t="str">
        <f>IF(AO47&lt;&gt;"",SUMPRODUCT((AZ44:AZ47=AZ47)*(AU44:AU47&gt;AU47)),"")</f>
        <v/>
      </c>
      <c r="BC47" s="2" t="str">
        <f>IF(AO47&lt;&gt;"",SUMPRODUCT((AZ44:AZ47=AZ47)*(AU44:AU47=AU47)*(AS44:AS47&gt;AS47)),"")</f>
        <v/>
      </c>
      <c r="BD47" s="2" t="str">
        <f>IF(AO47&lt;&gt;"",SUMPRODUCT((AZ44:AZ47=AZ47)*(AU44:AU47=AU47)*(AS44:AS47=AS47)*(AW44:AW47&gt;AW47)),"")</f>
        <v/>
      </c>
      <c r="BE47" s="2" t="str">
        <f>IF(AO47&lt;&gt;"",SUMPRODUCT((AZ44:AZ47=AZ47)*(AU44:AU47=AU47)*(AS44:AS47=AS47)*(AW44:AW47=AW47)*(AX44:AX47&gt;AX47)),"")</f>
        <v/>
      </c>
      <c r="BF47" s="2" t="str">
        <f>IF(AO47&lt;&gt;"",SUMPRODUCT((AZ44:AZ47=AZ47)*(AU44:AU47=AU47)*(AS44:AS47=AS47)*(AW44:AW47=AW47)*(AX44:AX47=AX47)*(AY44:AY47&gt;AY47)),"")</f>
        <v/>
      </c>
      <c r="BG47" s="2" t="str">
        <f t="shared" si="75"/>
        <v/>
      </c>
      <c r="EH47" s="42" t="e">
        <f>Fixtures!#REF!</f>
        <v>#REF!</v>
      </c>
      <c r="EJ47" s="42" t="str">
        <f>IF(ISERROR("'Countries and Timezone'!"&amp;VLOOKUP(EH47,'Dummy Table'!EH7:EI38,2,FALSE)),"'Countries and Timezone'!b39","'Countries and Timezone'!"&amp;VLOOKUP(EH47,'Dummy Table'!EH7:EI38,2,FALSE))</f>
        <v>'Countries and Timezone'!b39</v>
      </c>
      <c r="EL47" s="51">
        <v>45473.75</v>
      </c>
      <c r="EM47" s="52">
        <f>EL47+EK7/24</f>
        <v>45473.75</v>
      </c>
      <c r="EO47" s="59" t="s">
        <v>796</v>
      </c>
      <c r="EP47" s="2">
        <v>-3</v>
      </c>
      <c r="EQ47" s="2" t="s">
        <v>587</v>
      </c>
      <c r="ER47" s="2" t="s">
        <v>586</v>
      </c>
    </row>
    <row r="48" spans="1:148" x14ac:dyDescent="0.25">
      <c r="EH48" s="42" t="e">
        <f>Fixtures!#REF!</f>
        <v>#REF!</v>
      </c>
      <c r="EJ48" s="42" t="str">
        <f>IF(ISERROR("'Countries and Timezone'!"&amp;VLOOKUP(EH48,'Dummy Table'!EH7:EI38,2,FALSE)),"'Countries and Timezone'!b39","'Countries and Timezone'!"&amp;VLOOKUP(EH48,'Dummy Table'!EH7:EI38,2,FALSE))</f>
        <v>'Countries and Timezone'!b39</v>
      </c>
      <c r="EL48" s="51">
        <v>45474.875</v>
      </c>
      <c r="EM48" s="52">
        <f>EL48+EK7/24</f>
        <v>45474.875</v>
      </c>
      <c r="EO48" s="59" t="s">
        <v>797</v>
      </c>
      <c r="EP48" s="2">
        <v>-3</v>
      </c>
      <c r="EQ48" s="2" t="s">
        <v>589</v>
      </c>
      <c r="ER48" s="2" t="s">
        <v>588</v>
      </c>
    </row>
    <row r="49" spans="9:148" x14ac:dyDescent="0.25">
      <c r="EH49" s="42" t="e">
        <f>Fixtures!#REF!</f>
        <v>#REF!</v>
      </c>
      <c r="EJ49" s="42" t="str">
        <f>IF(ISERROR("'Countries and Timezone'!"&amp;VLOOKUP(EH49,'Dummy Table'!EH7:EI38,2,FALSE)),"'Countries and Timezone'!b39","'Countries and Timezone'!"&amp;VLOOKUP(EH49,'Dummy Table'!EH7:EI38,2,FALSE))</f>
        <v>'Countries and Timezone'!b39</v>
      </c>
      <c r="EL49" s="51">
        <v>45474.75</v>
      </c>
      <c r="EM49" s="52">
        <f>EL49+EK7/24</f>
        <v>45474.75</v>
      </c>
      <c r="EO49" s="59" t="s">
        <v>798</v>
      </c>
      <c r="EP49" s="2">
        <v>-2</v>
      </c>
      <c r="EQ49" s="2" t="s">
        <v>591</v>
      </c>
      <c r="ER49" s="2" t="s">
        <v>590</v>
      </c>
    </row>
    <row r="50" spans="9:148" x14ac:dyDescent="0.25">
      <c r="T50" s="2">
        <f>IF(U51="",SUM(AG11:AL11),IF(U52="",SUM(AG12:AL12),IF(U53="",SUM(AG13:AL13),IF(U54="",SUM(AG14:AL14),0))))</f>
        <v>0</v>
      </c>
      <c r="AN50" s="2">
        <f>IF(AO52="",SUM(BA12:BF12),IF(AO53="",SUM(BA13:BF13),IF(AO54="",SUM(BA14:BF14),0)))</f>
        <v>0</v>
      </c>
      <c r="EH50" s="42" t="e">
        <f>Fixtures!#REF!</f>
        <v>#REF!</v>
      </c>
      <c r="EJ50" s="42" t="str">
        <f>IF(ISERROR("'Countries and Timezone'!"&amp;VLOOKUP(EH50,'Dummy Table'!EH7:EI38,2,FALSE)),"'Countries and Timezone'!b39","'Countries and Timezone'!"&amp;VLOOKUP(EH50,'Dummy Table'!EH7:EI38,2,FALSE))</f>
        <v>'Countries and Timezone'!b39</v>
      </c>
      <c r="EL50" s="51">
        <v>45475.75</v>
      </c>
      <c r="EM50" s="52">
        <f>EL50+EK7/24</f>
        <v>45475.75</v>
      </c>
      <c r="EO50" s="59" t="s">
        <v>799</v>
      </c>
      <c r="EP50" s="2">
        <v>-1</v>
      </c>
      <c r="EQ50" s="2" t="s">
        <v>593</v>
      </c>
      <c r="ER50" s="2" t="s">
        <v>592</v>
      </c>
    </row>
    <row r="51" spans="9:148" x14ac:dyDescent="0.25">
      <c r="I51" s="2">
        <f>SUMPRODUCT((I11:I14=I11)*(H11:H14=H11)*(F11:F14&gt;F11))+1</f>
        <v>1</v>
      </c>
      <c r="T51" s="2">
        <f>IF(U11&lt;&gt;"",SUMPRODUCT((AB11:AB14=AB11)*(AA11:AA14=AA11)*(Y11:Y14=Y11)*(Z11:Z14=Z11)),"")</f>
        <v>4</v>
      </c>
      <c r="U51" s="2" t="str">
        <f>IF(AND(T51&lt;&gt;"",T51&gt;1),U11,"")</f>
        <v>Italy</v>
      </c>
      <c r="V51" s="2">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2">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2">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2">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2">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2">
        <f>Y51-Z51+1000</f>
        <v>1000</v>
      </c>
      <c r="AB51" s="2">
        <f t="shared" ref="AB51:AB54" si="76">IF(U51&lt;&gt;"",V51*3+W51*1,"")</f>
        <v>0</v>
      </c>
      <c r="AC51" s="2">
        <f>IF(U51&lt;&gt;"",VLOOKUP(U51,B4:H40,7,FALSE),"")</f>
        <v>1000</v>
      </c>
      <c r="AD51" s="2">
        <f>IF(U51&lt;&gt;"",VLOOKUP(U51,B4:H40,5,FALSE),"")</f>
        <v>0</v>
      </c>
      <c r="AE51" s="2">
        <f>IF(U51&lt;&gt;"",VLOOKUP(U51,B4:J40,9,FALSE),"")</f>
        <v>36</v>
      </c>
      <c r="AF51" s="2">
        <f>AB51</f>
        <v>0</v>
      </c>
      <c r="AG51" s="2">
        <f>IF(U51&lt;&gt;"",RANK(AF51,AF51:AF54),"")</f>
        <v>1</v>
      </c>
      <c r="AH51" s="2">
        <f>IF(U51&lt;&gt;"",SUMPRODUCT((AF51:AF54=AF51)*(AA51:AA54&gt;AA51)),"")</f>
        <v>0</v>
      </c>
      <c r="AI51" s="2">
        <f>IF(U51&lt;&gt;"",SUMPRODUCT((AF51:AF54=AF51)*(AA51:AA54=AA51)*(Y51:Y54&gt;Y51)),"")</f>
        <v>0</v>
      </c>
      <c r="AJ51" s="2">
        <f>IF(U51&lt;&gt;"",SUMPRODUCT((AF51:AF54=AF51)*(AA51:AA54=AA51)*(Y51:Y54=Y51)*(AC51:AC54&gt;AC51)),"")</f>
        <v>0</v>
      </c>
      <c r="AK51" s="2">
        <f>IF(U51&lt;&gt;"",SUMPRODUCT((AF51:AF54=AF51)*(AA51:AA54=AA51)*(Y51:Y54=Y51)*(AC51:AC54=AC51)*(AD51:AD54&gt;AD51)),"")</f>
        <v>0</v>
      </c>
      <c r="AL51" s="2">
        <f>IF(U51&lt;&gt;"",SUMPRODUCT((AF51:AF54=AF51)*(AA51:AA54=AA51)*(Y51:Y54=Y51)*(AC51:AC54=AC51)*(AD51:AD54=AD51)*(AE51:AE54&gt;AE51)),"")</f>
        <v>3</v>
      </c>
      <c r="AM51" s="2">
        <f>IF(U51&lt;&gt;"",SUM(AG51:AL51),"")</f>
        <v>4</v>
      </c>
      <c r="EH51" s="42" t="e">
        <f>Fixtures!#REF!</f>
        <v>#REF!</v>
      </c>
      <c r="EJ51" s="42" t="str">
        <f>IF(ISERROR("'Countries and Timezone'!"&amp;VLOOKUP(EH51,'Dummy Table'!EH7:EI38,2,FALSE)),"'Countries and Timezone'!b39","'Countries and Timezone'!"&amp;VLOOKUP(EH51,'Dummy Table'!EH7:EI38,2,FALSE))</f>
        <v>'Countries and Timezone'!b39</v>
      </c>
      <c r="EL51" s="51">
        <v>45475.875</v>
      </c>
      <c r="EM51" s="52">
        <f>EL51+EK7/24</f>
        <v>45475.875</v>
      </c>
      <c r="EO51" s="59" t="s">
        <v>800</v>
      </c>
      <c r="EP51" s="2">
        <v>-1</v>
      </c>
      <c r="EQ51" s="2" t="s">
        <v>595</v>
      </c>
      <c r="ER51" s="2" t="s">
        <v>594</v>
      </c>
    </row>
    <row r="52" spans="9:148" x14ac:dyDescent="0.25">
      <c r="I52" s="2">
        <f>SUMPRODUCT((I11:I14=I12)*(H11:H14=H12)*(F11:F14&gt;F12))+1</f>
        <v>1</v>
      </c>
      <c r="T52" s="2">
        <f>IF(U12&lt;&gt;"",SUMPRODUCT((AB11:AB14=AB12)*(AA11:AA14=AA12)*(Y11:Y14=Y12)*(Z11:Z14=Z12)),"")</f>
        <v>4</v>
      </c>
      <c r="U52" s="2" t="str">
        <f t="shared" ref="U52:U54" si="77">IF(AND(T52&lt;&gt;"",T52&gt;1),U12,"")</f>
        <v>Croatia</v>
      </c>
      <c r="V52" s="2">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2">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2">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2">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2">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2">
        <f>Y52-Z52+1000</f>
        <v>1000</v>
      </c>
      <c r="AB52" s="2">
        <f t="shared" si="76"/>
        <v>0</v>
      </c>
      <c r="AC52" s="2">
        <f>IF(U52&lt;&gt;"",VLOOKUP(U52,B4:H40,7,FALSE),"")</f>
        <v>1000</v>
      </c>
      <c r="AD52" s="2">
        <f>IF(U52&lt;&gt;"",VLOOKUP(U52,B4:H40,5,FALSE),"")</f>
        <v>0</v>
      </c>
      <c r="AE52" s="2">
        <f>IF(U52&lt;&gt;"",VLOOKUP(U52,B4:J40,9,FALSE),"")</f>
        <v>40</v>
      </c>
      <c r="AF52" s="2">
        <f t="shared" ref="AF52:AF54" si="78">AB52</f>
        <v>0</v>
      </c>
      <c r="AG52" s="2">
        <f>IF(U52&lt;&gt;"",RANK(AF52,AF51:AF54),"")</f>
        <v>1</v>
      </c>
      <c r="AH52" s="2">
        <f>IF(U52&lt;&gt;"",SUMPRODUCT((AF51:AF54=AF52)*(AA51:AA54&gt;AA52)),"")</f>
        <v>0</v>
      </c>
      <c r="AI52" s="2">
        <f>IF(U52&lt;&gt;"",SUMPRODUCT((AF51:AF54=AF52)*(AA51:AA54=AA52)*(Y51:Y54&gt;Y52)),"")</f>
        <v>0</v>
      </c>
      <c r="AJ52" s="2">
        <f>IF(U52&lt;&gt;"",SUMPRODUCT((AF51:AF54=AF52)*(AA51:AA54=AA52)*(Y51:Y54=Y52)*(AC51:AC54&gt;AC52)),"")</f>
        <v>0</v>
      </c>
      <c r="AK52" s="2">
        <f>IF(U52&lt;&gt;"",SUMPRODUCT((AF51:AF54=AF52)*(AA51:AA54=AA52)*(Y51:Y54=Y52)*(AC51:AC54=AC52)*(AD51:AD54&gt;AD52)),"")</f>
        <v>0</v>
      </c>
      <c r="AL52" s="2">
        <f>IF(U52&lt;&gt;"",SUMPRODUCT((AF51:AF54=AF52)*(AA51:AA54=AA52)*(Y51:Y54=Y52)*(AC51:AC54=AC52)*(AD51:AD54=AD52)*(AE51:AE54&gt;AE52)),"")</f>
        <v>2</v>
      </c>
      <c r="AM52" s="2">
        <f t="shared" ref="AM52:AM54" si="79">IF(U52&lt;&gt;"",SUM(AG52:AL52),"")</f>
        <v>3</v>
      </c>
      <c r="AN52" s="2" t="str">
        <f>IF(AO12&lt;&gt;"",SUMPRODUCT((AV11:AV14=AV12)*(AU11:AU14=AU12)*(AS11:AS14=AS12)*(AT11:AT14=AT12)),"")</f>
        <v/>
      </c>
      <c r="AO52" s="2" t="str">
        <f t="shared" ref="AO52:AO54" si="80">IF(AND(AN52&lt;&gt;"",AN52&gt;1),AO12,"")</f>
        <v/>
      </c>
      <c r="AP52" s="2">
        <f>SUMPRODUCT((CZ3:CZ42=AO52)*(DC3:DC42=AO53)*(DD3:DD42="W"))+SUMPRODUCT((CZ3:CZ42=AO52)*(DC3:DC42=AO54)*(DD3:DD42="W"))+SUMPRODUCT((CZ3:CZ42=AO52)*(DC3:DC42=AO55)*(DD3:DD42="W"))+SUMPRODUCT((CZ3:CZ42=AO53)*(DC3:DC42=AO52)*(DE3:DE42="W"))+SUMPRODUCT((CZ3:CZ42=AO54)*(DC3:DC42=AO52)*(DE3:DE42="W"))+SUMPRODUCT((CZ3:CZ42=AO55)*(DC3:DC42=AO52)*(DE3:DE42="W"))</f>
        <v>0</v>
      </c>
      <c r="AQ52" s="2">
        <f>SUMPRODUCT((CZ3:CZ42=AO52)*(DC3:DC42=AO53)*(DD3:DD42="D"))+SUMPRODUCT((CZ3:CZ42=AO52)*(DC3:DC42=AO54)*(DD3:DD42="D"))+SUMPRODUCT((CZ3:CZ42=AO52)*(DC3:DC42=AO55)*(DD3:DD42="D"))+SUMPRODUCT((CZ3:CZ42=AO53)*(DC3:DC42=AO52)*(DD3:DD42="D"))+SUMPRODUCT((CZ3:CZ42=AO54)*(DC3:DC42=AO52)*(DD3:DD42="D"))+SUMPRODUCT((CZ3:CZ42=AO55)*(DC3:DC42=AO52)*(DD3:DD42="D"))</f>
        <v>0</v>
      </c>
      <c r="AR52" s="2">
        <f>SUMPRODUCT((CZ3:CZ42=AO52)*(DC3:DC42=AO53)*(DD3:DD42="L"))+SUMPRODUCT((CZ3:CZ42=AO52)*(DC3:DC42=AO54)*(DD3:DD42="L"))+SUMPRODUCT((CZ3:CZ42=AO52)*(DC3:DC42=AO55)*(DD3:DD42="L"))+SUMPRODUCT((CZ3:CZ42=AO53)*(DC3:DC42=AO52)*(DE3:DE42="L"))+SUMPRODUCT((CZ3:CZ42=AO54)*(DC3:DC42=AO52)*(DE3:DE42="L"))+SUMPRODUCT((CZ3:CZ42=AO55)*(DC3:DC42=AO52)*(DE3:DE42="L"))</f>
        <v>0</v>
      </c>
      <c r="AS52" s="2">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2">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2">
        <f>AS52-AT52+1000</f>
        <v>1000</v>
      </c>
      <c r="AV52" s="2" t="str">
        <f t="shared" ref="AV52:AV54" si="81">IF(AO52&lt;&gt;"",AP52*3+AQ52*1,"")</f>
        <v/>
      </c>
      <c r="AW52" s="2" t="str">
        <f>IF(AO52&lt;&gt;"",VLOOKUP(AO52,B4:H40,7,FALSE),"")</f>
        <v/>
      </c>
      <c r="AX52" s="2" t="str">
        <f>IF(AO52&lt;&gt;"",VLOOKUP(AO52,B4:H40,5,FALSE),"")</f>
        <v/>
      </c>
      <c r="AY52" s="2" t="str">
        <f>IF(AO52&lt;&gt;"",VLOOKUP(AO52,B4:J40,9,FALSE),"")</f>
        <v/>
      </c>
      <c r="AZ52" s="2" t="str">
        <f t="shared" ref="AZ52" si="82">AV52</f>
        <v/>
      </c>
      <c r="BA52" s="2" t="str">
        <f>IF(AO52&lt;&gt;"",RANK(AZ52,AZ51:AZ54),"")</f>
        <v/>
      </c>
      <c r="BB52" s="2" t="str">
        <f>IF(AO52&lt;&gt;"",SUMPRODUCT((AZ51:AZ54=AZ52)*(AU51:AU54&gt;AU52)),"")</f>
        <v/>
      </c>
      <c r="BC52" s="2" t="str">
        <f>IF(AO52&lt;&gt;"",SUMPRODUCT((AZ51:AZ54=AZ52)*(AU51:AU54=AU52)*(AS51:AS54&gt;AS52)),"")</f>
        <v/>
      </c>
      <c r="BD52" s="2" t="str">
        <f>IF(AO52&lt;&gt;"",SUMPRODUCT((AZ51:AZ54=AZ52)*(AU51:AU54=AU52)*(AS51:AS54=AS52)*(AW51:AW54&gt;AW52)),"")</f>
        <v/>
      </c>
      <c r="BE52" s="2" t="str">
        <f>IF(AO52&lt;&gt;"",SUMPRODUCT((AZ51:AZ54=AZ52)*(AU51:AU54=AU52)*(AS51:AS54=AS52)*(AW51:AW54=AW52)*(AX51:AX54&gt;AX52)),"")</f>
        <v/>
      </c>
      <c r="BF52" s="2" t="str">
        <f>IF(AO52&lt;&gt;"",SUMPRODUCT((AZ51:AZ54=AZ52)*(AU51:AU54=AU52)*(AS51:AS54=AS52)*(AW51:AW54=AW52)*(AX51:AX54=AX52)*(AY51:AY54&gt;AY52)),"")</f>
        <v/>
      </c>
      <c r="BG52" s="2" t="str">
        <f>IF(AO52&lt;&gt;"",SUM(BA52:BF52)+1,"")</f>
        <v/>
      </c>
      <c r="EH52" s="42" t="e">
        <f>Fixtures!#REF!</f>
        <v>#REF!</v>
      </c>
      <c r="EJ52" s="42" t="str">
        <f>IF(ISERROR("'Countries and Timezone'!"&amp;VLOOKUP(EH52,'Dummy Table'!EH7:EI38,2,FALSE)),"'Countries and Timezone'!b39","'Countries and Timezone'!"&amp;VLOOKUP(EH52,'Dummy Table'!EH7:EI38,2,FALSE))</f>
        <v>'Countries and Timezone'!b39</v>
      </c>
      <c r="EL52" s="51">
        <v>45478.75</v>
      </c>
      <c r="EM52" s="52">
        <f>EL52+EK7/24</f>
        <v>45478.75</v>
      </c>
      <c r="EO52" s="59" t="s">
        <v>801</v>
      </c>
      <c r="EP52" s="2">
        <v>0</v>
      </c>
      <c r="EQ52" s="2" t="s">
        <v>597</v>
      </c>
      <c r="ER52" s="2" t="s">
        <v>596</v>
      </c>
    </row>
    <row r="53" spans="9:148" x14ac:dyDescent="0.25">
      <c r="I53" s="2">
        <f>SUMPRODUCT((I11:I14=I13)*(H11:H14=H13)*(F11:F14&gt;F13))+1</f>
        <v>1</v>
      </c>
      <c r="T53" s="2">
        <f>IF(U13&lt;&gt;"",SUMPRODUCT((AB11:AB14=AB13)*(AA11:AA14=AA13)*(Y11:Y14=Y13)*(Z11:Z14=Z13)),"")</f>
        <v>4</v>
      </c>
      <c r="U53" s="2" t="str">
        <f t="shared" si="77"/>
        <v>Albania</v>
      </c>
      <c r="V53" s="2">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2">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2">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2">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2">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2">
        <f>Y53-Z53+1000</f>
        <v>1000</v>
      </c>
      <c r="AB53" s="2">
        <f t="shared" si="76"/>
        <v>0</v>
      </c>
      <c r="AC53" s="2">
        <f>IF(U53&lt;&gt;"",VLOOKUP(U53,B4:H40,7,FALSE),"")</f>
        <v>1000</v>
      </c>
      <c r="AD53" s="2">
        <f>IF(U53&lt;&gt;"",VLOOKUP(U53,B4:H40,5,FALSE),"")</f>
        <v>0</v>
      </c>
      <c r="AE53" s="2">
        <f>IF(U53&lt;&gt;"",VLOOKUP(U53,B4:J40,9,FALSE),"")</f>
        <v>44</v>
      </c>
      <c r="AF53" s="2">
        <f t="shared" si="78"/>
        <v>0</v>
      </c>
      <c r="AG53" s="2">
        <f>IF(U53&lt;&gt;"",RANK(AF53,AF51:AF54),"")</f>
        <v>1</v>
      </c>
      <c r="AH53" s="2">
        <f>IF(U53&lt;&gt;"",SUMPRODUCT((AF51:AF54=AF53)*(AA51:AA54&gt;AA53)),"")</f>
        <v>0</v>
      </c>
      <c r="AI53" s="2">
        <f>IF(U53&lt;&gt;"",SUMPRODUCT((AF51:AF54=AF53)*(AA51:AA54=AA53)*(Y51:Y54&gt;Y53)),"")</f>
        <v>0</v>
      </c>
      <c r="AJ53" s="2">
        <f>IF(U53&lt;&gt;"",SUMPRODUCT((AF51:AF54=AF53)*(AA51:AA54=AA53)*(Y51:Y54=Y53)*(AC51:AC54&gt;AC53)),"")</f>
        <v>0</v>
      </c>
      <c r="AK53" s="2">
        <f>IF(U53&lt;&gt;"",SUMPRODUCT((AF51:AF54=AF53)*(AA51:AA54=AA53)*(Y51:Y54=Y53)*(AC51:AC54=AC53)*(AD51:AD54&gt;AD53)),"")</f>
        <v>0</v>
      </c>
      <c r="AL53" s="2">
        <f>IF(U53&lt;&gt;"",SUMPRODUCT((AF51:AF54=AF53)*(AA51:AA54=AA53)*(Y51:Y54=Y53)*(AC51:AC54=AC53)*(AD51:AD54=AD53)*(AE51:AE54&gt;AE53)),"")</f>
        <v>1</v>
      </c>
      <c r="AM53" s="2">
        <f t="shared" si="79"/>
        <v>2</v>
      </c>
      <c r="AN53" s="2" t="str">
        <f>IF(AO13&lt;&gt;"",SUMPRODUCT((AV11:AV14=AV13)*(AU11:AU14=AU13)*(AS11:AS14=AS13)*(AT11:AT14=AT13)),"")</f>
        <v/>
      </c>
      <c r="AO53" s="2" t="str">
        <f t="shared" si="80"/>
        <v/>
      </c>
      <c r="AP53" s="2">
        <f>SUMPRODUCT((CZ3:CZ42=AO53)*(DC3:DC42=AO54)*(DD3:DD42="W"))+SUMPRODUCT((CZ3:CZ42=AO53)*(DC3:DC42=AO55)*(DD3:DD42="W"))+SUMPRODUCT((CZ3:CZ42=AO53)*(DC3:DC42=AO52)*(DD3:DD42="W"))+SUMPRODUCT((CZ3:CZ42=AO54)*(DC3:DC42=AO53)*(DE3:DE42="W"))+SUMPRODUCT((CZ3:CZ42=AO55)*(DC3:DC42=AO53)*(DE3:DE42="W"))+SUMPRODUCT((CZ3:CZ42=AO52)*(DC3:DC42=AO53)*(DE3:DE42="W"))</f>
        <v>0</v>
      </c>
      <c r="AQ53" s="2">
        <f>SUMPRODUCT((CZ3:CZ42=AO53)*(DC3:DC42=AO54)*(DD3:DD42="D"))+SUMPRODUCT((CZ3:CZ42=AO53)*(DC3:DC42=AO55)*(DD3:DD42="D"))+SUMPRODUCT((CZ3:CZ42=AO53)*(DC3:DC42=AO52)*(DD3:DD42="D"))+SUMPRODUCT((CZ3:CZ42=AO54)*(DC3:DC42=AO53)*(DD3:DD42="D"))+SUMPRODUCT((CZ3:CZ42=AO55)*(DC3:DC42=AO53)*(DD3:DD42="D"))+SUMPRODUCT((CZ3:CZ42=AO52)*(DC3:DC42=AO53)*(DD3:DD42="D"))</f>
        <v>0</v>
      </c>
      <c r="AR53" s="2">
        <f>SUMPRODUCT((CZ3:CZ42=AO53)*(DC3:DC42=AO54)*(DD3:DD42="L"))+SUMPRODUCT((CZ3:CZ42=AO53)*(DC3:DC42=AO55)*(DD3:DD42="L"))+SUMPRODUCT((CZ3:CZ42=AO53)*(DC3:DC42=AO52)*(DD3:DD42="L"))+SUMPRODUCT((CZ3:CZ42=AO54)*(DC3:DC42=AO53)*(DE3:DE42="L"))+SUMPRODUCT((CZ3:CZ42=AO55)*(DC3:DC42=AO53)*(DE3:DE42="L"))+SUMPRODUCT((CZ3:CZ42=AO52)*(DC3:DC42=AO53)*(DE3:DE42="L"))</f>
        <v>0</v>
      </c>
      <c r="AS53" s="2">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2">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2">
        <f>AS53-AT53+1000</f>
        <v>1000</v>
      </c>
      <c r="AV53" s="2" t="str">
        <f t="shared" si="81"/>
        <v/>
      </c>
      <c r="AW53" s="2" t="str">
        <f>IF(AO53&lt;&gt;"",VLOOKUP(AO53,B4:H40,7,FALSE),"")</f>
        <v/>
      </c>
      <c r="AX53" s="2" t="str">
        <f>IF(AO53&lt;&gt;"",VLOOKUP(AO53,B4:H40,5,FALSE),"")</f>
        <v/>
      </c>
      <c r="AY53" s="2" t="str">
        <f>IF(AO53&lt;&gt;"",VLOOKUP(AO53,B4:J40,9,FALSE),"")</f>
        <v/>
      </c>
      <c r="AZ53" s="2" t="str">
        <f t="shared" ref="AZ53:AZ54" si="83">AV53</f>
        <v/>
      </c>
      <c r="BA53" s="2" t="str">
        <f>IF(AO53&lt;&gt;"",RANK(AZ53,AZ51:AZ54),"")</f>
        <v/>
      </c>
      <c r="BB53" s="2" t="str">
        <f>IF(AO53&lt;&gt;"",SUMPRODUCT((AZ51:AZ54=AZ53)*(AU51:AU54&gt;AU53)),"")</f>
        <v/>
      </c>
      <c r="BC53" s="2" t="str">
        <f>IF(AO53&lt;&gt;"",SUMPRODUCT((AZ51:AZ54=AZ53)*(AU51:AU54=AU53)*(AS51:AS54&gt;AS53)),"")</f>
        <v/>
      </c>
      <c r="BD53" s="2" t="str">
        <f>IF(AO53&lt;&gt;"",SUMPRODUCT((AZ51:AZ54=AZ53)*(AU51:AU54=AU53)*(AS51:AS54=AS53)*(AW51:AW54&gt;AW53)),"")</f>
        <v/>
      </c>
      <c r="BE53" s="2" t="str">
        <f>IF(AO53&lt;&gt;"",SUMPRODUCT((AZ51:AZ54=AZ53)*(AU51:AU54=AU53)*(AS51:AS54=AS53)*(AW51:AW54=AW53)*(AX51:AX54&gt;AX53)),"")</f>
        <v/>
      </c>
      <c r="BF53" s="2" t="str">
        <f>IF(AO53&lt;&gt;"",SUMPRODUCT((AZ51:AZ54=AZ53)*(AU51:AU54=AU53)*(AS51:AS54=AS53)*(AW51:AW54=AW53)*(AX51:AX54=AX53)*(AY51:AY54&gt;AY53)),"")</f>
        <v/>
      </c>
      <c r="BG53" s="2" t="str">
        <f t="shared" ref="BG53:BG54" si="84">IF(AO53&lt;&gt;"",SUM(BA53:BF53)+1,"")</f>
        <v/>
      </c>
      <c r="EH53" s="42" t="e">
        <f>Fixtures!#REF!</f>
        <v>#REF!</v>
      </c>
      <c r="EJ53" s="42" t="str">
        <f>IF(ISERROR("'Countries and Timezone'!"&amp;VLOOKUP(EH53,'Dummy Table'!EH7:EI38,2,FALSE)),"'Countries and Timezone'!b39","'Countries and Timezone'!"&amp;VLOOKUP(EH53,'Dummy Table'!EH7:EI38,2,FALSE))</f>
        <v>'Countries and Timezone'!b39</v>
      </c>
      <c r="EL53" s="51">
        <v>45478.875</v>
      </c>
      <c r="EM53" s="52">
        <f>EL53+EK7/24</f>
        <v>45478.875</v>
      </c>
      <c r="EO53" s="59" t="s">
        <v>802</v>
      </c>
      <c r="EP53" s="2">
        <v>0</v>
      </c>
      <c r="EQ53" s="2" t="s">
        <v>599</v>
      </c>
      <c r="ER53" s="2" t="s">
        <v>598</v>
      </c>
    </row>
    <row r="54" spans="9:148" x14ac:dyDescent="0.25">
      <c r="I54" s="2">
        <f>SUMPRODUCT((I11:I14=I14)*(H11:H14=H14)*(F11:F14&gt;F14))+1</f>
        <v>1</v>
      </c>
      <c r="T54" s="2">
        <f>IF(U14&lt;&gt;"",SUMPRODUCT((AB11:AB14=AB14)*(AA11:AA14=AA14)*(Y11:Y14=Y14)*(Z11:Z14=Z14)),"")</f>
        <v>4</v>
      </c>
      <c r="U54" s="2" t="str">
        <f t="shared" si="77"/>
        <v>Spain</v>
      </c>
      <c r="V54" s="2">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2">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2">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2">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2">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2">
        <f>Y54-Z54+1000</f>
        <v>1000</v>
      </c>
      <c r="AB54" s="2">
        <f t="shared" si="76"/>
        <v>0</v>
      </c>
      <c r="AC54" s="2">
        <f>IF(U54&lt;&gt;"",VLOOKUP(U54,B4:H40,7,FALSE),"")</f>
        <v>1000</v>
      </c>
      <c r="AD54" s="2">
        <f>IF(U54&lt;&gt;"",VLOOKUP(U54,B4:H40,5,FALSE),"")</f>
        <v>0</v>
      </c>
      <c r="AE54" s="2">
        <f>IF(U54&lt;&gt;"",VLOOKUP(U54,B4:J40,9,FALSE),"")</f>
        <v>51</v>
      </c>
      <c r="AF54" s="2">
        <f t="shared" si="78"/>
        <v>0</v>
      </c>
      <c r="AG54" s="2">
        <f>IF(U54&lt;&gt;"",RANK(AF54,AF51:AF54),"")</f>
        <v>1</v>
      </c>
      <c r="AH54" s="2">
        <f>IF(U54&lt;&gt;"",SUMPRODUCT((AF51:AF54=AF54)*(AA51:AA54&gt;AA54)),"")</f>
        <v>0</v>
      </c>
      <c r="AI54" s="2">
        <f>IF(U54&lt;&gt;"",SUMPRODUCT((AF51:AF54=AF54)*(AA51:AA54=AA54)*(Y51:Y54&gt;Y54)),"")</f>
        <v>0</v>
      </c>
      <c r="AJ54" s="2">
        <f>IF(U54&lt;&gt;"",SUMPRODUCT((AF51:AF54=AF54)*(AA51:AA54=AA54)*(Y51:Y54=Y54)*(AC51:AC54&gt;AC54)),"")</f>
        <v>0</v>
      </c>
      <c r="AK54" s="2">
        <f>IF(U54&lt;&gt;"",SUMPRODUCT((AF51:AF54=AF54)*(AA51:AA54=AA54)*(Y51:Y54=Y54)*(AC51:AC54=AC54)*(AD51:AD54&gt;AD54)),"")</f>
        <v>0</v>
      </c>
      <c r="AL54" s="2">
        <f>IF(U54&lt;&gt;"",SUMPRODUCT((AF51:AF54=AF54)*(AA51:AA54=AA54)*(Y51:Y54=Y54)*(AC51:AC54=AC54)*(AD51:AD54=AD54)*(AE51:AE54&gt;AE54)),"")</f>
        <v>0</v>
      </c>
      <c r="AM54" s="2">
        <f t="shared" si="79"/>
        <v>1</v>
      </c>
      <c r="AN54" s="2" t="str">
        <f>IF(AO14&lt;&gt;"",SUMPRODUCT((AV11:AV14=AV14)*(AU11:AU14=AU14)*(AS11:AS14=AS14)*(AT11:AT14=AT14)),"")</f>
        <v/>
      </c>
      <c r="AO54" s="2" t="str">
        <f t="shared" si="80"/>
        <v/>
      </c>
      <c r="AP54" s="2" t="str">
        <f>IF(AO54&lt;&gt;"",SUMPRODUCT((CZ3:CZ42=AO54)*(DC3:DC42=AO55)*(DD3:DD42="W"))+SUMPRODUCT((CZ3:CZ42=AO54)*(DC3:DC42=AO52)*(DD3:DD42="W"))+SUMPRODUCT((CZ3:CZ42=AO54)*(DC3:DC42=AO53)*(DD3:DD42="W"))+SUMPRODUCT((CZ3:CZ42=AO55)*(DC3:DC42=AO54)*(DE3:DE42="W"))+SUMPRODUCT((CZ3:CZ42=AO52)*(DC3:DC42=AO54)*(DE3:DE42="W"))+SUMPRODUCT((CZ3:CZ42=AO53)*(DC3:DC42=AO54)*(DE3:DE42="W")),"")</f>
        <v/>
      </c>
      <c r="AQ54" s="2" t="str">
        <f>IF(AO54&lt;&gt;"",SUMPRODUCT((CZ3:CZ42=AO54)*(DC3:DC42=AO55)*(DD3:DD42="D"))+SUMPRODUCT((CZ3:CZ42=AO54)*(DC3:DC42=AO52)*(DD3:DD42="D"))+SUMPRODUCT((CZ3:CZ42=AO54)*(DC3:DC42=AO53)*(DD3:DD42="D"))+SUMPRODUCT((CZ3:CZ42=AO55)*(DC3:DC42=AO54)*(DD3:DD42="D"))+SUMPRODUCT((CZ3:CZ42=AO52)*(DC3:DC42=AO54)*(DD3:DD42="D"))+SUMPRODUCT((CZ3:CZ42=AO53)*(DC3:DC42=AO54)*(DD3:DD42="D")),"")</f>
        <v/>
      </c>
      <c r="AR54" s="2" t="str">
        <f>IF(AO54&lt;&gt;"",SUMPRODUCT((CZ3:CZ42=AO54)*(DC3:DC42=AO55)*(DD3:DD42="L"))+SUMPRODUCT((CZ3:CZ42=AO54)*(DC3:DC42=AO52)*(DD3:DD42="L"))+SUMPRODUCT((CZ3:CZ42=AO54)*(DC3:DC42=AO53)*(DD3:DD42="L"))+SUMPRODUCT((CZ3:CZ42=AO55)*(DC3:DC42=AO54)*(DE3:DE42="L"))+SUMPRODUCT((CZ3:CZ42=AO52)*(DC3:DC42=AO54)*(DE3:DE42="L"))+SUMPRODUCT((CZ3:CZ42=AO53)*(DC3:DC42=AO54)*(DE3:DE42="L")),"")</f>
        <v/>
      </c>
      <c r="AS54" s="2">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2">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2">
        <f>AS54-AT54+1000</f>
        <v>1000</v>
      </c>
      <c r="AV54" s="2" t="str">
        <f t="shared" si="81"/>
        <v/>
      </c>
      <c r="AW54" s="2" t="str">
        <f>IF(AO54&lt;&gt;"",VLOOKUP(AO54,B4:H40,7,FALSE),"")</f>
        <v/>
      </c>
      <c r="AX54" s="2" t="str">
        <f>IF(AO54&lt;&gt;"",VLOOKUP(AO54,B4:H40,5,FALSE),"")</f>
        <v/>
      </c>
      <c r="AY54" s="2" t="str">
        <f>IF(AO54&lt;&gt;"",VLOOKUP(AO54,B4:J40,9,FALSE),"")</f>
        <v/>
      </c>
      <c r="AZ54" s="2" t="str">
        <f t="shared" si="83"/>
        <v/>
      </c>
      <c r="BA54" s="2" t="str">
        <f>IF(AO54&lt;&gt;"",RANK(AZ54,AZ51:AZ54),"")</f>
        <v/>
      </c>
      <c r="BB54" s="2" t="str">
        <f>IF(AO54&lt;&gt;"",SUMPRODUCT((AZ51:AZ54=AZ54)*(AU51:AU54&gt;AU54)),"")</f>
        <v/>
      </c>
      <c r="BC54" s="2" t="str">
        <f>IF(AO54&lt;&gt;"",SUMPRODUCT((AZ51:AZ54=AZ54)*(AU51:AU54=AU54)*(AS51:AS54&gt;AS54)),"")</f>
        <v/>
      </c>
      <c r="BD54" s="2" t="str">
        <f>IF(AO54&lt;&gt;"",SUMPRODUCT((AZ51:AZ54=AZ54)*(AU51:AU54=AU54)*(AS51:AS54=AS54)*(AW51:AW54&gt;AW54)),"")</f>
        <v/>
      </c>
      <c r="BE54" s="2" t="str">
        <f>IF(AO54&lt;&gt;"",SUMPRODUCT((AZ51:AZ54=AZ54)*(AU51:AU54=AU54)*(AS51:AS54=AS54)*(AW51:AW54=AW54)*(AX51:AX54&gt;AX54)),"")</f>
        <v/>
      </c>
      <c r="BF54" s="2" t="str">
        <f>IF(AO54&lt;&gt;"",SUMPRODUCT((AZ51:AZ54=AZ54)*(AU51:AU54=AU54)*(AS51:AS54=AS54)*(AW51:AW54=AW54)*(AX51:AX54=AX54)*(AY51:AY54&gt;AY54)),"")</f>
        <v/>
      </c>
      <c r="BG54" s="2" t="str">
        <f t="shared" si="84"/>
        <v/>
      </c>
      <c r="EH54" s="42" t="e">
        <f>Fixtures!#REF!</f>
        <v>#REF!</v>
      </c>
      <c r="EJ54" s="42" t="str">
        <f>IF(ISERROR("'Countries and Timezone'!"&amp;VLOOKUP(EH54,'Dummy Table'!EH7:EI38,2,FALSE)),"'Countries and Timezone'!b39","'Countries and Timezone'!"&amp;VLOOKUP(EH54,'Dummy Table'!EH7:EI38,2,FALSE))</f>
        <v>'Countries and Timezone'!b39</v>
      </c>
      <c r="EL54" s="51">
        <v>45479.875</v>
      </c>
      <c r="EM54" s="52">
        <f>EL54+EK7/24</f>
        <v>45479.875</v>
      </c>
      <c r="EO54" s="59" t="s">
        <v>803</v>
      </c>
      <c r="EP54" s="2">
        <v>0</v>
      </c>
      <c r="EQ54" s="2" t="s">
        <v>601</v>
      </c>
      <c r="ER54" s="2" t="s">
        <v>600</v>
      </c>
    </row>
    <row r="55" spans="9:148" x14ac:dyDescent="0.25">
      <c r="EH55" s="42" t="e">
        <f>Fixtures!#REF!</f>
        <v>#REF!</v>
      </c>
      <c r="EJ55" s="42" t="str">
        <f>IF(ISERROR("'Countries and Timezone'!"&amp;VLOOKUP(EH55,'Dummy Table'!EH7:EI38,2,FALSE)),"'Countries and Timezone'!b39","'Countries and Timezone'!"&amp;VLOOKUP(EH55,'Dummy Table'!EH7:EI38,2,FALSE))</f>
        <v>'Countries and Timezone'!b39</v>
      </c>
      <c r="EL55" s="51">
        <v>45479.75</v>
      </c>
      <c r="EM55" s="52">
        <f>EL55+EK7/24</f>
        <v>45479.75</v>
      </c>
      <c r="EO55" s="59" t="s">
        <v>804</v>
      </c>
      <c r="EP55" s="2">
        <v>1</v>
      </c>
      <c r="EQ55" s="2" t="s">
        <v>603</v>
      </c>
      <c r="ER55" s="2" t="s">
        <v>602</v>
      </c>
    </row>
    <row r="56" spans="9:148" x14ac:dyDescent="0.25">
      <c r="EH56" s="42" t="e">
        <f>Fixtures!#REF!</f>
        <v>#REF!</v>
      </c>
      <c r="EJ56" s="42" t="str">
        <f>IF(ISERROR("'Countries and Timezone'!"&amp;VLOOKUP(EH56,'Dummy Table'!EH7:EI38,2,FALSE)),"'Countries and Timezone'!b39","'Countries and Timezone'!"&amp;VLOOKUP(EH56,'Dummy Table'!EH7:EI38,2,FALSE))</f>
        <v>'Countries and Timezone'!b39</v>
      </c>
      <c r="EL56" s="51">
        <v>45482.875</v>
      </c>
      <c r="EM56" s="52">
        <f>EL56+EK7/24</f>
        <v>45482.875</v>
      </c>
      <c r="EO56" s="59" t="s">
        <v>805</v>
      </c>
      <c r="EP56" s="2">
        <v>1</v>
      </c>
      <c r="EQ56" s="2" t="s">
        <v>605</v>
      </c>
      <c r="ER56" s="2" t="s">
        <v>604</v>
      </c>
    </row>
    <row r="57" spans="9:148" x14ac:dyDescent="0.25">
      <c r="T57" s="2">
        <f>IF(U58="",SUM(AG18:AL18),IF(U59="",SUM(AG19:AL19),IF(U60="",SUM(AG20:AL20),IF(U61="",SUM(AG21:AL21),0))))</f>
        <v>0</v>
      </c>
      <c r="AN57" s="2">
        <f>IF(AO59="",SUM(BA19:BF19),IF(AO60="",SUM(BA20:BF20),IF(AO61="",SUM(BA21:BF21),0)))</f>
        <v>0</v>
      </c>
      <c r="EH57" s="42" t="e">
        <f>Fixtures!#REF!</f>
        <v>#REF!</v>
      </c>
      <c r="EJ57" s="42" t="str">
        <f>IF(ISERROR("'Countries and Timezone'!"&amp;VLOOKUP(EH57,'Dummy Table'!EH7:EI38,2,FALSE)),"'Countries and Timezone'!b39","'Countries and Timezone'!"&amp;VLOOKUP(EH57,'Dummy Table'!EH7:EI38,2,FALSE))</f>
        <v>'Countries and Timezone'!b39</v>
      </c>
      <c r="EL57" s="51">
        <v>45483.875</v>
      </c>
      <c r="EM57" s="52">
        <f>EL57+EK7/24</f>
        <v>45483.875</v>
      </c>
      <c r="EO57" s="60"/>
      <c r="EP57" s="2">
        <v>1</v>
      </c>
      <c r="EQ57" s="2" t="s">
        <v>607</v>
      </c>
      <c r="ER57" s="2" t="s">
        <v>606</v>
      </c>
    </row>
    <row r="58" spans="9:148" x14ac:dyDescent="0.25">
      <c r="I58" s="2">
        <f>SUMPRODUCT((I18:I21=I18)*(H18:H21=H18)*(F18:F21&gt;F18))+1</f>
        <v>1</v>
      </c>
      <c r="T58" s="2">
        <f>IF(U18&lt;&gt;"",SUMPRODUCT((AB18:AB21=AB18)*(AA18:AA21=AA18)*(Y18:Y21=Y18)*(Z18:Z21=Z18)),"")</f>
        <v>4</v>
      </c>
      <c r="U58" s="2" t="str">
        <f>IF(AND(T58&lt;&gt;"",T58&gt;1),U18,"")</f>
        <v>Serbia</v>
      </c>
      <c r="V58" s="2">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2">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2">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2">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2">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2">
        <f>Y58-Z58+1000</f>
        <v>1000</v>
      </c>
      <c r="AB58" s="2">
        <f>IF(U58&lt;&gt;"",V58*3+W58*1,"")</f>
        <v>0</v>
      </c>
      <c r="AC58" s="2">
        <f>IF(U58&lt;&gt;"",VLOOKUP(U58,B4:H40,7,FALSE),"")</f>
        <v>1000</v>
      </c>
      <c r="AD58" s="2">
        <f>IF(U58&lt;&gt;"",VLOOKUP(U58,B4:H40,5,FALSE),"")</f>
        <v>0</v>
      </c>
      <c r="AE58" s="2">
        <f>IF(U58&lt;&gt;"",VLOOKUP(U58,B4:J40,9,FALSE),"")</f>
        <v>35</v>
      </c>
      <c r="AF58" s="2">
        <f>AB58</f>
        <v>0</v>
      </c>
      <c r="AG58" s="2">
        <f>IF(U58&lt;&gt;"",RANK(AF58,AF58:AF61),"")</f>
        <v>1</v>
      </c>
      <c r="AH58" s="2">
        <f>IF(U58&lt;&gt;"",SUMPRODUCT((AF58:AF61=AF58)*(AA58:AA61&gt;AA58)),"")</f>
        <v>0</v>
      </c>
      <c r="AI58" s="2">
        <f>IF(U58&lt;&gt;"",SUMPRODUCT((AF58:AF61=AF58)*(AA58:AA61=AA58)*(Y58:Y61&gt;Y58)),"")</f>
        <v>0</v>
      </c>
      <c r="AJ58" s="2">
        <f>IF(U58&lt;&gt;"",SUMPRODUCT((AF58:AF61=AF58)*(AA58:AA61=AA58)*(Y58:Y61=Y58)*(AC58:AC61&gt;AC58)),"")</f>
        <v>0</v>
      </c>
      <c r="AK58" s="2">
        <f>IF(U58&lt;&gt;"",SUMPRODUCT((AF58:AF61=AF58)*(AA58:AA61=AA58)*(Y58:Y61=Y58)*(AC58:AC61=AC58)*(AD58:AD61&gt;AD58)),"")</f>
        <v>0</v>
      </c>
      <c r="AL58" s="2">
        <f>IF(U58&lt;&gt;"",SUMPRODUCT((AF58:AF61=AF58)*(AA58:AA61=AA58)*(Y58:Y61=Y58)*(AC58:AC61=AC58)*(AD58:AD61=AD58)*(AE58:AE61&gt;AE58)),"")</f>
        <v>3</v>
      </c>
      <c r="AM58" s="2">
        <f>IF(U58&lt;&gt;"",SUM(AG58:AL58),"")</f>
        <v>4</v>
      </c>
      <c r="EH58" s="42" t="e">
        <f>Fixtures!#REF!</f>
        <v>#REF!</v>
      </c>
      <c r="EJ58" s="42" t="str">
        <f>IF(ISERROR("'Countries and Timezone'!"&amp;VLOOKUP(EH58,'Dummy Table'!EH7:EI38,2,FALSE)),"'Countries and Timezone'!b39","'Countries and Timezone'!"&amp;VLOOKUP(EH58,'Dummy Table'!EH7:EI38,2,FALSE))</f>
        <v>'Countries and Timezone'!b39</v>
      </c>
      <c r="EL58" s="51">
        <v>45487.875</v>
      </c>
      <c r="EM58" s="52">
        <f>EL58+EK7/24</f>
        <v>45487.875</v>
      </c>
      <c r="EP58" s="2">
        <v>1</v>
      </c>
      <c r="EQ58" s="2" t="s">
        <v>609</v>
      </c>
      <c r="ER58" s="2" t="s">
        <v>608</v>
      </c>
    </row>
    <row r="59" spans="9:148" x14ac:dyDescent="0.25">
      <c r="I59" s="2">
        <f>SUMPRODUCT((I18:I21=I19)*(H18:H21=H19)*(F18:F21&gt;F19))+1</f>
        <v>1</v>
      </c>
      <c r="T59" s="2">
        <f>IF(U19&lt;&gt;"",SUMPRODUCT((AB18:AB21=AB19)*(AA18:AA21=AA19)*(Y18:Y21=Y19)*(Z18:Z21=Z19)),"")</f>
        <v>4</v>
      </c>
      <c r="U59" s="2" t="str">
        <f t="shared" ref="U59:U61" si="85">IF(AND(T59&lt;&gt;"",T59&gt;1),U19,"")</f>
        <v>Slovenia</v>
      </c>
      <c r="V59" s="2">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2">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2">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2">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2">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2">
        <f>Y59-Z59+1000</f>
        <v>1000</v>
      </c>
      <c r="AB59" s="2">
        <f t="shared" ref="AB59:AB61" si="86">IF(U59&lt;&gt;"",V59*3+W59*1,"")</f>
        <v>0</v>
      </c>
      <c r="AC59" s="2">
        <f>IF(U59&lt;&gt;"",VLOOKUP(U59,B4:H40,7,FALSE),"")</f>
        <v>1000</v>
      </c>
      <c r="AD59" s="2">
        <f>IF(U59&lt;&gt;"",VLOOKUP(U59,B4:H40,5,FALSE),"")</f>
        <v>0</v>
      </c>
      <c r="AE59" s="2">
        <f>IF(U59&lt;&gt;"",VLOOKUP(U59,B4:J40,9,FALSE),"")</f>
        <v>39</v>
      </c>
      <c r="AF59" s="2">
        <f t="shared" ref="AF59:AF61" si="87">AB59</f>
        <v>0</v>
      </c>
      <c r="AG59" s="2">
        <f>IF(U59&lt;&gt;"",RANK(AF59,AF58:AF61),"")</f>
        <v>1</v>
      </c>
      <c r="AH59" s="2">
        <f>IF(U59&lt;&gt;"",SUMPRODUCT((AF58:AF61=AF59)*(AA58:AA61&gt;AA59)),"")</f>
        <v>0</v>
      </c>
      <c r="AI59" s="2">
        <f>IF(U59&lt;&gt;"",SUMPRODUCT((AF58:AF61=AF59)*(AA58:AA61=AA59)*(Y58:Y61&gt;Y59)),"")</f>
        <v>0</v>
      </c>
      <c r="AJ59" s="2">
        <f>IF(U59&lt;&gt;"",SUMPRODUCT((AF58:AF61=AF59)*(AA58:AA61=AA59)*(Y58:Y61=Y59)*(AC58:AC61&gt;AC59)),"")</f>
        <v>0</v>
      </c>
      <c r="AK59" s="2">
        <f>IF(U59&lt;&gt;"",SUMPRODUCT((AF58:AF61=AF59)*(AA58:AA61=AA59)*(Y58:Y61=Y59)*(AC58:AC61=AC59)*(AD58:AD61&gt;AD59)),"")</f>
        <v>0</v>
      </c>
      <c r="AL59" s="2">
        <f>IF(U59&lt;&gt;"",SUMPRODUCT((AF58:AF61=AF59)*(AA58:AA61=AA59)*(Y58:Y61=Y59)*(AC58:AC61=AC59)*(AD58:AD61=AD59)*(AE58:AE61&gt;AE59)),"")</f>
        <v>2</v>
      </c>
      <c r="AM59" s="2">
        <f>IF(U59&lt;&gt;"",SUM(AG59:AL59),"")</f>
        <v>3</v>
      </c>
      <c r="AN59" s="2" t="str">
        <f>IF(AO19&lt;&gt;"",SUMPRODUCT((AV18:AV21=AV19)*(AU18:AU21=AU19)*(AS18:AS21=AS19)*(AT18:AT21=AT19)),"")</f>
        <v/>
      </c>
      <c r="AO59" s="2" t="str">
        <f t="shared" ref="AO59:AO61" si="88">IF(AND(AN59&lt;&gt;"",AN59&gt;1),AO19,"")</f>
        <v/>
      </c>
      <c r="AP59" s="2">
        <f>SUMPRODUCT((CZ3:CZ42=AO59)*(DC3:DC42=AO60)*(DD3:DD42="W"))+SUMPRODUCT((CZ3:CZ42=AO59)*(DC3:DC42=AO61)*(DD3:DD42="W"))+SUMPRODUCT((CZ3:CZ42=AO59)*(DC3:DC42=AO62)*(DD3:DD42="W"))+SUMPRODUCT((CZ3:CZ42=AO60)*(DC3:DC42=AO59)*(DE3:DE42="W"))+SUMPRODUCT((CZ3:CZ42=AO61)*(DC3:DC42=AO59)*(DE3:DE42="W"))+SUMPRODUCT((CZ3:CZ42=AO62)*(DC3:DC42=AO59)*(DE3:DE42="W"))</f>
        <v>0</v>
      </c>
      <c r="AQ59" s="2">
        <f>SUMPRODUCT((CZ3:CZ42=AO59)*(DC3:DC42=AO60)*(DD3:DD42="D"))+SUMPRODUCT((CZ3:CZ42=AO59)*(DC3:DC42=AO61)*(DD3:DD42="D"))+SUMPRODUCT((CZ3:CZ42=AO59)*(DC3:DC42=AO62)*(DD3:DD42="D"))+SUMPRODUCT((CZ3:CZ42=AO60)*(DC3:DC42=AO59)*(DD3:DD42="D"))+SUMPRODUCT((CZ3:CZ42=AO61)*(DC3:DC42=AO59)*(DD3:DD42="D"))+SUMPRODUCT((CZ3:CZ42=AO62)*(DC3:DC42=AO59)*(DD3:DD42="D"))</f>
        <v>0</v>
      </c>
      <c r="AR59" s="2">
        <f>SUMPRODUCT((CZ3:CZ42=AO59)*(DC3:DC42=AO60)*(DD3:DD42="L"))+SUMPRODUCT((CZ3:CZ42=AO59)*(DC3:DC42=AO61)*(DD3:DD42="L"))+SUMPRODUCT((CZ3:CZ42=AO59)*(DC3:DC42=AO62)*(DD3:DD42="L"))+SUMPRODUCT((CZ3:CZ42=AO60)*(DC3:DC42=AO59)*(DE3:DE42="L"))+SUMPRODUCT((CZ3:CZ42=AO61)*(DC3:DC42=AO59)*(DE3:DE42="L"))+SUMPRODUCT((CZ3:CZ42=AO62)*(DC3:DC42=AO59)*(DE3:DE42="L"))</f>
        <v>0</v>
      </c>
      <c r="AS59" s="2">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0</v>
      </c>
      <c r="AT59" s="2">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0</v>
      </c>
      <c r="AU59" s="2">
        <f>AS59-AT59+1000</f>
        <v>1000</v>
      </c>
      <c r="AV59" s="2" t="str">
        <f t="shared" ref="AV59:AV61" si="89">IF(AO59&lt;&gt;"",AP59*3+AQ59*1,"")</f>
        <v/>
      </c>
      <c r="AW59" s="2" t="str">
        <f>IF(AO59&lt;&gt;"",VLOOKUP(AO59,B4:H40,7,FALSE),"")</f>
        <v/>
      </c>
      <c r="AX59" s="2" t="str">
        <f>IF(AO59&lt;&gt;"",VLOOKUP(AO59,B4:H40,5,FALSE),"")</f>
        <v/>
      </c>
      <c r="AY59" s="2" t="str">
        <f>IF(AO59&lt;&gt;"",VLOOKUP(AO59,B4:J40,9,FALSE),"")</f>
        <v/>
      </c>
      <c r="AZ59" s="2" t="str">
        <f t="shared" ref="AZ59" si="90">AV59</f>
        <v/>
      </c>
      <c r="BA59" s="2" t="str">
        <f>IF(AO59&lt;&gt;"",RANK(AZ59,AZ58:AZ61),"")</f>
        <v/>
      </c>
      <c r="BB59" s="2" t="str">
        <f>IF(AO59&lt;&gt;"",SUMPRODUCT((AZ58:AZ61=AZ59)*(AU58:AU61&gt;AU59)),"")</f>
        <v/>
      </c>
      <c r="BC59" s="2" t="str">
        <f>IF(AO59&lt;&gt;"",SUMPRODUCT((AZ58:AZ61=AZ59)*(AU58:AU61=AU59)*(AS58:AS61&gt;AS59)),"")</f>
        <v/>
      </c>
      <c r="BD59" s="2" t="str">
        <f>IF(AO59&lt;&gt;"",SUMPRODUCT((AZ58:AZ61=AZ59)*(AU58:AU61=AU59)*(AS58:AS61=AS59)*(AW58:AW61&gt;AW59)),"")</f>
        <v/>
      </c>
      <c r="BE59" s="2" t="str">
        <f>IF(AO59&lt;&gt;"",SUMPRODUCT((AZ58:AZ61=AZ59)*(AU58:AU61=AU59)*(AS58:AS61=AS59)*(AW58:AW61=AW59)*(AX58:AX61&gt;AX59)),"")</f>
        <v/>
      </c>
      <c r="BF59" s="2" t="str">
        <f>IF(AO59&lt;&gt;"",SUMPRODUCT((AZ58:AZ61=AZ59)*(AU58:AU61=AU59)*(AS58:AS61=AS59)*(AW58:AW61=AW59)*(AX58:AX61=AX59)*(AY58:AY61&gt;AY59)),"")</f>
        <v/>
      </c>
      <c r="BG59" s="2" t="str">
        <f>IF(AO59&lt;&gt;"",SUM(BA59:BF59)+1,"")</f>
        <v/>
      </c>
      <c r="EH59" s="42" t="e">
        <f>Fixtures!#REF!</f>
        <v>#REF!</v>
      </c>
      <c r="EJ59" s="42" t="str">
        <f>IF(ISERROR("'Countries and Timezone'!"&amp;VLOOKUP(EH59,'Dummy Table'!EH7:EI38,2,FALSE)),"'Countries and Timezone'!b39","'Countries and Timezone'!"&amp;VLOOKUP(EH59,'Dummy Table'!EH7:EI38,2,FALSE))</f>
        <v>'Countries and Timezone'!b39</v>
      </c>
      <c r="EP59" s="2">
        <v>1</v>
      </c>
      <c r="EQ59" s="2" t="s">
        <v>611</v>
      </c>
      <c r="ER59" s="2" t="s">
        <v>610</v>
      </c>
    </row>
    <row r="60" spans="9:148" x14ac:dyDescent="0.25">
      <c r="I60" s="2">
        <f>SUMPRODUCT((I18:I21=I20)*(H18:H21=H20)*(F18:F21&gt;F20))+1</f>
        <v>1</v>
      </c>
      <c r="T60" s="2">
        <f>IF(U20&lt;&gt;"",SUMPRODUCT((AB18:AB21=AB20)*(AA18:AA21=AA20)*(Y18:Y21=Y20)*(Z18:Z21=Z20)),"")</f>
        <v>4</v>
      </c>
      <c r="U60" s="2" t="str">
        <f t="shared" si="85"/>
        <v>Denmark</v>
      </c>
      <c r="V60" s="2">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2">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2">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2">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2">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2">
        <f>Y60-Z60+1000</f>
        <v>1000</v>
      </c>
      <c r="AB60" s="2">
        <f t="shared" si="86"/>
        <v>0</v>
      </c>
      <c r="AC60" s="2">
        <f>IF(U60&lt;&gt;"",VLOOKUP(U60,B4:H40,7,FALSE),"")</f>
        <v>1000</v>
      </c>
      <c r="AD60" s="2">
        <f>IF(U60&lt;&gt;"",VLOOKUP(U60,B4:H40,5,FALSE),"")</f>
        <v>0</v>
      </c>
      <c r="AE60" s="2">
        <f>IF(U60&lt;&gt;"",VLOOKUP(U60,B4:J40,9,FALSE),"")</f>
        <v>45</v>
      </c>
      <c r="AF60" s="2">
        <f t="shared" si="87"/>
        <v>0</v>
      </c>
      <c r="AG60" s="2">
        <f>IF(U60&lt;&gt;"",RANK(AF60,AF58:AF61),"")</f>
        <v>1</v>
      </c>
      <c r="AH60" s="2">
        <f>IF(U60&lt;&gt;"",SUMPRODUCT((AF58:AF61=AF60)*(AA58:AA61&gt;AA60)),"")</f>
        <v>0</v>
      </c>
      <c r="AI60" s="2">
        <f>IF(U60&lt;&gt;"",SUMPRODUCT((AF58:AF61=AF60)*(AA58:AA61=AA60)*(Y58:Y61&gt;Y60)),"")</f>
        <v>0</v>
      </c>
      <c r="AJ60" s="2">
        <f>IF(U60&lt;&gt;"",SUMPRODUCT((AF58:AF61=AF60)*(AA58:AA61=AA60)*(Y58:Y61=Y60)*(AC58:AC61&gt;AC60)),"")</f>
        <v>0</v>
      </c>
      <c r="AK60" s="2">
        <f>IF(U60&lt;&gt;"",SUMPRODUCT((AF58:AF61=AF60)*(AA58:AA61=AA60)*(Y58:Y61=Y60)*(AC58:AC61=AC60)*(AD58:AD61&gt;AD60)),"")</f>
        <v>0</v>
      </c>
      <c r="AL60" s="2">
        <f>IF(U60&lt;&gt;"",SUMPRODUCT((AF58:AF61=AF60)*(AA58:AA61=AA60)*(Y58:Y61=Y60)*(AC58:AC61=AC60)*(AD58:AD61=AD60)*(AE58:AE61&gt;AE60)),"")</f>
        <v>1</v>
      </c>
      <c r="AM60" s="2">
        <f>IF(U60&lt;&gt;"",SUM(AG60:AL60),"")</f>
        <v>2</v>
      </c>
      <c r="AN60" s="2" t="str">
        <f>IF(AO20&lt;&gt;"",SUMPRODUCT((AV18:AV21=AV20)*(AU18:AU21=AU20)*(AS18:AS21=AS20)*(AT18:AT21=AT20)),"")</f>
        <v/>
      </c>
      <c r="AO60" s="2" t="str">
        <f t="shared" si="88"/>
        <v/>
      </c>
      <c r="AP60" s="2">
        <f>SUMPRODUCT((CZ3:CZ42=AO60)*(DC3:DC42=AO61)*(DD3:DD42="W"))+SUMPRODUCT((CZ3:CZ42=AO60)*(DC3:DC42=AO62)*(DD3:DD42="W"))+SUMPRODUCT((CZ3:CZ42=AO60)*(DC3:DC42=AO59)*(DD3:DD42="W"))+SUMPRODUCT((CZ3:CZ42=AO61)*(DC3:DC42=AO60)*(DE3:DE42="W"))+SUMPRODUCT((CZ3:CZ42=AO62)*(DC3:DC42=AO60)*(DE3:DE42="W"))+SUMPRODUCT((CZ3:CZ42=AO59)*(DC3:DC42=AO60)*(DE3:DE42="W"))</f>
        <v>0</v>
      </c>
      <c r="AQ60" s="2">
        <f>SUMPRODUCT((CZ3:CZ42=AO60)*(DC3:DC42=AO61)*(DD3:DD42="D"))+SUMPRODUCT((CZ3:CZ42=AO60)*(DC3:DC42=AO62)*(DD3:DD42="D"))+SUMPRODUCT((CZ3:CZ42=AO60)*(DC3:DC42=AO59)*(DD3:DD42="D"))+SUMPRODUCT((CZ3:CZ42=AO61)*(DC3:DC42=AO60)*(DD3:DD42="D"))+SUMPRODUCT((CZ3:CZ42=AO62)*(DC3:DC42=AO60)*(DD3:DD42="D"))+SUMPRODUCT((CZ3:CZ42=AO59)*(DC3:DC42=AO60)*(DD3:DD42="D"))</f>
        <v>0</v>
      </c>
      <c r="AR60" s="2">
        <f>SUMPRODUCT((CZ3:CZ42=AO60)*(DC3:DC42=AO61)*(DD3:DD42="L"))+SUMPRODUCT((CZ3:CZ42=AO60)*(DC3:DC42=AO62)*(DD3:DD42="L"))+SUMPRODUCT((CZ3:CZ42=AO60)*(DC3:DC42=AO59)*(DD3:DD42="L"))+SUMPRODUCT((CZ3:CZ42=AO61)*(DC3:DC42=AO60)*(DE3:DE42="L"))+SUMPRODUCT((CZ3:CZ42=AO62)*(DC3:DC42=AO60)*(DE3:DE42="L"))+SUMPRODUCT((CZ3:CZ42=AO59)*(DC3:DC42=AO60)*(DE3:DE42="L"))</f>
        <v>0</v>
      </c>
      <c r="AS60" s="2">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0</v>
      </c>
      <c r="AT60" s="2">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0</v>
      </c>
      <c r="AU60" s="2">
        <f>AS60-AT60+1000</f>
        <v>1000</v>
      </c>
      <c r="AV60" s="2" t="str">
        <f t="shared" si="89"/>
        <v/>
      </c>
      <c r="AW60" s="2" t="str">
        <f>IF(AO60&lt;&gt;"",VLOOKUP(AO60,B4:H40,7,FALSE),"")</f>
        <v/>
      </c>
      <c r="AX60" s="2" t="str">
        <f>IF(AO60&lt;&gt;"",VLOOKUP(AO60,B4:H40,5,FALSE),"")</f>
        <v/>
      </c>
      <c r="AY60" s="2" t="str">
        <f>IF(AO60&lt;&gt;"",VLOOKUP(AO60,B4:J40,9,FALSE),"")</f>
        <v/>
      </c>
      <c r="AZ60" s="2" t="str">
        <f t="shared" ref="AZ60:AZ61" si="91">AV60</f>
        <v/>
      </c>
      <c r="BA60" s="2" t="str">
        <f>IF(AO60&lt;&gt;"",RANK(AZ60,AZ58:AZ61),"")</f>
        <v/>
      </c>
      <c r="BB60" s="2" t="str">
        <f>IF(AO60&lt;&gt;"",SUMPRODUCT((AZ58:AZ61=AZ60)*(AU58:AU61&gt;AU60)),"")</f>
        <v/>
      </c>
      <c r="BC60" s="2" t="str">
        <f>IF(AO60&lt;&gt;"",SUMPRODUCT((AZ58:AZ61=AZ60)*(AU58:AU61=AU60)*(AS58:AS61&gt;AS60)),"")</f>
        <v/>
      </c>
      <c r="BD60" s="2" t="str">
        <f>IF(AO60&lt;&gt;"",SUMPRODUCT((AZ58:AZ61=AZ60)*(AU58:AU61=AU60)*(AS58:AS61=AS60)*(AW58:AW61&gt;AW60)),"")</f>
        <v/>
      </c>
      <c r="BE60" s="2" t="str">
        <f>IF(AO60&lt;&gt;"",SUMPRODUCT((AZ58:AZ61=AZ60)*(AU58:AU61=AU60)*(AS58:AS61=AS60)*(AW58:AW61=AW60)*(AX58:AX61&gt;AX60)),"")</f>
        <v/>
      </c>
      <c r="BF60" s="2" t="str">
        <f>IF(AO60&lt;&gt;"",SUMPRODUCT((AZ58:AZ61=AZ60)*(AU58:AU61=AU60)*(AS58:AS61=AS60)*(AW58:AW61=AW60)*(AX58:AX61=AX60)*(AY58:AY61&gt;AY60)),"")</f>
        <v/>
      </c>
      <c r="BG60" s="2" t="str">
        <f t="shared" ref="BG60:BG61" si="92">IF(AO60&lt;&gt;"",SUM(BA60:BF60)+1,"")</f>
        <v/>
      </c>
      <c r="EH60" s="42" t="e">
        <f>Fixtures!#REF!</f>
        <v>#REF!</v>
      </c>
      <c r="EJ60" s="42" t="str">
        <f>IF(ISERROR("'Countries and Timezone'!"&amp;VLOOKUP(EH60,'Dummy Table'!EH7:EI38,2,FALSE)),"'Countries and Timezone'!b39","'Countries and Timezone'!"&amp;VLOOKUP(EH60,'Dummy Table'!EH7:EI38,2,FALSE))</f>
        <v>'Countries and Timezone'!b39</v>
      </c>
      <c r="EP60" s="2">
        <v>1</v>
      </c>
      <c r="EQ60" s="2" t="s">
        <v>613</v>
      </c>
      <c r="ER60" s="2" t="s">
        <v>612</v>
      </c>
    </row>
    <row r="61" spans="9:148" x14ac:dyDescent="0.25">
      <c r="I61" s="2">
        <f>SUMPRODUCT((I18:I21=I21)*(H18:H21=H21)*(F18:F21&gt;F21))+1</f>
        <v>1</v>
      </c>
      <c r="T61" s="2">
        <f>IF(U21&lt;&gt;"",SUMPRODUCT((AB18:AB21=AB21)*(AA18:AA21=AA21)*(Y18:Y21=Y21)*(Z18:Z21=Z21)),"")</f>
        <v>4</v>
      </c>
      <c r="U61" s="2" t="str">
        <f t="shared" si="85"/>
        <v>England</v>
      </c>
      <c r="V61" s="2">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2">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2">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2">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2">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2">
        <f>Y61-Z61+1000</f>
        <v>1000</v>
      </c>
      <c r="AB61" s="2">
        <f t="shared" si="86"/>
        <v>0</v>
      </c>
      <c r="AC61" s="2">
        <f>IF(U61&lt;&gt;"",VLOOKUP(U61,B4:H40,7,FALSE),"")</f>
        <v>1000</v>
      </c>
      <c r="AD61" s="2">
        <f>IF(U61&lt;&gt;"",VLOOKUP(U61,B4:H40,5,FALSE),"")</f>
        <v>0</v>
      </c>
      <c r="AE61" s="2">
        <f>IF(U61&lt;&gt;"",VLOOKUP(U61,B4:J40,9,FALSE),"")</f>
        <v>49</v>
      </c>
      <c r="AF61" s="2">
        <f t="shared" si="87"/>
        <v>0</v>
      </c>
      <c r="AG61" s="2">
        <f>IF(U61&lt;&gt;"",RANK(AF61,AF58:AF61),"")</f>
        <v>1</v>
      </c>
      <c r="AH61" s="2">
        <f>IF(U61&lt;&gt;"",SUMPRODUCT((AF58:AF61=AF61)*(AA58:AA61&gt;AA61)),"")</f>
        <v>0</v>
      </c>
      <c r="AI61" s="2">
        <f>IF(U61&lt;&gt;"",SUMPRODUCT((AF58:AF61=AF61)*(AA58:AA61=AA61)*(Y58:Y61&gt;Y61)),"")</f>
        <v>0</v>
      </c>
      <c r="AJ61" s="2">
        <f>IF(U61&lt;&gt;"",SUMPRODUCT((AF58:AF61=AF61)*(AA58:AA61=AA61)*(Y58:Y61=Y61)*(AC58:AC61&gt;AC61)),"")</f>
        <v>0</v>
      </c>
      <c r="AK61" s="2">
        <f>IF(U61&lt;&gt;"",SUMPRODUCT((AF58:AF61=AF61)*(AA58:AA61=AA61)*(Y58:Y61=Y61)*(AC58:AC61=AC61)*(AD58:AD61&gt;AD61)),"")</f>
        <v>0</v>
      </c>
      <c r="AL61" s="2">
        <f>IF(U61&lt;&gt;"",SUMPRODUCT((AF58:AF61=AF61)*(AA58:AA61=AA61)*(Y58:Y61=Y61)*(AC58:AC61=AC61)*(AD58:AD61=AD61)*(AE58:AE61&gt;AE61)),"")</f>
        <v>0</v>
      </c>
      <c r="AM61" s="2">
        <f>IF(U61&lt;&gt;"",SUM(AG61:AL61),"")</f>
        <v>1</v>
      </c>
      <c r="AN61" s="2" t="str">
        <f>IF(AO21&lt;&gt;"",SUMPRODUCT((AV18:AV21=AV21)*(AU18:AU21=AU21)*(AS18:AS21=AS21)*(AT18:AT21=AT21)),"")</f>
        <v/>
      </c>
      <c r="AO61" s="2" t="str">
        <f t="shared" si="88"/>
        <v/>
      </c>
      <c r="AP61" s="2" t="str">
        <f>IF(AO61&lt;&gt;"",SUMPRODUCT((CZ3:CZ42=AO61)*(DC3:DC42=AO62)*(DD3:DD42="W"))+SUMPRODUCT((CZ3:CZ42=AO61)*(DC3:DC42=AO59)*(DD3:DD42="W"))+SUMPRODUCT((CZ3:CZ42=AO61)*(DC3:DC42=AO60)*(DD3:DD42="W"))+SUMPRODUCT((CZ3:CZ42=AO62)*(DC3:DC42=AO61)*(DE3:DE42="W"))+SUMPRODUCT((CZ3:CZ42=AO59)*(DC3:DC42=AO61)*(DE3:DE42="W"))+SUMPRODUCT((CZ3:CZ42=AO60)*(DC3:DC42=AO61)*(DE3:DE42="W")),"")</f>
        <v/>
      </c>
      <c r="AQ61" s="2" t="str">
        <f>IF(AO61&lt;&gt;"",SUMPRODUCT((CZ3:CZ42=AO61)*(DC3:DC42=AO62)*(DD3:DD42="D"))+SUMPRODUCT((CZ3:CZ42=AO61)*(DC3:DC42=AO59)*(DD3:DD42="D"))+SUMPRODUCT((CZ3:CZ42=AO61)*(DC3:DC42=AO60)*(DD3:DD42="D"))+SUMPRODUCT((CZ3:CZ42=AO62)*(DC3:DC42=AO61)*(DD3:DD42="D"))+SUMPRODUCT((CZ3:CZ42=AO59)*(DC3:DC42=AO61)*(DD3:DD42="D"))+SUMPRODUCT((CZ3:CZ42=AO60)*(DC3:DC42=AO61)*(DD3:DD42="D")),"")</f>
        <v/>
      </c>
      <c r="AR61" s="2" t="str">
        <f>IF(AO61&lt;&gt;"",SUMPRODUCT((CZ3:CZ42=AO61)*(DC3:DC42=AO62)*(DD3:DD42="L"))+SUMPRODUCT((CZ3:CZ42=AO61)*(DC3:DC42=AO59)*(DD3:DD42="L"))+SUMPRODUCT((CZ3:CZ42=AO61)*(DC3:DC42=AO60)*(DD3:DD42="L"))+SUMPRODUCT((CZ3:CZ42=AO62)*(DC3:DC42=AO61)*(DE3:DE42="L"))+SUMPRODUCT((CZ3:CZ42=AO59)*(DC3:DC42=AO61)*(DE3:DE42="L"))+SUMPRODUCT((CZ3:CZ42=AO60)*(DC3:DC42=AO61)*(DE3:DE42="L")),"")</f>
        <v/>
      </c>
      <c r="AS61" s="2">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2">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2">
        <f>AS61-AT61+1000</f>
        <v>1000</v>
      </c>
      <c r="AV61" s="2" t="str">
        <f t="shared" si="89"/>
        <v/>
      </c>
      <c r="AW61" s="2" t="str">
        <f>IF(AO61&lt;&gt;"",VLOOKUP(AO61,B4:H40,7,FALSE),"")</f>
        <v/>
      </c>
      <c r="AX61" s="2" t="str">
        <f>IF(AO61&lt;&gt;"",VLOOKUP(AO61,B4:H40,5,FALSE),"")</f>
        <v/>
      </c>
      <c r="AY61" s="2" t="str">
        <f>IF(AO61&lt;&gt;"",VLOOKUP(AO61,B4:J40,9,FALSE),"")</f>
        <v/>
      </c>
      <c r="AZ61" s="2" t="str">
        <f t="shared" si="91"/>
        <v/>
      </c>
      <c r="BA61" s="2" t="str">
        <f>IF(AO61&lt;&gt;"",RANK(AZ61,AZ58:AZ61),"")</f>
        <v/>
      </c>
      <c r="BB61" s="2" t="str">
        <f>IF(AO61&lt;&gt;"",SUMPRODUCT((AZ58:AZ61=AZ61)*(AU58:AU61&gt;AU61)),"")</f>
        <v/>
      </c>
      <c r="BC61" s="2" t="str">
        <f>IF(AO61&lt;&gt;"",SUMPRODUCT((AZ58:AZ61=AZ61)*(AU58:AU61=AU61)*(AS58:AS61&gt;AS61)),"")</f>
        <v/>
      </c>
      <c r="BD61" s="2" t="str">
        <f>IF(AO61&lt;&gt;"",SUMPRODUCT((AZ58:AZ61=AZ61)*(AU58:AU61=AU61)*(AS58:AS61=AS61)*(AW58:AW61&gt;AW61)),"")</f>
        <v/>
      </c>
      <c r="BE61" s="2" t="str">
        <f>IF(AO61&lt;&gt;"",SUMPRODUCT((AZ58:AZ61=AZ61)*(AU58:AU61=AU61)*(AS58:AS61=AS61)*(AW58:AW61=AW61)*(AX58:AX61&gt;AX61)),"")</f>
        <v/>
      </c>
      <c r="BF61" s="2" t="str">
        <f>IF(AO61&lt;&gt;"",SUMPRODUCT((AZ58:AZ61=AZ61)*(AU58:AU61=AU61)*(AS58:AS61=AS61)*(AW58:AW61=AW61)*(AX58:AX61=AX61)*(AY58:AY61&gt;AY61)),"")</f>
        <v/>
      </c>
      <c r="BG61" s="2" t="str">
        <f t="shared" si="92"/>
        <v/>
      </c>
      <c r="EH61" s="42" t="e">
        <f>Fixtures!#REF!</f>
        <v>#REF!</v>
      </c>
      <c r="EJ61" s="42" t="str">
        <f>IF(ISERROR("'Countries and Timezone'!"&amp;VLOOKUP(EH61,'Dummy Table'!EH7:EI38,2,FALSE)),"'Countries and Timezone'!b39","'Countries and Timezone'!"&amp;VLOOKUP(EH61,'Dummy Table'!EH7:EI38,2,FALSE))</f>
        <v>'Countries and Timezone'!b39</v>
      </c>
      <c r="EP61" s="2">
        <v>2</v>
      </c>
      <c r="EQ61" s="2" t="s">
        <v>615</v>
      </c>
      <c r="ER61" s="2" t="s">
        <v>614</v>
      </c>
    </row>
    <row r="62" spans="9:148" x14ac:dyDescent="0.25">
      <c r="EH62" s="42" t="e">
        <f>Fixtures!#REF!</f>
        <v>#REF!</v>
      </c>
      <c r="EJ62" s="42" t="str">
        <f>IF(ISERROR("'Countries and Timezone'!"&amp;VLOOKUP(EH62,'Dummy Table'!EH7:EI38,2,FALSE)),"'Countries and Timezone'!b39","'Countries and Timezone'!"&amp;VLOOKUP(EH62,'Dummy Table'!EH7:EI38,2,FALSE))</f>
        <v>'Countries and Timezone'!b39</v>
      </c>
      <c r="EP62" s="2">
        <v>2</v>
      </c>
      <c r="EQ62" s="2" t="s">
        <v>617</v>
      </c>
      <c r="ER62" s="2" t="s">
        <v>616</v>
      </c>
    </row>
    <row r="63" spans="9:148" x14ac:dyDescent="0.25">
      <c r="EH63" s="42" t="e">
        <f>Fixtures!#REF!</f>
        <v>#REF!</v>
      </c>
      <c r="EJ63" s="42" t="str">
        <f>IF(ISERROR("'Countries and Timezone'!"&amp;VLOOKUP(EH63,'Dummy Table'!EH7:EI38,2,FALSE)),"'Countries and Timezone'!b39","'Countries and Timezone'!"&amp;VLOOKUP(EH63,'Dummy Table'!EH7:EI38,2,FALSE))</f>
        <v>'Countries and Timezone'!b39</v>
      </c>
      <c r="EP63" s="2">
        <v>2</v>
      </c>
      <c r="EQ63" s="2" t="s">
        <v>619</v>
      </c>
      <c r="ER63" s="2" t="s">
        <v>618</v>
      </c>
    </row>
    <row r="64" spans="9:148" x14ac:dyDescent="0.25">
      <c r="T64" s="2">
        <f>IF(U65="",SUM(AG25:AL25),IF(U66="",SUM(AG26:AL26),IF(U67="",SUM(AG27:AL27),IF(U68="",SUM(AG28:AL28),0))))</f>
        <v>0</v>
      </c>
      <c r="AN64" s="2">
        <f>IF(AO66="",SUM(BA26:BF26),IF(AO67="",SUM(BA27:BF27),IF(AO68="",SUM(BA28:BF28),0)))</f>
        <v>0</v>
      </c>
      <c r="EH64" s="42" t="e">
        <f>Fixtures!#REF!</f>
        <v>#REF!</v>
      </c>
      <c r="EJ64" s="42" t="str">
        <f>IF(ISERROR("'Countries and Timezone'!"&amp;VLOOKUP(EH64,'Dummy Table'!EH7:EI38,2,FALSE)),"'Countries and Timezone'!b39","'Countries and Timezone'!"&amp;VLOOKUP(EH64,'Dummy Table'!EH7:EI38,2,FALSE))</f>
        <v>'Countries and Timezone'!b39</v>
      </c>
      <c r="EP64" s="2">
        <v>2</v>
      </c>
      <c r="EQ64" s="2" t="s">
        <v>621</v>
      </c>
      <c r="ER64" s="2" t="s">
        <v>620</v>
      </c>
    </row>
    <row r="65" spans="9:148" x14ac:dyDescent="0.25">
      <c r="I65" s="2">
        <f>SUMPRODUCT((I25:I28=I25)*(H25:H28=H25)*(F25:F28&gt;F25))+1</f>
        <v>1</v>
      </c>
      <c r="T65" s="2">
        <f>IF(U25&lt;&gt;"",SUMPRODUCT((AB25:AB28=AB25)*(AA25:AA28=AA25)*(Y25:Y28=Y25)*(Z25:Z28=Z25)),"")</f>
        <v>4</v>
      </c>
      <c r="U65" s="2" t="str">
        <f>IF(AND(T65&lt;&gt;"",T65&gt;1),U25,"")</f>
        <v>Poland</v>
      </c>
      <c r="V65" s="2">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2">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2">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2">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2">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2">
        <f>Y65-Z65+1000</f>
        <v>1000</v>
      </c>
      <c r="AB65" s="2">
        <f>IF(U65&lt;&gt;"",V65*3+W65*1,"")</f>
        <v>0</v>
      </c>
      <c r="AC65" s="2">
        <f>IF(U65&lt;&gt;"",VLOOKUP(U65,B4:H40,7,FALSE),"")</f>
        <v>1000</v>
      </c>
      <c r="AD65" s="2">
        <f>IF(U65&lt;&gt;"",VLOOKUP(U65,B4:H40,5,FALSE),"")</f>
        <v>0</v>
      </c>
      <c r="AE65" s="2">
        <f>IF(U65&lt;&gt;"",VLOOKUP(U65,B4:J40,9,FALSE),"")</f>
        <v>1</v>
      </c>
      <c r="AF65" s="2">
        <f>AB65</f>
        <v>0</v>
      </c>
      <c r="AG65" s="2">
        <f>IF(U65&lt;&gt;"",RANK(AF65,AF65:AF68),"")</f>
        <v>1</v>
      </c>
      <c r="AH65" s="2">
        <f>IF(U65&lt;&gt;"",SUMPRODUCT((AF65:AF68=AF65)*(AA65:AA68&gt;AA65)),"")</f>
        <v>0</v>
      </c>
      <c r="AI65" s="2">
        <f>IF(U65&lt;&gt;"",SUMPRODUCT((AF65:AF68=AF65)*(AA65:AA68=AA65)*(Y65:Y68&gt;Y65)),"")</f>
        <v>0</v>
      </c>
      <c r="AJ65" s="2">
        <f>IF(U65&lt;&gt;"",SUMPRODUCT((AF65:AF68=AF65)*(AA65:AA68=AA65)*(Y65:Y68=Y65)*(AC65:AC68&gt;AC65)),"")</f>
        <v>0</v>
      </c>
      <c r="AK65" s="2">
        <f>IF(U65&lt;&gt;"",SUMPRODUCT((AF65:AF68=AF65)*(AA65:AA68=AA65)*(Y65:Y68=Y65)*(AC65:AC68=AC65)*(AD65:AD68&gt;AD65)),"")</f>
        <v>0</v>
      </c>
      <c r="AL65" s="2">
        <f>IF(U65&lt;&gt;"",SUMPRODUCT((AF65:AF68=AF65)*(AA65:AA68=AA65)*(Y65:Y68=Y65)*(AC65:AC68=AC65)*(AD65:AD68=AD65)*(AE65:AE68&gt;AE65)),"")</f>
        <v>3</v>
      </c>
      <c r="AM65" s="2">
        <f>IF(U65&lt;&gt;"",SUM(AG65:AL65),"")</f>
        <v>4</v>
      </c>
      <c r="EH65" s="42" t="e">
        <f>Fixtures!#REF!</f>
        <v>#REF!</v>
      </c>
      <c r="EJ65" s="42" t="str">
        <f>IF(ISERROR("'Countries and Timezone'!"&amp;VLOOKUP(EH65,'Dummy Table'!EH7:EI38,2,FALSE)),"'Countries and Timezone'!b39","'Countries and Timezone'!"&amp;VLOOKUP(EH65,'Dummy Table'!EH7:EI38,2,FALSE))</f>
        <v>'Countries and Timezone'!b39</v>
      </c>
      <c r="EP65" s="2">
        <v>2</v>
      </c>
      <c r="EQ65" s="2" t="s">
        <v>623</v>
      </c>
      <c r="ER65" s="2" t="s">
        <v>622</v>
      </c>
    </row>
    <row r="66" spans="9:148" x14ac:dyDescent="0.25">
      <c r="I66" s="2">
        <f>SUMPRODUCT((I25:I28=I26)*(H25:H28=H26)*(F25:F28&gt;F26))+1</f>
        <v>1</v>
      </c>
      <c r="T66" s="2">
        <f>IF(U26&lt;&gt;"",SUMPRODUCT((AB25:AB28=AB26)*(AA25:AA28=AA26)*(Y25:Y28=Y26)*(Z25:Z28=Z26)),"")</f>
        <v>4</v>
      </c>
      <c r="U66" s="2" t="str">
        <f t="shared" ref="U66:U68" si="93">IF(AND(T66&lt;&gt;"",T66&gt;1),U26,"")</f>
        <v>Austria</v>
      </c>
      <c r="V66" s="2">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2">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2">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2">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2">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2">
        <f>Y66-Z66+1000</f>
        <v>1000</v>
      </c>
      <c r="AB66" s="2">
        <f t="shared" ref="AB66:AB68" si="94">IF(U66&lt;&gt;"",V66*3+W66*1,"")</f>
        <v>0</v>
      </c>
      <c r="AC66" s="2">
        <f>IF(U66&lt;&gt;"",VLOOKUP(U66,B4:H40,7,FALSE),"")</f>
        <v>1000</v>
      </c>
      <c r="AD66" s="2">
        <f>IF(U66&lt;&gt;"",VLOOKUP(U66,B4:H40,5,FALSE),"")</f>
        <v>0</v>
      </c>
      <c r="AE66" s="2">
        <f>IF(U66&lt;&gt;"",VLOOKUP(U66,B4:J40,9,FALSE),"")</f>
        <v>41</v>
      </c>
      <c r="AF66" s="2">
        <f t="shared" ref="AF66:AF68" si="95">AB66</f>
        <v>0</v>
      </c>
      <c r="AG66" s="2">
        <f>IF(U66&lt;&gt;"",RANK(AF66,AF65:AF68),"")</f>
        <v>1</v>
      </c>
      <c r="AH66" s="2">
        <f>IF(U66&lt;&gt;"",SUMPRODUCT((AF65:AF68=AF66)*(AA65:AA68&gt;AA66)),"")</f>
        <v>0</v>
      </c>
      <c r="AI66" s="2">
        <f>IF(U66&lt;&gt;"",SUMPRODUCT((AF65:AF68=AF66)*(AA65:AA68=AA66)*(Y65:Y68&gt;Y66)),"")</f>
        <v>0</v>
      </c>
      <c r="AJ66" s="2">
        <f>IF(U66&lt;&gt;"",SUMPRODUCT((AF65:AF68=AF66)*(AA65:AA68=AA66)*(Y65:Y68=Y66)*(AC65:AC68&gt;AC66)),"")</f>
        <v>0</v>
      </c>
      <c r="AK66" s="2">
        <f>IF(U66&lt;&gt;"",SUMPRODUCT((AF65:AF68=AF66)*(AA65:AA68=AA66)*(Y65:Y68=Y66)*(AC65:AC68=AC66)*(AD65:AD68&gt;AD66)),"")</f>
        <v>0</v>
      </c>
      <c r="AL66" s="2">
        <f>IF(U66&lt;&gt;"",SUMPRODUCT((AF65:AF68=AF66)*(AA65:AA68=AA66)*(Y65:Y68=Y66)*(AC65:AC68=AC66)*(AD65:AD68=AD66)*(AE65:AE68&gt;AE66)),"")</f>
        <v>2</v>
      </c>
      <c r="AM66" s="2">
        <f>IF(U66&lt;&gt;"",SUM(AG66:AL66),"")</f>
        <v>3</v>
      </c>
      <c r="AN66" s="2" t="str">
        <f>IF(AO26&lt;&gt;"",SUMPRODUCT((AV25:AV28=AV26)*(AU25:AU28=AU26)*(AS25:AS28=AS26)*(AT25:AT28=AT26)),"")</f>
        <v/>
      </c>
      <c r="AO66" s="2" t="str">
        <f t="shared" ref="AO66:AO68" si="96">IF(AND(AN66&lt;&gt;"",AN66&gt;1),AO26,"")</f>
        <v/>
      </c>
      <c r="AP66" s="2">
        <f>SUMPRODUCT((CZ3:CZ42=AO66)*(DC3:DC42=AO67)*(DD3:DD42="W"))+SUMPRODUCT((CZ3:CZ42=AO66)*(DC3:DC42=AO68)*(DD3:DD42="W"))+SUMPRODUCT((CZ3:CZ42=AO66)*(DC3:DC42=AO69)*(DD3:DD42="W"))+SUMPRODUCT((CZ3:CZ42=AO67)*(DC3:DC42=AO66)*(DE3:DE42="W"))+SUMPRODUCT((CZ3:CZ42=AO68)*(DC3:DC42=AO66)*(DE3:DE42="W"))+SUMPRODUCT((CZ3:CZ42=AO69)*(DC3:DC42=AO66)*(DE3:DE42="W"))</f>
        <v>0</v>
      </c>
      <c r="AQ66" s="2">
        <f>SUMPRODUCT((CZ3:CZ42=AO66)*(DC3:DC42=AO67)*(DD3:DD42="D"))+SUMPRODUCT((CZ3:CZ42=AO66)*(DC3:DC42=AO68)*(DD3:DD42="D"))+SUMPRODUCT((CZ3:CZ42=AO66)*(DC3:DC42=AO69)*(DD3:DD42="D"))+SUMPRODUCT((CZ3:CZ42=AO67)*(DC3:DC42=AO66)*(DD3:DD42="D"))+SUMPRODUCT((CZ3:CZ42=AO68)*(DC3:DC42=AO66)*(DD3:DD42="D"))+SUMPRODUCT((CZ3:CZ42=AO69)*(DC3:DC42=AO66)*(DD3:DD42="D"))</f>
        <v>0</v>
      </c>
      <c r="AR66" s="2">
        <f>SUMPRODUCT((CZ3:CZ42=AO66)*(DC3:DC42=AO67)*(DD3:DD42="L"))+SUMPRODUCT((CZ3:CZ42=AO66)*(DC3:DC42=AO68)*(DD3:DD42="L"))+SUMPRODUCT((CZ3:CZ42=AO66)*(DC3:DC42=AO69)*(DD3:DD42="L"))+SUMPRODUCT((CZ3:CZ42=AO67)*(DC3:DC42=AO66)*(DE3:DE42="L"))+SUMPRODUCT((CZ3:CZ42=AO68)*(DC3:DC42=AO66)*(DE3:DE42="L"))+SUMPRODUCT((CZ3:CZ42=AO69)*(DC3:DC42=AO66)*(DE3:DE42="L"))</f>
        <v>0</v>
      </c>
      <c r="AS66" s="2">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2">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2">
        <f>AS66-AT66+1000</f>
        <v>1000</v>
      </c>
      <c r="AV66" s="2" t="str">
        <f t="shared" ref="AV66:AV68" si="97">IF(AO66&lt;&gt;"",AP66*3+AQ66*1,"")</f>
        <v/>
      </c>
      <c r="AW66" s="2" t="str">
        <f>IF(AO66&lt;&gt;"",VLOOKUP(AO66,B4:H40,7,FALSE),"")</f>
        <v/>
      </c>
      <c r="AX66" s="2" t="str">
        <f>IF(AO66&lt;&gt;"",VLOOKUP(AO66,B4:H40,5,FALSE),"")</f>
        <v/>
      </c>
      <c r="AY66" s="2" t="str">
        <f>IF(AO66&lt;&gt;"",VLOOKUP(AO66,B4:J40,9,FALSE),"")</f>
        <v/>
      </c>
      <c r="AZ66" s="2" t="str">
        <f t="shared" ref="AZ66:AZ68" si="98">AV66</f>
        <v/>
      </c>
      <c r="BA66" s="2" t="str">
        <f>IF(AO66&lt;&gt;"",RANK(AZ66,AZ65:AZ68),"")</f>
        <v/>
      </c>
      <c r="BB66" s="2" t="str">
        <f>IF(AO66&lt;&gt;"",SUMPRODUCT((AZ65:AZ68=AZ66)*(AU65:AU68&gt;AU66)),"")</f>
        <v/>
      </c>
      <c r="BC66" s="2" t="str">
        <f>IF(AO66&lt;&gt;"",SUMPRODUCT((AZ65:AZ68=AZ66)*(AU65:AU68=AU66)*(AS65:AS68&gt;AS66)),"")</f>
        <v/>
      </c>
      <c r="BD66" s="2" t="str">
        <f>IF(AO66&lt;&gt;"",SUMPRODUCT((AZ65:AZ68=AZ66)*(AU65:AU68=AU66)*(AS65:AS68=AS66)*(AW65:AW68&gt;AW66)),"")</f>
        <v/>
      </c>
      <c r="BE66" s="2" t="str">
        <f>IF(AO66&lt;&gt;"",SUMPRODUCT((AZ65:AZ68=AZ66)*(AU65:AU68=AU66)*(AS65:AS68=AS66)*(AW65:AW68=AW66)*(AX65:AX68&gt;AX66)),"")</f>
        <v/>
      </c>
      <c r="BF66" s="2" t="str">
        <f>IF(AO66&lt;&gt;"",SUMPRODUCT((AZ65:AZ68=AZ66)*(AU65:AU68=AU66)*(AS65:AS68=AS66)*(AW65:AW68=AW66)*(AX65:AX68=AX66)*(AY65:AY68&gt;AY66)),"")</f>
        <v/>
      </c>
      <c r="BG66" s="2" t="str">
        <f>IF(AO66&lt;&gt;"",SUM(BA66:BF66)+1,"")</f>
        <v/>
      </c>
      <c r="EH66" s="42" t="e">
        <f>Fixtures!#REF!</f>
        <v>#REF!</v>
      </c>
      <c r="EJ66" s="42" t="str">
        <f>IF(ISERROR("'Countries and Timezone'!"&amp;VLOOKUP(EH66,'Dummy Table'!EH7:EI38,2,FALSE)),"'Countries and Timezone'!b39","'Countries and Timezone'!"&amp;VLOOKUP(EH66,'Dummy Table'!EH7:EI38,2,FALSE))</f>
        <v>'Countries and Timezone'!b39</v>
      </c>
      <c r="EP66" s="2">
        <v>2</v>
      </c>
      <c r="EQ66" s="2" t="s">
        <v>625</v>
      </c>
      <c r="ER66" s="2" t="s">
        <v>624</v>
      </c>
    </row>
    <row r="67" spans="9:148" x14ac:dyDescent="0.25">
      <c r="I67" s="2">
        <f>SUMPRODUCT((I25:I28=I27)*(H25:H28=H27)*(F25:F28&gt;F27))+1</f>
        <v>1</v>
      </c>
      <c r="T67" s="2">
        <f>IF(U27&lt;&gt;"",SUMPRODUCT((AB25:AB28=AB27)*(AA25:AA28=AA27)*(Y25:Y28=Y27)*(Z25:Z28=Z27)),"")</f>
        <v>4</v>
      </c>
      <c r="U67" s="2" t="str">
        <f t="shared" si="93"/>
        <v>Netherlands</v>
      </c>
      <c r="V67" s="2">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2">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2">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2">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2">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2">
        <f>Y67-Z67+1000</f>
        <v>1000</v>
      </c>
      <c r="AB67" s="2">
        <f t="shared" si="94"/>
        <v>0</v>
      </c>
      <c r="AC67" s="2">
        <f>IF(U67&lt;&gt;"",VLOOKUP(U67,B4:H40,7,FALSE),"")</f>
        <v>1000</v>
      </c>
      <c r="AD67" s="2">
        <f>IF(U67&lt;&gt;"",VLOOKUP(U67,B4:H40,5,FALSE),"")</f>
        <v>0</v>
      </c>
      <c r="AE67" s="2">
        <f>IF(U67&lt;&gt;"",VLOOKUP(U67,B4:J40,9,FALSE),"")</f>
        <v>42</v>
      </c>
      <c r="AF67" s="2">
        <f t="shared" si="95"/>
        <v>0</v>
      </c>
      <c r="AG67" s="2">
        <f>IF(U67&lt;&gt;"",RANK(AF67,AF65:AF68),"")</f>
        <v>1</v>
      </c>
      <c r="AH67" s="2">
        <f>IF(U67&lt;&gt;"",SUMPRODUCT((AF65:AF68=AF67)*(AA65:AA68&gt;AA67)),"")</f>
        <v>0</v>
      </c>
      <c r="AI67" s="2">
        <f>IF(U67&lt;&gt;"",SUMPRODUCT((AF65:AF68=AF67)*(AA65:AA68=AA67)*(Y65:Y68&gt;Y67)),"")</f>
        <v>0</v>
      </c>
      <c r="AJ67" s="2">
        <f>IF(U67&lt;&gt;"",SUMPRODUCT((AF65:AF68=AF67)*(AA65:AA68=AA67)*(Y65:Y68=Y67)*(AC65:AC68&gt;AC67)),"")</f>
        <v>0</v>
      </c>
      <c r="AK67" s="2">
        <f>IF(U67&lt;&gt;"",SUMPRODUCT((AF65:AF68=AF67)*(AA65:AA68=AA67)*(Y65:Y68=Y67)*(AC65:AC68=AC67)*(AD65:AD68&gt;AD67)),"")</f>
        <v>0</v>
      </c>
      <c r="AL67" s="2">
        <f>IF(U67&lt;&gt;"",SUMPRODUCT((AF65:AF68=AF67)*(AA65:AA68=AA67)*(Y65:Y68=Y67)*(AC65:AC68=AC67)*(AD65:AD68=AD67)*(AE65:AE68&gt;AE67)),"")</f>
        <v>1</v>
      </c>
      <c r="AM67" s="2">
        <f>IF(U67&lt;&gt;"",SUM(AG67:AL67),"")</f>
        <v>2</v>
      </c>
      <c r="AN67" s="2" t="str">
        <f>IF(AO27&lt;&gt;"",SUMPRODUCT((AV25:AV28=AV27)*(AU25:AU28=AU27)*(AS25:AS28=AS27)*(AT25:AT28=AT27)),"")</f>
        <v/>
      </c>
      <c r="AO67" s="2" t="str">
        <f t="shared" si="96"/>
        <v/>
      </c>
      <c r="AP67" s="2">
        <f>SUMPRODUCT((CZ3:CZ42=AO67)*(DC3:DC42=AO68)*(DD3:DD42="W"))+SUMPRODUCT((CZ3:CZ42=AO67)*(DC3:DC42=AO69)*(DD3:DD42="W"))+SUMPRODUCT((CZ3:CZ42=AO67)*(DC3:DC42=AO66)*(DD3:DD42="W"))+SUMPRODUCT((CZ3:CZ42=AO68)*(DC3:DC42=AO67)*(DE3:DE42="W"))+SUMPRODUCT((CZ3:CZ42=AO69)*(DC3:DC42=AO67)*(DE3:DE42="W"))+SUMPRODUCT((CZ3:CZ42=AO66)*(DC3:DC42=AO67)*(DE3:DE42="W"))</f>
        <v>0</v>
      </c>
      <c r="AQ67" s="2">
        <f>SUMPRODUCT((CZ3:CZ42=AO67)*(DC3:DC42=AO68)*(DD3:DD42="D"))+SUMPRODUCT((CZ3:CZ42=AO67)*(DC3:DC42=AO69)*(DD3:DD42="D"))+SUMPRODUCT((CZ3:CZ42=AO67)*(DC3:DC42=AO66)*(DD3:DD42="D"))+SUMPRODUCT((CZ3:CZ42=AO68)*(DC3:DC42=AO67)*(DD3:DD42="D"))+SUMPRODUCT((CZ3:CZ42=AO69)*(DC3:DC42=AO67)*(DD3:DD42="D"))+SUMPRODUCT((CZ3:CZ42=AO66)*(DC3:DC42=AO67)*(DD3:DD42="D"))</f>
        <v>0</v>
      </c>
      <c r="AR67" s="2">
        <f>SUMPRODUCT((CZ3:CZ42=AO67)*(DC3:DC42=AO68)*(DD3:DD42="L"))+SUMPRODUCT((CZ3:CZ42=AO67)*(DC3:DC42=AO69)*(DD3:DD42="L"))+SUMPRODUCT((CZ3:CZ42=AO67)*(DC3:DC42=AO66)*(DD3:DD42="L"))+SUMPRODUCT((CZ3:CZ42=AO68)*(DC3:DC42=AO67)*(DE3:DE42="L"))+SUMPRODUCT((CZ3:CZ42=AO69)*(DC3:DC42=AO67)*(DE3:DE42="L"))+SUMPRODUCT((CZ3:CZ42=AO66)*(DC3:DC42=AO67)*(DE3:DE42="L"))</f>
        <v>0</v>
      </c>
      <c r="AS67" s="2">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2">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2">
        <f>AS67-AT67+1000</f>
        <v>1000</v>
      </c>
      <c r="AV67" s="2" t="str">
        <f t="shared" si="97"/>
        <v/>
      </c>
      <c r="AW67" s="2" t="str">
        <f>IF(AO67&lt;&gt;"",VLOOKUP(AO67,B4:H40,7,FALSE),"")</f>
        <v/>
      </c>
      <c r="AX67" s="2" t="str">
        <f>IF(AO67&lt;&gt;"",VLOOKUP(AO67,B4:H40,5,FALSE),"")</f>
        <v/>
      </c>
      <c r="AY67" s="2" t="str">
        <f>IF(AO67&lt;&gt;"",VLOOKUP(AO67,B4:J40,9,FALSE),"")</f>
        <v/>
      </c>
      <c r="AZ67" s="2" t="str">
        <f t="shared" si="98"/>
        <v/>
      </c>
      <c r="BA67" s="2" t="str">
        <f>IF(AO67&lt;&gt;"",RANK(AZ67,AZ65:AZ68),"")</f>
        <v/>
      </c>
      <c r="BB67" s="2" t="str">
        <f>IF(AO67&lt;&gt;"",SUMPRODUCT((AZ65:AZ68=AZ67)*(AU65:AU68&gt;AU67)),"")</f>
        <v/>
      </c>
      <c r="BC67" s="2" t="str">
        <f>IF(AO67&lt;&gt;"",SUMPRODUCT((AZ65:AZ68=AZ67)*(AU65:AU68=AU67)*(AS65:AS68&gt;AS67)),"")</f>
        <v/>
      </c>
      <c r="BD67" s="2" t="str">
        <f>IF(AO67&lt;&gt;"",SUMPRODUCT((AZ65:AZ68=AZ67)*(AU65:AU68=AU67)*(AS65:AS68=AS67)*(AW65:AW68&gt;AW67)),"")</f>
        <v/>
      </c>
      <c r="BE67" s="2" t="str">
        <f>IF(AO67&lt;&gt;"",SUMPRODUCT((AZ65:AZ68=AZ67)*(AU65:AU68=AU67)*(AS65:AS68=AS67)*(AW65:AW68=AW67)*(AX65:AX68&gt;AX67)),"")</f>
        <v/>
      </c>
      <c r="BF67" s="2" t="str">
        <f>IF(AO67&lt;&gt;"",SUMPRODUCT((AZ65:AZ68=AZ67)*(AU65:AU68=AU67)*(AS65:AS68=AS67)*(AW65:AW68=AW67)*(AX65:AX68=AX67)*(AY65:AY68&gt;AY67)),"")</f>
        <v/>
      </c>
      <c r="BG67" s="2" t="str">
        <f t="shared" ref="BG67:BG68" si="99">IF(AO67&lt;&gt;"",SUM(BA67:BF67)+1,"")</f>
        <v/>
      </c>
      <c r="EH67" s="42" t="e">
        <f>Fixtures!#REF!</f>
        <v>#REF!</v>
      </c>
      <c r="EJ67" s="42" t="str">
        <f>IF(ISERROR("'Countries and Timezone'!"&amp;VLOOKUP(EH67,'Dummy Table'!EH7:EI38,2,FALSE)),"'Countries and Timezone'!b39","'Countries and Timezone'!"&amp;VLOOKUP(EH67,'Dummy Table'!EH7:EI38,2,FALSE))</f>
        <v>'Countries and Timezone'!b39</v>
      </c>
      <c r="EP67" s="2">
        <v>2</v>
      </c>
      <c r="EQ67" s="2" t="s">
        <v>627</v>
      </c>
      <c r="ER67" s="2" t="s">
        <v>626</v>
      </c>
    </row>
    <row r="68" spans="9:148" x14ac:dyDescent="0.25">
      <c r="I68" s="2">
        <f>SUMPRODUCT((I25:I28=I28)*(H25:H28=H28)*(F25:F28&gt;F28))+1</f>
        <v>1</v>
      </c>
      <c r="T68" s="2">
        <f>IF(U28&lt;&gt;"",SUMPRODUCT((AB25:AB28=AB28)*(AA25:AA28=AA28)*(Y25:Y28=Y28)*(Z25:Z28=Z28)),"")</f>
        <v>4</v>
      </c>
      <c r="U68" s="2" t="str">
        <f t="shared" si="93"/>
        <v>France</v>
      </c>
      <c r="V68" s="2">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2">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2">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2">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2">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2">
        <f>Y68-Z68+1000</f>
        <v>1000</v>
      </c>
      <c r="AB68" s="2">
        <f t="shared" si="94"/>
        <v>0</v>
      </c>
      <c r="AC68" s="2">
        <f>IF(U68&lt;&gt;"",VLOOKUP(U68,B4:H40,7,FALSE),"")</f>
        <v>1000</v>
      </c>
      <c r="AD68" s="2">
        <f>IF(U68&lt;&gt;"",VLOOKUP(U68,B4:H40,5,FALSE),"")</f>
        <v>0</v>
      </c>
      <c r="AE68" s="2">
        <f>IF(U68&lt;&gt;"",VLOOKUP(U68,B4:J40,9,FALSE),"")</f>
        <v>52</v>
      </c>
      <c r="AF68" s="2">
        <f t="shared" si="95"/>
        <v>0</v>
      </c>
      <c r="AG68" s="2">
        <f>IF(U68&lt;&gt;"",RANK(AF68,AF65:AF68),"")</f>
        <v>1</v>
      </c>
      <c r="AH68" s="2">
        <f>IF(U68&lt;&gt;"",SUMPRODUCT((AF65:AF68=AF68)*(AA65:AA68&gt;AA68)),"")</f>
        <v>0</v>
      </c>
      <c r="AI68" s="2">
        <f>IF(U68&lt;&gt;"",SUMPRODUCT((AF65:AF68=AF68)*(AA65:AA68=AA68)*(Y65:Y68&gt;Y68)),"")</f>
        <v>0</v>
      </c>
      <c r="AJ68" s="2">
        <f>IF(U68&lt;&gt;"",SUMPRODUCT((AF65:AF68=AF68)*(AA65:AA68=AA68)*(Y65:Y68=Y68)*(AC65:AC68&gt;AC68)),"")</f>
        <v>0</v>
      </c>
      <c r="AK68" s="2">
        <f>IF(U68&lt;&gt;"",SUMPRODUCT((AF65:AF68=AF68)*(AA65:AA68=AA68)*(Y65:Y68=Y68)*(AC65:AC68=AC68)*(AD65:AD68&gt;AD68)),"")</f>
        <v>0</v>
      </c>
      <c r="AL68" s="2">
        <f>IF(U68&lt;&gt;"",SUMPRODUCT((AF65:AF68=AF68)*(AA65:AA68=AA68)*(Y65:Y68=Y68)*(AC65:AC68=AC68)*(AD65:AD68=AD68)*(AE65:AE68&gt;AE68)),"")</f>
        <v>0</v>
      </c>
      <c r="AM68" s="2">
        <f>IF(U68&lt;&gt;"",SUM(AG68:AL68),"")</f>
        <v>1</v>
      </c>
      <c r="AN68" s="2" t="str">
        <f>IF(AO28&lt;&gt;"",SUMPRODUCT((AV25:AV28=AV28)*(AU25:AU28=AU28)*(AS25:AS28=AS28)*(AT25:AT28=AT28)),"")</f>
        <v/>
      </c>
      <c r="AO68" s="2" t="str">
        <f t="shared" si="96"/>
        <v/>
      </c>
      <c r="AP68" s="2" t="str">
        <f>IF(AO68&lt;&gt;"",SUMPRODUCT((CZ3:CZ42=AO68)*(DC3:DC42=AO69)*(DD3:DD42="W"))+SUMPRODUCT((CZ3:CZ42=AO68)*(DC3:DC42=AO66)*(DD3:DD42="W"))+SUMPRODUCT((CZ3:CZ42=AO68)*(DC3:DC42=AO67)*(DD3:DD42="W"))+SUMPRODUCT((CZ3:CZ42=AO69)*(DC3:DC42=AO68)*(DE3:DE42="W"))+SUMPRODUCT((CZ3:CZ42=AO66)*(DC3:DC42=AO68)*(DE3:DE42="W"))+SUMPRODUCT((CZ3:CZ42=AO67)*(DC3:DC42=AO68)*(DE3:DE42="W")),"")</f>
        <v/>
      </c>
      <c r="AQ68" s="2" t="str">
        <f>IF(AO68&lt;&gt;"",SUMPRODUCT((CZ3:CZ42=AO68)*(DC3:DC42=AO69)*(DD3:DD42="D"))+SUMPRODUCT((CZ3:CZ42=AO68)*(DC3:DC42=AO66)*(DD3:DD42="D"))+SUMPRODUCT((CZ3:CZ42=AO68)*(DC3:DC42=AO67)*(DD3:DD42="D"))+SUMPRODUCT((CZ3:CZ42=AO69)*(DC3:DC42=AO68)*(DD3:DD42="D"))+SUMPRODUCT((CZ3:CZ42=AO66)*(DC3:DC42=AO68)*(DD3:DD42="D"))+SUMPRODUCT((CZ3:CZ42=AO67)*(DC3:DC42=AO68)*(DD3:DD42="D")),"")</f>
        <v/>
      </c>
      <c r="AR68" s="2" t="str">
        <f>IF(AO68&lt;&gt;"",SUMPRODUCT((CZ3:CZ42=AO68)*(DC3:DC42=AO69)*(DD3:DD42="L"))+SUMPRODUCT((CZ3:CZ42=AO68)*(DC3:DC42=AO66)*(DD3:DD42="L"))+SUMPRODUCT((CZ3:CZ42=AO68)*(DC3:DC42=AO67)*(DD3:DD42="L"))+SUMPRODUCT((CZ3:CZ42=AO69)*(DC3:DC42=AO68)*(DE3:DE42="L"))+SUMPRODUCT((CZ3:CZ42=AO66)*(DC3:DC42=AO68)*(DE3:DE42="L"))+SUMPRODUCT((CZ3:CZ42=AO67)*(DC3:DC42=AO68)*(DE3:DE42="L")),"")</f>
        <v/>
      </c>
      <c r="AS68" s="2">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2">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2">
        <f>AS68-AT68+1000</f>
        <v>1000</v>
      </c>
      <c r="AV68" s="2" t="str">
        <f t="shared" si="97"/>
        <v/>
      </c>
      <c r="AW68" s="2" t="str">
        <f>IF(AO68&lt;&gt;"",VLOOKUP(AO68,B4:H40,7,FALSE),"")</f>
        <v/>
      </c>
      <c r="AX68" s="2" t="str">
        <f>IF(AO68&lt;&gt;"",VLOOKUP(AO68,B4:H40,5,FALSE),"")</f>
        <v/>
      </c>
      <c r="AY68" s="2" t="str">
        <f>IF(AO68&lt;&gt;"",VLOOKUP(AO68,B4:J40,9,FALSE),"")</f>
        <v/>
      </c>
      <c r="AZ68" s="2" t="str">
        <f t="shared" si="98"/>
        <v/>
      </c>
      <c r="BA68" s="2" t="str">
        <f>IF(AO68&lt;&gt;"",RANK(AZ68,AZ65:AZ68),"")</f>
        <v/>
      </c>
      <c r="BB68" s="2" t="str">
        <f>IF(AO68&lt;&gt;"",SUMPRODUCT((AZ65:AZ68=AZ68)*(AU65:AU68&gt;AU68)),"")</f>
        <v/>
      </c>
      <c r="BC68" s="2" t="str">
        <f>IF(AO68&lt;&gt;"",SUMPRODUCT((AZ65:AZ68=AZ68)*(AU65:AU68=AU68)*(AS65:AS68&gt;AS68)),"")</f>
        <v/>
      </c>
      <c r="BD68" s="2" t="str">
        <f>IF(AO68&lt;&gt;"",SUMPRODUCT((AZ65:AZ68=AZ68)*(AU65:AU68=AU68)*(AS65:AS68=AS68)*(AW65:AW68&gt;AW68)),"")</f>
        <v/>
      </c>
      <c r="BE68" s="2" t="str">
        <f>IF(AO68&lt;&gt;"",SUMPRODUCT((AZ65:AZ68=AZ68)*(AU65:AU68=AU68)*(AS65:AS68=AS68)*(AW65:AW68=AW68)*(AX65:AX68&gt;AX68)),"")</f>
        <v/>
      </c>
      <c r="BF68" s="2" t="str">
        <f>IF(AO68&lt;&gt;"",SUMPRODUCT((AZ65:AZ68=AZ68)*(AU65:AU68=AU68)*(AS65:AS68=AS68)*(AW65:AW68=AW68)*(AX65:AX68=AX68)*(AY65:AY68&gt;AY68)),"")</f>
        <v/>
      </c>
      <c r="BG68" s="2" t="str">
        <f t="shared" si="99"/>
        <v/>
      </c>
      <c r="EH68" s="42" t="e">
        <f>Fixtures!#REF!</f>
        <v>#REF!</v>
      </c>
      <c r="EJ68" s="42" t="str">
        <f>IF(ISERROR("'Countries and Timezone'!"&amp;VLOOKUP(EH68,'Dummy Table'!EH7:EI38,2,FALSE)),"'Countries and Timezone'!b39","'Countries and Timezone'!"&amp;VLOOKUP(EH68,'Dummy Table'!EH7:EI38,2,FALSE))</f>
        <v>'Countries and Timezone'!b39</v>
      </c>
      <c r="EP68" s="2">
        <v>2</v>
      </c>
      <c r="EQ68" s="2" t="s">
        <v>629</v>
      </c>
      <c r="ER68" s="2" t="s">
        <v>628</v>
      </c>
    </row>
    <row r="69" spans="9:148" x14ac:dyDescent="0.25">
      <c r="EH69" s="42" t="e">
        <f>Fixtures!#REF!</f>
        <v>#REF!</v>
      </c>
      <c r="EJ69" s="42" t="str">
        <f>IF(ISERROR("'Countries and Timezone'!"&amp;VLOOKUP(EH69,'Dummy Table'!EH7:EI38,2,FALSE)),"'Countries and Timezone'!b39","'Countries and Timezone'!"&amp;VLOOKUP(EH69,'Dummy Table'!EH7:EI38,2,FALSE))</f>
        <v>'Countries and Timezone'!b39</v>
      </c>
      <c r="EP69" s="2">
        <v>2</v>
      </c>
      <c r="EQ69" s="2" t="s">
        <v>631</v>
      </c>
      <c r="ER69" s="2" t="s">
        <v>630</v>
      </c>
    </row>
    <row r="70" spans="9:148" x14ac:dyDescent="0.25">
      <c r="T70" s="2">
        <f>IF(U71="",SUM(AG31:AL31),IF(U72="",SUM(AG32:AL32),IF(U73="",SUM(AG33:AL33),IF(U74="",SUM(AG34:AL34),0))))</f>
        <v>0</v>
      </c>
      <c r="AN70" s="2">
        <f>IF(AO72="",SUM(BA32:BF32),IF(AO73="",SUM(BA33:BF33),IF(AO74="",SUM(BA34:BF34),0)))</f>
        <v>0</v>
      </c>
      <c r="EH70" s="42" t="e">
        <f>Fixtures!#REF!</f>
        <v>#REF!</v>
      </c>
      <c r="EJ70" s="42" t="str">
        <f>IF(ISERROR("'Countries and Timezone'!"&amp;VLOOKUP(EH70,'Dummy Table'!EH7:EI38,2,FALSE)),"'Countries and Timezone'!b39","'Countries and Timezone'!"&amp;VLOOKUP(EH70,'Dummy Table'!EH7:EI38,2,FALSE))</f>
        <v>'Countries and Timezone'!b39</v>
      </c>
      <c r="EP70" s="2">
        <v>2</v>
      </c>
      <c r="EQ70" s="2" t="s">
        <v>633</v>
      </c>
      <c r="ER70" s="2" t="s">
        <v>632</v>
      </c>
    </row>
    <row r="71" spans="9:148" x14ac:dyDescent="0.25">
      <c r="I71" s="2">
        <f>SUMPRODUCT((I31:I34=I31)*(H31:H34=H31)*(F31:F34&gt;F31))+1</f>
        <v>1</v>
      </c>
      <c r="T71" s="2">
        <f>IF(U31&lt;&gt;"",SUMPRODUCT((AB31:AB34=AB31)*(AA31:AA34=AA31)*(Y31:Y34=Y31)*(Z31:Z34=Z31)),"")</f>
        <v>4</v>
      </c>
      <c r="U71" s="2" t="str">
        <f>IF(AND(T71&lt;&gt;"",T71&gt;1),U31,"")</f>
        <v>Ukraine</v>
      </c>
      <c r="V71" s="2">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2">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2">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2">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2">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2">
        <f>Y71-Z71+1000</f>
        <v>1000</v>
      </c>
      <c r="AB71" s="2">
        <f>IF(U71&lt;&gt;"",V71*3+W71*1,"")</f>
        <v>0</v>
      </c>
      <c r="AC71" s="2">
        <f>IF(U71&lt;&gt;"",VLOOKUP(U71,B4:H40,7,FALSE),"")</f>
        <v>1000</v>
      </c>
      <c r="AD71" s="2">
        <f>IF(U71&lt;&gt;"",VLOOKUP(U71,B4:H40,5,FALSE),"")</f>
        <v>0</v>
      </c>
      <c r="AE71" s="2">
        <f>IF(U71&lt;&gt;"",VLOOKUP(U71,B4:J40,9,FALSE),"")</f>
        <v>2</v>
      </c>
      <c r="AF71" s="2">
        <f>AB71</f>
        <v>0</v>
      </c>
      <c r="AG71" s="2">
        <f>IF(U71&lt;&gt;"",RANK(AF71,AF71:AF74),"")</f>
        <v>1</v>
      </c>
      <c r="AH71" s="2">
        <f>IF(U71&lt;&gt;"",SUMPRODUCT((AF71:AF74=AF71)*(AA71:AA74&gt;AA71)),"")</f>
        <v>0</v>
      </c>
      <c r="AI71" s="2">
        <f>IF(U71&lt;&gt;"",SUMPRODUCT((AF71:AF74=AF71)*(AA71:AA74=AA71)*(Y71:Y74&gt;Y71)),"")</f>
        <v>0</v>
      </c>
      <c r="AJ71" s="2">
        <f>IF(U71&lt;&gt;"",SUMPRODUCT((AF71:AF74=AF71)*(AA71:AA74=AA71)*(Y71:Y74=Y71)*(AC71:AC74&gt;AC71)),"")</f>
        <v>0</v>
      </c>
      <c r="AK71" s="2">
        <f>IF(U71&lt;&gt;"",SUMPRODUCT((AF71:AF74=AF71)*(AA71:AA74=AA71)*(Y71:Y74=Y71)*(AC71:AC74=AC71)*(AD71:AD74&gt;AD71)),"")</f>
        <v>0</v>
      </c>
      <c r="AL71" s="2">
        <f>IF(U71&lt;&gt;"",SUMPRODUCT((AF71:AF74=AF71)*(AA71:AA74=AA71)*(Y71:Y74=Y71)*(AC71:AC74=AC71)*(AD71:AD74=AD71)*(AE71:AE74&gt;AE71)),"")</f>
        <v>3</v>
      </c>
      <c r="AM71" s="2">
        <f>IF(U71&lt;&gt;"",SUM(AG71:AL71),"")</f>
        <v>4</v>
      </c>
      <c r="EH71" s="42" t="e">
        <f>Fixtures!#REF!</f>
        <v>#REF!</v>
      </c>
      <c r="EJ71" s="42" t="str">
        <f>IF(ISERROR("'Countries and Timezone'!"&amp;VLOOKUP(EH71,'Dummy Table'!EH7:EI38,2,FALSE)),"'Countries and Timezone'!b39","'Countries and Timezone'!"&amp;VLOOKUP(EH71,'Dummy Table'!EH7:EI38,2,FALSE))</f>
        <v>'Countries and Timezone'!b39</v>
      </c>
      <c r="EP71" s="2">
        <v>2</v>
      </c>
      <c r="EQ71" s="2" t="s">
        <v>635</v>
      </c>
      <c r="ER71" s="2" t="s">
        <v>634</v>
      </c>
    </row>
    <row r="72" spans="9:148" x14ac:dyDescent="0.25">
      <c r="I72" s="2">
        <f>SUMPRODUCT((I31:I34=I32)*(H31:H34=H32)*(F31:F34&gt;F32))+1</f>
        <v>1</v>
      </c>
      <c r="T72" s="2">
        <f>IF(U32&lt;&gt;"",SUMPRODUCT((AB31:AB34=AB32)*(AA31:AA34=AA32)*(Y31:Y34=Y32)*(Z31:Z34=Z32)),"")</f>
        <v>4</v>
      </c>
      <c r="U72" s="2" t="str">
        <f t="shared" ref="U72:U74" si="100">IF(AND(T72&lt;&gt;"",T72&gt;1),U32,"")</f>
        <v>Slovakia</v>
      </c>
      <c r="V72" s="2">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2">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2">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2">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2">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2">
        <f>Y72-Z72+1000</f>
        <v>1000</v>
      </c>
      <c r="AB72" s="2">
        <f t="shared" ref="AB72:AB74" si="101">IF(U72&lt;&gt;"",V72*3+W72*1,"")</f>
        <v>0</v>
      </c>
      <c r="AC72" s="2">
        <f>IF(U72&lt;&gt;"",VLOOKUP(U72,B4:H40,7,FALSE),"")</f>
        <v>1000</v>
      </c>
      <c r="AD72" s="2">
        <f>IF(U72&lt;&gt;"",VLOOKUP(U72,B4:H40,5,FALSE),"")</f>
        <v>0</v>
      </c>
      <c r="AE72" s="2">
        <f>IF(U72&lt;&gt;"",VLOOKUP(U72,B4:J40,9,FALSE),"")</f>
        <v>38</v>
      </c>
      <c r="AF72" s="2">
        <f t="shared" ref="AF72:AF74" si="102">AB72</f>
        <v>0</v>
      </c>
      <c r="AG72" s="2">
        <f>IF(U72&lt;&gt;"",RANK(AF72,AF71:AF74),"")</f>
        <v>1</v>
      </c>
      <c r="AH72" s="2">
        <f>IF(U72&lt;&gt;"",SUMPRODUCT((AF71:AF74=AF72)*(AA71:AA74&gt;AA72)),"")</f>
        <v>0</v>
      </c>
      <c r="AI72" s="2">
        <f>IF(U72&lt;&gt;"",SUMPRODUCT((AF71:AF74=AF72)*(AA71:AA74=AA72)*(Y71:Y74&gt;Y72)),"")</f>
        <v>0</v>
      </c>
      <c r="AJ72" s="2">
        <f>IF(U72&lt;&gt;"",SUMPRODUCT((AF71:AF74=AF72)*(AA71:AA74=AA72)*(Y71:Y74=Y72)*(AC71:AC74&gt;AC72)),"")</f>
        <v>0</v>
      </c>
      <c r="AK72" s="2">
        <f>IF(U72&lt;&gt;"",SUMPRODUCT((AF71:AF74=AF72)*(AA71:AA74=AA72)*(Y71:Y74=Y72)*(AC71:AC74=AC72)*(AD71:AD74&gt;AD72)),"")</f>
        <v>0</v>
      </c>
      <c r="AL72" s="2">
        <f>IF(U72&lt;&gt;"",SUMPRODUCT((AF71:AF74=AF72)*(AA71:AA74=AA72)*(Y71:Y74=Y72)*(AC71:AC74=AC72)*(AD71:AD74=AD72)*(AE71:AE74&gt;AE72)),"")</f>
        <v>2</v>
      </c>
      <c r="AM72" s="2">
        <f>IF(U72&lt;&gt;"",SUM(AG72:AL72),"")</f>
        <v>3</v>
      </c>
      <c r="AN72" s="2" t="str">
        <f>IF(AO32&lt;&gt;"",SUMPRODUCT((AV31:AV34=AV32)*(AU31:AU34=AU32)*(AS31:AS34=AS32)*(AT31:AT34=AT32)),"")</f>
        <v/>
      </c>
      <c r="AO72" s="2" t="str">
        <f t="shared" ref="AO72:AO74" si="103">IF(AND(AN72&lt;&gt;"",AN72&gt;1),AO32,"")</f>
        <v/>
      </c>
      <c r="AP72" s="2">
        <f>SUMPRODUCT((CZ3:CZ42=AO72)*(DC3:DC42=AO73)*(DD3:DD42="W"))+SUMPRODUCT((CZ3:CZ42=AO72)*(DC3:DC42=AO74)*(DD3:DD42="W"))+SUMPRODUCT((CZ3:CZ42=AO72)*(DC3:DC42=AO75)*(DD3:DD42="W"))+SUMPRODUCT((CZ3:CZ42=AO73)*(DC3:DC42=AO72)*(DE3:DE42="W"))+SUMPRODUCT((CZ3:CZ42=AO74)*(DC3:DC42=AO72)*(DE3:DE42="W"))+SUMPRODUCT((CZ3:CZ42=AO75)*(DC3:DC42=AO72)*(DE3:DE42="W"))</f>
        <v>0</v>
      </c>
      <c r="AQ72" s="2">
        <f>SUMPRODUCT((CZ3:CZ42=AO72)*(DC3:DC42=AO73)*(DD3:DD42="D"))+SUMPRODUCT((CZ3:CZ42=AO72)*(DC3:DC42=AO74)*(DD3:DD42="D"))+SUMPRODUCT((CZ3:CZ42=AO72)*(DC3:DC42=AO75)*(DD3:DD42="D"))+SUMPRODUCT((CZ3:CZ42=AO73)*(DC3:DC42=AO72)*(DD3:DD42="D"))+SUMPRODUCT((CZ3:CZ42=AO74)*(DC3:DC42=AO72)*(DD3:DD42="D"))+SUMPRODUCT((CZ3:CZ42=AO75)*(DC3:DC42=AO72)*(DD3:DD42="D"))</f>
        <v>0</v>
      </c>
      <c r="AR72" s="2">
        <f>SUMPRODUCT((CZ3:CZ42=AO72)*(DC3:DC42=AO73)*(DD3:DD42="L"))+SUMPRODUCT((CZ3:CZ42=AO72)*(DC3:DC42=AO74)*(DD3:DD42="L"))+SUMPRODUCT((CZ3:CZ42=AO72)*(DC3:DC42=AO75)*(DD3:DD42="L"))+SUMPRODUCT((CZ3:CZ42=AO73)*(DC3:DC42=AO72)*(DE3:DE42="L"))+SUMPRODUCT((CZ3:CZ42=AO74)*(DC3:DC42=AO72)*(DE3:DE42="L"))+SUMPRODUCT((CZ3:CZ42=AO75)*(DC3:DC42=AO72)*(DE3:DE42="L"))</f>
        <v>0</v>
      </c>
      <c r="AS72" s="2">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2">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2">
        <f>AS72-AT72+1000</f>
        <v>1000</v>
      </c>
      <c r="AV72" s="2" t="str">
        <f t="shared" ref="AV72:AV74" si="104">IF(AO72&lt;&gt;"",AP72*3+AQ72*1,"")</f>
        <v/>
      </c>
      <c r="AW72" s="2" t="str">
        <f>IF(AO72&lt;&gt;"",VLOOKUP(AO72,B4:H40,7,FALSE),"")</f>
        <v/>
      </c>
      <c r="AX72" s="2" t="str">
        <f>IF(AO72&lt;&gt;"",VLOOKUP(AO72,B4:H40,5,FALSE),"")</f>
        <v/>
      </c>
      <c r="AY72" s="2" t="str">
        <f>IF(AO72&lt;&gt;"",VLOOKUP(AO72,B4:J40,9,FALSE),"")</f>
        <v/>
      </c>
      <c r="AZ72" s="2" t="str">
        <f t="shared" ref="AZ72:AZ74" si="105">AV72</f>
        <v/>
      </c>
      <c r="BA72" s="2" t="str">
        <f>IF(AO72&lt;&gt;"",RANK(AZ72,AZ71:AZ74),"")</f>
        <v/>
      </c>
      <c r="BB72" s="2" t="str">
        <f>IF(AO72&lt;&gt;"",SUMPRODUCT((AZ71:AZ74=AZ72)*(AU71:AU74&gt;AU72)),"")</f>
        <v/>
      </c>
      <c r="BC72" s="2" t="str">
        <f>IF(AO72&lt;&gt;"",SUMPRODUCT((AZ71:AZ74=AZ72)*(AU71:AU74=AU72)*(AS71:AS74&gt;AS72)),"")</f>
        <v/>
      </c>
      <c r="BD72" s="2" t="str">
        <f>IF(AO72&lt;&gt;"",SUMPRODUCT((AZ71:AZ74=AZ72)*(AU71:AU74=AU72)*(AS71:AS74=AS72)*(AW71:AW74&gt;AW72)),"")</f>
        <v/>
      </c>
      <c r="BE72" s="2" t="str">
        <f>IF(AO72&lt;&gt;"",SUMPRODUCT((AZ71:AZ74=AZ72)*(AU71:AU74=AU72)*(AS71:AS74=AS72)*(AW71:AW74=AW72)*(AX71:AX74&gt;AX72)),"")</f>
        <v/>
      </c>
      <c r="BF72" s="2" t="str">
        <f>IF(AO72&lt;&gt;"",SUMPRODUCT((AZ71:AZ74=AZ72)*(AU71:AU74=AU72)*(AS71:AS74=AS72)*(AW71:AW74=AW72)*(AX71:AX74=AX72)*(AY71:AY74&gt;AY72)),"")</f>
        <v/>
      </c>
      <c r="BG72" s="2" t="str">
        <f>IF(AO72&lt;&gt;"",SUM(BA72:BF72)+1,"")</f>
        <v/>
      </c>
      <c r="EH72" s="42" t="e">
        <f>Fixtures!#REF!</f>
        <v>#REF!</v>
      </c>
      <c r="EJ72" s="42" t="str">
        <f>IF(ISERROR("'Countries and Timezone'!"&amp;VLOOKUP(EH72,'Dummy Table'!EH7:EI38,2,FALSE)),"'Countries and Timezone'!b39","'Countries and Timezone'!"&amp;VLOOKUP(EH72,'Dummy Table'!EH7:EI38,2,FALSE))</f>
        <v>'Countries and Timezone'!b39</v>
      </c>
      <c r="EP72" s="2">
        <v>2</v>
      </c>
      <c r="EQ72" s="2" t="s">
        <v>637</v>
      </c>
      <c r="ER72" s="2" t="s">
        <v>636</v>
      </c>
    </row>
    <row r="73" spans="9:148" x14ac:dyDescent="0.25">
      <c r="I73" s="2">
        <f>SUMPRODUCT((I31:I34=I33)*(H31:H34=H33)*(F31:F34&gt;F33))+1</f>
        <v>1</v>
      </c>
      <c r="T73" s="2">
        <f>IF(U33&lt;&gt;"",SUMPRODUCT((AB31:AB34=AB33)*(AA31:AA34=AA33)*(Y31:Y34=Y33)*(Z31:Z34=Z33)),"")</f>
        <v>4</v>
      </c>
      <c r="U73" s="2" t="str">
        <f t="shared" si="100"/>
        <v>Romania</v>
      </c>
      <c r="V73" s="2">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2">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2">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2">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2">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2">
        <f>Y73-Z73+1000</f>
        <v>1000</v>
      </c>
      <c r="AB73" s="2">
        <f t="shared" si="101"/>
        <v>0</v>
      </c>
      <c r="AC73" s="2">
        <f>IF(U73&lt;&gt;"",VLOOKUP(U73,B4:H40,7,FALSE),"")</f>
        <v>1000</v>
      </c>
      <c r="AD73" s="2">
        <f>IF(U73&lt;&gt;"",VLOOKUP(U73,B4:H40,5,FALSE),"")</f>
        <v>0</v>
      </c>
      <c r="AE73" s="2">
        <f>IF(U73&lt;&gt;"",VLOOKUP(U73,B4:J40,9,FALSE),"")</f>
        <v>46</v>
      </c>
      <c r="AF73" s="2">
        <f t="shared" si="102"/>
        <v>0</v>
      </c>
      <c r="AG73" s="2">
        <f>IF(U73&lt;&gt;"",RANK(AF73,AF71:AF74),"")</f>
        <v>1</v>
      </c>
      <c r="AH73" s="2">
        <f>IF(U73&lt;&gt;"",SUMPRODUCT((AF71:AF74=AF73)*(AA71:AA74&gt;AA73)),"")</f>
        <v>0</v>
      </c>
      <c r="AI73" s="2">
        <f>IF(U73&lt;&gt;"",SUMPRODUCT((AF71:AF74=AF73)*(AA71:AA74=AA73)*(Y71:Y74&gt;Y73)),"")</f>
        <v>0</v>
      </c>
      <c r="AJ73" s="2">
        <f>IF(U73&lt;&gt;"",SUMPRODUCT((AF71:AF74=AF73)*(AA71:AA74=AA73)*(Y71:Y74=Y73)*(AC71:AC74&gt;AC73)),"")</f>
        <v>0</v>
      </c>
      <c r="AK73" s="2">
        <f>IF(U73&lt;&gt;"",SUMPRODUCT((AF71:AF74=AF73)*(AA71:AA74=AA73)*(Y71:Y74=Y73)*(AC71:AC74=AC73)*(AD71:AD74&gt;AD73)),"")</f>
        <v>0</v>
      </c>
      <c r="AL73" s="2">
        <f>IF(U73&lt;&gt;"",SUMPRODUCT((AF71:AF74=AF73)*(AA71:AA74=AA73)*(Y71:Y74=Y73)*(AC71:AC74=AC73)*(AD71:AD74=AD73)*(AE71:AE74&gt;AE73)),"")</f>
        <v>1</v>
      </c>
      <c r="AM73" s="2">
        <f>IF(U73&lt;&gt;"",SUM(AG73:AL73),"")</f>
        <v>2</v>
      </c>
      <c r="AN73" s="2" t="str">
        <f>IF(AO33&lt;&gt;"",SUMPRODUCT((AV31:AV34=AV33)*(AU31:AU34=AU33)*(AS31:AS34=AS33)*(AT31:AT34=AT33)),"")</f>
        <v/>
      </c>
      <c r="AO73" s="2" t="str">
        <f t="shared" si="103"/>
        <v/>
      </c>
      <c r="AP73" s="2">
        <f>SUMPRODUCT((CZ3:CZ42=AO73)*(DC3:DC42=AO74)*(DD3:DD42="W"))+SUMPRODUCT((CZ3:CZ42=AO73)*(DC3:DC42=AO75)*(DD3:DD42="W"))+SUMPRODUCT((CZ3:CZ42=AO73)*(DC3:DC42=AO72)*(DD3:DD42="W"))+SUMPRODUCT((CZ3:CZ42=AO74)*(DC3:DC42=AO73)*(DE3:DE42="W"))+SUMPRODUCT((CZ3:CZ42=AO75)*(DC3:DC42=AO73)*(DE3:DE42="W"))+SUMPRODUCT((CZ3:CZ42=AO72)*(DC3:DC42=AO73)*(DE3:DE42="W"))</f>
        <v>0</v>
      </c>
      <c r="AQ73" s="2">
        <f>SUMPRODUCT((CZ3:CZ42=AO73)*(DC3:DC42=AO74)*(DD3:DD42="D"))+SUMPRODUCT((CZ3:CZ42=AO73)*(DC3:DC42=AO75)*(DD3:DD42="D"))+SUMPRODUCT((CZ3:CZ42=AO73)*(DC3:DC42=AO72)*(DD3:DD42="D"))+SUMPRODUCT((CZ3:CZ42=AO74)*(DC3:DC42=AO73)*(DD3:DD42="D"))+SUMPRODUCT((CZ3:CZ42=AO75)*(DC3:DC42=AO73)*(DD3:DD42="D"))+SUMPRODUCT((CZ3:CZ42=AO72)*(DC3:DC42=AO73)*(DD3:DD42="D"))</f>
        <v>0</v>
      </c>
      <c r="AR73" s="2">
        <f>SUMPRODUCT((CZ3:CZ42=AO73)*(DC3:DC42=AO74)*(DD3:DD42="L"))+SUMPRODUCT((CZ3:CZ42=AO73)*(DC3:DC42=AO75)*(DD3:DD42="L"))+SUMPRODUCT((CZ3:CZ42=AO73)*(DC3:DC42=AO72)*(DD3:DD42="L"))+SUMPRODUCT((CZ3:CZ42=AO74)*(DC3:DC42=AO73)*(DE3:DE42="L"))+SUMPRODUCT((CZ3:CZ42=AO75)*(DC3:DC42=AO73)*(DE3:DE42="L"))+SUMPRODUCT((CZ3:CZ42=AO72)*(DC3:DC42=AO73)*(DE3:DE42="L"))</f>
        <v>0</v>
      </c>
      <c r="AS73" s="2">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2">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2">
        <f>AS73-AT73+1000</f>
        <v>1000</v>
      </c>
      <c r="AV73" s="2" t="str">
        <f t="shared" si="104"/>
        <v/>
      </c>
      <c r="AW73" s="2" t="str">
        <f>IF(AO73&lt;&gt;"",VLOOKUP(AO73,B4:H40,7,FALSE),"")</f>
        <v/>
      </c>
      <c r="AX73" s="2" t="str">
        <f>IF(AO73&lt;&gt;"",VLOOKUP(AO73,B4:H40,5,FALSE),"")</f>
        <v/>
      </c>
      <c r="AY73" s="2" t="str">
        <f>IF(AO73&lt;&gt;"",VLOOKUP(AO73,B4:J40,9,FALSE),"")</f>
        <v/>
      </c>
      <c r="AZ73" s="2" t="str">
        <f t="shared" si="105"/>
        <v/>
      </c>
      <c r="BA73" s="2" t="str">
        <f>IF(AO73&lt;&gt;"",RANK(AZ73,AZ71:AZ74),"")</f>
        <v/>
      </c>
      <c r="BB73" s="2" t="str">
        <f>IF(AO73&lt;&gt;"",SUMPRODUCT((AZ71:AZ74=AZ73)*(AU71:AU74&gt;AU73)),"")</f>
        <v/>
      </c>
      <c r="BC73" s="2" t="str">
        <f>IF(AO73&lt;&gt;"",SUMPRODUCT((AZ71:AZ74=AZ73)*(AU71:AU74=AU73)*(AS71:AS74&gt;AS73)),"")</f>
        <v/>
      </c>
      <c r="BD73" s="2" t="str">
        <f>IF(AO73&lt;&gt;"",SUMPRODUCT((AZ71:AZ74=AZ73)*(AU71:AU74=AU73)*(AS71:AS74=AS73)*(AW71:AW74&gt;AW73)),"")</f>
        <v/>
      </c>
      <c r="BE73" s="2" t="str">
        <f>IF(AO73&lt;&gt;"",SUMPRODUCT((AZ71:AZ74=AZ73)*(AU71:AU74=AU73)*(AS71:AS74=AS73)*(AW71:AW74=AW73)*(AX71:AX74&gt;AX73)),"")</f>
        <v/>
      </c>
      <c r="BF73" s="2" t="str">
        <f>IF(AO73&lt;&gt;"",SUMPRODUCT((AZ71:AZ74=AZ73)*(AU71:AU74=AU73)*(AS71:AS74=AS73)*(AW71:AW74=AW73)*(AX71:AX74=AX73)*(AY71:AY74&gt;AY73)),"")</f>
        <v/>
      </c>
      <c r="BG73" s="2" t="str">
        <f t="shared" ref="BG73:BG74" si="106">IF(AO73&lt;&gt;"",SUM(BA73:BF73)+1,"")</f>
        <v/>
      </c>
      <c r="EH73" s="42" t="e">
        <f>Fixtures!#REF!</f>
        <v>#REF!</v>
      </c>
      <c r="EJ73" s="42" t="str">
        <f>IF(ISERROR("'Countries and Timezone'!"&amp;VLOOKUP(EH73,'Dummy Table'!EH7:EI38,2,FALSE)),"'Countries and Timezone'!b39","'Countries and Timezone'!"&amp;VLOOKUP(EH73,'Dummy Table'!EH7:EI38,2,FALSE))</f>
        <v>'Countries and Timezone'!b39</v>
      </c>
      <c r="EP73" s="2">
        <v>2</v>
      </c>
      <c r="EQ73" s="2" t="s">
        <v>639</v>
      </c>
      <c r="ER73" s="2" t="s">
        <v>638</v>
      </c>
    </row>
    <row r="74" spans="9:148" x14ac:dyDescent="0.25">
      <c r="I74" s="2">
        <f>SUMPRODUCT((I31:I34=I34)*(H31:H34=H34)*(F31:F34&gt;F34))+1</f>
        <v>1</v>
      </c>
      <c r="T74" s="2">
        <f>IF(U34&lt;&gt;"",SUMPRODUCT((AB31:AB34=AB34)*(AA31:AA34=AA34)*(Y31:Y34=Y34)*(Z31:Z34=Z34)),"")</f>
        <v>4</v>
      </c>
      <c r="U74" s="2" t="str">
        <f t="shared" si="100"/>
        <v>Belgium</v>
      </c>
      <c r="V74" s="2">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2">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2">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2">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2">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2">
        <f>Y74-Z74+1000</f>
        <v>1000</v>
      </c>
      <c r="AB74" s="2">
        <f t="shared" si="101"/>
        <v>0</v>
      </c>
      <c r="AC74" s="2">
        <f>IF(U74&lt;&gt;"",VLOOKUP(U74,B4:H40,7,FALSE),"")</f>
        <v>1000</v>
      </c>
      <c r="AD74" s="2">
        <f>IF(U74&lt;&gt;"",VLOOKUP(U74,B4:H40,5,FALSE),"")</f>
        <v>0</v>
      </c>
      <c r="AE74" s="2">
        <f>IF(U74&lt;&gt;"",VLOOKUP(U74,B4:J40,9,FALSE),"")</f>
        <v>50</v>
      </c>
      <c r="AF74" s="2">
        <f t="shared" si="102"/>
        <v>0</v>
      </c>
      <c r="AG74" s="2">
        <f>IF(U74&lt;&gt;"",RANK(AF74,AF71:AF74),"")</f>
        <v>1</v>
      </c>
      <c r="AH74" s="2">
        <f>IF(U74&lt;&gt;"",SUMPRODUCT((AF71:AF74=AF74)*(AA71:AA74&gt;AA74)),"")</f>
        <v>0</v>
      </c>
      <c r="AI74" s="2">
        <f>IF(U74&lt;&gt;"",SUMPRODUCT((AF71:AF74=AF74)*(AA71:AA74=AA74)*(Y71:Y74&gt;Y74)),"")</f>
        <v>0</v>
      </c>
      <c r="AJ74" s="2">
        <f>IF(U74&lt;&gt;"",SUMPRODUCT((AF71:AF74=AF74)*(AA71:AA74=AA74)*(Y71:Y74=Y74)*(AC71:AC74&gt;AC74)),"")</f>
        <v>0</v>
      </c>
      <c r="AK74" s="2">
        <f>IF(U74&lt;&gt;"",SUMPRODUCT((AF71:AF74=AF74)*(AA71:AA74=AA74)*(Y71:Y74=Y74)*(AC71:AC74=AC74)*(AD71:AD74&gt;AD74)),"")</f>
        <v>0</v>
      </c>
      <c r="AL74" s="2">
        <f>IF(U74&lt;&gt;"",SUMPRODUCT((AF71:AF74=AF74)*(AA71:AA74=AA74)*(Y71:Y74=Y74)*(AC71:AC74=AC74)*(AD71:AD74=AD74)*(AE71:AE74&gt;AE74)),"")</f>
        <v>0</v>
      </c>
      <c r="AM74" s="2">
        <f>IF(U74&lt;&gt;"",SUM(AG74:AL74),"")</f>
        <v>1</v>
      </c>
      <c r="AN74" s="2" t="str">
        <f>IF(AO34&lt;&gt;"",SUMPRODUCT((AV31:AV34=AV34)*(AU31:AU34=AU34)*(AS31:AS34=AS34)*(AT31:AT34=AT34)),"")</f>
        <v/>
      </c>
      <c r="AO74" s="2" t="str">
        <f t="shared" si="103"/>
        <v/>
      </c>
      <c r="AP74" s="2" t="str">
        <f>IF(AO74&lt;&gt;"",SUMPRODUCT((CZ3:CZ42=AO74)*(DC3:DC42=AO75)*(DD3:DD42="W"))+SUMPRODUCT((CZ3:CZ42=AO74)*(DC3:DC42=AO72)*(DD3:DD42="W"))+SUMPRODUCT((CZ3:CZ42=AO74)*(DC3:DC42=AO73)*(DD3:DD42="W"))+SUMPRODUCT((CZ3:CZ42=AO75)*(DC3:DC42=AO74)*(DE3:DE42="W"))+SUMPRODUCT((CZ3:CZ42=AO72)*(DC3:DC42=AO74)*(DE3:DE42="W"))+SUMPRODUCT((CZ3:CZ42=AO73)*(DC3:DC42=AO74)*(DE3:DE42="W")),"")</f>
        <v/>
      </c>
      <c r="AQ74" s="2" t="str">
        <f>IF(AO74&lt;&gt;"",SUMPRODUCT((CZ3:CZ42=AO74)*(DC3:DC42=AO75)*(DD3:DD42="D"))+SUMPRODUCT((CZ3:CZ42=AO74)*(DC3:DC42=AO72)*(DD3:DD42="D"))+SUMPRODUCT((CZ3:CZ42=AO74)*(DC3:DC42=AO73)*(DD3:DD42="D"))+SUMPRODUCT((CZ3:CZ42=AO75)*(DC3:DC42=AO74)*(DD3:DD42="D"))+SUMPRODUCT((CZ3:CZ42=AO72)*(DC3:DC42=AO74)*(DD3:DD42="D"))+SUMPRODUCT((CZ3:CZ42=AO73)*(DC3:DC42=AO74)*(DD3:DD42="D")),"")</f>
        <v/>
      </c>
      <c r="AR74" s="2" t="str">
        <f>IF(AO74&lt;&gt;"",SUMPRODUCT((CZ3:CZ42=AO74)*(DC3:DC42=AO75)*(DD3:DD42="L"))+SUMPRODUCT((CZ3:CZ42=AO74)*(DC3:DC42=AO72)*(DD3:DD42="L"))+SUMPRODUCT((CZ3:CZ42=AO74)*(DC3:DC42=AO73)*(DD3:DD42="L"))+SUMPRODUCT((CZ3:CZ42=AO75)*(DC3:DC42=AO74)*(DE3:DE42="L"))+SUMPRODUCT((CZ3:CZ42=AO72)*(DC3:DC42=AO74)*(DE3:DE42="L"))+SUMPRODUCT((CZ3:CZ42=AO73)*(DC3:DC42=AO74)*(DE3:DE42="L")),"")</f>
        <v/>
      </c>
      <c r="AS74" s="2">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2">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2">
        <f>AS74-AT74+1000</f>
        <v>1000</v>
      </c>
      <c r="AV74" s="2" t="str">
        <f t="shared" si="104"/>
        <v/>
      </c>
      <c r="AW74" s="2" t="str">
        <f>IF(AO74&lt;&gt;"",VLOOKUP(AO74,B4:H40,7,FALSE),"")</f>
        <v/>
      </c>
      <c r="AX74" s="2" t="str">
        <f>IF(AO74&lt;&gt;"",VLOOKUP(AO74,B4:H40,5,FALSE),"")</f>
        <v/>
      </c>
      <c r="AY74" s="2" t="str">
        <f>IF(AO74&lt;&gt;"",VLOOKUP(AO74,B4:J40,9,FALSE),"")</f>
        <v/>
      </c>
      <c r="AZ74" s="2" t="str">
        <f t="shared" si="105"/>
        <v/>
      </c>
      <c r="BA74" s="2" t="str">
        <f>IF(AO74&lt;&gt;"",RANK(AZ74,AZ71:AZ74),"")</f>
        <v/>
      </c>
      <c r="BB74" s="2" t="str">
        <f>IF(AO74&lt;&gt;"",SUMPRODUCT((AZ71:AZ74=AZ74)*(AU71:AU74&gt;AU74)),"")</f>
        <v/>
      </c>
      <c r="BC74" s="2" t="str">
        <f>IF(AO74&lt;&gt;"",SUMPRODUCT((AZ71:AZ74=AZ74)*(AU71:AU74=AU74)*(AS71:AS74&gt;AS74)),"")</f>
        <v/>
      </c>
      <c r="BD74" s="2" t="str">
        <f>IF(AO74&lt;&gt;"",SUMPRODUCT((AZ71:AZ74=AZ74)*(AU71:AU74=AU74)*(AS71:AS74=AS74)*(AW71:AW74&gt;AW74)),"")</f>
        <v/>
      </c>
      <c r="BE74" s="2" t="str">
        <f>IF(AO74&lt;&gt;"",SUMPRODUCT((AZ71:AZ74=AZ74)*(AU71:AU74=AU74)*(AS71:AS74=AS74)*(AW71:AW74=AW74)*(AX71:AX74&gt;AX74)),"")</f>
        <v/>
      </c>
      <c r="BF74" s="2" t="str">
        <f>IF(AO74&lt;&gt;"",SUMPRODUCT((AZ71:AZ74=AZ74)*(AU71:AU74=AU74)*(AS71:AS74=AS74)*(AW71:AW74=AW74)*(AX71:AX74=AX74)*(AY71:AY74&gt;AY74)),"")</f>
        <v/>
      </c>
      <c r="BG74" s="2" t="str">
        <f t="shared" si="106"/>
        <v/>
      </c>
      <c r="EP74" s="2">
        <v>2</v>
      </c>
      <c r="EQ74" s="2" t="s">
        <v>641</v>
      </c>
      <c r="ER74" s="2" t="s">
        <v>640</v>
      </c>
    </row>
    <row r="75" spans="9:148" x14ac:dyDescent="0.25">
      <c r="EP75" s="2">
        <v>3</v>
      </c>
      <c r="EQ75" s="2" t="s">
        <v>643</v>
      </c>
      <c r="ER75" s="2" t="s">
        <v>642</v>
      </c>
    </row>
    <row r="76" spans="9:148" x14ac:dyDescent="0.25">
      <c r="T76" s="2">
        <f>IF(U77="",SUM(AG37:AL37),IF(U78="",SUM(AG38:AL38),IF(U79="",SUM(AG39:AL39),IF(U80="",SUM(AG40:AL40),0))))</f>
        <v>0</v>
      </c>
      <c r="AN76" s="2">
        <f>IF(AO78="",SUM(BA38:BF38),IF(AO79="",SUM(BA39:BF39),IF(AO80="",SUM(BA40:BF40),0)))</f>
        <v>0</v>
      </c>
      <c r="EP76" s="2">
        <v>3</v>
      </c>
      <c r="EQ76" s="2" t="s">
        <v>645</v>
      </c>
      <c r="ER76" s="2" t="s">
        <v>644</v>
      </c>
    </row>
    <row r="77" spans="9:148" x14ac:dyDescent="0.25">
      <c r="I77" s="2">
        <f>SUMPRODUCT((I37:I40=I37)*(H37:H40=H37)*(F37:F40&gt;F37))+1</f>
        <v>1</v>
      </c>
      <c r="T77" s="2">
        <f>IF(U37&lt;&gt;"",SUMPRODUCT((AB37:AB40=AB37)*(AA37:AA40=AA37)*(Y37:Y40=Y37)*(Z37:Z40=Z37)),"")</f>
        <v>4</v>
      </c>
      <c r="U77" s="2" t="str">
        <f>IF(AND(T77&lt;&gt;"",T77&gt;1),U37,"")</f>
        <v>Georgia</v>
      </c>
      <c r="V77" s="2">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2">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2">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2">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2">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2">
        <f>Y77-Z77+1000</f>
        <v>1000</v>
      </c>
      <c r="AB77" s="2">
        <f>IF(U77&lt;&gt;"",V77*3+W77*1,"")</f>
        <v>0</v>
      </c>
      <c r="AC77" s="2">
        <f>IF(U77&lt;&gt;"",VLOOKUP(U77,B4:H40,7,FALSE),"")</f>
        <v>1000</v>
      </c>
      <c r="AD77" s="2">
        <f>IF(U77&lt;&gt;"",VLOOKUP(U77,B4:H40,5,FALSE),"")</f>
        <v>0</v>
      </c>
      <c r="AE77" s="2">
        <f>IF(U77&lt;&gt;"",VLOOKUP(U77,B4:J40,9,FALSE),"")</f>
        <v>0</v>
      </c>
      <c r="AF77" s="2">
        <f>AB77</f>
        <v>0</v>
      </c>
      <c r="AG77" s="2">
        <f>IF(U77&lt;&gt;"",RANK(AF77,AF77:AF80),"")</f>
        <v>1</v>
      </c>
      <c r="AH77" s="2">
        <f>IF(U77&lt;&gt;"",SUMPRODUCT((AF77:AF80=AF77)*(AA77:AA80&gt;AA77)),"")</f>
        <v>0</v>
      </c>
      <c r="AI77" s="2">
        <f>IF(U77&lt;&gt;"",SUMPRODUCT((AF77:AF80=AF77)*(AA77:AA80=AA77)*(Y77:Y80&gt;Y77)),"")</f>
        <v>0</v>
      </c>
      <c r="AJ77" s="2">
        <f>IF(U77&lt;&gt;"",SUMPRODUCT((AF77:AF80=AF77)*(AA77:AA80=AA77)*(Y77:Y80=Y77)*(AC77:AC80&gt;AC77)),"")</f>
        <v>0</v>
      </c>
      <c r="AK77" s="2">
        <f>IF(U77&lt;&gt;"",SUMPRODUCT((AF77:AF80=AF77)*(AA77:AA80=AA77)*(Y77:Y80=Y77)*(AC77:AC80=AC77)*(AD77:AD80&gt;AD77)),"")</f>
        <v>0</v>
      </c>
      <c r="AL77" s="2">
        <f>IF(U77&lt;&gt;"",SUMPRODUCT((AF77:AF80=AF77)*(AA77:AA80=AA77)*(Y77:Y80=Y77)*(AC77:AC80=AC77)*(AD77:AD80=AD77)*(AE77:AE80&gt;AE77)),"")</f>
        <v>3</v>
      </c>
      <c r="AM77" s="2">
        <f>IF(U77&lt;&gt;"",SUM(AG77:AL77),"")</f>
        <v>4</v>
      </c>
      <c r="EP77" s="2">
        <v>3</v>
      </c>
      <c r="EQ77" s="2" t="s">
        <v>647</v>
      </c>
      <c r="ER77" s="2" t="s">
        <v>646</v>
      </c>
    </row>
    <row r="78" spans="9:148" x14ac:dyDescent="0.25">
      <c r="I78" s="2">
        <f>SUMPRODUCT((I37:I40=I38)*(H37:H40=H38)*(F37:F40&gt;F38))+1</f>
        <v>1</v>
      </c>
      <c r="T78" s="2">
        <f>IF(U38&lt;&gt;"",SUMPRODUCT((AB37:AB40=AB38)*(AA37:AA40=AA38)*(Y37:Y40=Y38)*(Z37:Z40=Z38)),"")</f>
        <v>4</v>
      </c>
      <c r="U78" s="2" t="str">
        <f t="shared" ref="U78:U80" si="107">IF(AND(T78&lt;&gt;"",T78&gt;1),U38,"")</f>
        <v>Czechia</v>
      </c>
      <c r="V78" s="2">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2">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2">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2">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2">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2">
        <f>Y78-Z78+1000</f>
        <v>1000</v>
      </c>
      <c r="AB78" s="2">
        <f t="shared" ref="AB78:AB80" si="108">IF(U78&lt;&gt;"",V78*3+W78*1,"")</f>
        <v>0</v>
      </c>
      <c r="AC78" s="2">
        <f>IF(U78&lt;&gt;"",VLOOKUP(U78,B4:H40,7,FALSE),"")</f>
        <v>1000</v>
      </c>
      <c r="AD78" s="2">
        <f>IF(U78&lt;&gt;"",VLOOKUP(U78,B4:H40,5,FALSE),"")</f>
        <v>0</v>
      </c>
      <c r="AE78" s="2">
        <f>IF(U78&lt;&gt;"",VLOOKUP(U78,B4:J40,9,FALSE),"")</f>
        <v>37</v>
      </c>
      <c r="AF78" s="2">
        <f t="shared" ref="AF78:AF80" si="109">AB78</f>
        <v>0</v>
      </c>
      <c r="AG78" s="2">
        <f>IF(U78&lt;&gt;"",RANK(AF78,AF77:AF80),"")</f>
        <v>1</v>
      </c>
      <c r="AH78" s="2">
        <f>IF(U78&lt;&gt;"",SUMPRODUCT((AF77:AF80=AF78)*(AA77:AA80&gt;AA78)),"")</f>
        <v>0</v>
      </c>
      <c r="AI78" s="2">
        <f>IF(U78&lt;&gt;"",SUMPRODUCT((AF77:AF80=AF78)*(AA77:AA80=AA78)*(Y77:Y80&gt;Y78)),"")</f>
        <v>0</v>
      </c>
      <c r="AJ78" s="2">
        <f>IF(U78&lt;&gt;"",SUMPRODUCT((AF77:AF80=AF78)*(AA77:AA80=AA78)*(Y77:Y80=Y78)*(AC77:AC80&gt;AC78)),"")</f>
        <v>0</v>
      </c>
      <c r="AK78" s="2">
        <f>IF(U78&lt;&gt;"",SUMPRODUCT((AF77:AF80=AF78)*(AA77:AA80=AA78)*(Y77:Y80=Y78)*(AC77:AC80=AC78)*(AD77:AD80&gt;AD78)),"")</f>
        <v>0</v>
      </c>
      <c r="AL78" s="2">
        <f>IF(U78&lt;&gt;"",SUMPRODUCT((AF77:AF80=AF78)*(AA77:AA80=AA78)*(Y77:Y80=Y78)*(AC77:AC80=AC78)*(AD77:AD80=AD78)*(AE77:AE80&gt;AE78)),"")</f>
        <v>2</v>
      </c>
      <c r="AM78" s="2">
        <f>IF(U78&lt;&gt;"",SUM(AG78:AL78),"")</f>
        <v>3</v>
      </c>
      <c r="AN78" s="2" t="str">
        <f>IF(AO38&lt;&gt;"",SUMPRODUCT((AV37:AV40=AV38)*(AU37:AU40=AU38)*(AS37:AS40=AS38)*(AT37:AT40=AT38)),"")</f>
        <v/>
      </c>
      <c r="AO78" s="2" t="str">
        <f t="shared" ref="AO78:AO80" si="110">IF(AND(AN78&lt;&gt;"",AN78&gt;1),AO38,"")</f>
        <v/>
      </c>
      <c r="AP78" s="2">
        <f>SUMPRODUCT((CZ3:CZ42=AO78)*(DC3:DC42=AO79)*(DD3:DD42="W"))+SUMPRODUCT((CZ3:CZ42=AO78)*(DC3:DC42=AO80)*(DD3:DD42="W"))+SUMPRODUCT((CZ3:CZ42=AO78)*(DC3:DC42=AO81)*(DD3:DD42="W"))+SUMPRODUCT((CZ3:CZ42=AO79)*(DC3:DC42=AO78)*(DE3:DE42="W"))+SUMPRODUCT((CZ3:CZ42=AO80)*(DC3:DC42=AO78)*(DE3:DE42="W"))+SUMPRODUCT((CZ3:CZ42=AO81)*(DC3:DC42=AO78)*(DE3:DE42="W"))</f>
        <v>0</v>
      </c>
      <c r="AQ78" s="2">
        <f>SUMPRODUCT((CZ3:CZ42=AO78)*(DC3:DC42=AO79)*(DD3:DD42="D"))+SUMPRODUCT((CZ3:CZ42=AO78)*(DC3:DC42=AO80)*(DD3:DD42="D"))+SUMPRODUCT((CZ3:CZ42=AO78)*(DC3:DC42=AO81)*(DD3:DD42="D"))+SUMPRODUCT((CZ3:CZ42=AO79)*(DC3:DC42=AO78)*(DD3:DD42="D"))+SUMPRODUCT((CZ3:CZ42=AO80)*(DC3:DC42=AO78)*(DD3:DD42="D"))+SUMPRODUCT((CZ3:CZ42=AO81)*(DC3:DC42=AO78)*(DD3:DD42="D"))</f>
        <v>0</v>
      </c>
      <c r="AR78" s="2">
        <f>SUMPRODUCT((CZ3:CZ42=AO78)*(DC3:DC42=AO79)*(DD3:DD42="L"))+SUMPRODUCT((CZ3:CZ42=AO78)*(DC3:DC42=AO80)*(DD3:DD42="L"))+SUMPRODUCT((CZ3:CZ42=AO78)*(DC3:DC42=AO81)*(DD3:DD42="L"))+SUMPRODUCT((CZ3:CZ42=AO79)*(DC3:DC42=AO78)*(DE3:DE42="L"))+SUMPRODUCT((CZ3:CZ42=AO80)*(DC3:DC42=AO78)*(DE3:DE42="L"))+SUMPRODUCT((CZ3:CZ42=AO81)*(DC3:DC42=AO78)*(DE3:DE42="L"))</f>
        <v>0</v>
      </c>
      <c r="AS78" s="2">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2">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2">
        <f>AS78-AT78+1000</f>
        <v>1000</v>
      </c>
      <c r="AV78" s="2" t="str">
        <f t="shared" ref="AV78:AV80" si="111">IF(AO78&lt;&gt;"",AP78*3+AQ78*1,"")</f>
        <v/>
      </c>
      <c r="AW78" s="2" t="str">
        <f>IF(AO78&lt;&gt;"",VLOOKUP(AO78,B4:H40,7,FALSE),"")</f>
        <v/>
      </c>
      <c r="AX78" s="2" t="str">
        <f>IF(AO78&lt;&gt;"",VLOOKUP(AO78,B4:H40,5,FALSE),"")</f>
        <v/>
      </c>
      <c r="AY78" s="2" t="str">
        <f>IF(AO78&lt;&gt;"",VLOOKUP(AO78,B4:J40,9,FALSE),"")</f>
        <v/>
      </c>
      <c r="AZ78" s="2" t="str">
        <f t="shared" ref="AZ78:AZ80" si="112">AV78</f>
        <v/>
      </c>
      <c r="BA78" s="2" t="str">
        <f>IF(AO78&lt;&gt;"",RANK(AZ78,AZ77:AZ80),"")</f>
        <v/>
      </c>
      <c r="BB78" s="2" t="str">
        <f>IF(AO78&lt;&gt;"",SUMPRODUCT((AZ77:AZ80=AZ78)*(AU77:AU80&gt;AU78)),"")</f>
        <v/>
      </c>
      <c r="BC78" s="2" t="str">
        <f>IF(AO78&lt;&gt;"",SUMPRODUCT((AZ77:AZ80=AZ78)*(AU77:AU80=AU78)*(AS77:AS80&gt;AS78)),"")</f>
        <v/>
      </c>
      <c r="BD78" s="2" t="str">
        <f>IF(AO78&lt;&gt;"",SUMPRODUCT((AZ77:AZ80=AZ78)*(AU77:AU80=AU78)*(AS77:AS80=AS78)*(AW77:AW80&gt;AW78)),"")</f>
        <v/>
      </c>
      <c r="BE78" s="2" t="str">
        <f>IF(AO78&lt;&gt;"",SUMPRODUCT((AZ77:AZ80=AZ78)*(AU77:AU80=AU78)*(AS77:AS80=AS78)*(AW77:AW80=AW78)*(AX77:AX80&gt;AX78)),"")</f>
        <v/>
      </c>
      <c r="BF78" s="2" t="str">
        <f>IF(AO78&lt;&gt;"",SUMPRODUCT((AZ77:AZ80=AZ78)*(AU77:AU80=AU78)*(AS77:AS80=AS78)*(AW77:AW80=AW78)*(AX77:AX80=AX78)*(AY77:AY80&gt;AY78)),"")</f>
        <v/>
      </c>
      <c r="BG78" s="2" t="str">
        <f>IF(AO78&lt;&gt;"",SUM(BA78:BF78)+1,"")</f>
        <v/>
      </c>
      <c r="EP78" s="2">
        <v>3</v>
      </c>
      <c r="EQ78" s="2" t="s">
        <v>649</v>
      </c>
      <c r="ER78" s="2" t="s">
        <v>648</v>
      </c>
    </row>
    <row r="79" spans="9:148" x14ac:dyDescent="0.25">
      <c r="I79" s="2">
        <f>SUMPRODUCT((I37:I40=I39)*(H37:H40=H39)*(F37:F40&gt;F39))+1</f>
        <v>1</v>
      </c>
      <c r="T79" s="2">
        <f>IF(U39&lt;&gt;"",SUMPRODUCT((AB37:AB40=AB39)*(AA37:AA40=AA39)*(Y37:Y40=Y39)*(Z37:Z40=Z39)),"")</f>
        <v>4</v>
      </c>
      <c r="U79" s="2" t="str">
        <f t="shared" si="107"/>
        <v>Türkiye</v>
      </c>
      <c r="V79" s="2">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2">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2">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2">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2">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2">
        <f>Y79-Z79+1000</f>
        <v>1000</v>
      </c>
      <c r="AB79" s="2">
        <f t="shared" si="108"/>
        <v>0</v>
      </c>
      <c r="AC79" s="2">
        <f>IF(U79&lt;&gt;"",VLOOKUP(U79,B4:H40,7,FALSE),"")</f>
        <v>1000</v>
      </c>
      <c r="AD79" s="2">
        <f>IF(U79&lt;&gt;"",VLOOKUP(U79,B4:H40,5,FALSE),"")</f>
        <v>0</v>
      </c>
      <c r="AE79" s="2">
        <f>IF(U79&lt;&gt;"",VLOOKUP(U79,B4:J40,9,FALSE),"")</f>
        <v>47</v>
      </c>
      <c r="AF79" s="2">
        <f t="shared" si="109"/>
        <v>0</v>
      </c>
      <c r="AG79" s="2">
        <f>IF(U79&lt;&gt;"",RANK(AF79,AF77:AF80),"")</f>
        <v>1</v>
      </c>
      <c r="AH79" s="2">
        <f>IF(U79&lt;&gt;"",SUMPRODUCT((AF77:AF80=AF79)*(AA77:AA80&gt;AA79)),"")</f>
        <v>0</v>
      </c>
      <c r="AI79" s="2">
        <f>IF(U79&lt;&gt;"",SUMPRODUCT((AF77:AF80=AF79)*(AA77:AA80=AA79)*(Y77:Y80&gt;Y79)),"")</f>
        <v>0</v>
      </c>
      <c r="AJ79" s="2">
        <f>IF(U79&lt;&gt;"",SUMPRODUCT((AF77:AF80=AF79)*(AA77:AA80=AA79)*(Y77:Y80=Y79)*(AC77:AC80&gt;AC79)),"")</f>
        <v>0</v>
      </c>
      <c r="AK79" s="2">
        <f>IF(U79&lt;&gt;"",SUMPRODUCT((AF77:AF80=AF79)*(AA77:AA80=AA79)*(Y77:Y80=Y79)*(AC77:AC80=AC79)*(AD77:AD80&gt;AD79)),"")</f>
        <v>0</v>
      </c>
      <c r="AL79" s="2">
        <f>IF(U79&lt;&gt;"",SUMPRODUCT((AF77:AF80=AF79)*(AA77:AA80=AA79)*(Y77:Y80=Y79)*(AC77:AC80=AC79)*(AD77:AD80=AD79)*(AE77:AE80&gt;AE79)),"")</f>
        <v>1</v>
      </c>
      <c r="AM79" s="2">
        <f>IF(U79&lt;&gt;"",SUM(AG79:AL79),"")</f>
        <v>2</v>
      </c>
      <c r="AN79" s="2" t="str">
        <f>IF(AO39&lt;&gt;"",SUMPRODUCT((AV37:AV40=AV39)*(AU37:AU40=AU39)*(AS37:AS40=AS39)*(AT37:AT40=AT39)),"")</f>
        <v/>
      </c>
      <c r="AO79" s="2" t="str">
        <f t="shared" si="110"/>
        <v/>
      </c>
      <c r="AP79" s="2">
        <f>SUMPRODUCT((CZ3:CZ42=AO79)*(DC3:DC42=AO80)*(DD3:DD42="W"))+SUMPRODUCT((CZ3:CZ42=AO79)*(DC3:DC42=AO81)*(DD3:DD42="W"))+SUMPRODUCT((CZ3:CZ42=AO79)*(DC3:DC42=AO78)*(DD3:DD42="W"))+SUMPRODUCT((CZ3:CZ42=AO80)*(DC3:DC42=AO79)*(DE3:DE42="W"))+SUMPRODUCT((CZ3:CZ42=AO81)*(DC3:DC42=AO79)*(DE3:DE42="W"))+SUMPRODUCT((CZ3:CZ42=AO78)*(DC3:DC42=AO79)*(DE3:DE42="W"))</f>
        <v>0</v>
      </c>
      <c r="AQ79" s="2">
        <f>SUMPRODUCT((CZ3:CZ42=AO79)*(DC3:DC42=AO80)*(DD3:DD42="D"))+SUMPRODUCT((CZ3:CZ42=AO79)*(DC3:DC42=AO81)*(DD3:DD42="D"))+SUMPRODUCT((CZ3:CZ42=AO79)*(DC3:DC42=AO78)*(DD3:DD42="D"))+SUMPRODUCT((CZ3:CZ42=AO80)*(DC3:DC42=AO79)*(DD3:DD42="D"))+SUMPRODUCT((CZ3:CZ42=AO81)*(DC3:DC42=AO79)*(DD3:DD42="D"))+SUMPRODUCT((CZ3:CZ42=AO78)*(DC3:DC42=AO79)*(DD3:DD42="D"))</f>
        <v>0</v>
      </c>
      <c r="AR79" s="2">
        <f>SUMPRODUCT((CZ3:CZ42=AO79)*(DC3:DC42=AO80)*(DD3:DD42="L"))+SUMPRODUCT((CZ3:CZ42=AO79)*(DC3:DC42=AO81)*(DD3:DD42="L"))+SUMPRODUCT((CZ3:CZ42=AO79)*(DC3:DC42=AO78)*(DD3:DD42="L"))+SUMPRODUCT((CZ3:CZ42=AO80)*(DC3:DC42=AO79)*(DE3:DE42="L"))+SUMPRODUCT((CZ3:CZ42=AO81)*(DC3:DC42=AO79)*(DE3:DE42="L"))+SUMPRODUCT((CZ3:CZ42=AO78)*(DC3:DC42=AO79)*(DE3:DE42="L"))</f>
        <v>0</v>
      </c>
      <c r="AS79" s="2">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2">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2">
        <f>AS79-AT79+1000</f>
        <v>1000</v>
      </c>
      <c r="AV79" s="2" t="str">
        <f t="shared" si="111"/>
        <v/>
      </c>
      <c r="AW79" s="2" t="str">
        <f>IF(AO79&lt;&gt;"",VLOOKUP(AO79,B4:H40,7,FALSE),"")</f>
        <v/>
      </c>
      <c r="AX79" s="2" t="str">
        <f>IF(AO79&lt;&gt;"",VLOOKUP(AO79,B4:H40,5,FALSE),"")</f>
        <v/>
      </c>
      <c r="AY79" s="2" t="str">
        <f>IF(AO79&lt;&gt;"",VLOOKUP(AO79,B4:J40,9,FALSE),"")</f>
        <v/>
      </c>
      <c r="AZ79" s="2" t="str">
        <f t="shared" si="112"/>
        <v/>
      </c>
      <c r="BA79" s="2" t="str">
        <f>IF(AO79&lt;&gt;"",RANK(AZ79,AZ77:AZ80),"")</f>
        <v/>
      </c>
      <c r="BB79" s="2" t="str">
        <f>IF(AO79&lt;&gt;"",SUMPRODUCT((AZ77:AZ80=AZ79)*(AU77:AU80&gt;AU79)),"")</f>
        <v/>
      </c>
      <c r="BC79" s="2" t="str">
        <f>IF(AO79&lt;&gt;"",SUMPRODUCT((AZ77:AZ80=AZ79)*(AU77:AU80=AU79)*(AS77:AS80&gt;AS79)),"")</f>
        <v/>
      </c>
      <c r="BD79" s="2" t="str">
        <f>IF(AO79&lt;&gt;"",SUMPRODUCT((AZ77:AZ80=AZ79)*(AU77:AU80=AU79)*(AS77:AS80=AS79)*(AW77:AW80&gt;AW79)),"")</f>
        <v/>
      </c>
      <c r="BE79" s="2" t="str">
        <f>IF(AO79&lt;&gt;"",SUMPRODUCT((AZ77:AZ80=AZ79)*(AU77:AU80=AU79)*(AS77:AS80=AS79)*(AW77:AW80=AW79)*(AX77:AX80&gt;AX79)),"")</f>
        <v/>
      </c>
      <c r="BF79" s="2" t="str">
        <f>IF(AO79&lt;&gt;"",SUMPRODUCT((AZ77:AZ80=AZ79)*(AU77:AU80=AU79)*(AS77:AS80=AS79)*(AW77:AW80=AW79)*(AX77:AX80=AX79)*(AY77:AY80&gt;AY79)),"")</f>
        <v/>
      </c>
      <c r="BG79" s="2" t="str">
        <f t="shared" ref="BG79:BG80" si="113">IF(AO79&lt;&gt;"",SUM(BA79:BF79)+1,"")</f>
        <v/>
      </c>
      <c r="EP79" s="2">
        <v>3</v>
      </c>
      <c r="EQ79" s="2" t="s">
        <v>651</v>
      </c>
      <c r="ER79" s="2" t="s">
        <v>650</v>
      </c>
    </row>
    <row r="80" spans="9:148" x14ac:dyDescent="0.25">
      <c r="I80" s="2">
        <f>SUMPRODUCT((I37:I40=I40)*(H37:H40=H40)*(F37:F40&gt;F40))+1</f>
        <v>1</v>
      </c>
      <c r="T80" s="2">
        <f>IF(U40&lt;&gt;"",SUMPRODUCT((AB37:AB40=AB40)*(AA37:AA40=AA40)*(Y37:Y40=Y40)*(Z37:Z40=Z40)),"")</f>
        <v>4</v>
      </c>
      <c r="U80" s="2" t="str">
        <f t="shared" si="107"/>
        <v>Portugal</v>
      </c>
      <c r="V80" s="2">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2">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2">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2">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2">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2">
        <f>Y80-Z80+1000</f>
        <v>1000</v>
      </c>
      <c r="AB80" s="2">
        <f t="shared" si="108"/>
        <v>0</v>
      </c>
      <c r="AC80" s="2">
        <f>IF(U80&lt;&gt;"",VLOOKUP(U80,B4:H40,7,FALSE),"")</f>
        <v>1000</v>
      </c>
      <c r="AD80" s="2">
        <f>IF(U80&lt;&gt;"",VLOOKUP(U80,B4:H40,5,FALSE),"")</f>
        <v>0</v>
      </c>
      <c r="AE80" s="2">
        <f>IF(U80&lt;&gt;"",VLOOKUP(U80,B4:J40,9,FALSE),"")</f>
        <v>53</v>
      </c>
      <c r="AF80" s="2">
        <f t="shared" si="109"/>
        <v>0</v>
      </c>
      <c r="AG80" s="2">
        <f>IF(U80&lt;&gt;"",RANK(AF80,AF77:AF80),"")</f>
        <v>1</v>
      </c>
      <c r="AH80" s="2">
        <f>IF(U80&lt;&gt;"",SUMPRODUCT((AF77:AF80=AF80)*(AA77:AA80&gt;AA80)),"")</f>
        <v>0</v>
      </c>
      <c r="AI80" s="2">
        <f>IF(U80&lt;&gt;"",SUMPRODUCT((AF77:AF80=AF80)*(AA77:AA80=AA80)*(Y77:Y80&gt;Y80)),"")</f>
        <v>0</v>
      </c>
      <c r="AJ80" s="2">
        <f>IF(U80&lt;&gt;"",SUMPRODUCT((AF77:AF80=AF80)*(AA77:AA80=AA80)*(Y77:Y80=Y80)*(AC77:AC80&gt;AC80)),"")</f>
        <v>0</v>
      </c>
      <c r="AK80" s="2">
        <f>IF(U80&lt;&gt;"",SUMPRODUCT((AF77:AF80=AF80)*(AA77:AA80=AA80)*(Y77:Y80=Y80)*(AC77:AC80=AC80)*(AD77:AD80&gt;AD80)),"")</f>
        <v>0</v>
      </c>
      <c r="AL80" s="2">
        <f>IF(U80&lt;&gt;"",SUMPRODUCT((AF77:AF80=AF80)*(AA77:AA80=AA80)*(Y77:Y80=Y80)*(AC77:AC80=AC80)*(AD77:AD80=AD80)*(AE77:AE80&gt;AE80)),"")</f>
        <v>0</v>
      </c>
      <c r="AM80" s="2">
        <f>IF(U80&lt;&gt;"",SUM(AG80:AL80),"")</f>
        <v>1</v>
      </c>
      <c r="AN80" s="2" t="str">
        <f>IF(AO40&lt;&gt;"",SUMPRODUCT((AV37:AV40=AV40)*(AU37:AU40=AU40)*(AS37:AS40=AS40)*(AT37:AT40=AT40)),"")</f>
        <v/>
      </c>
      <c r="AO80" s="2" t="str">
        <f t="shared" si="110"/>
        <v/>
      </c>
      <c r="AP80" s="2" t="str">
        <f>IF(AO80&lt;&gt;"",SUMPRODUCT((CZ3:CZ42=AO80)*(DC3:DC42=AO81)*(DD3:DD42="W"))+SUMPRODUCT((CZ3:CZ42=AO80)*(DC3:DC42=AO78)*(DD3:DD42="W"))+SUMPRODUCT((CZ3:CZ42=AO80)*(DC3:DC42=AO79)*(DD3:DD42="W"))+SUMPRODUCT((CZ3:CZ42=AO81)*(DC3:DC42=AO80)*(DE3:DE42="W"))+SUMPRODUCT((CZ3:CZ42=AO78)*(DC3:DC42=AO80)*(DE3:DE42="W"))+SUMPRODUCT((CZ3:CZ42=AO79)*(DC3:DC42=AO80)*(DE3:DE42="W")),"")</f>
        <v/>
      </c>
      <c r="AQ80" s="2" t="str">
        <f>IF(AO80&lt;&gt;"",SUMPRODUCT((CZ3:CZ42=AO80)*(DC3:DC42=AO81)*(DD3:DD42="D"))+SUMPRODUCT((CZ3:CZ42=AO80)*(DC3:DC42=AO78)*(DD3:DD42="D"))+SUMPRODUCT((CZ3:CZ42=AO80)*(DC3:DC42=AO79)*(DD3:DD42="D"))+SUMPRODUCT((CZ3:CZ42=AO81)*(DC3:DC42=AO80)*(DD3:DD42="D"))+SUMPRODUCT((CZ3:CZ42=AO78)*(DC3:DC42=AO80)*(DD3:DD42="D"))+SUMPRODUCT((CZ3:CZ42=AO79)*(DC3:DC42=AO80)*(DD3:DD42="D")),"")</f>
        <v/>
      </c>
      <c r="AR80" s="2" t="str">
        <f>IF(AO80&lt;&gt;"",SUMPRODUCT((CZ3:CZ42=AO80)*(DC3:DC42=AO81)*(DD3:DD42="L"))+SUMPRODUCT((CZ3:CZ42=AO80)*(DC3:DC42=AO78)*(DD3:DD42="L"))+SUMPRODUCT((CZ3:CZ42=AO80)*(DC3:DC42=AO79)*(DD3:DD42="L"))+SUMPRODUCT((CZ3:CZ42=AO81)*(DC3:DC42=AO80)*(DE3:DE42="L"))+SUMPRODUCT((CZ3:CZ42=AO78)*(DC3:DC42=AO80)*(DE3:DE42="L"))+SUMPRODUCT((CZ3:CZ42=AO79)*(DC3:DC42=AO80)*(DE3:DE42="L")),"")</f>
        <v/>
      </c>
      <c r="AS80" s="2">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2">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2">
        <f>AS80-AT80+1000</f>
        <v>1000</v>
      </c>
      <c r="AV80" s="2" t="str">
        <f t="shared" si="111"/>
        <v/>
      </c>
      <c r="AW80" s="2" t="str">
        <f>IF(AO80&lt;&gt;"",VLOOKUP(AO80,B4:H40,7,FALSE),"")</f>
        <v/>
      </c>
      <c r="AX80" s="2" t="str">
        <f>IF(AO80&lt;&gt;"",VLOOKUP(AO80,B4:H40,5,FALSE),"")</f>
        <v/>
      </c>
      <c r="AY80" s="2" t="str">
        <f>IF(AO80&lt;&gt;"",VLOOKUP(AO80,B4:J40,9,FALSE),"")</f>
        <v/>
      </c>
      <c r="AZ80" s="2" t="str">
        <f t="shared" si="112"/>
        <v/>
      </c>
      <c r="BA80" s="2" t="str">
        <f>IF(AO80&lt;&gt;"",RANK(AZ80,AZ77:AZ80),"")</f>
        <v/>
      </c>
      <c r="BB80" s="2" t="str">
        <f>IF(AO80&lt;&gt;"",SUMPRODUCT((AZ77:AZ80=AZ80)*(AU77:AU80&gt;AU80)),"")</f>
        <v/>
      </c>
      <c r="BC80" s="2" t="str">
        <f>IF(AO80&lt;&gt;"",SUMPRODUCT((AZ77:AZ80=AZ80)*(AU77:AU80=AU80)*(AS77:AS80&gt;AS80)),"")</f>
        <v/>
      </c>
      <c r="BD80" s="2" t="str">
        <f>IF(AO80&lt;&gt;"",SUMPRODUCT((AZ77:AZ80=AZ80)*(AU77:AU80=AU80)*(AS77:AS80=AS80)*(AW77:AW80&gt;AW80)),"")</f>
        <v/>
      </c>
      <c r="BE80" s="2" t="str">
        <f>IF(AO80&lt;&gt;"",SUMPRODUCT((AZ77:AZ80=AZ80)*(AU77:AU80=AU80)*(AS77:AS80=AS80)*(AW77:AW80=AW80)*(AX77:AX80&gt;AX80)),"")</f>
        <v/>
      </c>
      <c r="BF80" s="2" t="str">
        <f>IF(AO80&lt;&gt;"",SUMPRODUCT((AZ77:AZ80=AZ80)*(AU77:AU80=AU80)*(AS77:AS80=AS80)*(AW77:AW80=AW80)*(AX77:AX80=AX80)*(AY77:AY80&gt;AY80)),"")</f>
        <v/>
      </c>
      <c r="BG80" s="2" t="str">
        <f t="shared" si="113"/>
        <v/>
      </c>
      <c r="EP80" s="2">
        <v>3</v>
      </c>
      <c r="EQ80" s="2" t="s">
        <v>653</v>
      </c>
      <c r="ER80" s="2" t="s">
        <v>652</v>
      </c>
    </row>
    <row r="81" spans="146:148" x14ac:dyDescent="0.25">
      <c r="EP81" s="2">
        <v>3</v>
      </c>
      <c r="EQ81" s="2" t="s">
        <v>655</v>
      </c>
      <c r="ER81" s="2" t="s">
        <v>654</v>
      </c>
    </row>
    <row r="82" spans="146:148" x14ac:dyDescent="0.25">
      <c r="EP82" s="2">
        <v>4</v>
      </c>
      <c r="EQ82" s="2" t="s">
        <v>657</v>
      </c>
      <c r="ER82" s="2" t="s">
        <v>656</v>
      </c>
    </row>
    <row r="83" spans="146:148" x14ac:dyDescent="0.25">
      <c r="EP83" s="2">
        <v>4</v>
      </c>
      <c r="EQ83" s="2" t="s">
        <v>659</v>
      </c>
      <c r="ER83" s="2" t="s">
        <v>658</v>
      </c>
    </row>
    <row r="84" spans="146:148" x14ac:dyDescent="0.25">
      <c r="EP84" s="2">
        <v>4</v>
      </c>
      <c r="EQ84" s="2" t="s">
        <v>661</v>
      </c>
      <c r="ER84" s="2" t="s">
        <v>660</v>
      </c>
    </row>
    <row r="85" spans="146:148" x14ac:dyDescent="0.25">
      <c r="EP85" s="2">
        <v>4</v>
      </c>
      <c r="EQ85" s="2" t="s">
        <v>663</v>
      </c>
      <c r="ER85" s="2" t="s">
        <v>662</v>
      </c>
    </row>
    <row r="86" spans="146:148" x14ac:dyDescent="0.25">
      <c r="EP86" s="2">
        <v>4</v>
      </c>
      <c r="EQ86" s="2" t="s">
        <v>665</v>
      </c>
      <c r="ER86" s="2" t="s">
        <v>664</v>
      </c>
    </row>
    <row r="87" spans="146:148" x14ac:dyDescent="0.25">
      <c r="EP87" s="2">
        <v>4</v>
      </c>
      <c r="EQ87" s="2" t="s">
        <v>667</v>
      </c>
      <c r="ER87" s="2" t="s">
        <v>666</v>
      </c>
    </row>
    <row r="88" spans="146:148" x14ac:dyDescent="0.25">
      <c r="EP88" s="2">
        <v>4</v>
      </c>
      <c r="EQ88" s="2" t="s">
        <v>669</v>
      </c>
      <c r="ER88" s="2" t="s">
        <v>668</v>
      </c>
    </row>
    <row r="89" spans="146:148" x14ac:dyDescent="0.25">
      <c r="EP89" s="2">
        <v>4</v>
      </c>
      <c r="EQ89" s="2" t="s">
        <v>671</v>
      </c>
      <c r="ER89" s="2" t="s">
        <v>670</v>
      </c>
    </row>
    <row r="90" spans="146:148" x14ac:dyDescent="0.25">
      <c r="EP90" s="2">
        <v>4</v>
      </c>
      <c r="EQ90" s="2" t="s">
        <v>673</v>
      </c>
      <c r="ER90" s="2" t="s">
        <v>672</v>
      </c>
    </row>
    <row r="91" spans="146:148" x14ac:dyDescent="0.25">
      <c r="EP91" s="2">
        <v>4.5</v>
      </c>
      <c r="EQ91" s="2" t="s">
        <v>675</v>
      </c>
      <c r="ER91" s="2" t="s">
        <v>674</v>
      </c>
    </row>
    <row r="92" spans="146:148" x14ac:dyDescent="0.25">
      <c r="EP92" s="2">
        <v>5</v>
      </c>
      <c r="EQ92" s="2" t="s">
        <v>677</v>
      </c>
      <c r="ER92" s="2" t="s">
        <v>676</v>
      </c>
    </row>
    <row r="93" spans="146:148" x14ac:dyDescent="0.25">
      <c r="EP93" s="2">
        <v>5</v>
      </c>
      <c r="EQ93" s="2" t="s">
        <v>679</v>
      </c>
      <c r="ER93" s="2" t="s">
        <v>678</v>
      </c>
    </row>
    <row r="94" spans="146:148" x14ac:dyDescent="0.25">
      <c r="EP94" s="2">
        <v>5</v>
      </c>
      <c r="EQ94" s="2" t="s">
        <v>681</v>
      </c>
      <c r="ER94" s="2" t="s">
        <v>680</v>
      </c>
    </row>
    <row r="95" spans="146:148" x14ac:dyDescent="0.25">
      <c r="EP95" s="2">
        <v>5</v>
      </c>
      <c r="EQ95" s="2" t="s">
        <v>683</v>
      </c>
      <c r="ER95" s="2" t="s">
        <v>682</v>
      </c>
    </row>
    <row r="96" spans="146:148" x14ac:dyDescent="0.25">
      <c r="EP96" s="2">
        <v>5.3</v>
      </c>
      <c r="EQ96" s="2" t="s">
        <v>685</v>
      </c>
      <c r="ER96" s="2" t="s">
        <v>684</v>
      </c>
    </row>
    <row r="97" spans="146:148" x14ac:dyDescent="0.25">
      <c r="EP97" s="2">
        <v>5.3</v>
      </c>
      <c r="EQ97" s="2" t="s">
        <v>687</v>
      </c>
      <c r="ER97" s="2" t="s">
        <v>686</v>
      </c>
    </row>
    <row r="98" spans="146:148" x14ac:dyDescent="0.25">
      <c r="EP98" s="2">
        <v>5.75</v>
      </c>
      <c r="EQ98" s="2" t="s">
        <v>689</v>
      </c>
      <c r="ER98" s="2" t="s">
        <v>688</v>
      </c>
    </row>
    <row r="99" spans="146:148" x14ac:dyDescent="0.25">
      <c r="EP99" s="2">
        <v>6</v>
      </c>
      <c r="EQ99" s="2" t="s">
        <v>691</v>
      </c>
      <c r="ER99" s="2" t="s">
        <v>690</v>
      </c>
    </row>
    <row r="100" spans="146:148" x14ac:dyDescent="0.25">
      <c r="EP100" s="2">
        <v>6</v>
      </c>
      <c r="EQ100" s="2" t="s">
        <v>693</v>
      </c>
      <c r="ER100" s="2" t="s">
        <v>692</v>
      </c>
    </row>
    <row r="101" spans="146:148" x14ac:dyDescent="0.25">
      <c r="EP101" s="2">
        <v>6</v>
      </c>
      <c r="EQ101" s="2" t="s">
        <v>695</v>
      </c>
      <c r="ER101" s="2" t="s">
        <v>694</v>
      </c>
    </row>
    <row r="102" spans="146:148" x14ac:dyDescent="0.25">
      <c r="EP102" s="2">
        <v>6.5</v>
      </c>
      <c r="EQ102" s="2" t="s">
        <v>697</v>
      </c>
      <c r="ER102" s="2" t="s">
        <v>696</v>
      </c>
    </row>
    <row r="103" spans="146:148" x14ac:dyDescent="0.25">
      <c r="EP103" s="2">
        <v>7</v>
      </c>
      <c r="EQ103" s="2" t="s">
        <v>699</v>
      </c>
      <c r="ER103" s="2" t="s">
        <v>698</v>
      </c>
    </row>
    <row r="104" spans="146:148" x14ac:dyDescent="0.25">
      <c r="EP104" s="2">
        <v>7</v>
      </c>
      <c r="EQ104" s="2" t="s">
        <v>701</v>
      </c>
      <c r="ER104" s="2" t="s">
        <v>700</v>
      </c>
    </row>
    <row r="105" spans="146:148" x14ac:dyDescent="0.25">
      <c r="EP105" s="2">
        <v>7</v>
      </c>
      <c r="EQ105" s="2" t="s">
        <v>703</v>
      </c>
      <c r="ER105" s="2" t="s">
        <v>702</v>
      </c>
    </row>
    <row r="106" spans="146:148" x14ac:dyDescent="0.25">
      <c r="EP106" s="2">
        <v>7</v>
      </c>
      <c r="EQ106" s="2" t="s">
        <v>705</v>
      </c>
      <c r="ER106" s="2" t="s">
        <v>704</v>
      </c>
    </row>
    <row r="107" spans="146:148" x14ac:dyDescent="0.25">
      <c r="EP107" s="2">
        <v>7</v>
      </c>
      <c r="EQ107" s="2" t="s">
        <v>707</v>
      </c>
      <c r="ER107" s="2" t="s">
        <v>706</v>
      </c>
    </row>
    <row r="108" spans="146:148" x14ac:dyDescent="0.25">
      <c r="EP108" s="2">
        <v>7</v>
      </c>
      <c r="EQ108" s="2" t="s">
        <v>709</v>
      </c>
      <c r="ER108" s="2" t="s">
        <v>708</v>
      </c>
    </row>
    <row r="109" spans="146:148" x14ac:dyDescent="0.25">
      <c r="EP109" s="2">
        <v>8</v>
      </c>
      <c r="EQ109" s="2" t="s">
        <v>711</v>
      </c>
      <c r="ER109" s="2" t="s">
        <v>710</v>
      </c>
    </row>
    <row r="110" spans="146:148" x14ac:dyDescent="0.25">
      <c r="EP110" s="2">
        <v>8</v>
      </c>
      <c r="EQ110" s="2" t="s">
        <v>713</v>
      </c>
      <c r="ER110" s="2" t="s">
        <v>712</v>
      </c>
    </row>
    <row r="111" spans="146:148" x14ac:dyDescent="0.25">
      <c r="EP111" s="2">
        <v>8</v>
      </c>
      <c r="EQ111" s="2" t="s">
        <v>715</v>
      </c>
      <c r="ER111" s="2" t="s">
        <v>714</v>
      </c>
    </row>
    <row r="112" spans="146:148" x14ac:dyDescent="0.25">
      <c r="EP112" s="2">
        <v>8</v>
      </c>
      <c r="EQ112" s="2" t="s">
        <v>717</v>
      </c>
      <c r="ER112" s="2" t="s">
        <v>716</v>
      </c>
    </row>
    <row r="113" spans="146:148" x14ac:dyDescent="0.25">
      <c r="EP113" s="2">
        <v>8</v>
      </c>
      <c r="EQ113" s="2" t="s">
        <v>719</v>
      </c>
      <c r="ER113" s="2" t="s">
        <v>718</v>
      </c>
    </row>
    <row r="114" spans="146:148" x14ac:dyDescent="0.25">
      <c r="EP114" s="2">
        <v>8</v>
      </c>
      <c r="EQ114" s="2" t="s">
        <v>721</v>
      </c>
      <c r="ER114" s="2" t="s">
        <v>720</v>
      </c>
    </row>
    <row r="115" spans="146:148" x14ac:dyDescent="0.25">
      <c r="EP115" s="2">
        <v>8.75</v>
      </c>
      <c r="EQ115" s="2" t="s">
        <v>723</v>
      </c>
      <c r="ER115" s="2" t="s">
        <v>722</v>
      </c>
    </row>
    <row r="116" spans="146:148" x14ac:dyDescent="0.25">
      <c r="EP116" s="2">
        <v>9</v>
      </c>
      <c r="EQ116" s="2" t="s">
        <v>725</v>
      </c>
      <c r="ER116" s="2" t="s">
        <v>724</v>
      </c>
    </row>
    <row r="117" spans="146:148" x14ac:dyDescent="0.25">
      <c r="EP117" s="2">
        <v>9</v>
      </c>
      <c r="EQ117" s="2" t="s">
        <v>727</v>
      </c>
      <c r="ER117" s="2" t="s">
        <v>726</v>
      </c>
    </row>
    <row r="118" spans="146:148" x14ac:dyDescent="0.25">
      <c r="EP118" s="2">
        <v>9</v>
      </c>
      <c r="EQ118" s="2" t="s">
        <v>729</v>
      </c>
      <c r="ER118" s="2" t="s">
        <v>728</v>
      </c>
    </row>
    <row r="119" spans="146:148" x14ac:dyDescent="0.25">
      <c r="EP119" s="2">
        <v>9</v>
      </c>
      <c r="EQ119" s="2" t="s">
        <v>731</v>
      </c>
      <c r="ER119" s="2" t="s">
        <v>730</v>
      </c>
    </row>
    <row r="120" spans="146:148" x14ac:dyDescent="0.25">
      <c r="EP120" s="2">
        <v>9</v>
      </c>
      <c r="EQ120" s="2" t="s">
        <v>733</v>
      </c>
      <c r="ER120" s="2" t="s">
        <v>732</v>
      </c>
    </row>
    <row r="121" spans="146:148" x14ac:dyDescent="0.25">
      <c r="EP121" s="2">
        <v>9.5</v>
      </c>
      <c r="EQ121" s="2" t="s">
        <v>735</v>
      </c>
      <c r="ER121" s="2" t="s">
        <v>734</v>
      </c>
    </row>
    <row r="122" spans="146:148" x14ac:dyDescent="0.25">
      <c r="EP122" s="2">
        <v>9.5</v>
      </c>
      <c r="EQ122" s="2" t="s">
        <v>737</v>
      </c>
      <c r="ER122" s="2" t="s">
        <v>736</v>
      </c>
    </row>
    <row r="123" spans="146:148" x14ac:dyDescent="0.25">
      <c r="EP123" s="2">
        <v>10</v>
      </c>
      <c r="EQ123" s="2" t="s">
        <v>739</v>
      </c>
      <c r="ER123" s="2" t="s">
        <v>738</v>
      </c>
    </row>
    <row r="124" spans="146:148" x14ac:dyDescent="0.25">
      <c r="EP124" s="2">
        <v>10</v>
      </c>
      <c r="EQ124" s="2" t="s">
        <v>741</v>
      </c>
      <c r="ER124" s="2" t="s">
        <v>740</v>
      </c>
    </row>
    <row r="125" spans="146:148" x14ac:dyDescent="0.25">
      <c r="EP125" s="2">
        <v>10</v>
      </c>
      <c r="EQ125" s="2" t="s">
        <v>743</v>
      </c>
      <c r="ER125" s="2" t="s">
        <v>742</v>
      </c>
    </row>
    <row r="126" spans="146:148" x14ac:dyDescent="0.25">
      <c r="EP126" s="2">
        <v>10</v>
      </c>
      <c r="EQ126" s="2" t="s">
        <v>745</v>
      </c>
      <c r="ER126" s="2" t="s">
        <v>744</v>
      </c>
    </row>
    <row r="127" spans="146:148" x14ac:dyDescent="0.25">
      <c r="EP127" s="2">
        <v>10</v>
      </c>
      <c r="EQ127" s="2" t="s">
        <v>747</v>
      </c>
      <c r="ER127" s="2" t="s">
        <v>746</v>
      </c>
    </row>
    <row r="128" spans="146:148" x14ac:dyDescent="0.25">
      <c r="EP128" s="2">
        <v>10.5</v>
      </c>
      <c r="EQ128" s="2" t="s">
        <v>749</v>
      </c>
      <c r="ER128" s="2" t="s">
        <v>748</v>
      </c>
    </row>
    <row r="129" spans="146:148" x14ac:dyDescent="0.25">
      <c r="EP129" s="2">
        <v>11</v>
      </c>
      <c r="EQ129" s="2" t="s">
        <v>751</v>
      </c>
      <c r="ER129" s="2" t="s">
        <v>750</v>
      </c>
    </row>
    <row r="130" spans="146:148" x14ac:dyDescent="0.25">
      <c r="EP130" s="2">
        <v>11</v>
      </c>
      <c r="EQ130" s="2" t="s">
        <v>753</v>
      </c>
      <c r="ER130" s="2" t="s">
        <v>752</v>
      </c>
    </row>
    <row r="131" spans="146:148" x14ac:dyDescent="0.25">
      <c r="EP131" s="2">
        <v>11</v>
      </c>
      <c r="EQ131" s="2" t="s">
        <v>755</v>
      </c>
      <c r="ER131" s="2" t="s">
        <v>754</v>
      </c>
    </row>
    <row r="132" spans="146:148" x14ac:dyDescent="0.25">
      <c r="EP132" s="2">
        <v>11</v>
      </c>
      <c r="EQ132" s="2" t="s">
        <v>757</v>
      </c>
      <c r="ER132" s="2" t="s">
        <v>756</v>
      </c>
    </row>
    <row r="133" spans="146:148" x14ac:dyDescent="0.25">
      <c r="EP133" s="2">
        <v>11</v>
      </c>
      <c r="EQ133" s="2" t="s">
        <v>759</v>
      </c>
      <c r="ER133" s="2" t="s">
        <v>758</v>
      </c>
    </row>
    <row r="134" spans="146:148" x14ac:dyDescent="0.25">
      <c r="EP134" s="2">
        <v>11</v>
      </c>
      <c r="EQ134" s="2" t="s">
        <v>761</v>
      </c>
      <c r="ER134" s="2" t="s">
        <v>760</v>
      </c>
    </row>
    <row r="135" spans="146:148" x14ac:dyDescent="0.25">
      <c r="EP135" s="2">
        <v>12</v>
      </c>
      <c r="EQ135" s="2" t="s">
        <v>763</v>
      </c>
      <c r="ER135" s="2" t="s">
        <v>762</v>
      </c>
    </row>
    <row r="136" spans="146:148" x14ac:dyDescent="0.25">
      <c r="EP136" s="2">
        <v>12</v>
      </c>
      <c r="EQ136" s="2" t="s">
        <v>765</v>
      </c>
      <c r="ER136" s="2" t="s">
        <v>764</v>
      </c>
    </row>
    <row r="137" spans="146:148" x14ac:dyDescent="0.25">
      <c r="EP137" s="2">
        <v>12</v>
      </c>
      <c r="EQ137" s="2" t="s">
        <v>767</v>
      </c>
      <c r="ER137" s="2" t="s">
        <v>766</v>
      </c>
    </row>
    <row r="138" spans="146:148" x14ac:dyDescent="0.25">
      <c r="EP138" s="2">
        <v>12</v>
      </c>
      <c r="EQ138" s="2" t="s">
        <v>769</v>
      </c>
      <c r="ER138" s="2" t="s">
        <v>768</v>
      </c>
    </row>
    <row r="139" spans="146:148" x14ac:dyDescent="0.25">
      <c r="EP139" s="2">
        <v>12.75</v>
      </c>
      <c r="EQ139" s="2" t="s">
        <v>771</v>
      </c>
      <c r="ER139" s="2" t="s">
        <v>770</v>
      </c>
    </row>
    <row r="140" spans="146:148" x14ac:dyDescent="0.25">
      <c r="EP140" s="2">
        <v>13</v>
      </c>
      <c r="EQ140" s="2" t="s">
        <v>773</v>
      </c>
      <c r="ER140" s="2" t="s">
        <v>772</v>
      </c>
    </row>
    <row r="141" spans="146:148" x14ac:dyDescent="0.25">
      <c r="EP141" s="2">
        <v>13</v>
      </c>
      <c r="EQ141" s="2" t="s">
        <v>775</v>
      </c>
      <c r="ER141" s="2" t="s">
        <v>774</v>
      </c>
    </row>
    <row r="142" spans="146:148" x14ac:dyDescent="0.25">
      <c r="EP142" s="2">
        <v>13</v>
      </c>
      <c r="EQ142" s="2" t="s">
        <v>777</v>
      </c>
      <c r="ER142" s="2" t="s">
        <v>776</v>
      </c>
    </row>
    <row r="143" spans="146:148" x14ac:dyDescent="0.25">
      <c r="EP143" s="2">
        <v>14</v>
      </c>
      <c r="EQ143" s="2" t="s">
        <v>779</v>
      </c>
      <c r="ER143" s="2" t="s">
        <v>778</v>
      </c>
    </row>
  </sheetData>
  <sheetProtection selectLockedCells="1" selectUnlockedCells="1"/>
  <sortState xmlns:xlrd2="http://schemas.microsoft.com/office/spreadsheetml/2017/richdata2" ref="C32:C70">
    <sortCondition ref="C70"/>
  </sortState>
  <mergeCells count="8">
    <mergeCell ref="EF31:EF34"/>
    <mergeCell ref="EF35:EF38"/>
    <mergeCell ref="EF7:EF10"/>
    <mergeCell ref="EF11:EF14"/>
    <mergeCell ref="EF15:EF18"/>
    <mergeCell ref="EF19:EF22"/>
    <mergeCell ref="EF23:EF26"/>
    <mergeCell ref="EF27:EF30"/>
  </mergeCells>
  <phoneticPr fontId="1" type="noConversion"/>
  <pageMargins left="0.75" right="0.75" top="1" bottom="1" header="0.5" footer="0.5"/>
  <pageSetup paperSize="9" orientation="portrait" horizontalDpi="300" verticalDpi="300" r:id="rId1"/>
  <headerFooter alignWithMargins="0">
    <oddFooter>&amp;R(c) 2020 | journalSHEET.com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CR46"/>
  <sheetViews>
    <sheetView showGridLines="0" workbookViewId="0">
      <pane ySplit="4" topLeftCell="A26" activePane="bottomLeft" state="frozen"/>
      <selection pane="bottomLeft" activeCell="G37" sqref="G37"/>
    </sheetView>
  </sheetViews>
  <sheetFormatPr defaultColWidth="8.7109375" defaultRowHeight="15" x14ac:dyDescent="0.25"/>
  <cols>
    <col min="1" max="1" width="1.5703125" style="8" customWidth="1"/>
    <col min="2" max="7" width="8.7109375" style="8"/>
    <col min="8" max="8" width="4.5703125" style="8" customWidth="1"/>
    <col min="9" max="16384" width="8.7109375" style="8"/>
  </cols>
  <sheetData>
    <row r="1" spans="2:96" s="17" customFormat="1" ht="5.0999999999999996" customHeight="1" x14ac:dyDescent="0.2"/>
    <row r="2" spans="2:96" s="2" customFormat="1" ht="5.0999999999999996" customHeight="1" x14ac:dyDescent="0.25">
      <c r="D2" s="13"/>
      <c r="N2" s="5"/>
      <c r="O2" s="14"/>
      <c r="P2" s="14"/>
      <c r="Q2" s="14"/>
      <c r="R2" s="14"/>
      <c r="S2" s="14"/>
      <c r="T2" s="7"/>
      <c r="U2" s="15"/>
      <c r="V2" s="16"/>
      <c r="CO2" s="5"/>
      <c r="CP2" s="5"/>
      <c r="CQ2" s="5"/>
      <c r="CR2" s="5"/>
    </row>
    <row r="3" spans="2:96" s="3" customFormat="1" ht="30" customHeight="1" x14ac:dyDescent="0.25">
      <c r="B3" s="32" t="s">
        <v>460</v>
      </c>
      <c r="C3" s="2"/>
      <c r="D3" s="13"/>
      <c r="E3" s="2"/>
      <c r="F3" s="2"/>
      <c r="G3" s="2"/>
      <c r="H3" s="2"/>
      <c r="I3" s="2"/>
      <c r="J3" s="2"/>
      <c r="K3" s="2"/>
      <c r="L3" s="2"/>
      <c r="M3" s="2"/>
      <c r="N3" s="2"/>
      <c r="O3" s="2"/>
      <c r="P3" s="2"/>
      <c r="Q3" s="2"/>
      <c r="R3" s="2"/>
      <c r="S3" s="2"/>
      <c r="T3" s="30"/>
      <c r="U3" s="31"/>
      <c r="V3" s="2"/>
      <c r="W3" s="2"/>
      <c r="X3" s="2"/>
      <c r="Y3" s="2"/>
      <c r="Z3" s="2"/>
      <c r="AA3" s="2"/>
      <c r="AB3" s="2"/>
      <c r="AC3" s="2"/>
      <c r="AD3" s="2"/>
      <c r="AE3" s="2"/>
    </row>
    <row r="4" spans="2:96" ht="5.0999999999999996" customHeight="1" x14ac:dyDescent="0.25"/>
    <row r="5" spans="2:96" x14ac:dyDescent="0.25">
      <c r="B5" s="33" t="s">
        <v>461</v>
      </c>
    </row>
    <row r="6" spans="2:96" ht="5.0999999999999996" customHeight="1" x14ac:dyDescent="0.25"/>
    <row r="7" spans="2:96" x14ac:dyDescent="0.25">
      <c r="B7" s="8" t="s">
        <v>468</v>
      </c>
    </row>
    <row r="8" spans="2:96" ht="5.0999999999999996" customHeight="1" x14ac:dyDescent="0.25"/>
    <row r="9" spans="2:96" x14ac:dyDescent="0.25">
      <c r="B9" s="39" t="s">
        <v>445</v>
      </c>
    </row>
    <row r="10" spans="2:96" x14ac:dyDescent="0.25">
      <c r="B10" s="39" t="s">
        <v>446</v>
      </c>
    </row>
    <row r="11" spans="2:96" x14ac:dyDescent="0.25">
      <c r="B11" s="39" t="s">
        <v>447</v>
      </c>
    </row>
    <row r="12" spans="2:96" ht="14.45" customHeight="1" x14ac:dyDescent="0.25">
      <c r="B12" s="235" t="s">
        <v>448</v>
      </c>
      <c r="C12" s="235"/>
      <c r="D12" s="235"/>
      <c r="E12" s="235"/>
      <c r="F12" s="235"/>
      <c r="G12" s="235"/>
      <c r="H12" s="235"/>
      <c r="I12" s="235"/>
      <c r="J12" s="235"/>
      <c r="K12" s="235"/>
      <c r="L12" s="235"/>
      <c r="M12" s="235"/>
      <c r="N12" s="235"/>
    </row>
    <row r="13" spans="2:96" x14ac:dyDescent="0.25">
      <c r="B13" s="235"/>
      <c r="C13" s="235"/>
      <c r="D13" s="235"/>
      <c r="E13" s="235"/>
      <c r="F13" s="235"/>
      <c r="G13" s="235"/>
      <c r="H13" s="235"/>
      <c r="I13" s="235"/>
      <c r="J13" s="235"/>
      <c r="K13" s="235"/>
      <c r="L13" s="235"/>
      <c r="M13" s="235"/>
      <c r="N13" s="235"/>
    </row>
    <row r="14" spans="2:96" x14ac:dyDescent="0.25">
      <c r="B14" s="235"/>
      <c r="C14" s="235"/>
      <c r="D14" s="235"/>
      <c r="E14" s="235"/>
      <c r="F14" s="235"/>
      <c r="G14" s="235"/>
      <c r="H14" s="235"/>
      <c r="I14" s="235"/>
      <c r="J14" s="235"/>
      <c r="K14" s="235"/>
      <c r="L14" s="235"/>
      <c r="M14" s="235"/>
      <c r="N14" s="235"/>
    </row>
    <row r="15" spans="2:96" x14ac:dyDescent="0.25">
      <c r="B15" s="39" t="s">
        <v>449</v>
      </c>
    </row>
    <row r="16" spans="2:96" x14ac:dyDescent="0.25">
      <c r="B16" s="39" t="s">
        <v>450</v>
      </c>
    </row>
    <row r="17" spans="2:14" x14ac:dyDescent="0.25">
      <c r="B17" s="39" t="s">
        <v>506</v>
      </c>
    </row>
    <row r="18" spans="2:14" x14ac:dyDescent="0.25">
      <c r="B18" s="236" t="s">
        <v>451</v>
      </c>
      <c r="C18" s="236"/>
      <c r="D18" s="236"/>
      <c r="E18" s="236"/>
      <c r="F18" s="236"/>
      <c r="G18" s="236"/>
      <c r="H18" s="236"/>
      <c r="I18" s="236"/>
      <c r="J18" s="236"/>
      <c r="K18" s="236"/>
      <c r="L18" s="236"/>
      <c r="M18" s="236"/>
      <c r="N18" s="236"/>
    </row>
    <row r="19" spans="2:14" x14ac:dyDescent="0.25">
      <c r="B19" s="236"/>
      <c r="C19" s="236"/>
      <c r="D19" s="236"/>
      <c r="E19" s="236"/>
      <c r="F19" s="236"/>
      <c r="G19" s="236"/>
      <c r="H19" s="236"/>
      <c r="I19" s="236"/>
      <c r="J19" s="236"/>
      <c r="K19" s="236"/>
      <c r="L19" s="236"/>
      <c r="M19" s="236"/>
      <c r="N19" s="236"/>
    </row>
    <row r="20" spans="2:14" x14ac:dyDescent="0.25">
      <c r="B20" s="236"/>
      <c r="C20" s="236"/>
      <c r="D20" s="236"/>
      <c r="E20" s="236"/>
      <c r="F20" s="236"/>
      <c r="G20" s="236"/>
      <c r="H20" s="236"/>
      <c r="I20" s="236"/>
      <c r="J20" s="236"/>
      <c r="K20" s="236"/>
      <c r="L20" s="236"/>
      <c r="M20" s="236"/>
      <c r="N20" s="236"/>
    </row>
    <row r="21" spans="2:14" x14ac:dyDescent="0.25">
      <c r="B21" s="236" t="s">
        <v>452</v>
      </c>
      <c r="C21" s="236"/>
      <c r="D21" s="236"/>
      <c r="E21" s="236"/>
      <c r="F21" s="236"/>
      <c r="G21" s="236"/>
      <c r="H21" s="236"/>
      <c r="I21" s="236"/>
      <c r="J21" s="236"/>
      <c r="K21" s="236"/>
      <c r="L21" s="236"/>
      <c r="M21" s="236"/>
      <c r="N21" s="236"/>
    </row>
    <row r="22" spans="2:14" x14ac:dyDescent="0.25">
      <c r="B22" s="236"/>
      <c r="C22" s="236"/>
      <c r="D22" s="236"/>
      <c r="E22" s="236"/>
      <c r="F22" s="236"/>
      <c r="G22" s="236"/>
      <c r="H22" s="236"/>
      <c r="I22" s="236"/>
      <c r="J22" s="236"/>
      <c r="K22" s="236"/>
      <c r="L22" s="236"/>
      <c r="M22" s="236"/>
      <c r="N22" s="236"/>
    </row>
    <row r="23" spans="2:14" x14ac:dyDescent="0.25">
      <c r="B23" s="39" t="s">
        <v>453</v>
      </c>
    </row>
    <row r="25" spans="2:14" x14ac:dyDescent="0.25">
      <c r="B25" s="237" t="s">
        <v>828</v>
      </c>
      <c r="C25" s="237"/>
      <c r="D25" s="237"/>
      <c r="E25" s="237"/>
      <c r="F25" s="237"/>
      <c r="G25" s="237"/>
      <c r="H25" s="237"/>
      <c r="I25" s="237"/>
      <c r="J25" s="237"/>
      <c r="K25" s="237"/>
      <c r="L25" s="237"/>
      <c r="M25" s="237"/>
      <c r="N25" s="237"/>
    </row>
    <row r="26" spans="2:14" x14ac:dyDescent="0.25">
      <c r="B26" s="237"/>
      <c r="C26" s="237"/>
      <c r="D26" s="237"/>
      <c r="E26" s="237"/>
      <c r="F26" s="237"/>
      <c r="G26" s="237"/>
      <c r="H26" s="237"/>
      <c r="I26" s="237"/>
      <c r="J26" s="237"/>
      <c r="K26" s="237"/>
      <c r="L26" s="237"/>
      <c r="M26" s="237"/>
      <c r="N26" s="237"/>
    </row>
    <row r="27" spans="2:14" x14ac:dyDescent="0.25">
      <c r="B27" s="41"/>
      <c r="C27" s="41"/>
      <c r="D27" s="41"/>
      <c r="E27" s="41"/>
      <c r="F27" s="41"/>
      <c r="G27" s="41"/>
      <c r="H27" s="41"/>
      <c r="I27" s="41"/>
      <c r="J27" s="41"/>
      <c r="K27" s="41"/>
      <c r="L27" s="41"/>
      <c r="M27" s="41"/>
      <c r="N27" s="41"/>
    </row>
    <row r="28" spans="2:14" x14ac:dyDescent="0.25">
      <c r="B28" s="33" t="s">
        <v>469</v>
      </c>
      <c r="N28" s="41"/>
    </row>
    <row r="29" spans="2:14" ht="5.0999999999999996" customHeight="1" x14ac:dyDescent="0.25">
      <c r="N29" s="41"/>
    </row>
    <row r="30" spans="2:14" x14ac:dyDescent="0.25">
      <c r="B30" s="234" t="s">
        <v>470</v>
      </c>
      <c r="C30" s="234"/>
      <c r="D30" s="234"/>
      <c r="E30" s="234"/>
      <c r="F30" s="234"/>
      <c r="G30" s="234"/>
      <c r="I30" s="34" t="s">
        <v>45</v>
      </c>
      <c r="J30" s="34" t="s">
        <v>46</v>
      </c>
      <c r="K30" s="34" t="s">
        <v>435</v>
      </c>
      <c r="L30" s="34" t="s">
        <v>436</v>
      </c>
      <c r="N30" s="41"/>
    </row>
    <row r="31" spans="2:14" x14ac:dyDescent="0.25">
      <c r="B31" s="234"/>
      <c r="C31" s="234"/>
      <c r="D31" s="234"/>
      <c r="E31" s="234"/>
      <c r="F31" s="234"/>
      <c r="G31" s="234"/>
      <c r="I31" s="34" t="s">
        <v>454</v>
      </c>
      <c r="J31" s="34" t="s">
        <v>454</v>
      </c>
      <c r="K31" s="34" t="s">
        <v>454</v>
      </c>
      <c r="L31" s="34" t="s">
        <v>454</v>
      </c>
      <c r="N31" s="41"/>
    </row>
    <row r="32" spans="2:14" x14ac:dyDescent="0.25">
      <c r="B32" s="34" t="s">
        <v>15</v>
      </c>
      <c r="C32" s="34" t="s">
        <v>3</v>
      </c>
      <c r="D32" s="34" t="s">
        <v>4</v>
      </c>
      <c r="E32" s="34" t="s">
        <v>13</v>
      </c>
      <c r="F32" s="34"/>
      <c r="G32" s="34"/>
      <c r="H32" s="35" t="s">
        <v>471</v>
      </c>
      <c r="I32" s="34" t="s">
        <v>462</v>
      </c>
      <c r="J32" s="34" t="s">
        <v>463</v>
      </c>
      <c r="K32" s="34" t="s">
        <v>464</v>
      </c>
      <c r="L32" s="34" t="s">
        <v>465</v>
      </c>
      <c r="N32" s="41"/>
    </row>
    <row r="33" spans="2:14" x14ac:dyDescent="0.25">
      <c r="B33" s="34" t="s">
        <v>15</v>
      </c>
      <c r="C33" s="34" t="s">
        <v>3</v>
      </c>
      <c r="D33" s="34" t="s">
        <v>4</v>
      </c>
      <c r="E33" s="34"/>
      <c r="F33" s="34" t="s">
        <v>108</v>
      </c>
      <c r="G33" s="34"/>
      <c r="H33" s="35" t="s">
        <v>471</v>
      </c>
      <c r="I33" s="34" t="s">
        <v>462</v>
      </c>
      <c r="J33" s="34" t="s">
        <v>466</v>
      </c>
      <c r="K33" s="34" t="s">
        <v>464</v>
      </c>
      <c r="L33" s="34" t="s">
        <v>465</v>
      </c>
      <c r="N33" s="41"/>
    </row>
    <row r="34" spans="2:14" x14ac:dyDescent="0.25">
      <c r="B34" s="34" t="s">
        <v>15</v>
      </c>
      <c r="C34" s="34" t="s">
        <v>3</v>
      </c>
      <c r="D34" s="34" t="s">
        <v>4</v>
      </c>
      <c r="E34" s="34"/>
      <c r="F34" s="34"/>
      <c r="G34" s="34" t="s">
        <v>113</v>
      </c>
      <c r="H34" s="35" t="s">
        <v>471</v>
      </c>
      <c r="I34" s="34" t="s">
        <v>462</v>
      </c>
      <c r="J34" s="34" t="s">
        <v>467</v>
      </c>
      <c r="K34" s="34" t="s">
        <v>464</v>
      </c>
      <c r="L34" s="34" t="s">
        <v>465</v>
      </c>
      <c r="N34" s="41"/>
    </row>
    <row r="35" spans="2:14" x14ac:dyDescent="0.25">
      <c r="B35" s="34" t="s">
        <v>15</v>
      </c>
      <c r="C35" s="34" t="s">
        <v>3</v>
      </c>
      <c r="D35" s="34"/>
      <c r="E35" s="34" t="s">
        <v>13</v>
      </c>
      <c r="F35" s="34" t="s">
        <v>108</v>
      </c>
      <c r="G35" s="34"/>
      <c r="H35" s="35" t="s">
        <v>471</v>
      </c>
      <c r="I35" s="34" t="s">
        <v>463</v>
      </c>
      <c r="J35" s="34" t="s">
        <v>466</v>
      </c>
      <c r="K35" s="34" t="s">
        <v>462</v>
      </c>
      <c r="L35" s="34" t="s">
        <v>464</v>
      </c>
      <c r="N35" s="41"/>
    </row>
    <row r="36" spans="2:14" x14ac:dyDescent="0.25">
      <c r="B36" s="34" t="s">
        <v>15</v>
      </c>
      <c r="C36" s="34" t="s">
        <v>3</v>
      </c>
      <c r="D36" s="34"/>
      <c r="E36" s="34" t="s">
        <v>13</v>
      </c>
      <c r="F36" s="34"/>
      <c r="G36" s="34" t="s">
        <v>113</v>
      </c>
      <c r="H36" s="35" t="s">
        <v>471</v>
      </c>
      <c r="I36" s="34" t="s">
        <v>463</v>
      </c>
      <c r="J36" s="34" t="s">
        <v>467</v>
      </c>
      <c r="K36" s="34" t="s">
        <v>462</v>
      </c>
      <c r="L36" s="34" t="s">
        <v>464</v>
      </c>
      <c r="N36" s="41"/>
    </row>
    <row r="37" spans="2:14" x14ac:dyDescent="0.25">
      <c r="B37" s="34" t="s">
        <v>15</v>
      </c>
      <c r="C37" s="34" t="s">
        <v>3</v>
      </c>
      <c r="D37" s="34"/>
      <c r="E37" s="34"/>
      <c r="F37" s="34" t="s">
        <v>108</v>
      </c>
      <c r="G37" s="34" t="s">
        <v>113</v>
      </c>
      <c r="H37" s="35" t="s">
        <v>471</v>
      </c>
      <c r="I37" s="34" t="s">
        <v>466</v>
      </c>
      <c r="J37" s="34" t="s">
        <v>467</v>
      </c>
      <c r="K37" s="34" t="s">
        <v>464</v>
      </c>
      <c r="L37" s="34" t="s">
        <v>462</v>
      </c>
      <c r="N37" s="41"/>
    </row>
    <row r="38" spans="2:14" x14ac:dyDescent="0.25">
      <c r="B38" s="34" t="s">
        <v>15</v>
      </c>
      <c r="C38" s="34"/>
      <c r="D38" s="34" t="s">
        <v>4</v>
      </c>
      <c r="E38" s="34" t="s">
        <v>13</v>
      </c>
      <c r="F38" s="34" t="s">
        <v>108</v>
      </c>
      <c r="G38" s="34"/>
      <c r="H38" s="35" t="s">
        <v>471</v>
      </c>
      <c r="I38" s="34" t="s">
        <v>466</v>
      </c>
      <c r="J38" s="34" t="s">
        <v>463</v>
      </c>
      <c r="K38" s="34" t="s">
        <v>465</v>
      </c>
      <c r="L38" s="34" t="s">
        <v>462</v>
      </c>
      <c r="N38" s="41"/>
    </row>
    <row r="39" spans="2:14" x14ac:dyDescent="0.25">
      <c r="B39" s="34" t="s">
        <v>15</v>
      </c>
      <c r="C39" s="34"/>
      <c r="D39" s="34" t="s">
        <v>4</v>
      </c>
      <c r="E39" s="34" t="s">
        <v>13</v>
      </c>
      <c r="F39" s="34"/>
      <c r="G39" s="34" t="s">
        <v>113</v>
      </c>
      <c r="H39" s="35" t="s">
        <v>471</v>
      </c>
      <c r="I39" s="34" t="s">
        <v>467</v>
      </c>
      <c r="J39" s="34" t="s">
        <v>463</v>
      </c>
      <c r="K39" s="34" t="s">
        <v>465</v>
      </c>
      <c r="L39" s="34" t="s">
        <v>462</v>
      </c>
      <c r="N39" s="41"/>
    </row>
    <row r="40" spans="2:14" x14ac:dyDescent="0.25">
      <c r="B40" s="34" t="s">
        <v>15</v>
      </c>
      <c r="C40" s="34"/>
      <c r="D40" s="34" t="s">
        <v>4</v>
      </c>
      <c r="E40" s="34"/>
      <c r="F40" s="34" t="s">
        <v>108</v>
      </c>
      <c r="G40" s="34" t="s">
        <v>113</v>
      </c>
      <c r="H40" s="35" t="s">
        <v>471</v>
      </c>
      <c r="I40" s="34" t="s">
        <v>466</v>
      </c>
      <c r="J40" s="34" t="s">
        <v>467</v>
      </c>
      <c r="K40" s="34" t="s">
        <v>465</v>
      </c>
      <c r="L40" s="34" t="s">
        <v>462</v>
      </c>
      <c r="N40" s="41"/>
    </row>
    <row r="41" spans="2:14" x14ac:dyDescent="0.25">
      <c r="B41" s="34" t="s">
        <v>15</v>
      </c>
      <c r="C41" s="34"/>
      <c r="D41" s="34"/>
      <c r="E41" s="34" t="s">
        <v>13</v>
      </c>
      <c r="F41" s="34" t="s">
        <v>108</v>
      </c>
      <c r="G41" s="34" t="s">
        <v>113</v>
      </c>
      <c r="H41" s="35" t="s">
        <v>471</v>
      </c>
      <c r="I41" s="34" t="s">
        <v>466</v>
      </c>
      <c r="J41" s="34" t="s">
        <v>467</v>
      </c>
      <c r="K41" s="34" t="s">
        <v>463</v>
      </c>
      <c r="L41" s="34" t="s">
        <v>462</v>
      </c>
      <c r="N41" s="41"/>
    </row>
    <row r="42" spans="2:14" x14ac:dyDescent="0.25">
      <c r="B42" s="34"/>
      <c r="C42" s="34" t="s">
        <v>3</v>
      </c>
      <c r="D42" s="34" t="s">
        <v>4</v>
      </c>
      <c r="E42" s="34" t="s">
        <v>13</v>
      </c>
      <c r="F42" s="34" t="s">
        <v>108</v>
      </c>
      <c r="G42" s="34"/>
      <c r="H42" s="35" t="s">
        <v>471</v>
      </c>
      <c r="I42" s="34" t="s">
        <v>466</v>
      </c>
      <c r="J42" s="34" t="s">
        <v>463</v>
      </c>
      <c r="K42" s="34" t="s">
        <v>464</v>
      </c>
      <c r="L42" s="34" t="s">
        <v>465</v>
      </c>
      <c r="N42" s="41"/>
    </row>
    <row r="43" spans="2:14" x14ac:dyDescent="0.25">
      <c r="B43" s="34"/>
      <c r="C43" s="34" t="s">
        <v>3</v>
      </c>
      <c r="D43" s="34" t="s">
        <v>4</v>
      </c>
      <c r="E43" s="34" t="s">
        <v>13</v>
      </c>
      <c r="F43" s="34"/>
      <c r="G43" s="34" t="s">
        <v>113</v>
      </c>
      <c r="H43" s="35" t="s">
        <v>471</v>
      </c>
      <c r="I43" s="34" t="s">
        <v>467</v>
      </c>
      <c r="J43" s="34" t="s">
        <v>463</v>
      </c>
      <c r="K43" s="34" t="s">
        <v>465</v>
      </c>
      <c r="L43" s="34" t="s">
        <v>464</v>
      </c>
      <c r="N43" s="41"/>
    </row>
    <row r="44" spans="2:14" x14ac:dyDescent="0.25">
      <c r="B44" s="34"/>
      <c r="C44" s="34" t="s">
        <v>3</v>
      </c>
      <c r="D44" s="34" t="s">
        <v>4</v>
      </c>
      <c r="E44" s="34"/>
      <c r="F44" s="34" t="s">
        <v>108</v>
      </c>
      <c r="G44" s="34" t="s">
        <v>113</v>
      </c>
      <c r="H44" s="35" t="s">
        <v>471</v>
      </c>
      <c r="I44" s="34" t="s">
        <v>467</v>
      </c>
      <c r="J44" s="34" t="s">
        <v>466</v>
      </c>
      <c r="K44" s="34" t="s">
        <v>465</v>
      </c>
      <c r="L44" s="34" t="s">
        <v>464</v>
      </c>
      <c r="N44" s="41"/>
    </row>
    <row r="45" spans="2:14" x14ac:dyDescent="0.25">
      <c r="B45" s="34"/>
      <c r="C45" s="34" t="s">
        <v>3</v>
      </c>
      <c r="D45" s="34"/>
      <c r="E45" s="34" t="s">
        <v>13</v>
      </c>
      <c r="F45" s="34" t="s">
        <v>108</v>
      </c>
      <c r="G45" s="34" t="s">
        <v>113</v>
      </c>
      <c r="H45" s="35" t="s">
        <v>471</v>
      </c>
      <c r="I45" s="34" t="s">
        <v>467</v>
      </c>
      <c r="J45" s="34" t="s">
        <v>466</v>
      </c>
      <c r="K45" s="34" t="s">
        <v>463</v>
      </c>
      <c r="L45" s="34" t="s">
        <v>464</v>
      </c>
      <c r="N45" s="41"/>
    </row>
    <row r="46" spans="2:14" x14ac:dyDescent="0.25">
      <c r="B46" s="34"/>
      <c r="C46" s="34"/>
      <c r="D46" s="34" t="s">
        <v>4</v>
      </c>
      <c r="E46" s="34" t="s">
        <v>13</v>
      </c>
      <c r="F46" s="34" t="s">
        <v>108</v>
      </c>
      <c r="G46" s="34" t="s">
        <v>113</v>
      </c>
      <c r="H46" s="35" t="s">
        <v>471</v>
      </c>
      <c r="I46" s="34" t="s">
        <v>467</v>
      </c>
      <c r="J46" s="34" t="s">
        <v>466</v>
      </c>
      <c r="K46" s="34" t="s">
        <v>463</v>
      </c>
      <c r="L46" s="34" t="s">
        <v>465</v>
      </c>
      <c r="N46" s="41"/>
    </row>
  </sheetData>
  <mergeCells count="5">
    <mergeCell ref="B30:G31"/>
    <mergeCell ref="B12:N14"/>
    <mergeCell ref="B18:N20"/>
    <mergeCell ref="B21:N22"/>
    <mergeCell ref="B25:N26"/>
  </mergeCells>
  <pageMargins left="0.45" right="0.45" top="0.5" bottom="0.5" header="0.3" footer="0.3"/>
  <pageSetup scale="89" fitToHeight="0" orientation="portrait" r:id="rId1"/>
  <headerFooter>
    <oddFooter>&amp;R(c) 2020 | journalSHEET.com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W20"/>
  <sheetViews>
    <sheetView showGridLines="0" workbookViewId="0">
      <pane ySplit="4" topLeftCell="A5" activePane="bottomLeft" state="frozen"/>
      <selection pane="bottomLeft" activeCell="E10" sqref="E10"/>
    </sheetView>
  </sheetViews>
  <sheetFormatPr defaultColWidth="8.7109375" defaultRowHeight="12.75" x14ac:dyDescent="0.2"/>
  <cols>
    <col min="1" max="1" width="1.5703125" style="42" customWidth="1"/>
    <col min="2" max="2" width="3.5703125" style="42" customWidth="1"/>
    <col min="3" max="3" width="12" style="42" customWidth="1"/>
    <col min="4" max="4" width="2.5703125" style="42" customWidth="1"/>
    <col min="5" max="5" width="38.42578125" style="42" customWidth="1"/>
    <col min="6" max="6" width="8.7109375" style="42"/>
    <col min="7" max="7" width="1.5703125" style="42" customWidth="1"/>
    <col min="8" max="10" width="13.5703125" style="42" customWidth="1"/>
    <col min="11" max="11" width="2.5703125" style="42" customWidth="1"/>
    <col min="12" max="16384" width="8.7109375" style="42"/>
  </cols>
  <sheetData>
    <row r="1" spans="2:101" s="17" customFormat="1" ht="5.0999999999999996" customHeight="1" x14ac:dyDescent="0.2"/>
    <row r="2" spans="2:101" s="2" customFormat="1" ht="5.0999999999999996" customHeight="1" x14ac:dyDescent="0.25">
      <c r="D2" s="13"/>
      <c r="L2" s="5"/>
      <c r="M2" s="14"/>
      <c r="N2" s="14"/>
      <c r="O2" s="14"/>
      <c r="P2" s="14"/>
      <c r="Q2" s="14"/>
      <c r="R2" s="7"/>
      <c r="S2" s="15"/>
      <c r="T2" s="16"/>
      <c r="CM2" s="5"/>
      <c r="CN2" s="5"/>
      <c r="CO2" s="5"/>
      <c r="CP2" s="5"/>
    </row>
    <row r="3" spans="2:101" s="3" customFormat="1" ht="30" customHeight="1" x14ac:dyDescent="0.25">
      <c r="B3" s="32" t="s">
        <v>817</v>
      </c>
      <c r="C3" s="2"/>
      <c r="D3" s="13"/>
      <c r="E3" s="2"/>
      <c r="F3" s="2"/>
      <c r="G3" s="2"/>
      <c r="H3" s="2"/>
      <c r="I3" s="2"/>
      <c r="J3" s="2"/>
      <c r="K3" s="2"/>
      <c r="L3" s="2"/>
      <c r="M3" s="2"/>
      <c r="N3" s="2"/>
      <c r="O3" s="2"/>
      <c r="P3" s="2"/>
      <c r="Q3" s="2"/>
      <c r="R3" s="30"/>
      <c r="S3" s="31"/>
      <c r="T3" s="2"/>
      <c r="U3" s="2"/>
      <c r="V3" s="2"/>
      <c r="W3" s="2"/>
      <c r="X3" s="2"/>
      <c r="Y3" s="2"/>
      <c r="Z3" s="2"/>
      <c r="AA3" s="2"/>
      <c r="AB3" s="2"/>
      <c r="AC3" s="2"/>
    </row>
    <row r="4" spans="2:101" s="3" customFormat="1" ht="5.0999999999999996" customHeight="1" x14ac:dyDescent="0.25">
      <c r="D4" s="6"/>
      <c r="H4" s="2"/>
      <c r="I4" s="2"/>
      <c r="J4" s="2"/>
      <c r="K4" s="2"/>
      <c r="L4" s="5"/>
      <c r="M4" s="5"/>
      <c r="N4" s="5"/>
      <c r="O4" s="5"/>
      <c r="P4" s="5"/>
      <c r="Q4" s="5"/>
      <c r="R4" s="7"/>
      <c r="S4" s="15"/>
      <c r="T4" s="16"/>
      <c r="U4" s="2"/>
      <c r="V4" s="2"/>
      <c r="W4" s="2"/>
      <c r="X4" s="2"/>
      <c r="Y4" s="2"/>
      <c r="Z4" s="2"/>
      <c r="AA4" s="2"/>
      <c r="AB4" s="2"/>
      <c r="AC4" s="2"/>
      <c r="CT4" s="4"/>
      <c r="CU4" s="4"/>
      <c r="CV4" s="4"/>
      <c r="CW4" s="4"/>
    </row>
    <row r="5" spans="2:101" ht="15" customHeight="1" x14ac:dyDescent="0.25">
      <c r="B5" s="108"/>
      <c r="C5" s="108"/>
      <c r="D5" s="108"/>
      <c r="E5" s="108"/>
      <c r="F5" s="108"/>
      <c r="H5" s="2"/>
      <c r="I5" s="2"/>
      <c r="J5" s="2"/>
    </row>
    <row r="6" spans="2:101" ht="15" customHeight="1" x14ac:dyDescent="0.25">
      <c r="B6" s="108"/>
      <c r="C6" s="108"/>
      <c r="D6" s="108"/>
      <c r="E6" s="109"/>
      <c r="F6" s="109"/>
      <c r="H6" s="2"/>
      <c r="I6" s="2"/>
      <c r="J6" s="2"/>
    </row>
    <row r="7" spans="2:101" ht="15" customHeight="1" x14ac:dyDescent="0.25">
      <c r="B7" s="108"/>
      <c r="C7" s="108"/>
      <c r="D7" s="108"/>
      <c r="E7" s="109"/>
      <c r="F7" s="109"/>
      <c r="H7" s="2"/>
      <c r="I7" s="2"/>
      <c r="J7" s="2"/>
    </row>
    <row r="8" spans="2:101" ht="15" customHeight="1" x14ac:dyDescent="0.25">
      <c r="B8" s="108"/>
      <c r="C8" s="108" t="s">
        <v>819</v>
      </c>
      <c r="D8" s="108" t="s">
        <v>820</v>
      </c>
      <c r="E8" s="108" t="s">
        <v>877</v>
      </c>
      <c r="F8" s="108"/>
      <c r="H8" s="2"/>
      <c r="I8" s="2"/>
      <c r="J8" s="2"/>
    </row>
    <row r="9" spans="2:101" ht="15" customHeight="1" x14ac:dyDescent="0.25">
      <c r="B9" s="108"/>
      <c r="C9" s="108" t="s">
        <v>821</v>
      </c>
      <c r="D9" s="108" t="s">
        <v>820</v>
      </c>
      <c r="E9" s="110">
        <v>2.5099999999999998</v>
      </c>
      <c r="F9" s="108"/>
      <c r="H9" s="2"/>
      <c r="I9" s="2"/>
      <c r="J9" s="2"/>
    </row>
    <row r="10" spans="2:101" ht="15" customHeight="1" x14ac:dyDescent="0.25">
      <c r="B10" s="108"/>
      <c r="C10" s="108" t="s">
        <v>822</v>
      </c>
      <c r="D10" s="108" t="s">
        <v>820</v>
      </c>
      <c r="E10" s="108" t="s">
        <v>823</v>
      </c>
      <c r="F10" s="108"/>
      <c r="H10" s="2"/>
      <c r="I10" s="2"/>
      <c r="J10" s="2"/>
    </row>
    <row r="11" spans="2:101" ht="15" customHeight="1" x14ac:dyDescent="0.25">
      <c r="B11" s="108"/>
      <c r="C11" s="108" t="s">
        <v>824</v>
      </c>
      <c r="D11" s="108" t="s">
        <v>820</v>
      </c>
      <c r="E11" s="111" t="s">
        <v>829</v>
      </c>
      <c r="F11" s="112"/>
      <c r="H11" s="2"/>
      <c r="I11" s="2"/>
      <c r="J11" s="2"/>
    </row>
    <row r="12" spans="2:101" ht="15" customHeight="1" x14ac:dyDescent="0.25">
      <c r="B12" s="108"/>
      <c r="C12" s="108" t="s">
        <v>825</v>
      </c>
      <c r="D12" s="108" t="s">
        <v>820</v>
      </c>
      <c r="E12" s="111" t="s">
        <v>826</v>
      </c>
      <c r="F12" s="112"/>
      <c r="H12" s="2"/>
      <c r="I12" s="2"/>
      <c r="J12" s="2"/>
      <c r="K12" s="43"/>
    </row>
    <row r="13" spans="2:101" ht="15" customHeight="1" x14ac:dyDescent="0.25">
      <c r="B13" s="108"/>
      <c r="C13" s="108" t="s">
        <v>827</v>
      </c>
      <c r="D13" s="108" t="s">
        <v>820</v>
      </c>
      <c r="E13" s="113" t="s">
        <v>874</v>
      </c>
      <c r="F13" s="112"/>
      <c r="H13" s="2"/>
      <c r="I13" s="2"/>
      <c r="J13" s="2"/>
    </row>
    <row r="14" spans="2:101" ht="15" customHeight="1" x14ac:dyDescent="0.25">
      <c r="B14" s="108"/>
      <c r="C14" s="108"/>
      <c r="D14" s="108"/>
      <c r="E14" s="108"/>
      <c r="F14" s="112"/>
      <c r="H14" s="2"/>
      <c r="I14" s="2"/>
      <c r="J14" s="2"/>
    </row>
    <row r="16" spans="2:101" ht="15.75" x14ac:dyDescent="0.25">
      <c r="B16" s="43"/>
    </row>
    <row r="17" spans="2:6" s="44" customFormat="1" ht="15.75" x14ac:dyDescent="0.25">
      <c r="B17" s="238" t="s">
        <v>850</v>
      </c>
      <c r="C17" s="238"/>
      <c r="D17" s="238"/>
      <c r="E17" s="238"/>
      <c r="F17" s="238"/>
    </row>
    <row r="18" spans="2:6" s="43" customFormat="1" ht="15.75" x14ac:dyDescent="0.25"/>
    <row r="19" spans="2:6" s="43" customFormat="1" ht="15.75" x14ac:dyDescent="0.25"/>
    <row r="20" spans="2:6" s="43" customFormat="1" ht="15.75" x14ac:dyDescent="0.25"/>
  </sheetData>
  <mergeCells count="1">
    <mergeCell ref="B17:F17"/>
  </mergeCells>
  <hyperlinks>
    <hyperlink ref="E11" r:id="rId1" xr:uid="{00000000-0004-0000-0500-000000000000}"/>
    <hyperlink ref="B17:F17" r:id="rId2" display="Go to journalSHEET.com for other Euro 2024 spreadsheets" xr:uid="{00000000-0004-0000-0500-000001000000}"/>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CY14"/>
  <sheetViews>
    <sheetView showGridLines="0" workbookViewId="0">
      <pane ySplit="4" topLeftCell="A5" activePane="bottomLeft" state="frozen"/>
      <selection pane="bottomLeft" activeCell="G14" sqref="G14"/>
    </sheetView>
  </sheetViews>
  <sheetFormatPr defaultRowHeight="12.75" x14ac:dyDescent="0.2"/>
  <cols>
    <col min="1" max="1" width="1.5703125" customWidth="1"/>
  </cols>
  <sheetData>
    <row r="1" spans="2:103" s="17" customFormat="1" ht="5.0999999999999996" customHeight="1" x14ac:dyDescent="0.2"/>
    <row r="2" spans="2:103" s="2" customFormat="1" ht="5.0999999999999996" customHeight="1" x14ac:dyDescent="0.25">
      <c r="D2" s="13"/>
      <c r="N2" s="5"/>
      <c r="O2" s="14"/>
      <c r="P2" s="14"/>
      <c r="Q2" s="14"/>
      <c r="R2" s="14"/>
      <c r="S2" s="14"/>
      <c r="T2" s="7"/>
      <c r="U2" s="15"/>
      <c r="V2" s="16"/>
      <c r="CO2" s="5"/>
      <c r="CP2" s="5"/>
      <c r="CQ2" s="5"/>
      <c r="CR2" s="5"/>
    </row>
    <row r="3" spans="2:103" s="3" customFormat="1" ht="30" customHeight="1" x14ac:dyDescent="0.25">
      <c r="B3" s="32" t="s">
        <v>818</v>
      </c>
      <c r="C3" s="2"/>
      <c r="D3" s="13"/>
      <c r="E3" s="2"/>
      <c r="F3" s="2"/>
      <c r="G3" s="2"/>
      <c r="H3" s="2"/>
      <c r="I3" s="2"/>
      <c r="J3" s="2"/>
      <c r="K3" s="2"/>
      <c r="L3" s="2"/>
      <c r="M3" s="2"/>
      <c r="N3" s="2"/>
      <c r="O3" s="2"/>
      <c r="P3" s="2"/>
      <c r="Q3" s="2"/>
      <c r="R3" s="2"/>
      <c r="S3" s="2"/>
      <c r="T3" s="30"/>
      <c r="U3" s="31"/>
      <c r="V3" s="2"/>
      <c r="W3" s="2"/>
      <c r="X3" s="2"/>
      <c r="Y3" s="2"/>
      <c r="Z3" s="2"/>
      <c r="AA3" s="2"/>
      <c r="AB3" s="2"/>
      <c r="AC3" s="2"/>
      <c r="AD3" s="2"/>
      <c r="AE3" s="2"/>
    </row>
    <row r="4" spans="2:103" s="3" customFormat="1" ht="5.0999999999999996" customHeight="1" x14ac:dyDescent="0.25">
      <c r="D4" s="6"/>
      <c r="M4" s="2"/>
      <c r="N4" s="5"/>
      <c r="O4" s="5"/>
      <c r="P4" s="5"/>
      <c r="Q4" s="5"/>
      <c r="R4" s="5"/>
      <c r="S4" s="5"/>
      <c r="T4" s="7"/>
      <c r="U4" s="15"/>
      <c r="V4" s="16"/>
      <c r="W4" s="2"/>
      <c r="X4" s="2"/>
      <c r="Y4" s="2"/>
      <c r="Z4" s="2"/>
      <c r="AA4" s="2"/>
      <c r="AB4" s="2"/>
      <c r="AC4" s="2"/>
      <c r="AD4" s="2"/>
      <c r="AE4" s="2"/>
      <c r="CV4" s="4"/>
      <c r="CW4" s="4"/>
      <c r="CX4" s="4"/>
      <c r="CY4" s="4"/>
    </row>
    <row r="14" spans="2:103" x14ac:dyDescent="0.2">
      <c r="G14" s="114" t="s">
        <v>876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Setup</vt:lpstr>
      <vt:lpstr>Matches</vt:lpstr>
      <vt:lpstr>Fixtures</vt:lpstr>
      <vt:lpstr>Language</vt:lpstr>
      <vt:lpstr>Dummy Table</vt:lpstr>
      <vt:lpstr>Tie Breaker Regulation</vt:lpstr>
      <vt:lpstr>About</vt:lpstr>
      <vt:lpstr>License</vt:lpstr>
      <vt:lpstr>Countries</vt:lpstr>
      <vt:lpstr>Country</vt:lpstr>
      <vt:lpstr>GroupA</vt:lpstr>
      <vt:lpstr>GroupB</vt:lpstr>
      <vt:lpstr>GroupC</vt:lpstr>
      <vt:lpstr>GroupD</vt:lpstr>
      <vt:lpstr>GroupE</vt:lpstr>
      <vt:lpstr>GroupF</vt:lpstr>
      <vt:lpstr>KOColo</vt:lpstr>
      <vt:lpstr>PoolTeam</vt:lpstr>
      <vt:lpstr>Fixtures!Print_Area</vt:lpstr>
      <vt:lpstr>Matches!Print_Area</vt:lpstr>
      <vt:lpstr>'Tie Breaker Regulation'!Print_Area</vt:lpstr>
      <vt:lpstr>Team</vt:lpstr>
      <vt:lpstr>TimezoneData</vt:lpstr>
      <vt:lpstr>TimezoneList</vt:lpstr>
      <vt:lpstr>Venues</vt:lpstr>
    </vt:vector>
  </TitlesOfParts>
  <Company>journalSHEET.com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2020 - 2021 Fixtures</dc:title>
  <dc:creator>journalSHEET</dc:creator>
  <cp:keywords>euro 2020</cp:keywords>
  <cp:lastModifiedBy>Michael Capuccino</cp:lastModifiedBy>
  <cp:lastPrinted>2024-04-04T07:21:05Z</cp:lastPrinted>
  <dcterms:created xsi:type="dcterms:W3CDTF">2008-04-13T01:23:18Z</dcterms:created>
  <dcterms:modified xsi:type="dcterms:W3CDTF">2024-06-05T02:52:33Z</dcterms:modified>
  <cp:category>Sport Spreadsheet</cp:category>
</cp:coreProperties>
</file>