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myTab1" Type="http://schemas.microsoft.com/office/2006/relationships/ui/extensibility" Target="OriginalRibbon/OriginalRibbon.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6BE1CDB9-6C1C-A5B6-3FC1-E231EC3C600E}"/>
  <workbookPr codeName="ThisWorkbook"/>
  <mc:AlternateContent xmlns:mc="http://schemas.openxmlformats.org/markup-compatibility/2006">
    <mc:Choice Requires="x15">
      <x15ac:absPath xmlns:x15ac="http://schemas.microsoft.com/office/spreadsheetml/2010/11/ac" url="C:\Users\ryoseki\dev\om-bldg-client\lib\__test__\test_files\正常フロー\"/>
    </mc:Choice>
  </mc:AlternateContent>
  <xr:revisionPtr revIDLastSave="0" documentId="13_ncr:1_{FBC92F0E-ACC0-4152-8C4F-BF46D0EA9AF8}" xr6:coauthVersionLast="47" xr6:coauthVersionMax="47" xr10:uidLastSave="{00000000-0000-0000-0000-000000000000}"/>
  <bookViews>
    <workbookView xWindow="33345" yWindow="2040" windowWidth="21600" windowHeight="11385" tabRatio="776" firstSheet="1" activeTab="1" xr2:uid="{00000000-000D-0000-FFFF-FFFF00000000}"/>
  </bookViews>
  <sheets>
    <sheet name="数量内訳書表紙" sheetId="32" state="hidden" r:id="rId1"/>
    <sheet name="表紙" sheetId="6" r:id="rId2"/>
    <sheet name="資産管理明細書" sheetId="38" r:id="rId3"/>
    <sheet name="資産クラス" sheetId="36" r:id="rId4"/>
    <sheet name="諸経費表" sheetId="48" r:id="rId5"/>
    <sheet name="東梅田　諸" sheetId="52" r:id="rId6"/>
    <sheet name="工事1" sheetId="1" r:id="rId7"/>
    <sheet name="代価" sheetId="31" state="hidden" r:id="rId8"/>
    <sheet name="1" sheetId="60" r:id="rId9"/>
    <sheet name="工事2" sheetId="47" r:id="rId10"/>
    <sheet name="2" sheetId="61" r:id="rId11"/>
    <sheet name="工事3" sheetId="53" r:id="rId12"/>
    <sheet name="3" sheetId="62" r:id="rId13"/>
    <sheet name="工事4" sheetId="54" r:id="rId14"/>
    <sheet name="4" sheetId="63" r:id="rId15"/>
    <sheet name="工事5" sheetId="55" r:id="rId16"/>
    <sheet name="堺筋本町　諸" sheetId="51" r:id="rId17"/>
    <sheet name="工事6" sheetId="56" r:id="rId18"/>
    <sheet name="6" sheetId="64" r:id="rId19"/>
    <sheet name="工事7" sheetId="57" r:id="rId20"/>
    <sheet name="7" sheetId="65" r:id="rId21"/>
    <sheet name="工事8" sheetId="58" r:id="rId22"/>
    <sheet name="8" sheetId="66" r:id="rId23"/>
    <sheet name="見積比較" sheetId="3" r:id="rId24"/>
    <sheet name="小運搬" sheetId="30" r:id="rId25"/>
    <sheet name="代価一覧" sheetId="7" r:id="rId26"/>
    <sheet name="資産クラス一覧表" sheetId="43" r:id="rId27"/>
    <sheet name="諸経費表(専業工事用)" sheetId="49" r:id="rId28"/>
    <sheet name="随契差引諸経費表" sheetId="50" state="hidden" r:id="rId29"/>
    <sheet name="work" sheetId="8" state="hidden" r:id="rId30"/>
    <sheet name="新規シート" sheetId="9" state="hidden" r:id="rId31"/>
  </sheets>
  <externalReferences>
    <externalReference r:id="rId32"/>
    <externalReference r:id="rId33"/>
    <externalReference r:id="rId34"/>
    <externalReference r:id="rId35"/>
    <externalReference r:id="rId36"/>
    <externalReference r:id="rId37"/>
    <externalReference r:id="rId38"/>
  </externalReferences>
  <definedNames>
    <definedName name="_xlnm.Print_Area" localSheetId="29">work!$A$1:$K$136</definedName>
    <definedName name="_xlnm.Print_Area" localSheetId="23">見積比較!$A:$O</definedName>
    <definedName name="_xlnm.Print_Area" localSheetId="6">工事1!$A$3:$L$71</definedName>
    <definedName name="_xlnm.Print_Area" localSheetId="16">'堺筋本町　諸'!$A$1:$N$172</definedName>
    <definedName name="_xlnm.Print_Area" localSheetId="3">資産クラス!$A$1:$P$325</definedName>
    <definedName name="_xlnm.Print_Area" localSheetId="2">資産管理明細書!$A$3:$L$94</definedName>
    <definedName name="_xlnm.Print_Area" localSheetId="4">諸経費表!$A$1:$P$172</definedName>
    <definedName name="_xlnm.Print_Area" localSheetId="27">'諸経費表(専業工事用)'!$A$1:$L$172</definedName>
    <definedName name="_xlnm.Print_Area" localSheetId="28">随契差引諸経費表!$A$1:$N$470</definedName>
    <definedName name="_xlnm.Print_Area" localSheetId="0">数量内訳書表紙!$A$1:$L$23</definedName>
    <definedName name="_xlnm.Print_Area" localSheetId="7">代価!$A:$L</definedName>
    <definedName name="_xlnm.Print_Area" localSheetId="5">'東梅田　諸'!$A$1:$N$172</definedName>
    <definedName name="_xlnm.Print_Area" localSheetId="1">表紙!$A$1:$W$94</definedName>
    <definedName name="区分" localSheetId="8">#REF!</definedName>
    <definedName name="区分" localSheetId="10">#REF!</definedName>
    <definedName name="区分" localSheetId="12">#REF!</definedName>
    <definedName name="区分" localSheetId="14">#REF!</definedName>
    <definedName name="区分" localSheetId="18">#REF!</definedName>
    <definedName name="区分" localSheetId="20">#REF!</definedName>
    <definedName name="区分" localSheetId="22">#REF!</definedName>
    <definedName name="区分" localSheetId="9">#REF!</definedName>
    <definedName name="区分" localSheetId="11">#REF!</definedName>
    <definedName name="区分" localSheetId="13">#REF!</definedName>
    <definedName name="区分" localSheetId="15">#REF!</definedName>
    <definedName name="区分" localSheetId="17">#REF!</definedName>
    <definedName name="区分" localSheetId="19">#REF!</definedName>
    <definedName name="区分" localSheetId="21">#REF!</definedName>
    <definedName name="区分" localSheetId="16">#REF!</definedName>
    <definedName name="区分" localSheetId="5">#REF!</definedName>
    <definedName name="区分">#REF!</definedName>
    <definedName name="区分1">[1]Sheet2!$D$1:$D$19</definedName>
    <definedName name="分類">[1]Sheet2!$A$1:$A$2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7" i="3" l="1"/>
  <c r="J254" i="3" s="1"/>
  <c r="O322" i="36" l="1"/>
  <c r="O316" i="36"/>
  <c r="O309" i="36"/>
  <c r="O308" i="36"/>
  <c r="O307" i="36"/>
  <c r="O306" i="36"/>
  <c r="O305" i="36"/>
  <c r="O304" i="36"/>
  <c r="O303" i="36"/>
  <c r="O302" i="36"/>
  <c r="O301" i="36"/>
  <c r="O300" i="36"/>
  <c r="O299" i="36"/>
  <c r="O298" i="36"/>
  <c r="O297" i="36"/>
  <c r="O296" i="36"/>
  <c r="O295" i="36"/>
  <c r="O294" i="36"/>
  <c r="O293" i="36"/>
  <c r="O292" i="36"/>
  <c r="O291" i="36"/>
  <c r="O290" i="36"/>
  <c r="O289" i="36"/>
  <c r="O288" i="36"/>
  <c r="O287" i="36"/>
  <c r="O286" i="36"/>
  <c r="O285" i="36"/>
  <c r="O284" i="36"/>
  <c r="O283" i="36"/>
  <c r="O282" i="36"/>
  <c r="O281" i="36"/>
  <c r="O280" i="36"/>
  <c r="O279" i="36"/>
  <c r="O278" i="36"/>
  <c r="O277" i="36"/>
  <c r="O276" i="36"/>
  <c r="O275" i="36"/>
  <c r="O273" i="36"/>
  <c r="O272" i="36"/>
  <c r="O271" i="36"/>
  <c r="O270" i="36"/>
  <c r="O269" i="36"/>
  <c r="O268" i="36"/>
  <c r="O267" i="36"/>
  <c r="O266" i="36"/>
  <c r="O265" i="36"/>
  <c r="O264" i="36"/>
  <c r="O263" i="36"/>
  <c r="O262" i="36"/>
  <c r="O261" i="36"/>
  <c r="O260" i="36"/>
  <c r="O259" i="36"/>
  <c r="O258" i="36"/>
  <c r="O257" i="36"/>
  <c r="O256" i="36"/>
  <c r="O255" i="36"/>
  <c r="O254" i="36"/>
  <c r="O253" i="36"/>
  <c r="O252" i="36"/>
  <c r="O251" i="36"/>
  <c r="O250" i="36"/>
  <c r="O249" i="36"/>
  <c r="O248" i="36"/>
  <c r="O247" i="36"/>
  <c r="O246" i="36"/>
  <c r="O245" i="36"/>
  <c r="O244" i="36"/>
  <c r="O243" i="36"/>
  <c r="O242" i="36"/>
  <c r="O241" i="36"/>
  <c r="O240" i="36"/>
  <c r="O239" i="36"/>
  <c r="O238" i="36"/>
  <c r="O237" i="36"/>
  <c r="O236" i="36"/>
  <c r="O235" i="36"/>
  <c r="O234" i="36"/>
  <c r="O233" i="36"/>
  <c r="O232" i="36"/>
  <c r="O231" i="36"/>
  <c r="O230" i="36"/>
  <c r="O229" i="36"/>
  <c r="O228" i="36"/>
  <c r="O227" i="36"/>
  <c r="O226" i="36"/>
  <c r="O225" i="36"/>
  <c r="O224" i="36"/>
  <c r="O223" i="36"/>
  <c r="O222" i="36"/>
  <c r="O221" i="36"/>
  <c r="O220" i="36"/>
  <c r="O219" i="36"/>
  <c r="O218" i="36"/>
  <c r="O217" i="36"/>
  <c r="O216" i="36"/>
  <c r="O215" i="36"/>
  <c r="O214" i="36"/>
  <c r="O213" i="36"/>
  <c r="O212" i="36"/>
  <c r="O211" i="36"/>
  <c r="O210" i="36"/>
  <c r="O209" i="36"/>
  <c r="O208" i="36"/>
  <c r="O207" i="36"/>
  <c r="O206" i="36"/>
  <c r="O205" i="36"/>
  <c r="O204" i="36"/>
  <c r="O203" i="36"/>
  <c r="O202" i="36"/>
  <c r="O201" i="36"/>
  <c r="O200" i="36"/>
  <c r="O199" i="36"/>
  <c r="O198" i="36"/>
  <c r="O197" i="36"/>
  <c r="O196" i="36"/>
  <c r="O195" i="36"/>
  <c r="O194" i="36"/>
  <c r="O193" i="36"/>
  <c r="O192" i="36"/>
  <c r="O191" i="36"/>
  <c r="O190" i="36"/>
  <c r="O189" i="36"/>
  <c r="O188" i="36"/>
  <c r="O187" i="36"/>
  <c r="O186" i="36"/>
  <c r="O185" i="36"/>
  <c r="O184" i="36"/>
  <c r="O183" i="36"/>
  <c r="O182" i="36"/>
  <c r="O181" i="36"/>
  <c r="O180" i="36"/>
  <c r="O179" i="36"/>
  <c r="O178" i="36"/>
  <c r="O177" i="36"/>
  <c r="O176" i="36"/>
  <c r="O175" i="36"/>
  <c r="O174" i="36"/>
  <c r="O173" i="36"/>
  <c r="O172" i="36"/>
  <c r="O171" i="36"/>
  <c r="O170" i="36"/>
  <c r="O169" i="36"/>
  <c r="O168" i="36"/>
  <c r="O167" i="36"/>
  <c r="O166" i="36"/>
  <c r="O165" i="36"/>
  <c r="O164" i="36"/>
  <c r="O163" i="36"/>
  <c r="O162" i="36"/>
  <c r="O161" i="36"/>
  <c r="O160" i="36"/>
  <c r="O159" i="36"/>
  <c r="O158" i="36"/>
  <c r="O157" i="36"/>
  <c r="O156" i="36"/>
  <c r="O155" i="36"/>
  <c r="O154" i="36"/>
  <c r="O153" i="36"/>
  <c r="O152" i="36"/>
  <c r="O151" i="36"/>
  <c r="O150" i="36"/>
  <c r="O149" i="36"/>
  <c r="O148" i="36"/>
  <c r="O147" i="36"/>
  <c r="O146" i="36"/>
  <c r="O145" i="36"/>
  <c r="O144" i="36"/>
  <c r="O143" i="36"/>
  <c r="O142" i="36"/>
  <c r="O141" i="36"/>
  <c r="O140" i="36"/>
  <c r="O139" i="36"/>
  <c r="O138" i="36"/>
  <c r="O137" i="36"/>
  <c r="O136" i="36"/>
  <c r="O135" i="36"/>
  <c r="O134" i="36"/>
  <c r="O133" i="36"/>
  <c r="O132" i="36"/>
  <c r="O131" i="36"/>
  <c r="O130" i="36"/>
  <c r="O129" i="36"/>
  <c r="O128" i="36"/>
  <c r="O127" i="36"/>
  <c r="O126" i="36"/>
  <c r="O125" i="36"/>
  <c r="O124" i="36"/>
  <c r="O123" i="36"/>
  <c r="O122" i="36"/>
  <c r="O121" i="36"/>
  <c r="O120" i="36"/>
  <c r="O119" i="36"/>
  <c r="O118" i="36"/>
  <c r="O52" i="36"/>
  <c r="O69" i="36" s="1"/>
  <c r="O3" i="36"/>
  <c r="N322" i="36"/>
  <c r="N316" i="36"/>
  <c r="N309" i="36"/>
  <c r="N308" i="36"/>
  <c r="N307" i="36"/>
  <c r="N306" i="36"/>
  <c r="N305" i="36"/>
  <c r="N304" i="36"/>
  <c r="N303" i="36"/>
  <c r="N302" i="36"/>
  <c r="N301" i="36"/>
  <c r="N300" i="36"/>
  <c r="N299" i="36"/>
  <c r="N298" i="36"/>
  <c r="N297" i="36"/>
  <c r="N296" i="36"/>
  <c r="N295" i="36"/>
  <c r="N294" i="36"/>
  <c r="N293" i="36"/>
  <c r="N292" i="36"/>
  <c r="N291" i="36"/>
  <c r="N290" i="36"/>
  <c r="N289" i="36"/>
  <c r="N288" i="36"/>
  <c r="N287" i="36"/>
  <c r="N286" i="36"/>
  <c r="N285" i="36"/>
  <c r="N284" i="36"/>
  <c r="N283" i="36"/>
  <c r="N282" i="36"/>
  <c r="N281" i="36"/>
  <c r="N280" i="36"/>
  <c r="N279" i="36"/>
  <c r="N278" i="36"/>
  <c r="N277" i="36"/>
  <c r="N276" i="36"/>
  <c r="N275" i="36"/>
  <c r="N273" i="36"/>
  <c r="N272" i="36"/>
  <c r="N271" i="36"/>
  <c r="N270" i="36"/>
  <c r="N269" i="36"/>
  <c r="N268" i="36"/>
  <c r="N267" i="36"/>
  <c r="N266" i="36"/>
  <c r="N265" i="36"/>
  <c r="N264" i="36"/>
  <c r="N263" i="36"/>
  <c r="N262" i="36"/>
  <c r="N261" i="36"/>
  <c r="N260" i="36"/>
  <c r="N259" i="36"/>
  <c r="N258" i="36"/>
  <c r="N257" i="36"/>
  <c r="N256" i="36"/>
  <c r="N255" i="36"/>
  <c r="N254" i="36"/>
  <c r="N253" i="36"/>
  <c r="N252" i="36"/>
  <c r="N251" i="36"/>
  <c r="N250" i="36"/>
  <c r="N249" i="36"/>
  <c r="N248" i="36"/>
  <c r="N247" i="36"/>
  <c r="N246" i="36"/>
  <c r="N245" i="36"/>
  <c r="N244" i="36"/>
  <c r="N243" i="36"/>
  <c r="N242" i="36"/>
  <c r="N241" i="36"/>
  <c r="N240" i="36"/>
  <c r="N239" i="36"/>
  <c r="N238" i="36"/>
  <c r="N237" i="36"/>
  <c r="N236" i="36"/>
  <c r="N235" i="36"/>
  <c r="N234" i="36"/>
  <c r="N233" i="36"/>
  <c r="N232" i="36"/>
  <c r="N231" i="36"/>
  <c r="N230" i="36"/>
  <c r="N229" i="36"/>
  <c r="N228" i="36"/>
  <c r="N227" i="36"/>
  <c r="N226" i="36"/>
  <c r="N225" i="36"/>
  <c r="N224" i="36"/>
  <c r="N223" i="36"/>
  <c r="N222" i="36"/>
  <c r="N221" i="36"/>
  <c r="N220" i="36"/>
  <c r="N219" i="36"/>
  <c r="N218" i="36"/>
  <c r="N217" i="36"/>
  <c r="N216" i="36"/>
  <c r="N215" i="36"/>
  <c r="N214" i="36"/>
  <c r="N213" i="36"/>
  <c r="N212" i="36"/>
  <c r="N211" i="36"/>
  <c r="N210" i="36"/>
  <c r="N209" i="36"/>
  <c r="N208" i="36"/>
  <c r="N207" i="36"/>
  <c r="N206" i="36"/>
  <c r="N205" i="36"/>
  <c r="N204" i="36"/>
  <c r="N203" i="36"/>
  <c r="N202" i="36"/>
  <c r="N201" i="36"/>
  <c r="N200" i="36"/>
  <c r="N199" i="36"/>
  <c r="N198" i="36"/>
  <c r="N197" i="36"/>
  <c r="N196" i="36"/>
  <c r="N195" i="36"/>
  <c r="N194" i="36"/>
  <c r="N193" i="36"/>
  <c r="N192" i="36"/>
  <c r="N191" i="36"/>
  <c r="N190" i="36"/>
  <c r="N189" i="36"/>
  <c r="N188" i="36"/>
  <c r="N187" i="36"/>
  <c r="N186" i="36"/>
  <c r="N185" i="36"/>
  <c r="N184" i="36"/>
  <c r="N183" i="36"/>
  <c r="N182" i="36"/>
  <c r="N181" i="36"/>
  <c r="N180" i="36"/>
  <c r="N179" i="36"/>
  <c r="N178" i="36"/>
  <c r="N177" i="36"/>
  <c r="N176" i="36"/>
  <c r="N175" i="36"/>
  <c r="N174" i="36"/>
  <c r="N173" i="36"/>
  <c r="N172" i="36"/>
  <c r="N171" i="36"/>
  <c r="N170" i="36"/>
  <c r="N169" i="36"/>
  <c r="N168" i="36"/>
  <c r="N167" i="36"/>
  <c r="N166" i="36"/>
  <c r="N165" i="36"/>
  <c r="N164" i="36"/>
  <c r="N163" i="36"/>
  <c r="N162" i="36"/>
  <c r="N161" i="36"/>
  <c r="N160" i="36"/>
  <c r="N159" i="36"/>
  <c r="N158" i="36"/>
  <c r="N157"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52" i="36"/>
  <c r="N69" i="36" s="1"/>
  <c r="N3" i="36"/>
  <c r="M322" i="36"/>
  <c r="M316"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52" i="36"/>
  <c r="M69" i="36" s="1"/>
  <c r="M3" i="36"/>
  <c r="L322" i="36"/>
  <c r="L316" i="36"/>
  <c r="L309" i="36"/>
  <c r="L308" i="36"/>
  <c r="L307" i="36"/>
  <c r="L306" i="36"/>
  <c r="L305" i="36"/>
  <c r="L304" i="36"/>
  <c r="L303" i="36"/>
  <c r="L302" i="36"/>
  <c r="L301" i="36"/>
  <c r="L300" i="36"/>
  <c r="L299" i="36"/>
  <c r="L298" i="36"/>
  <c r="L297" i="36"/>
  <c r="L296" i="36"/>
  <c r="L295" i="36"/>
  <c r="L294" i="36"/>
  <c r="L293" i="36"/>
  <c r="L292" i="36"/>
  <c r="L291" i="36"/>
  <c r="L290" i="36"/>
  <c r="L289" i="36"/>
  <c r="L288" i="36"/>
  <c r="L287" i="36"/>
  <c r="L286" i="36"/>
  <c r="L285" i="36"/>
  <c r="L284" i="36"/>
  <c r="L283" i="36"/>
  <c r="L282" i="36"/>
  <c r="L281" i="36"/>
  <c r="L280" i="36"/>
  <c r="L279" i="36"/>
  <c r="L278" i="36"/>
  <c r="L277" i="36"/>
  <c r="L276" i="36"/>
  <c r="L275" i="36"/>
  <c r="L273" i="36"/>
  <c r="L272" i="36"/>
  <c r="L271" i="36"/>
  <c r="L270" i="36"/>
  <c r="L269" i="36"/>
  <c r="L268" i="36"/>
  <c r="L267" i="36"/>
  <c r="L266" i="36"/>
  <c r="L265" i="36"/>
  <c r="L264" i="36"/>
  <c r="L263" i="36"/>
  <c r="L262" i="36"/>
  <c r="L261" i="36"/>
  <c r="L260" i="36"/>
  <c r="L259" i="36"/>
  <c r="L258" i="36"/>
  <c r="L257" i="36"/>
  <c r="L256" i="36"/>
  <c r="L255" i="36"/>
  <c r="L254" i="36"/>
  <c r="L253" i="36"/>
  <c r="L252" i="36"/>
  <c r="L251" i="36"/>
  <c r="L250" i="36"/>
  <c r="L249" i="36"/>
  <c r="L248" i="36"/>
  <c r="L247" i="36"/>
  <c r="L246" i="36"/>
  <c r="L245" i="36"/>
  <c r="L244" i="36"/>
  <c r="L243" i="36"/>
  <c r="L242" i="36"/>
  <c r="L241" i="36"/>
  <c r="L240" i="36"/>
  <c r="L239" i="36"/>
  <c r="L238" i="36"/>
  <c r="L237" i="36"/>
  <c r="L236" i="36"/>
  <c r="L235" i="36"/>
  <c r="L234" i="36"/>
  <c r="L233" i="36"/>
  <c r="L232" i="36"/>
  <c r="L231" i="36"/>
  <c r="L230" i="36"/>
  <c r="L229" i="36"/>
  <c r="L228" i="36"/>
  <c r="L227" i="36"/>
  <c r="L226" i="36"/>
  <c r="L225" i="36"/>
  <c r="L224" i="36"/>
  <c r="L223" i="36"/>
  <c r="L222" i="36"/>
  <c r="L221" i="36"/>
  <c r="L220" i="36"/>
  <c r="L219" i="36"/>
  <c r="L218" i="36"/>
  <c r="L217" i="36"/>
  <c r="L216" i="36"/>
  <c r="L215" i="36"/>
  <c r="L214" i="36"/>
  <c r="L213" i="36"/>
  <c r="L212" i="36"/>
  <c r="L211" i="36"/>
  <c r="L210" i="36"/>
  <c r="L209" i="36"/>
  <c r="L208" i="36"/>
  <c r="L207" i="36"/>
  <c r="L206" i="36"/>
  <c r="L205" i="36"/>
  <c r="L204" i="36"/>
  <c r="L203" i="36"/>
  <c r="L202" i="36"/>
  <c r="L201" i="36"/>
  <c r="L200" i="36"/>
  <c r="L199" i="36"/>
  <c r="L198" i="36"/>
  <c r="L197" i="36"/>
  <c r="L196" i="36"/>
  <c r="L195" i="36"/>
  <c r="L194" i="36"/>
  <c r="L193" i="36"/>
  <c r="L192" i="36"/>
  <c r="L191" i="36"/>
  <c r="L190" i="36"/>
  <c r="L189" i="36"/>
  <c r="L188" i="36"/>
  <c r="L187" i="36"/>
  <c r="L186" i="36"/>
  <c r="L185" i="36"/>
  <c r="L184" i="36"/>
  <c r="L183" i="36"/>
  <c r="L182" i="36"/>
  <c r="L181" i="36"/>
  <c r="L180" i="36"/>
  <c r="L179" i="36"/>
  <c r="L178" i="36"/>
  <c r="L177" i="36"/>
  <c r="L176" i="36"/>
  <c r="L175" i="36"/>
  <c r="L174" i="36"/>
  <c r="L173" i="36"/>
  <c r="L172" i="36"/>
  <c r="L171" i="36"/>
  <c r="L170" i="36"/>
  <c r="L169" i="36"/>
  <c r="L168" i="36"/>
  <c r="L167" i="36"/>
  <c r="L166" i="36"/>
  <c r="L165" i="36"/>
  <c r="L164" i="36"/>
  <c r="L163" i="36"/>
  <c r="L162" i="36"/>
  <c r="L161" i="36"/>
  <c r="L160" i="36"/>
  <c r="L159" i="36"/>
  <c r="L158" i="36"/>
  <c r="L157" i="36"/>
  <c r="L156" i="36"/>
  <c r="L155" i="36"/>
  <c r="L154" i="36"/>
  <c r="L153" i="36"/>
  <c r="L152" i="36"/>
  <c r="L151" i="36"/>
  <c r="L150" i="36"/>
  <c r="L149" i="36"/>
  <c r="L148" i="36"/>
  <c r="L147" i="36"/>
  <c r="L146" i="36"/>
  <c r="L145" i="36"/>
  <c r="L144" i="36"/>
  <c r="L143" i="36"/>
  <c r="L142" i="36"/>
  <c r="L141" i="36"/>
  <c r="L140" i="36"/>
  <c r="L139" i="36"/>
  <c r="L138" i="36"/>
  <c r="L137" i="36"/>
  <c r="L136" i="36"/>
  <c r="L135" i="36"/>
  <c r="L134" i="36"/>
  <c r="L133" i="36"/>
  <c r="L132" i="36"/>
  <c r="L131" i="36"/>
  <c r="L130" i="36"/>
  <c r="L129" i="36"/>
  <c r="L128" i="36"/>
  <c r="L127" i="36"/>
  <c r="L126" i="36"/>
  <c r="L125" i="36"/>
  <c r="L124" i="36"/>
  <c r="L123" i="36"/>
  <c r="L122" i="36"/>
  <c r="L121" i="36"/>
  <c r="L120" i="36"/>
  <c r="L119" i="36"/>
  <c r="L118" i="36"/>
  <c r="L52" i="36"/>
  <c r="L69" i="36" s="1"/>
  <c r="L3" i="36"/>
  <c r="K322" i="36"/>
  <c r="K316" i="36"/>
  <c r="K309" i="36"/>
  <c r="K308" i="36"/>
  <c r="K307" i="36"/>
  <c r="K306" i="36"/>
  <c r="K305" i="36"/>
  <c r="K304" i="36"/>
  <c r="K303" i="36"/>
  <c r="K302" i="36"/>
  <c r="K301" i="36"/>
  <c r="K300" i="36"/>
  <c r="K299" i="36"/>
  <c r="K298" i="36"/>
  <c r="K297" i="36"/>
  <c r="K296" i="36"/>
  <c r="K295" i="36"/>
  <c r="K294" i="36"/>
  <c r="K293" i="36"/>
  <c r="K292" i="36"/>
  <c r="K291" i="36"/>
  <c r="K290" i="36"/>
  <c r="K289" i="36"/>
  <c r="K288" i="36"/>
  <c r="K287" i="36"/>
  <c r="K286" i="36"/>
  <c r="K285" i="36"/>
  <c r="K284" i="36"/>
  <c r="K283" i="36"/>
  <c r="K282" i="36"/>
  <c r="K281" i="36"/>
  <c r="K280" i="36"/>
  <c r="K279" i="36"/>
  <c r="K278" i="36"/>
  <c r="K277" i="36"/>
  <c r="K276" i="36"/>
  <c r="K275" i="36"/>
  <c r="K273" i="36"/>
  <c r="K272" i="36"/>
  <c r="K271" i="36"/>
  <c r="K270" i="36"/>
  <c r="K269" i="36"/>
  <c r="K268" i="36"/>
  <c r="K267" i="36"/>
  <c r="K266" i="36"/>
  <c r="K265" i="36"/>
  <c r="K264" i="36"/>
  <c r="K26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69" i="36"/>
  <c r="K52" i="36"/>
  <c r="K3" i="36"/>
  <c r="J322" i="36"/>
  <c r="J316" i="36"/>
  <c r="J309" i="36"/>
  <c r="J308" i="36"/>
  <c r="J307" i="36"/>
  <c r="J306" i="36"/>
  <c r="J305" i="36"/>
  <c r="J304" i="36"/>
  <c r="J303" i="36"/>
  <c r="J302" i="36"/>
  <c r="J301" i="36"/>
  <c r="J300" i="36"/>
  <c r="J299" i="36"/>
  <c r="J298" i="36"/>
  <c r="J297" i="36"/>
  <c r="J296" i="36"/>
  <c r="J295" i="36"/>
  <c r="J294" i="36"/>
  <c r="J293" i="36"/>
  <c r="J292" i="36"/>
  <c r="J291" i="36"/>
  <c r="J290" i="36"/>
  <c r="J289" i="36"/>
  <c r="J288" i="36"/>
  <c r="J287" i="36"/>
  <c r="J286" i="36"/>
  <c r="J285" i="36"/>
  <c r="J284" i="36"/>
  <c r="J283" i="36"/>
  <c r="J282" i="36"/>
  <c r="J281" i="36"/>
  <c r="J280" i="36"/>
  <c r="J279" i="36"/>
  <c r="J278" i="36"/>
  <c r="J277" i="36"/>
  <c r="J276" i="36"/>
  <c r="J275" i="36"/>
  <c r="J273" i="36"/>
  <c r="J272" i="36"/>
  <c r="J271" i="36"/>
  <c r="J270" i="36"/>
  <c r="J269" i="36"/>
  <c r="J268" i="36"/>
  <c r="J267" i="36"/>
  <c r="J266" i="36"/>
  <c r="J265" i="36"/>
  <c r="J264" i="36"/>
  <c r="J263" i="36"/>
  <c r="J262" i="36"/>
  <c r="J261" i="36"/>
  <c r="J260" i="36"/>
  <c r="J259" i="36"/>
  <c r="J258" i="36"/>
  <c r="J257" i="36"/>
  <c r="J256" i="36"/>
  <c r="J255" i="36"/>
  <c r="J254" i="36"/>
  <c r="J253" i="36"/>
  <c r="J252" i="36"/>
  <c r="J251" i="36"/>
  <c r="J250" i="36"/>
  <c r="J249" i="36"/>
  <c r="J248" i="36"/>
  <c r="J247" i="36"/>
  <c r="J246" i="36"/>
  <c r="J245" i="36"/>
  <c r="J244" i="36"/>
  <c r="J243" i="36"/>
  <c r="J242" i="36"/>
  <c r="J241" i="36"/>
  <c r="J240" i="36"/>
  <c r="J239" i="36"/>
  <c r="J238" i="36"/>
  <c r="J237" i="36"/>
  <c r="J236" i="36"/>
  <c r="J235" i="36"/>
  <c r="J234" i="36"/>
  <c r="J233" i="36"/>
  <c r="J232" i="36"/>
  <c r="J231" i="36"/>
  <c r="J230" i="36"/>
  <c r="J229" i="36"/>
  <c r="J228" i="36"/>
  <c r="J227" i="36"/>
  <c r="J226" i="36"/>
  <c r="J225" i="36"/>
  <c r="J224" i="36"/>
  <c r="J223" i="36"/>
  <c r="J222" i="36"/>
  <c r="J221" i="36"/>
  <c r="J220" i="36"/>
  <c r="J219" i="36"/>
  <c r="J218" i="36"/>
  <c r="J217" i="36"/>
  <c r="J216" i="36"/>
  <c r="J215" i="36"/>
  <c r="J214" i="36"/>
  <c r="J213" i="36"/>
  <c r="J212" i="36"/>
  <c r="J211" i="36"/>
  <c r="J210" i="36"/>
  <c r="J209" i="36"/>
  <c r="J208" i="36"/>
  <c r="J207" i="36"/>
  <c r="J206" i="36"/>
  <c r="J205" i="36"/>
  <c r="J204" i="36"/>
  <c r="J203" i="36"/>
  <c r="J202" i="36"/>
  <c r="J201" i="36"/>
  <c r="J200" i="36"/>
  <c r="J199" i="36"/>
  <c r="J198" i="36"/>
  <c r="J197" i="36"/>
  <c r="J196" i="36"/>
  <c r="J195" i="36"/>
  <c r="J194" i="36"/>
  <c r="J193" i="36"/>
  <c r="J192" i="36"/>
  <c r="J191" i="36"/>
  <c r="J190" i="36"/>
  <c r="J189" i="36"/>
  <c r="J188" i="36"/>
  <c r="J187" i="36"/>
  <c r="J186" i="36"/>
  <c r="J185" i="36"/>
  <c r="J184" i="36"/>
  <c r="J183" i="36"/>
  <c r="J182" i="36"/>
  <c r="J181" i="36"/>
  <c r="J180" i="36"/>
  <c r="J179" i="36"/>
  <c r="J178" i="36"/>
  <c r="J177" i="36"/>
  <c r="J176" i="36"/>
  <c r="J175" i="36"/>
  <c r="J174" i="36"/>
  <c r="J173" i="36"/>
  <c r="J172" i="36"/>
  <c r="J171" i="36"/>
  <c r="J170" i="36"/>
  <c r="J169" i="36"/>
  <c r="J168" i="36"/>
  <c r="J167" i="36"/>
  <c r="J166" i="36"/>
  <c r="J165" i="36"/>
  <c r="J164" i="36"/>
  <c r="J163" i="36"/>
  <c r="J162" i="36"/>
  <c r="J161" i="36"/>
  <c r="J160" i="36"/>
  <c r="J159" i="36"/>
  <c r="J158" i="36"/>
  <c r="J157" i="36"/>
  <c r="J156" i="36"/>
  <c r="J155" i="36"/>
  <c r="J154" i="36"/>
  <c r="J153" i="36"/>
  <c r="J152" i="36"/>
  <c r="J151" i="36"/>
  <c r="J150" i="36"/>
  <c r="J149" i="36"/>
  <c r="J148" i="36"/>
  <c r="J147" i="36"/>
  <c r="J146" i="36"/>
  <c r="J145" i="36"/>
  <c r="J144" i="36"/>
  <c r="J143" i="36"/>
  <c r="J142" i="36"/>
  <c r="J141" i="36"/>
  <c r="J140" i="36"/>
  <c r="J139" i="36"/>
  <c r="J138" i="36"/>
  <c r="J137" i="36"/>
  <c r="J136" i="36"/>
  <c r="J135" i="36"/>
  <c r="J134" i="36"/>
  <c r="J133" i="36"/>
  <c r="J132" i="36"/>
  <c r="J131" i="36"/>
  <c r="J130" i="36"/>
  <c r="J129" i="36"/>
  <c r="J128" i="36"/>
  <c r="J127" i="36"/>
  <c r="J126" i="36"/>
  <c r="J125" i="36"/>
  <c r="J124" i="36"/>
  <c r="J123" i="36"/>
  <c r="J122" i="36"/>
  <c r="J121" i="36"/>
  <c r="J120" i="36"/>
  <c r="J119" i="36"/>
  <c r="J118" i="36"/>
  <c r="J69" i="36"/>
  <c r="J52" i="36"/>
  <c r="J3" i="36"/>
  <c r="I322" i="36"/>
  <c r="I316" i="36"/>
  <c r="I309" i="36"/>
  <c r="I308" i="36"/>
  <c r="I307" i="36"/>
  <c r="I306" i="36"/>
  <c r="I305" i="36"/>
  <c r="I304" i="36"/>
  <c r="I303" i="36"/>
  <c r="I302" i="36"/>
  <c r="I301" i="36"/>
  <c r="I300" i="36"/>
  <c r="I299" i="36"/>
  <c r="I298" i="36"/>
  <c r="I297" i="36"/>
  <c r="I296" i="36"/>
  <c r="I295" i="36"/>
  <c r="I294" i="36"/>
  <c r="I293" i="36"/>
  <c r="I292" i="36"/>
  <c r="I291" i="36"/>
  <c r="I290" i="36"/>
  <c r="I289" i="36"/>
  <c r="I288" i="36"/>
  <c r="I287" i="36"/>
  <c r="I286" i="36"/>
  <c r="I285" i="36"/>
  <c r="I284" i="36"/>
  <c r="I283" i="36"/>
  <c r="I282" i="36"/>
  <c r="I281" i="36"/>
  <c r="I280" i="36"/>
  <c r="I279" i="36"/>
  <c r="I278" i="36"/>
  <c r="I277" i="36"/>
  <c r="I276" i="36"/>
  <c r="I275" i="36"/>
  <c r="I273" i="36"/>
  <c r="I272" i="36"/>
  <c r="I271" i="36"/>
  <c r="I270" i="36"/>
  <c r="I269" i="36"/>
  <c r="I268" i="36"/>
  <c r="I267" i="36"/>
  <c r="I266" i="36"/>
  <c r="I265" i="36"/>
  <c r="I264" i="36"/>
  <c r="I263" i="36"/>
  <c r="I262" i="36"/>
  <c r="I261" i="36"/>
  <c r="I260" i="36"/>
  <c r="I259" i="36"/>
  <c r="I258" i="36"/>
  <c r="I257" i="36"/>
  <c r="I256" i="36"/>
  <c r="I255" i="36"/>
  <c r="I254" i="36"/>
  <c r="I253" i="36"/>
  <c r="I252" i="36"/>
  <c r="I251" i="36"/>
  <c r="I250" i="36"/>
  <c r="I249" i="36"/>
  <c r="I248" i="36"/>
  <c r="I247" i="36"/>
  <c r="I246" i="36"/>
  <c r="I245" i="36"/>
  <c r="I244" i="36"/>
  <c r="I243" i="36"/>
  <c r="I242" i="36"/>
  <c r="I241" i="36"/>
  <c r="I240" i="36"/>
  <c r="I239" i="36"/>
  <c r="I238" i="36"/>
  <c r="I237" i="36"/>
  <c r="I236" i="36"/>
  <c r="I235" i="36"/>
  <c r="I234" i="36"/>
  <c r="I233" i="36"/>
  <c r="I232" i="36"/>
  <c r="I231" i="36"/>
  <c r="I230" i="36"/>
  <c r="I229" i="36"/>
  <c r="I228" i="36"/>
  <c r="I227" i="36"/>
  <c r="I226" i="36"/>
  <c r="I225" i="36"/>
  <c r="I224" i="36"/>
  <c r="I223" i="36"/>
  <c r="I222" i="36"/>
  <c r="I221" i="36"/>
  <c r="I220" i="36"/>
  <c r="I219" i="36"/>
  <c r="I218" i="36"/>
  <c r="I217" i="36"/>
  <c r="I216" i="36"/>
  <c r="I215" i="36"/>
  <c r="I214" i="36"/>
  <c r="I213" i="36"/>
  <c r="I212" i="36"/>
  <c r="I211" i="36"/>
  <c r="I210" i="36"/>
  <c r="I209" i="36"/>
  <c r="I208" i="36"/>
  <c r="I207" i="36"/>
  <c r="I206" i="36"/>
  <c r="I205" i="36"/>
  <c r="I204" i="36"/>
  <c r="I203" i="36"/>
  <c r="I202" i="36"/>
  <c r="I201" i="36"/>
  <c r="I200" i="36"/>
  <c r="I199" i="36"/>
  <c r="I198" i="36"/>
  <c r="I197" i="36"/>
  <c r="I196" i="36"/>
  <c r="I195" i="36"/>
  <c r="I194" i="36"/>
  <c r="I193" i="36"/>
  <c r="I192" i="36"/>
  <c r="I191" i="36"/>
  <c r="I190" i="36"/>
  <c r="I189" i="36"/>
  <c r="I188" i="36"/>
  <c r="I187" i="36"/>
  <c r="I186" i="36"/>
  <c r="I185" i="36"/>
  <c r="I184" i="36"/>
  <c r="I183" i="36"/>
  <c r="I182" i="36"/>
  <c r="I181" i="36"/>
  <c r="I180" i="36"/>
  <c r="I179" i="36"/>
  <c r="I178" i="36"/>
  <c r="I177" i="36"/>
  <c r="I176" i="36"/>
  <c r="I175" i="36"/>
  <c r="I174" i="36"/>
  <c r="I173" i="36"/>
  <c r="I172" i="36"/>
  <c r="I171" i="36"/>
  <c r="I170" i="36"/>
  <c r="I169" i="36"/>
  <c r="I168" i="36"/>
  <c r="I167" i="36"/>
  <c r="I166" i="36"/>
  <c r="I165" i="36"/>
  <c r="I164" i="36"/>
  <c r="I163" i="36"/>
  <c r="I162" i="36"/>
  <c r="I161" i="36"/>
  <c r="I160" i="36"/>
  <c r="I159" i="36"/>
  <c r="I158" i="36"/>
  <c r="I157" i="36"/>
  <c r="I156" i="36"/>
  <c r="I155" i="36"/>
  <c r="I154" i="36"/>
  <c r="I153" i="36"/>
  <c r="I152" i="36"/>
  <c r="I151" i="36"/>
  <c r="I150" i="36"/>
  <c r="I149" i="36"/>
  <c r="I148" i="36"/>
  <c r="I147" i="36"/>
  <c r="I146" i="36"/>
  <c r="I145" i="36"/>
  <c r="I144" i="36"/>
  <c r="I143" i="36"/>
  <c r="I142" i="36"/>
  <c r="I141" i="36"/>
  <c r="I140" i="36"/>
  <c r="I139" i="36"/>
  <c r="I138" i="36"/>
  <c r="I137" i="36"/>
  <c r="I136" i="36"/>
  <c r="I135" i="36"/>
  <c r="I134" i="36"/>
  <c r="I133" i="36"/>
  <c r="I132" i="36"/>
  <c r="I131" i="36"/>
  <c r="I130" i="36"/>
  <c r="I129" i="36"/>
  <c r="I128" i="36"/>
  <c r="I127" i="36"/>
  <c r="I126" i="36"/>
  <c r="I125" i="36"/>
  <c r="I124" i="36"/>
  <c r="I123" i="36"/>
  <c r="I122" i="36"/>
  <c r="I121" i="36"/>
  <c r="I120" i="36"/>
  <c r="I119" i="36"/>
  <c r="I118" i="36"/>
  <c r="I52" i="36"/>
  <c r="I69" i="36" s="1"/>
  <c r="I3" i="36"/>
  <c r="H3" i="36"/>
  <c r="L7" i="36"/>
  <c r="O310" i="36" l="1"/>
  <c r="O91" i="36"/>
  <c r="N310" i="36"/>
  <c r="N91" i="36"/>
  <c r="M310" i="36"/>
  <c r="M91" i="36"/>
  <c r="L310" i="36"/>
  <c r="L91" i="36"/>
  <c r="K310" i="36"/>
  <c r="K91" i="36"/>
  <c r="J310" i="36"/>
  <c r="J91" i="36"/>
  <c r="I310" i="36"/>
  <c r="I91" i="36"/>
  <c r="H227" i="3" l="1"/>
  <c r="H254" i="3" s="1"/>
  <c r="J78" i="38" l="1"/>
  <c r="J77" i="38"/>
  <c r="J76" i="38"/>
  <c r="J42" i="38"/>
  <c r="J70" i="38"/>
  <c r="J69" i="38"/>
  <c r="J62" i="38"/>
  <c r="J56" i="38"/>
  <c r="J61" i="38"/>
  <c r="J60" i="38"/>
  <c r="J59" i="38"/>
  <c r="J58" i="38"/>
  <c r="J55" i="38"/>
  <c r="J54" i="38"/>
  <c r="J53" i="38"/>
  <c r="J52" i="38"/>
  <c r="J51" i="38"/>
  <c r="J46" i="38"/>
  <c r="J45" i="38"/>
  <c r="J44" i="38"/>
  <c r="J43" i="38"/>
  <c r="J47" i="38"/>
  <c r="J37" i="38"/>
  <c r="J33" i="38"/>
  <c r="J24" i="38"/>
  <c r="J19" i="38"/>
  <c r="J14" i="38"/>
  <c r="J10" i="38"/>
  <c r="J11" i="38"/>
  <c r="J36" i="38"/>
  <c r="J35" i="38"/>
  <c r="J32" i="38"/>
  <c r="J31" i="38"/>
  <c r="J30" i="38"/>
  <c r="J28" i="38"/>
  <c r="J18" i="38"/>
  <c r="J17" i="38"/>
  <c r="J16" i="38"/>
  <c r="J13" i="38"/>
  <c r="J12" i="38"/>
  <c r="J9" i="38"/>
  <c r="J8" i="38"/>
  <c r="J7" i="38"/>
  <c r="J5" i="38"/>
  <c r="M25" i="38"/>
  <c r="J23" i="38"/>
  <c r="J22" i="38"/>
  <c r="J21" i="38"/>
  <c r="J20" i="38"/>
  <c r="J57" i="38" l="1"/>
  <c r="H227" i="56" l="1"/>
  <c r="H215" i="1"/>
  <c r="I226" i="1"/>
  <c r="M48" i="38" l="1"/>
  <c r="J41" i="38"/>
  <c r="J40" i="38"/>
  <c r="J39" i="38"/>
  <c r="M71" i="38" l="1"/>
  <c r="T47" i="64"/>
  <c r="V28" i="66"/>
  <c r="V21" i="66" s="1"/>
  <c r="U28" i="66"/>
  <c r="V27" i="66"/>
  <c r="U27" i="66"/>
  <c r="I25" i="66"/>
  <c r="I21" i="66" s="1"/>
  <c r="J24" i="66"/>
  <c r="E24" i="66"/>
  <c r="J23" i="66"/>
  <c r="J21" i="66" s="1"/>
  <c r="E23" i="66"/>
  <c r="E21" i="66" s="1"/>
  <c r="W21" i="66"/>
  <c r="U21" i="66"/>
  <c r="T21" i="66"/>
  <c r="S21" i="66"/>
  <c r="R21" i="66"/>
  <c r="Q21" i="66"/>
  <c r="P21" i="66"/>
  <c r="O21" i="66"/>
  <c r="N21" i="66"/>
  <c r="M21" i="66"/>
  <c r="L21" i="66"/>
  <c r="K21" i="66"/>
  <c r="H21" i="66"/>
  <c r="G21" i="66"/>
  <c r="F21" i="66"/>
  <c r="H15" i="66"/>
  <c r="H9" i="66" s="1"/>
  <c r="AA13" i="66"/>
  <c r="W13" i="66"/>
  <c r="S13" i="66"/>
  <c r="O13" i="66"/>
  <c r="AA12" i="66"/>
  <c r="W12" i="66"/>
  <c r="S12" i="66"/>
  <c r="O12" i="66"/>
  <c r="AA11" i="66"/>
  <c r="W11" i="66"/>
  <c r="W9" i="66" s="1"/>
  <c r="V4" i="66" s="1"/>
  <c r="S11" i="66"/>
  <c r="S9" i="66" s="1"/>
  <c r="O11" i="66"/>
  <c r="O9" i="66" s="1"/>
  <c r="AA9" i="66"/>
  <c r="V5" i="66" s="1"/>
  <c r="Z9" i="66"/>
  <c r="Y9" i="66"/>
  <c r="X9" i="66"/>
  <c r="S5" i="66" s="1"/>
  <c r="V9" i="66"/>
  <c r="U4" i="66" s="1"/>
  <c r="U9" i="66"/>
  <c r="T9" i="66"/>
  <c r="R9" i="66"/>
  <c r="U2" i="66" s="1"/>
  <c r="Q9" i="66"/>
  <c r="T2" i="66" s="1"/>
  <c r="P9" i="66"/>
  <c r="N9" i="66"/>
  <c r="M4" i="66" s="1"/>
  <c r="M9" i="66"/>
  <c r="L9" i="66"/>
  <c r="K9" i="66"/>
  <c r="J9" i="66"/>
  <c r="M2" i="66" s="1"/>
  <c r="I9" i="66"/>
  <c r="L2" i="66" s="1"/>
  <c r="U5" i="66"/>
  <c r="T5" i="66"/>
  <c r="T4" i="66"/>
  <c r="S4" i="66"/>
  <c r="L4" i="66"/>
  <c r="K4" i="66"/>
  <c r="S3" i="66"/>
  <c r="N3" i="66"/>
  <c r="C1" i="66"/>
  <c r="I25" i="30"/>
  <c r="AA13" i="30"/>
  <c r="W13" i="30"/>
  <c r="S13" i="30"/>
  <c r="O13" i="30"/>
  <c r="J24" i="30"/>
  <c r="E24" i="30"/>
  <c r="AA12" i="30"/>
  <c r="W12" i="30"/>
  <c r="S12" i="30"/>
  <c r="O12" i="30"/>
  <c r="J23" i="30"/>
  <c r="E23" i="30"/>
  <c r="AA11" i="30"/>
  <c r="W11" i="30"/>
  <c r="S11" i="30"/>
  <c r="O11" i="30"/>
  <c r="C1" i="30"/>
  <c r="I123" i="58"/>
  <c r="V51" i="64"/>
  <c r="V39" i="64" s="1"/>
  <c r="U51" i="64"/>
  <c r="V50" i="64"/>
  <c r="U50" i="64"/>
  <c r="U48" i="64"/>
  <c r="I46" i="64"/>
  <c r="I45" i="64"/>
  <c r="I44" i="64"/>
  <c r="J43" i="64"/>
  <c r="E43" i="64"/>
  <c r="J42" i="64"/>
  <c r="E42" i="64"/>
  <c r="J41" i="64"/>
  <c r="E41" i="64"/>
  <c r="W39" i="64"/>
  <c r="T39" i="64"/>
  <c r="F250" i="56" s="1"/>
  <c r="I250" i="56" s="1"/>
  <c r="S39" i="64"/>
  <c r="R39" i="64"/>
  <c r="Q39" i="64"/>
  <c r="P39" i="64"/>
  <c r="O39" i="64"/>
  <c r="N39" i="64"/>
  <c r="M39" i="64"/>
  <c r="L39" i="64"/>
  <c r="K39" i="64"/>
  <c r="H39" i="64"/>
  <c r="G39" i="64"/>
  <c r="F39" i="64"/>
  <c r="E39" i="64"/>
  <c r="H33" i="64"/>
  <c r="AA31" i="64"/>
  <c r="W31" i="64"/>
  <c r="S31" i="64"/>
  <c r="O31" i="64"/>
  <c r="AA30" i="64"/>
  <c r="W30" i="64"/>
  <c r="S30" i="64"/>
  <c r="O30" i="64"/>
  <c r="AA29" i="64"/>
  <c r="W29" i="64"/>
  <c r="S29" i="64"/>
  <c r="O29" i="64"/>
  <c r="AA28" i="64"/>
  <c r="W28" i="64"/>
  <c r="S28" i="64"/>
  <c r="O28" i="64"/>
  <c r="AA27" i="64"/>
  <c r="W27" i="64"/>
  <c r="S27" i="64"/>
  <c r="O27" i="64"/>
  <c r="AA26" i="64"/>
  <c r="W26" i="64"/>
  <c r="S26" i="64"/>
  <c r="O26" i="64"/>
  <c r="AA25" i="64"/>
  <c r="W25" i="64"/>
  <c r="S25" i="64"/>
  <c r="O25" i="64"/>
  <c r="AA24" i="64"/>
  <c r="AA9" i="64" s="1"/>
  <c r="W24" i="64"/>
  <c r="W9" i="64" s="1"/>
  <c r="V4" i="64" s="1"/>
  <c r="S24" i="64"/>
  <c r="S9" i="64" s="1"/>
  <c r="V3" i="64" s="1"/>
  <c r="O24" i="64"/>
  <c r="K23" i="64"/>
  <c r="J22" i="64"/>
  <c r="K21" i="64"/>
  <c r="J20" i="64"/>
  <c r="J19" i="64"/>
  <c r="K18" i="64"/>
  <c r="J17" i="64"/>
  <c r="K16" i="64"/>
  <c r="K15" i="64"/>
  <c r="J14" i="64"/>
  <c r="K13" i="64"/>
  <c r="J12" i="64"/>
  <c r="K11" i="64"/>
  <c r="Z9" i="64"/>
  <c r="Y9" i="64"/>
  <c r="T5" i="64" s="1"/>
  <c r="X9" i="64"/>
  <c r="V9" i="64"/>
  <c r="U9" i="64"/>
  <c r="T4" i="64" s="1"/>
  <c r="T9" i="64"/>
  <c r="R9" i="64"/>
  <c r="U2" i="64" s="1"/>
  <c r="Q9" i="64"/>
  <c r="T3" i="64" s="1"/>
  <c r="P9" i="64"/>
  <c r="O9" i="64"/>
  <c r="N9" i="64"/>
  <c r="M9" i="64"/>
  <c r="L4" i="64" s="1"/>
  <c r="L9" i="64"/>
  <c r="I9" i="64"/>
  <c r="H9" i="64"/>
  <c r="K2" i="64" s="1"/>
  <c r="U5" i="64"/>
  <c r="S5" i="64"/>
  <c r="U4" i="64"/>
  <c r="S4" i="64"/>
  <c r="N4" i="64"/>
  <c r="M4" i="64"/>
  <c r="K4" i="64"/>
  <c r="U3" i="64"/>
  <c r="S3" i="64"/>
  <c r="L3" i="64"/>
  <c r="K3" i="64"/>
  <c r="S2" i="64"/>
  <c r="L2" i="64"/>
  <c r="C1" i="64"/>
  <c r="I215" i="56"/>
  <c r="V28" i="63"/>
  <c r="V21" i="63" s="1"/>
  <c r="U28" i="63"/>
  <c r="V27" i="63"/>
  <c r="U27" i="63"/>
  <c r="I25" i="63"/>
  <c r="I21" i="63" s="1"/>
  <c r="J24" i="63"/>
  <c r="E24" i="63"/>
  <c r="J23" i="63"/>
  <c r="J21" i="63" s="1"/>
  <c r="E23" i="63"/>
  <c r="E21" i="63" s="1"/>
  <c r="W21" i="63"/>
  <c r="U21" i="63"/>
  <c r="T21" i="63"/>
  <c r="S21" i="63"/>
  <c r="R21" i="63"/>
  <c r="Q21" i="63"/>
  <c r="P21" i="63"/>
  <c r="O21" i="63"/>
  <c r="N21" i="63"/>
  <c r="M21" i="63"/>
  <c r="L21" i="63"/>
  <c r="K21" i="63"/>
  <c r="H21" i="63"/>
  <c r="G21" i="63"/>
  <c r="F21" i="63"/>
  <c r="H15" i="63"/>
  <c r="H9" i="63" s="1"/>
  <c r="AA13" i="63"/>
  <c r="W13" i="63"/>
  <c r="S13" i="63"/>
  <c r="O13" i="63"/>
  <c r="AA12" i="63"/>
  <c r="W12" i="63"/>
  <c r="S12" i="63"/>
  <c r="O12" i="63"/>
  <c r="AA11" i="63"/>
  <c r="W11" i="63"/>
  <c r="S11" i="63"/>
  <c r="S9" i="63" s="1"/>
  <c r="O11" i="63"/>
  <c r="AA9" i="63"/>
  <c r="V5" i="63" s="1"/>
  <c r="Z9" i="63"/>
  <c r="Y9" i="63"/>
  <c r="T5" i="63" s="1"/>
  <c r="X9" i="63"/>
  <c r="S5" i="63" s="1"/>
  <c r="W9" i="63"/>
  <c r="V4" i="63" s="1"/>
  <c r="V9" i="63"/>
  <c r="U9" i="63"/>
  <c r="T4" i="63" s="1"/>
  <c r="T9" i="63"/>
  <c r="S4" i="63" s="1"/>
  <c r="R9" i="63"/>
  <c r="U3" i="63" s="1"/>
  <c r="Q9" i="63"/>
  <c r="P9" i="63"/>
  <c r="S3" i="63" s="1"/>
  <c r="O9" i="63"/>
  <c r="N9" i="63"/>
  <c r="M9" i="63"/>
  <c r="L9" i="63"/>
  <c r="K9" i="63"/>
  <c r="N2" i="63" s="1"/>
  <c r="J9" i="63"/>
  <c r="M2" i="63" s="1"/>
  <c r="I9" i="63"/>
  <c r="U5" i="63"/>
  <c r="U4" i="63"/>
  <c r="N4" i="63"/>
  <c r="M4" i="63"/>
  <c r="L4" i="63"/>
  <c r="K4" i="63"/>
  <c r="T3" i="63"/>
  <c r="L3" i="63"/>
  <c r="T2" i="63"/>
  <c r="S2" i="63"/>
  <c r="L2" i="63"/>
  <c r="C1" i="63"/>
  <c r="I122" i="54"/>
  <c r="V48" i="60"/>
  <c r="U48" i="60"/>
  <c r="V47" i="60"/>
  <c r="U47" i="60"/>
  <c r="U45" i="60"/>
  <c r="S44" i="60"/>
  <c r="S35" i="60" s="1"/>
  <c r="M43" i="60"/>
  <c r="I42" i="60"/>
  <c r="I41" i="60"/>
  <c r="I40" i="60"/>
  <c r="J39" i="60"/>
  <c r="E39" i="60"/>
  <c r="J38" i="60"/>
  <c r="E38" i="60"/>
  <c r="J37" i="60"/>
  <c r="E37" i="60"/>
  <c r="W35" i="60"/>
  <c r="V35" i="60"/>
  <c r="T35" i="60"/>
  <c r="R35" i="60"/>
  <c r="Q35" i="60"/>
  <c r="P35" i="60"/>
  <c r="O35" i="60"/>
  <c r="N35" i="60"/>
  <c r="M35" i="60"/>
  <c r="L35" i="60"/>
  <c r="K35" i="60"/>
  <c r="J35" i="60"/>
  <c r="H35" i="60"/>
  <c r="G35" i="60"/>
  <c r="F35" i="60"/>
  <c r="H29" i="60"/>
  <c r="AA27" i="60"/>
  <c r="W27" i="60"/>
  <c r="S27" i="60"/>
  <c r="O27" i="60"/>
  <c r="AA26" i="60"/>
  <c r="W26" i="60"/>
  <c r="S26" i="60"/>
  <c r="O26" i="60"/>
  <c r="Z25" i="60"/>
  <c r="Z9" i="60" s="1"/>
  <c r="U5" i="60" s="1"/>
  <c r="V25" i="60"/>
  <c r="R25" i="60"/>
  <c r="R9" i="60" s="1"/>
  <c r="N25" i="60"/>
  <c r="N9" i="60" s="1"/>
  <c r="M4" i="60" s="1"/>
  <c r="AA24" i="60"/>
  <c r="W24" i="60"/>
  <c r="S24" i="60"/>
  <c r="O24" i="60"/>
  <c r="AA23" i="60"/>
  <c r="W23" i="60"/>
  <c r="S23" i="60"/>
  <c r="O23" i="60"/>
  <c r="AA22" i="60"/>
  <c r="W22" i="60"/>
  <c r="S22" i="60"/>
  <c r="O22" i="60"/>
  <c r="AA21" i="60"/>
  <c r="W21" i="60"/>
  <c r="S21" i="60"/>
  <c r="O21" i="60"/>
  <c r="AA20" i="60"/>
  <c r="W20" i="60"/>
  <c r="S20" i="60"/>
  <c r="O20" i="60"/>
  <c r="AA19" i="60"/>
  <c r="W19" i="60"/>
  <c r="S19" i="60"/>
  <c r="O19" i="60"/>
  <c r="O9" i="60" s="1"/>
  <c r="K18" i="60"/>
  <c r="K17" i="60"/>
  <c r="K16" i="60"/>
  <c r="J15" i="60"/>
  <c r="K14" i="60"/>
  <c r="K9" i="60" s="1"/>
  <c r="N3" i="60" s="1"/>
  <c r="K13" i="60"/>
  <c r="J12" i="60"/>
  <c r="J11" i="60"/>
  <c r="J9" i="60" s="1"/>
  <c r="AA9" i="60"/>
  <c r="V5" i="60" s="1"/>
  <c r="Y9" i="60"/>
  <c r="X9" i="60"/>
  <c r="W9" i="60"/>
  <c r="V4" i="60" s="1"/>
  <c r="V9" i="60"/>
  <c r="U9" i="60"/>
  <c r="T9" i="60"/>
  <c r="S9" i="60"/>
  <c r="V2" i="60" s="1"/>
  <c r="Q9" i="60"/>
  <c r="T3" i="60" s="1"/>
  <c r="P9" i="60"/>
  <c r="S3" i="60" s="1"/>
  <c r="M9" i="60"/>
  <c r="L4" i="60" s="1"/>
  <c r="L9" i="60"/>
  <c r="I9" i="60"/>
  <c r="L2" i="60" s="1"/>
  <c r="H9" i="60"/>
  <c r="K3" i="60" s="1"/>
  <c r="T5" i="60"/>
  <c r="S5" i="60"/>
  <c r="U4" i="60"/>
  <c r="T4" i="60"/>
  <c r="S4" i="60"/>
  <c r="K4" i="60"/>
  <c r="L3" i="60"/>
  <c r="T2" i="60"/>
  <c r="S2" i="60"/>
  <c r="C1" i="60"/>
  <c r="I191" i="1"/>
  <c r="I122" i="56"/>
  <c r="I99" i="53"/>
  <c r="U3" i="60" l="1"/>
  <c r="U2" i="60"/>
  <c r="K2" i="63"/>
  <c r="K3" i="63"/>
  <c r="N2" i="66"/>
  <c r="N4" i="66"/>
  <c r="K3" i="66"/>
  <c r="K2" i="66"/>
  <c r="V3" i="60"/>
  <c r="U2" i="63"/>
  <c r="K9" i="64"/>
  <c r="U39" i="64"/>
  <c r="F251" i="56" s="1"/>
  <c r="S2" i="66"/>
  <c r="L3" i="66"/>
  <c r="T3" i="66"/>
  <c r="M3" i="63"/>
  <c r="K2" i="60"/>
  <c r="E35" i="60"/>
  <c r="I35" i="60"/>
  <c r="U35" i="60"/>
  <c r="N3" i="63"/>
  <c r="T2" i="64"/>
  <c r="J9" i="64"/>
  <c r="M2" i="64" s="1"/>
  <c r="J39" i="64"/>
  <c r="I39" i="64"/>
  <c r="M3" i="66"/>
  <c r="U3" i="66"/>
  <c r="V3" i="66"/>
  <c r="V2" i="66"/>
  <c r="N3" i="64"/>
  <c r="N2" i="64"/>
  <c r="M3" i="64"/>
  <c r="V5" i="64"/>
  <c r="V2" i="64"/>
  <c r="V3" i="63"/>
  <c r="V2" i="63"/>
  <c r="M3" i="60"/>
  <c r="M2" i="60"/>
  <c r="F215" i="1" s="1"/>
  <c r="N4" i="60"/>
  <c r="N2" i="60"/>
  <c r="F1" i="48" l="1"/>
  <c r="H128" i="58"/>
  <c r="H148" i="57"/>
  <c r="H238" i="56"/>
  <c r="J115" i="3"/>
  <c r="H130" i="54"/>
  <c r="H152" i="53"/>
  <c r="H148" i="47"/>
  <c r="H218" i="1"/>
  <c r="F136" i="58"/>
  <c r="I136" i="58" s="1"/>
  <c r="F135" i="58"/>
  <c r="I135" i="58" s="1"/>
  <c r="F134" i="58"/>
  <c r="I134" i="58" s="1"/>
  <c r="F130" i="58"/>
  <c r="F128" i="58"/>
  <c r="I128" i="58" s="1"/>
  <c r="F240" i="56"/>
  <c r="I240" i="56" s="1"/>
  <c r="F238" i="56"/>
  <c r="I238" i="56" s="1"/>
  <c r="F237" i="56"/>
  <c r="I237" i="56" s="1"/>
  <c r="F227" i="56"/>
  <c r="F226" i="56"/>
  <c r="I226" i="56" s="1"/>
  <c r="V24" i="65"/>
  <c r="U24" i="65"/>
  <c r="V23" i="65"/>
  <c r="U23" i="65"/>
  <c r="U19" i="65" s="1"/>
  <c r="J21" i="65"/>
  <c r="E21" i="65"/>
  <c r="W19" i="65"/>
  <c r="V19" i="65"/>
  <c r="T19" i="65"/>
  <c r="S19" i="65"/>
  <c r="R19" i="65"/>
  <c r="Q19" i="65"/>
  <c r="P19" i="65"/>
  <c r="O19" i="65"/>
  <c r="N19" i="65"/>
  <c r="M19" i="65"/>
  <c r="L19" i="65"/>
  <c r="K19" i="65"/>
  <c r="J19" i="65"/>
  <c r="F155" i="57" s="1"/>
  <c r="I19" i="65"/>
  <c r="H19" i="65"/>
  <c r="G19" i="65"/>
  <c r="F19" i="65"/>
  <c r="E19" i="65"/>
  <c r="F154" i="57" s="1"/>
  <c r="I154" i="57" s="1"/>
  <c r="H13" i="65"/>
  <c r="AA11" i="65"/>
  <c r="W11" i="65"/>
  <c r="W9" i="65" s="1"/>
  <c r="S11" i="65"/>
  <c r="S9" i="65" s="1"/>
  <c r="V3" i="65" s="1"/>
  <c r="O11" i="65"/>
  <c r="AA9" i="65"/>
  <c r="Z9" i="65"/>
  <c r="Y9" i="65"/>
  <c r="X9" i="65"/>
  <c r="V9" i="65"/>
  <c r="U9" i="65"/>
  <c r="T9" i="65"/>
  <c r="R9" i="65"/>
  <c r="Q9" i="65"/>
  <c r="P9" i="65"/>
  <c r="O9" i="65"/>
  <c r="N9" i="65"/>
  <c r="M9" i="65"/>
  <c r="L9" i="65"/>
  <c r="K9" i="65"/>
  <c r="J9" i="65"/>
  <c r="I9" i="65"/>
  <c r="H9" i="65"/>
  <c r="V5" i="65"/>
  <c r="U5" i="65"/>
  <c r="T5" i="65"/>
  <c r="S5" i="65"/>
  <c r="U4" i="65"/>
  <c r="T4" i="65"/>
  <c r="S4" i="65"/>
  <c r="N4" i="65"/>
  <c r="M4" i="65"/>
  <c r="L4" i="65"/>
  <c r="K4" i="65"/>
  <c r="U3" i="65"/>
  <c r="T3" i="65"/>
  <c r="S3" i="65"/>
  <c r="N3" i="65"/>
  <c r="M3" i="65"/>
  <c r="L3" i="65"/>
  <c r="K3" i="65"/>
  <c r="U2" i="65"/>
  <c r="T2" i="65"/>
  <c r="S2" i="65"/>
  <c r="N2" i="65"/>
  <c r="F148" i="57" s="1"/>
  <c r="I148" i="57" s="1"/>
  <c r="M2" i="65"/>
  <c r="L2" i="65"/>
  <c r="K2" i="65"/>
  <c r="C1" i="65"/>
  <c r="I251" i="56"/>
  <c r="F248" i="56"/>
  <c r="I248" i="56" s="1"/>
  <c r="F247" i="56"/>
  <c r="F246" i="56"/>
  <c r="I246" i="56" s="1"/>
  <c r="I247" i="56"/>
  <c r="I227" i="56"/>
  <c r="I239" i="56"/>
  <c r="M232" i="56"/>
  <c r="M255" i="56"/>
  <c r="J254" i="56"/>
  <c r="I253" i="56"/>
  <c r="I245" i="56"/>
  <c r="I242" i="56"/>
  <c r="I236" i="56"/>
  <c r="F147" i="54"/>
  <c r="F146" i="54"/>
  <c r="I146" i="54" s="1"/>
  <c r="L162" i="54" s="1"/>
  <c r="F145" i="54"/>
  <c r="I147" i="54"/>
  <c r="I145" i="54"/>
  <c r="M140" i="54"/>
  <c r="M163" i="54"/>
  <c r="J162" i="54"/>
  <c r="I161" i="54"/>
  <c r="I160" i="54"/>
  <c r="I159" i="54"/>
  <c r="I158" i="54"/>
  <c r="I157" i="54"/>
  <c r="I156" i="54"/>
  <c r="I155" i="54"/>
  <c r="I154" i="54"/>
  <c r="I153" i="54"/>
  <c r="I152" i="54"/>
  <c r="I151" i="54"/>
  <c r="I150" i="54"/>
  <c r="I149" i="54"/>
  <c r="I148" i="54"/>
  <c r="I144" i="54"/>
  <c r="F132" i="54"/>
  <c r="F130" i="54"/>
  <c r="F170" i="53"/>
  <c r="I170" i="53" s="1"/>
  <c r="M163" i="53"/>
  <c r="M186" i="53"/>
  <c r="J185" i="53"/>
  <c r="I184" i="53"/>
  <c r="I183" i="53"/>
  <c r="I182" i="53"/>
  <c r="I181" i="53"/>
  <c r="I180" i="53"/>
  <c r="I179" i="53"/>
  <c r="I178" i="53"/>
  <c r="I177" i="53"/>
  <c r="I176" i="53"/>
  <c r="I175" i="53"/>
  <c r="I174" i="53"/>
  <c r="I173" i="53"/>
  <c r="I171" i="53"/>
  <c r="I167" i="53"/>
  <c r="V31" i="62"/>
  <c r="V24" i="62" s="1"/>
  <c r="U31" i="62"/>
  <c r="V30" i="62"/>
  <c r="U30" i="62"/>
  <c r="U28" i="62"/>
  <c r="U24" i="62" s="1"/>
  <c r="F172" i="53" s="1"/>
  <c r="I172" i="53" s="1"/>
  <c r="I27" i="62"/>
  <c r="J26" i="62"/>
  <c r="E26" i="62"/>
  <c r="E24" i="62" s="1"/>
  <c r="F168" i="53" s="1"/>
  <c r="I168" i="53" s="1"/>
  <c r="W24" i="62"/>
  <c r="T24" i="62"/>
  <c r="S24" i="62"/>
  <c r="R24" i="62"/>
  <c r="Q24" i="62"/>
  <c r="P24" i="62"/>
  <c r="O24" i="62"/>
  <c r="N24" i="62"/>
  <c r="M24" i="62"/>
  <c r="L24" i="62"/>
  <c r="K24" i="62"/>
  <c r="J24" i="62"/>
  <c r="I24" i="62"/>
  <c r="F169" i="53" s="1"/>
  <c r="I169" i="53" s="1"/>
  <c r="H24" i="62"/>
  <c r="G24" i="62"/>
  <c r="F24" i="62"/>
  <c r="H18" i="62"/>
  <c r="H9" i="62" s="1"/>
  <c r="AA16" i="62"/>
  <c r="W16" i="62"/>
  <c r="S16" i="62"/>
  <c r="O16" i="62"/>
  <c r="AA15" i="62"/>
  <c r="W15" i="62"/>
  <c r="S15" i="62"/>
  <c r="O15" i="62"/>
  <c r="AA14" i="62"/>
  <c r="AA9" i="62" s="1"/>
  <c r="W14" i="62"/>
  <c r="S14" i="62"/>
  <c r="O14" i="62"/>
  <c r="K13" i="62"/>
  <c r="K9" i="62" s="1"/>
  <c r="K12" i="62"/>
  <c r="K11" i="62"/>
  <c r="Z9" i="62"/>
  <c r="Y9" i="62"/>
  <c r="X9" i="62"/>
  <c r="W9" i="62"/>
  <c r="V9" i="62"/>
  <c r="U9" i="62"/>
  <c r="T9" i="62"/>
  <c r="S9" i="62"/>
  <c r="R9" i="62"/>
  <c r="Q9" i="62"/>
  <c r="P9" i="62"/>
  <c r="O9" i="62"/>
  <c r="N9" i="62"/>
  <c r="M9" i="62"/>
  <c r="L9" i="62"/>
  <c r="J9" i="62"/>
  <c r="I9" i="62"/>
  <c r="U5" i="62"/>
  <c r="T5" i="62"/>
  <c r="S5" i="62"/>
  <c r="V4" i="62"/>
  <c r="U4" i="62"/>
  <c r="T4" i="62"/>
  <c r="S4" i="62"/>
  <c r="N4" i="62"/>
  <c r="M4" i="62"/>
  <c r="L4" i="62"/>
  <c r="K4" i="62"/>
  <c r="V3" i="62"/>
  <c r="U3" i="62"/>
  <c r="T3" i="62"/>
  <c r="S3" i="62"/>
  <c r="M3" i="62"/>
  <c r="L3" i="62"/>
  <c r="U2" i="62"/>
  <c r="T2" i="62"/>
  <c r="S2" i="62"/>
  <c r="M2" i="62"/>
  <c r="L2" i="62"/>
  <c r="C1" i="62"/>
  <c r="V24" i="61"/>
  <c r="U24" i="61"/>
  <c r="V23" i="61"/>
  <c r="U23" i="61"/>
  <c r="U19" i="61" s="1"/>
  <c r="J21" i="61"/>
  <c r="E21" i="61"/>
  <c r="W19" i="61"/>
  <c r="V19" i="61"/>
  <c r="T19" i="61"/>
  <c r="S19" i="61"/>
  <c r="R19" i="61"/>
  <c r="Q19" i="61"/>
  <c r="P19" i="61"/>
  <c r="O19" i="61"/>
  <c r="N19" i="61"/>
  <c r="M19" i="61"/>
  <c r="L19" i="61"/>
  <c r="K19" i="61"/>
  <c r="J19" i="61"/>
  <c r="F155" i="47" s="1"/>
  <c r="I19" i="61"/>
  <c r="H19" i="61"/>
  <c r="G19" i="61"/>
  <c r="F19" i="61"/>
  <c r="E19" i="61"/>
  <c r="F154" i="47" s="1"/>
  <c r="I154" i="47" s="1"/>
  <c r="H13" i="61"/>
  <c r="AA11" i="61"/>
  <c r="W11" i="61"/>
  <c r="W9" i="61" s="1"/>
  <c r="S11" i="61"/>
  <c r="O11" i="61"/>
  <c r="AA9" i="61"/>
  <c r="Z9" i="61"/>
  <c r="Y9" i="61"/>
  <c r="X9" i="61"/>
  <c r="V9" i="61"/>
  <c r="U9" i="61"/>
  <c r="T9" i="61"/>
  <c r="S9" i="61"/>
  <c r="R9" i="61"/>
  <c r="Q9" i="61"/>
  <c r="P9" i="61"/>
  <c r="O9" i="61"/>
  <c r="N9" i="61"/>
  <c r="M9" i="61"/>
  <c r="L9" i="61"/>
  <c r="K9" i="61"/>
  <c r="J9" i="61"/>
  <c r="I9" i="61"/>
  <c r="H9" i="61"/>
  <c r="V5" i="61"/>
  <c r="U5" i="61"/>
  <c r="T5" i="61"/>
  <c r="S5" i="61"/>
  <c r="U4" i="61"/>
  <c r="T4" i="61"/>
  <c r="S4" i="61"/>
  <c r="N4" i="61"/>
  <c r="M4" i="61"/>
  <c r="L4" i="61"/>
  <c r="K4" i="61"/>
  <c r="V3" i="61"/>
  <c r="U3" i="61"/>
  <c r="T3" i="61"/>
  <c r="S3" i="61"/>
  <c r="N3" i="61"/>
  <c r="M3" i="61"/>
  <c r="L3" i="61"/>
  <c r="K3" i="61"/>
  <c r="U2" i="61"/>
  <c r="T2" i="61"/>
  <c r="S2" i="61"/>
  <c r="N2" i="61"/>
  <c r="F148" i="47" s="1"/>
  <c r="M2" i="61"/>
  <c r="L2" i="61"/>
  <c r="K2" i="61"/>
  <c r="C1" i="61"/>
  <c r="F243" i="1"/>
  <c r="F241" i="1"/>
  <c r="I241" i="1" s="1"/>
  <c r="F240" i="1"/>
  <c r="I240" i="1" s="1"/>
  <c r="F239" i="1"/>
  <c r="I239" i="1" s="1"/>
  <c r="F238" i="1"/>
  <c r="I238" i="1" s="1"/>
  <c r="M232" i="1"/>
  <c r="M255" i="1"/>
  <c r="L254" i="1"/>
  <c r="J254" i="1"/>
  <c r="I253" i="1"/>
  <c r="I252" i="1"/>
  <c r="I251" i="1"/>
  <c r="I250" i="1"/>
  <c r="I249" i="1"/>
  <c r="I248" i="1"/>
  <c r="I247" i="1"/>
  <c r="I246" i="1"/>
  <c r="I245" i="1"/>
  <c r="I244" i="1"/>
  <c r="I243" i="1"/>
  <c r="I242" i="1"/>
  <c r="I236" i="1"/>
  <c r="F221" i="1"/>
  <c r="I221" i="1" s="1"/>
  <c r="F220" i="1"/>
  <c r="I220" i="1" s="1"/>
  <c r="F218" i="1"/>
  <c r="I218" i="1" s="1"/>
  <c r="F217" i="1"/>
  <c r="I217" i="1" s="1"/>
  <c r="I215" i="1"/>
  <c r="F214" i="1"/>
  <c r="I214" i="1" s="1"/>
  <c r="I222" i="1"/>
  <c r="F237" i="1"/>
  <c r="I237" i="1" s="1"/>
  <c r="I219" i="56"/>
  <c r="I217" i="56"/>
  <c r="I218" i="56"/>
  <c r="I195" i="1"/>
  <c r="I146" i="53"/>
  <c r="I123" i="53"/>
  <c r="I214" i="56"/>
  <c r="I216" i="56"/>
  <c r="I123" i="54"/>
  <c r="I145" i="53"/>
  <c r="I145" i="47"/>
  <c r="I200" i="1"/>
  <c r="I198" i="1"/>
  <c r="I197" i="1"/>
  <c r="I196" i="1"/>
  <c r="I193" i="1"/>
  <c r="I192" i="1"/>
  <c r="I190" i="1"/>
  <c r="V4" i="61" l="1"/>
  <c r="V2" i="61"/>
  <c r="F150" i="47" s="1"/>
  <c r="I150" i="47" s="1"/>
  <c r="I155" i="47"/>
  <c r="H49" i="52" s="1"/>
  <c r="V5" i="62"/>
  <c r="V2" i="62"/>
  <c r="F154" i="53" s="1"/>
  <c r="K3" i="62"/>
  <c r="K2" i="62"/>
  <c r="N3" i="62"/>
  <c r="F151" i="53" s="1"/>
  <c r="N2" i="62"/>
  <c r="F152" i="53" s="1"/>
  <c r="I152" i="53" s="1"/>
  <c r="I49" i="52"/>
  <c r="L185" i="53"/>
  <c r="I148" i="47"/>
  <c r="J49" i="52"/>
  <c r="G49" i="51"/>
  <c r="I49" i="51"/>
  <c r="I130" i="54"/>
  <c r="V4" i="65"/>
  <c r="V2" i="65"/>
  <c r="F150" i="57" s="1"/>
  <c r="G49" i="52"/>
  <c r="M117" i="58"/>
  <c r="M94" i="58"/>
  <c r="L93" i="58"/>
  <c r="K93" i="58"/>
  <c r="J93" i="58"/>
  <c r="I79" i="58"/>
  <c r="I145" i="57"/>
  <c r="M140" i="57"/>
  <c r="M117" i="57"/>
  <c r="L116" i="57"/>
  <c r="K116" i="57"/>
  <c r="J116" i="57"/>
  <c r="I127" i="54"/>
  <c r="M117" i="54"/>
  <c r="M94" i="54"/>
  <c r="L93" i="54"/>
  <c r="K93" i="54"/>
  <c r="J93" i="54"/>
  <c r="I79" i="54"/>
  <c r="M140" i="47"/>
  <c r="M117" i="47"/>
  <c r="L116" i="47"/>
  <c r="K116" i="47"/>
  <c r="J116" i="47"/>
  <c r="I122" i="1"/>
  <c r="I111" i="1"/>
  <c r="I107" i="1"/>
  <c r="I221" i="56"/>
  <c r="I168" i="56"/>
  <c r="I114" i="56"/>
  <c r="I113" i="56"/>
  <c r="I112" i="56"/>
  <c r="I111" i="56"/>
  <c r="I110" i="56"/>
  <c r="I109" i="56"/>
  <c r="I108" i="56"/>
  <c r="I107" i="56"/>
  <c r="I79" i="56"/>
  <c r="I79" i="1"/>
  <c r="N113" i="3" l="1"/>
  <c r="O112" i="3"/>
  <c r="O57" i="3"/>
  <c r="N57" i="3"/>
  <c r="O85" i="3"/>
  <c r="O113" i="3" s="1"/>
  <c r="N85" i="3"/>
  <c r="D84" i="3"/>
  <c r="N83" i="3"/>
  <c r="O83" i="3" s="1"/>
  <c r="M83" i="3"/>
  <c r="K83" i="3"/>
  <c r="I83" i="3"/>
  <c r="N82" i="3"/>
  <c r="O82" i="3" s="1"/>
  <c r="M82" i="3"/>
  <c r="K82" i="3"/>
  <c r="I82" i="3"/>
  <c r="N81" i="3"/>
  <c r="O81" i="3" s="1"/>
  <c r="M81" i="3"/>
  <c r="K81" i="3"/>
  <c r="I81" i="3"/>
  <c r="N80" i="3"/>
  <c r="O80" i="3" s="1"/>
  <c r="M80" i="3"/>
  <c r="K80" i="3"/>
  <c r="I80" i="3"/>
  <c r="N78" i="3"/>
  <c r="O78" i="3" s="1"/>
  <c r="M78" i="3"/>
  <c r="K78" i="3"/>
  <c r="I78" i="3"/>
  <c r="N77" i="3"/>
  <c r="O77" i="3" s="1"/>
  <c r="M77" i="3"/>
  <c r="K77" i="3"/>
  <c r="I77" i="3"/>
  <c r="N76" i="3"/>
  <c r="O76" i="3" s="1"/>
  <c r="M76" i="3"/>
  <c r="K76" i="3"/>
  <c r="I76" i="3"/>
  <c r="N75" i="3"/>
  <c r="O75" i="3" s="1"/>
  <c r="M75" i="3"/>
  <c r="K75" i="3"/>
  <c r="I75" i="3"/>
  <c r="M74" i="3"/>
  <c r="K74" i="3"/>
  <c r="I74" i="3"/>
  <c r="N73" i="3"/>
  <c r="O73" i="3" s="1"/>
  <c r="M73" i="3"/>
  <c r="K73" i="3"/>
  <c r="I73" i="3"/>
  <c r="M72" i="3"/>
  <c r="K72" i="3"/>
  <c r="I72" i="3"/>
  <c r="N71" i="3"/>
  <c r="O71" i="3" s="1"/>
  <c r="M71" i="3"/>
  <c r="K71" i="3"/>
  <c r="I71" i="3"/>
  <c r="N70" i="3"/>
  <c r="O70" i="3" s="1"/>
  <c r="M70" i="3"/>
  <c r="K70" i="3"/>
  <c r="I70" i="3"/>
  <c r="N69" i="3"/>
  <c r="O69" i="3" s="1"/>
  <c r="M69" i="3"/>
  <c r="K69" i="3"/>
  <c r="I69" i="3"/>
  <c r="N68" i="3"/>
  <c r="O68" i="3" s="1"/>
  <c r="M68" i="3"/>
  <c r="K68" i="3"/>
  <c r="I68" i="3"/>
  <c r="N67" i="3"/>
  <c r="O67" i="3" s="1"/>
  <c r="M67" i="3"/>
  <c r="K67" i="3"/>
  <c r="I67" i="3"/>
  <c r="M66" i="3"/>
  <c r="K66" i="3"/>
  <c r="I66" i="3"/>
  <c r="N65" i="3"/>
  <c r="O65" i="3" s="1"/>
  <c r="M65" i="3"/>
  <c r="K65" i="3"/>
  <c r="I65" i="3"/>
  <c r="M64" i="3"/>
  <c r="K64" i="3"/>
  <c r="I64" i="3"/>
  <c r="N63" i="3"/>
  <c r="O63" i="3" s="1"/>
  <c r="M63" i="3"/>
  <c r="K63" i="3"/>
  <c r="I63" i="3"/>
  <c r="N62" i="3"/>
  <c r="O62" i="3" s="1"/>
  <c r="M62" i="3"/>
  <c r="K62" i="3"/>
  <c r="I62" i="3"/>
  <c r="N61" i="3"/>
  <c r="O61" i="3" s="1"/>
  <c r="M61" i="3"/>
  <c r="K61" i="3"/>
  <c r="I61" i="3"/>
  <c r="H115" i="3"/>
  <c r="H37" i="3"/>
  <c r="I84" i="3" l="1"/>
  <c r="K84" i="3"/>
  <c r="M84" i="3"/>
  <c r="H23" i="3"/>
  <c r="H21" i="3"/>
  <c r="H18" i="3"/>
  <c r="H15" i="3"/>
  <c r="H39" i="3"/>
  <c r="H33" i="3"/>
  <c r="H11" i="3"/>
  <c r="H9" i="3"/>
  <c r="H5" i="3"/>
  <c r="I244" i="56" l="1"/>
  <c r="I134" i="54"/>
  <c r="I152" i="47"/>
  <c r="O84" i="3"/>
  <c r="N59" i="3" s="1"/>
  <c r="H30" i="3"/>
  <c r="N279" i="3"/>
  <c r="D278" i="3"/>
  <c r="N277" i="3"/>
  <c r="O277" i="3" s="1"/>
  <c r="M277" i="3"/>
  <c r="K277" i="3"/>
  <c r="I277" i="3"/>
  <c r="N276" i="3"/>
  <c r="O276" i="3" s="1"/>
  <c r="M276" i="3"/>
  <c r="K276" i="3"/>
  <c r="I276" i="3"/>
  <c r="N275" i="3"/>
  <c r="O275" i="3" s="1"/>
  <c r="M275" i="3"/>
  <c r="K275" i="3"/>
  <c r="I275" i="3"/>
  <c r="N274" i="3"/>
  <c r="O274" i="3" s="1"/>
  <c r="M274" i="3"/>
  <c r="K274" i="3"/>
  <c r="I274" i="3"/>
  <c r="N273" i="3"/>
  <c r="O273" i="3" s="1"/>
  <c r="M273" i="3"/>
  <c r="K273" i="3"/>
  <c r="I273" i="3"/>
  <c r="N272" i="3"/>
  <c r="O272" i="3" s="1"/>
  <c r="M272" i="3"/>
  <c r="K272" i="3"/>
  <c r="I272" i="3"/>
  <c r="N271" i="3"/>
  <c r="O271" i="3" s="1"/>
  <c r="M271" i="3"/>
  <c r="K271" i="3"/>
  <c r="I271" i="3"/>
  <c r="N270" i="3"/>
  <c r="O270" i="3" s="1"/>
  <c r="M270" i="3"/>
  <c r="K270" i="3"/>
  <c r="I270" i="3"/>
  <c r="N269" i="3"/>
  <c r="O269" i="3" s="1"/>
  <c r="M269" i="3"/>
  <c r="K269" i="3"/>
  <c r="I269" i="3"/>
  <c r="N268" i="3"/>
  <c r="O268" i="3" s="1"/>
  <c r="M268" i="3"/>
  <c r="K268" i="3"/>
  <c r="I268" i="3"/>
  <c r="N267" i="3"/>
  <c r="O267" i="3" s="1"/>
  <c r="M267" i="3"/>
  <c r="K267" i="3"/>
  <c r="I267" i="3"/>
  <c r="N266" i="3"/>
  <c r="O266" i="3" s="1"/>
  <c r="M266" i="3"/>
  <c r="K266" i="3"/>
  <c r="I266" i="3"/>
  <c r="N265" i="3"/>
  <c r="O265" i="3" s="1"/>
  <c r="M265" i="3"/>
  <c r="K265" i="3"/>
  <c r="I265" i="3"/>
  <c r="N264" i="3"/>
  <c r="O264" i="3" s="1"/>
  <c r="M264" i="3"/>
  <c r="K264" i="3"/>
  <c r="I264" i="3"/>
  <c r="N263" i="3"/>
  <c r="O263" i="3" s="1"/>
  <c r="M263" i="3"/>
  <c r="K263" i="3"/>
  <c r="I263" i="3"/>
  <c r="N262" i="3"/>
  <c r="O262" i="3" s="1"/>
  <c r="M262" i="3"/>
  <c r="K262" i="3"/>
  <c r="I262" i="3"/>
  <c r="N261" i="3"/>
  <c r="O261" i="3" s="1"/>
  <c r="M261" i="3"/>
  <c r="K261" i="3"/>
  <c r="I261" i="3"/>
  <c r="N260" i="3"/>
  <c r="O260" i="3" s="1"/>
  <c r="M260" i="3"/>
  <c r="K260" i="3"/>
  <c r="I260" i="3"/>
  <c r="N259" i="3"/>
  <c r="O259" i="3" s="1"/>
  <c r="M259" i="3"/>
  <c r="K259" i="3"/>
  <c r="I259" i="3"/>
  <c r="N258" i="3"/>
  <c r="O258" i="3" s="1"/>
  <c r="M258" i="3"/>
  <c r="K258" i="3"/>
  <c r="I258" i="3"/>
  <c r="M257" i="3"/>
  <c r="K257" i="3"/>
  <c r="I257" i="3"/>
  <c r="N256" i="3"/>
  <c r="O256" i="3" s="1"/>
  <c r="M256" i="3"/>
  <c r="K256" i="3"/>
  <c r="I256" i="3"/>
  <c r="N252" i="3"/>
  <c r="O251" i="3"/>
  <c r="D251" i="3"/>
  <c r="M250" i="3"/>
  <c r="K250" i="3"/>
  <c r="I250" i="3"/>
  <c r="N249" i="3"/>
  <c r="O249" i="3" s="1"/>
  <c r="M249" i="3"/>
  <c r="K249" i="3"/>
  <c r="I249" i="3"/>
  <c r="M248" i="3"/>
  <c r="K248" i="3"/>
  <c r="I248" i="3"/>
  <c r="N247" i="3"/>
  <c r="O247" i="3" s="1"/>
  <c r="M247" i="3"/>
  <c r="K247" i="3"/>
  <c r="I247" i="3"/>
  <c r="M246" i="3"/>
  <c r="K246" i="3"/>
  <c r="I246" i="3"/>
  <c r="N245" i="3"/>
  <c r="O245" i="3" s="1"/>
  <c r="M245" i="3"/>
  <c r="K245" i="3"/>
  <c r="I245" i="3"/>
  <c r="M244" i="3"/>
  <c r="K244" i="3"/>
  <c r="I244" i="3"/>
  <c r="N243" i="3"/>
  <c r="O243" i="3" s="1"/>
  <c r="M243" i="3"/>
  <c r="K243" i="3"/>
  <c r="I243" i="3"/>
  <c r="M242" i="3"/>
  <c r="K242" i="3"/>
  <c r="I242" i="3"/>
  <c r="N241" i="3"/>
  <c r="O241" i="3" s="1"/>
  <c r="M241" i="3"/>
  <c r="K241" i="3"/>
  <c r="I241" i="3"/>
  <c r="M240" i="3"/>
  <c r="K240" i="3"/>
  <c r="I240" i="3"/>
  <c r="N239" i="3"/>
  <c r="O239" i="3" s="1"/>
  <c r="M239" i="3"/>
  <c r="K239" i="3"/>
  <c r="I239" i="3"/>
  <c r="M238" i="3"/>
  <c r="K238" i="3"/>
  <c r="I238" i="3"/>
  <c r="N237" i="3"/>
  <c r="O237" i="3" s="1"/>
  <c r="M237" i="3"/>
  <c r="K237" i="3"/>
  <c r="I237" i="3"/>
  <c r="M236" i="3"/>
  <c r="K236" i="3"/>
  <c r="I236" i="3"/>
  <c r="N235" i="3"/>
  <c r="O235" i="3" s="1"/>
  <c r="M235" i="3"/>
  <c r="K235" i="3"/>
  <c r="I235" i="3"/>
  <c r="M234" i="3"/>
  <c r="K234" i="3"/>
  <c r="I234" i="3"/>
  <c r="N233" i="3"/>
  <c r="O233" i="3" s="1"/>
  <c r="M233" i="3"/>
  <c r="K233" i="3"/>
  <c r="I233" i="3"/>
  <c r="M232" i="3"/>
  <c r="K232" i="3"/>
  <c r="I232" i="3"/>
  <c r="N231" i="3"/>
  <c r="O231" i="3" s="1"/>
  <c r="M231" i="3"/>
  <c r="K231" i="3"/>
  <c r="I231" i="3"/>
  <c r="M230" i="3"/>
  <c r="K230" i="3"/>
  <c r="I230" i="3"/>
  <c r="N229" i="3"/>
  <c r="O229" i="3" s="1"/>
  <c r="M229" i="3"/>
  <c r="K229" i="3"/>
  <c r="I229" i="3"/>
  <c r="N225" i="3"/>
  <c r="O224" i="3"/>
  <c r="D224" i="3"/>
  <c r="N223" i="3"/>
  <c r="O223" i="3" s="1"/>
  <c r="M223" i="3"/>
  <c r="K223" i="3"/>
  <c r="I223" i="3"/>
  <c r="N222" i="3"/>
  <c r="O222" i="3" s="1"/>
  <c r="M222" i="3"/>
  <c r="K222" i="3"/>
  <c r="I222" i="3"/>
  <c r="N221" i="3"/>
  <c r="O221" i="3" s="1"/>
  <c r="M221" i="3"/>
  <c r="K221" i="3"/>
  <c r="I221" i="3"/>
  <c r="N219" i="3"/>
  <c r="O219" i="3" s="1"/>
  <c r="M219" i="3"/>
  <c r="K219" i="3"/>
  <c r="I219" i="3"/>
  <c r="M218" i="3"/>
  <c r="K218" i="3"/>
  <c r="I218" i="3"/>
  <c r="N217" i="3"/>
  <c r="O217" i="3" s="1"/>
  <c r="M217" i="3"/>
  <c r="K217" i="3"/>
  <c r="I217" i="3"/>
  <c r="M216" i="3"/>
  <c r="K216" i="3"/>
  <c r="I216" i="3"/>
  <c r="N215" i="3"/>
  <c r="O215" i="3" s="1"/>
  <c r="M215" i="3"/>
  <c r="K215" i="3"/>
  <c r="I215" i="3"/>
  <c r="M214" i="3"/>
  <c r="K214" i="3"/>
  <c r="I214" i="3"/>
  <c r="N213" i="3"/>
  <c r="O213" i="3" s="1"/>
  <c r="M213" i="3"/>
  <c r="K213" i="3"/>
  <c r="I213" i="3"/>
  <c r="M212" i="3"/>
  <c r="K212" i="3"/>
  <c r="I212" i="3"/>
  <c r="N211" i="3"/>
  <c r="O211" i="3" s="1"/>
  <c r="M211" i="3"/>
  <c r="K211" i="3"/>
  <c r="I211" i="3"/>
  <c r="M210" i="3"/>
  <c r="K210" i="3"/>
  <c r="I210" i="3"/>
  <c r="N209" i="3"/>
  <c r="O209" i="3" s="1"/>
  <c r="M209" i="3"/>
  <c r="K209" i="3"/>
  <c r="I209" i="3"/>
  <c r="M208" i="3"/>
  <c r="K208" i="3"/>
  <c r="I208" i="3"/>
  <c r="N207" i="3"/>
  <c r="O207" i="3" s="1"/>
  <c r="M207" i="3"/>
  <c r="K207" i="3"/>
  <c r="I207" i="3"/>
  <c r="M206" i="3"/>
  <c r="K206" i="3"/>
  <c r="I206" i="3"/>
  <c r="N205" i="3"/>
  <c r="O205" i="3" s="1"/>
  <c r="M205" i="3"/>
  <c r="K205" i="3"/>
  <c r="I205" i="3"/>
  <c r="M204" i="3"/>
  <c r="K204" i="3"/>
  <c r="I204" i="3"/>
  <c r="N203" i="3"/>
  <c r="O203" i="3" s="1"/>
  <c r="M203" i="3"/>
  <c r="K203" i="3"/>
  <c r="I203" i="3"/>
  <c r="M202" i="3"/>
  <c r="K202" i="3"/>
  <c r="I202" i="3"/>
  <c r="N201" i="3"/>
  <c r="O201" i="3" s="1"/>
  <c r="M201" i="3"/>
  <c r="K201" i="3"/>
  <c r="I201" i="3"/>
  <c r="O198" i="3"/>
  <c r="O226" i="3" s="1"/>
  <c r="O253" i="3" s="1"/>
  <c r="N197" i="3"/>
  <c r="D196" i="3"/>
  <c r="N195" i="3"/>
  <c r="O195" i="3" s="1"/>
  <c r="M195" i="3"/>
  <c r="K195" i="3"/>
  <c r="I195" i="3"/>
  <c r="N194" i="3"/>
  <c r="O194" i="3" s="1"/>
  <c r="M194" i="3"/>
  <c r="K194" i="3"/>
  <c r="I194" i="3"/>
  <c r="N192" i="3"/>
  <c r="O192" i="3" s="1"/>
  <c r="M192" i="3"/>
  <c r="K192" i="3"/>
  <c r="I192" i="3"/>
  <c r="N191" i="3"/>
  <c r="O191" i="3" s="1"/>
  <c r="M191" i="3"/>
  <c r="K191" i="3"/>
  <c r="I191" i="3"/>
  <c r="M190" i="3"/>
  <c r="K190" i="3"/>
  <c r="I190" i="3"/>
  <c r="N189" i="3"/>
  <c r="O189" i="3" s="1"/>
  <c r="M189" i="3"/>
  <c r="K189" i="3"/>
  <c r="I189" i="3"/>
  <c r="M188" i="3"/>
  <c r="K188" i="3"/>
  <c r="I188" i="3"/>
  <c r="N187" i="3"/>
  <c r="O187" i="3" s="1"/>
  <c r="M187" i="3"/>
  <c r="K187" i="3"/>
  <c r="I187" i="3"/>
  <c r="M186" i="3"/>
  <c r="K186" i="3"/>
  <c r="I186" i="3"/>
  <c r="N185" i="3"/>
  <c r="O185" i="3" s="1"/>
  <c r="M185" i="3"/>
  <c r="K185" i="3"/>
  <c r="I185" i="3"/>
  <c r="M184" i="3"/>
  <c r="K184" i="3"/>
  <c r="I184" i="3"/>
  <c r="N183" i="3"/>
  <c r="O183" i="3" s="1"/>
  <c r="M183" i="3"/>
  <c r="K183" i="3"/>
  <c r="I183" i="3"/>
  <c r="M182" i="3"/>
  <c r="K182" i="3"/>
  <c r="I182" i="3"/>
  <c r="N181" i="3"/>
  <c r="O181" i="3" s="1"/>
  <c r="M181" i="3"/>
  <c r="K181" i="3"/>
  <c r="I181" i="3"/>
  <c r="M180" i="3"/>
  <c r="K180" i="3"/>
  <c r="I180" i="3"/>
  <c r="N179" i="3"/>
  <c r="O179" i="3" s="1"/>
  <c r="M179" i="3"/>
  <c r="K179" i="3"/>
  <c r="I179" i="3"/>
  <c r="M178" i="3"/>
  <c r="K178" i="3"/>
  <c r="I178" i="3"/>
  <c r="N177" i="3"/>
  <c r="O177" i="3" s="1"/>
  <c r="M177" i="3"/>
  <c r="K177" i="3"/>
  <c r="I177" i="3"/>
  <c r="M176" i="3"/>
  <c r="K176" i="3"/>
  <c r="I176" i="3"/>
  <c r="N175" i="3"/>
  <c r="O175" i="3" s="1"/>
  <c r="M175" i="3"/>
  <c r="K175" i="3"/>
  <c r="I175" i="3"/>
  <c r="M174" i="3"/>
  <c r="K174" i="3"/>
  <c r="I174" i="3"/>
  <c r="N173" i="3"/>
  <c r="O173" i="3" s="1"/>
  <c r="M173" i="3"/>
  <c r="K173" i="3"/>
  <c r="I173" i="3"/>
  <c r="N169" i="3"/>
  <c r="D168" i="3"/>
  <c r="N167" i="3"/>
  <c r="O167" i="3" s="1"/>
  <c r="M167" i="3"/>
  <c r="K167" i="3"/>
  <c r="I167" i="3"/>
  <c r="N166" i="3"/>
  <c r="O166" i="3" s="1"/>
  <c r="M166" i="3"/>
  <c r="K166" i="3"/>
  <c r="I166" i="3"/>
  <c r="N164" i="3"/>
  <c r="O164" i="3" s="1"/>
  <c r="M164" i="3"/>
  <c r="K164" i="3"/>
  <c r="I164" i="3"/>
  <c r="N163" i="3"/>
  <c r="O163" i="3" s="1"/>
  <c r="M163" i="3"/>
  <c r="K163" i="3"/>
  <c r="I163" i="3"/>
  <c r="N162" i="3"/>
  <c r="O162" i="3" s="1"/>
  <c r="M162" i="3"/>
  <c r="K162" i="3"/>
  <c r="I162" i="3"/>
  <c r="N161" i="3"/>
  <c r="O161" i="3" s="1"/>
  <c r="M161" i="3"/>
  <c r="K161" i="3"/>
  <c r="I161" i="3"/>
  <c r="N160" i="3"/>
  <c r="O160" i="3" s="1"/>
  <c r="M160" i="3"/>
  <c r="K160" i="3"/>
  <c r="I160" i="3"/>
  <c r="N159" i="3"/>
  <c r="O159" i="3" s="1"/>
  <c r="M159" i="3"/>
  <c r="K159" i="3"/>
  <c r="I159" i="3"/>
  <c r="N158" i="3"/>
  <c r="O158" i="3" s="1"/>
  <c r="M158" i="3"/>
  <c r="K158" i="3"/>
  <c r="I158" i="3"/>
  <c r="N157" i="3"/>
  <c r="O157" i="3" s="1"/>
  <c r="M157" i="3"/>
  <c r="K157" i="3"/>
  <c r="I157" i="3"/>
  <c r="N156" i="3"/>
  <c r="O156" i="3" s="1"/>
  <c r="M156" i="3"/>
  <c r="K156" i="3"/>
  <c r="I156" i="3"/>
  <c r="N155" i="3"/>
  <c r="O155" i="3" s="1"/>
  <c r="M155" i="3"/>
  <c r="K155" i="3"/>
  <c r="I155" i="3"/>
  <c r="N154" i="3"/>
  <c r="O154" i="3" s="1"/>
  <c r="M154" i="3"/>
  <c r="K154" i="3"/>
  <c r="I154" i="3"/>
  <c r="N153" i="3"/>
  <c r="O153" i="3" s="1"/>
  <c r="M153" i="3"/>
  <c r="K153" i="3"/>
  <c r="I153" i="3"/>
  <c r="N152" i="3"/>
  <c r="O152" i="3" s="1"/>
  <c r="M152" i="3"/>
  <c r="K152" i="3"/>
  <c r="I152" i="3"/>
  <c r="N151" i="3"/>
  <c r="O151" i="3" s="1"/>
  <c r="M151" i="3"/>
  <c r="K151" i="3"/>
  <c r="I151" i="3"/>
  <c r="M150" i="3"/>
  <c r="K150" i="3"/>
  <c r="I150" i="3"/>
  <c r="N149" i="3"/>
  <c r="O149" i="3" s="1"/>
  <c r="M149" i="3"/>
  <c r="K149" i="3"/>
  <c r="I149" i="3"/>
  <c r="N148" i="3"/>
  <c r="O148" i="3" s="1"/>
  <c r="M148" i="3"/>
  <c r="K148" i="3"/>
  <c r="I148" i="3"/>
  <c r="N147" i="3"/>
  <c r="O147" i="3" s="1"/>
  <c r="M147" i="3"/>
  <c r="K147" i="3"/>
  <c r="I147" i="3"/>
  <c r="M146" i="3"/>
  <c r="K146" i="3"/>
  <c r="I146" i="3"/>
  <c r="N145" i="3"/>
  <c r="O145" i="3" s="1"/>
  <c r="M145" i="3"/>
  <c r="K145" i="3"/>
  <c r="I145" i="3"/>
  <c r="N141" i="3"/>
  <c r="D140" i="3"/>
  <c r="N139" i="3"/>
  <c r="O139" i="3" s="1"/>
  <c r="M139" i="3"/>
  <c r="K139" i="3"/>
  <c r="I139" i="3"/>
  <c r="N138" i="3"/>
  <c r="O138" i="3" s="1"/>
  <c r="M138" i="3"/>
  <c r="K138" i="3"/>
  <c r="I138" i="3"/>
  <c r="N137" i="3"/>
  <c r="O137" i="3" s="1"/>
  <c r="M137" i="3"/>
  <c r="K137" i="3"/>
  <c r="I137" i="3"/>
  <c r="N136" i="3"/>
  <c r="O136" i="3" s="1"/>
  <c r="M136" i="3"/>
  <c r="K136" i="3"/>
  <c r="I136" i="3"/>
  <c r="N134" i="3"/>
  <c r="O134" i="3" s="1"/>
  <c r="M134" i="3"/>
  <c r="K134" i="3"/>
  <c r="I134" i="3"/>
  <c r="N133" i="3"/>
  <c r="O133" i="3" s="1"/>
  <c r="M133" i="3"/>
  <c r="K133" i="3"/>
  <c r="I133" i="3"/>
  <c r="N132" i="3"/>
  <c r="O132" i="3" s="1"/>
  <c r="M132" i="3"/>
  <c r="K132" i="3"/>
  <c r="I132" i="3"/>
  <c r="N131" i="3"/>
  <c r="O131" i="3" s="1"/>
  <c r="M131" i="3"/>
  <c r="K131" i="3"/>
  <c r="I131" i="3"/>
  <c r="N130" i="3"/>
  <c r="O130" i="3" s="1"/>
  <c r="M130" i="3"/>
  <c r="K130" i="3"/>
  <c r="I130" i="3"/>
  <c r="N129" i="3"/>
  <c r="O129" i="3" s="1"/>
  <c r="M129" i="3"/>
  <c r="K129" i="3"/>
  <c r="I129" i="3"/>
  <c r="N128" i="3"/>
  <c r="O128" i="3" s="1"/>
  <c r="M128" i="3"/>
  <c r="K128" i="3"/>
  <c r="I128" i="3"/>
  <c r="N127" i="3"/>
  <c r="O127" i="3" s="1"/>
  <c r="M127" i="3"/>
  <c r="K127" i="3"/>
  <c r="I127" i="3"/>
  <c r="M126" i="3"/>
  <c r="K126" i="3"/>
  <c r="I126" i="3"/>
  <c r="N125" i="3"/>
  <c r="O125" i="3" s="1"/>
  <c r="M125" i="3"/>
  <c r="K125" i="3"/>
  <c r="I125" i="3"/>
  <c r="M124" i="3"/>
  <c r="K124" i="3"/>
  <c r="I124" i="3"/>
  <c r="N123" i="3"/>
  <c r="O123" i="3" s="1"/>
  <c r="M123" i="3"/>
  <c r="K123" i="3"/>
  <c r="I123" i="3"/>
  <c r="M122" i="3"/>
  <c r="K122" i="3"/>
  <c r="I122" i="3"/>
  <c r="N121" i="3"/>
  <c r="O121" i="3" s="1"/>
  <c r="M121" i="3"/>
  <c r="K121" i="3"/>
  <c r="I121" i="3"/>
  <c r="M120" i="3"/>
  <c r="K120" i="3"/>
  <c r="I120" i="3"/>
  <c r="N119" i="3"/>
  <c r="O119" i="3" s="1"/>
  <c r="M119" i="3"/>
  <c r="K119" i="3"/>
  <c r="I119" i="3"/>
  <c r="M118" i="3"/>
  <c r="K118" i="3"/>
  <c r="I118" i="3"/>
  <c r="N117" i="3"/>
  <c r="O117" i="3" s="1"/>
  <c r="M117" i="3"/>
  <c r="K117" i="3"/>
  <c r="I117" i="3"/>
  <c r="D112" i="3"/>
  <c r="N111" i="3"/>
  <c r="O111" i="3" s="1"/>
  <c r="M111" i="3"/>
  <c r="K111" i="3"/>
  <c r="I111" i="3"/>
  <c r="N110" i="3"/>
  <c r="O110" i="3" s="1"/>
  <c r="M110" i="3"/>
  <c r="K110" i="3"/>
  <c r="I110" i="3"/>
  <c r="N109" i="3"/>
  <c r="O109" i="3" s="1"/>
  <c r="M109" i="3"/>
  <c r="K109" i="3"/>
  <c r="I109" i="3"/>
  <c r="N107" i="3"/>
  <c r="O107" i="3" s="1"/>
  <c r="M107" i="3"/>
  <c r="K107" i="3"/>
  <c r="I107" i="3"/>
  <c r="N106" i="3"/>
  <c r="O106" i="3" s="1"/>
  <c r="M106" i="3"/>
  <c r="K106" i="3"/>
  <c r="I106" i="3"/>
  <c r="N105" i="3"/>
  <c r="O105" i="3" s="1"/>
  <c r="M105" i="3"/>
  <c r="K105" i="3"/>
  <c r="I105" i="3"/>
  <c r="N104" i="3"/>
  <c r="O104" i="3" s="1"/>
  <c r="M104" i="3"/>
  <c r="K104" i="3"/>
  <c r="I104" i="3"/>
  <c r="N103" i="3"/>
  <c r="O103" i="3" s="1"/>
  <c r="M103" i="3"/>
  <c r="K103" i="3"/>
  <c r="I103" i="3"/>
  <c r="N102" i="3"/>
  <c r="O102" i="3" s="1"/>
  <c r="M102" i="3"/>
  <c r="K102" i="3"/>
  <c r="I102" i="3"/>
  <c r="N101" i="3"/>
  <c r="O101" i="3" s="1"/>
  <c r="M101" i="3"/>
  <c r="K101" i="3"/>
  <c r="I101" i="3"/>
  <c r="N100" i="3"/>
  <c r="O100" i="3" s="1"/>
  <c r="M100" i="3"/>
  <c r="K100" i="3"/>
  <c r="I100" i="3"/>
  <c r="M99" i="3"/>
  <c r="K99" i="3"/>
  <c r="I99" i="3"/>
  <c r="N98" i="3"/>
  <c r="O98" i="3" s="1"/>
  <c r="M98" i="3"/>
  <c r="K98" i="3"/>
  <c r="I98" i="3"/>
  <c r="N97" i="3"/>
  <c r="O97" i="3" s="1"/>
  <c r="M97" i="3"/>
  <c r="K97" i="3"/>
  <c r="I97" i="3"/>
  <c r="M96" i="3"/>
  <c r="K96" i="3"/>
  <c r="I96" i="3"/>
  <c r="N95" i="3"/>
  <c r="O95" i="3" s="1"/>
  <c r="M95" i="3"/>
  <c r="K95" i="3"/>
  <c r="I95" i="3"/>
  <c r="M94" i="3"/>
  <c r="K94" i="3"/>
  <c r="I94" i="3"/>
  <c r="N93" i="3"/>
  <c r="O93" i="3" s="1"/>
  <c r="M93" i="3"/>
  <c r="K93" i="3"/>
  <c r="I93" i="3"/>
  <c r="M92" i="3"/>
  <c r="K92" i="3"/>
  <c r="I92" i="3"/>
  <c r="N91" i="3"/>
  <c r="O91" i="3" s="1"/>
  <c r="M91" i="3"/>
  <c r="K91" i="3"/>
  <c r="I91" i="3"/>
  <c r="M90" i="3"/>
  <c r="K90" i="3"/>
  <c r="I90" i="3"/>
  <c r="N89" i="3"/>
  <c r="O89" i="3" s="1"/>
  <c r="M89" i="3"/>
  <c r="K89" i="3"/>
  <c r="I89" i="3"/>
  <c r="O141" i="3"/>
  <c r="O169" i="3" s="1"/>
  <c r="O197" i="3" s="1"/>
  <c r="O225" i="3" s="1"/>
  <c r="O252" i="3" s="1"/>
  <c r="O279" i="3" s="1"/>
  <c r="D56" i="3"/>
  <c r="N55" i="3"/>
  <c r="O55" i="3" s="1"/>
  <c r="M55" i="3"/>
  <c r="K55" i="3"/>
  <c r="I55" i="3"/>
  <c r="N54" i="3"/>
  <c r="O54" i="3" s="1"/>
  <c r="M54" i="3"/>
  <c r="K54" i="3"/>
  <c r="I54" i="3"/>
  <c r="N53" i="3"/>
  <c r="O53" i="3" s="1"/>
  <c r="M53" i="3"/>
  <c r="K53" i="3"/>
  <c r="I53" i="3"/>
  <c r="N52" i="3"/>
  <c r="O52" i="3" s="1"/>
  <c r="M52" i="3"/>
  <c r="K52" i="3"/>
  <c r="I52" i="3"/>
  <c r="N49" i="3"/>
  <c r="O49" i="3" s="1"/>
  <c r="M49" i="3"/>
  <c r="K49" i="3"/>
  <c r="I49" i="3"/>
  <c r="N48" i="3"/>
  <c r="O48" i="3" s="1"/>
  <c r="M48" i="3"/>
  <c r="K48" i="3"/>
  <c r="I48" i="3"/>
  <c r="N47" i="3"/>
  <c r="O47" i="3" s="1"/>
  <c r="M47" i="3"/>
  <c r="K47" i="3"/>
  <c r="I47" i="3"/>
  <c r="N46" i="3"/>
  <c r="O46" i="3" s="1"/>
  <c r="M46" i="3"/>
  <c r="K46" i="3"/>
  <c r="I46" i="3"/>
  <c r="N45" i="3"/>
  <c r="O45" i="3" s="1"/>
  <c r="M45" i="3"/>
  <c r="K45" i="3"/>
  <c r="I45" i="3"/>
  <c r="N44" i="3"/>
  <c r="O44" i="3" s="1"/>
  <c r="M44" i="3"/>
  <c r="K44" i="3"/>
  <c r="I44" i="3"/>
  <c r="N43" i="3"/>
  <c r="O43" i="3" s="1"/>
  <c r="M43" i="3"/>
  <c r="K43" i="3"/>
  <c r="I43" i="3"/>
  <c r="N42" i="3"/>
  <c r="O42" i="3" s="1"/>
  <c r="M42" i="3"/>
  <c r="K42" i="3"/>
  <c r="I42" i="3"/>
  <c r="M41" i="3"/>
  <c r="K41" i="3"/>
  <c r="I41" i="3"/>
  <c r="N40" i="3"/>
  <c r="O40" i="3" s="1"/>
  <c r="M40" i="3"/>
  <c r="K40" i="3"/>
  <c r="I40" i="3"/>
  <c r="M39" i="3"/>
  <c r="K39" i="3"/>
  <c r="I39" i="3"/>
  <c r="N38" i="3"/>
  <c r="O38" i="3" s="1"/>
  <c r="M38" i="3"/>
  <c r="K38" i="3"/>
  <c r="I38" i="3"/>
  <c r="M37" i="3"/>
  <c r="K37" i="3"/>
  <c r="I37" i="3"/>
  <c r="N36" i="3"/>
  <c r="O36" i="3" s="1"/>
  <c r="M36" i="3"/>
  <c r="K36" i="3"/>
  <c r="I36" i="3"/>
  <c r="M35" i="3"/>
  <c r="K35" i="3"/>
  <c r="I35" i="3"/>
  <c r="N34" i="3"/>
  <c r="O34" i="3" s="1"/>
  <c r="M34" i="3"/>
  <c r="K34" i="3"/>
  <c r="I34" i="3"/>
  <c r="M33" i="3"/>
  <c r="K33" i="3"/>
  <c r="I33" i="3"/>
  <c r="N32" i="3"/>
  <c r="O32" i="3" s="1"/>
  <c r="M32" i="3"/>
  <c r="K32" i="3"/>
  <c r="I32" i="3"/>
  <c r="O29" i="3"/>
  <c r="N28" i="3"/>
  <c r="O27" i="3"/>
  <c r="D27" i="3"/>
  <c r="N26" i="3"/>
  <c r="O26" i="3" s="1"/>
  <c r="M26" i="3"/>
  <c r="K26" i="3"/>
  <c r="I26" i="3"/>
  <c r="N25" i="3"/>
  <c r="O25" i="3" s="1"/>
  <c r="M25" i="3"/>
  <c r="K25" i="3"/>
  <c r="I25" i="3"/>
  <c r="M23" i="3"/>
  <c r="K23" i="3"/>
  <c r="I23" i="3"/>
  <c r="N22" i="3"/>
  <c r="O22" i="3" s="1"/>
  <c r="M22" i="3"/>
  <c r="K22" i="3"/>
  <c r="I22" i="3"/>
  <c r="M21" i="3"/>
  <c r="K21" i="3"/>
  <c r="I21" i="3"/>
  <c r="N20" i="3"/>
  <c r="O20" i="3" s="1"/>
  <c r="M20" i="3"/>
  <c r="K20" i="3"/>
  <c r="I20" i="3"/>
  <c r="N19" i="3"/>
  <c r="O19" i="3" s="1"/>
  <c r="M19" i="3"/>
  <c r="K19" i="3"/>
  <c r="I19" i="3"/>
  <c r="M18" i="3"/>
  <c r="K18" i="3"/>
  <c r="I18" i="3"/>
  <c r="N17" i="3"/>
  <c r="O17" i="3" s="1"/>
  <c r="M17" i="3"/>
  <c r="K17" i="3"/>
  <c r="I17" i="3"/>
  <c r="N16" i="3"/>
  <c r="O16" i="3" s="1"/>
  <c r="M16" i="3"/>
  <c r="K16" i="3"/>
  <c r="I16" i="3"/>
  <c r="M15" i="3"/>
  <c r="K15" i="3"/>
  <c r="I15" i="3"/>
  <c r="N14" i="3"/>
  <c r="O14" i="3" s="1"/>
  <c r="M14" i="3"/>
  <c r="K14" i="3"/>
  <c r="I14" i="3"/>
  <c r="M13" i="3"/>
  <c r="K13" i="3"/>
  <c r="I13" i="3"/>
  <c r="N12" i="3"/>
  <c r="O12" i="3" s="1"/>
  <c r="M12" i="3"/>
  <c r="K12" i="3"/>
  <c r="I12" i="3"/>
  <c r="M11" i="3"/>
  <c r="K11" i="3"/>
  <c r="I11" i="3"/>
  <c r="N10" i="3"/>
  <c r="O10" i="3" s="1"/>
  <c r="M10" i="3"/>
  <c r="K10" i="3"/>
  <c r="I10" i="3"/>
  <c r="M9" i="3"/>
  <c r="K9" i="3"/>
  <c r="I9" i="3"/>
  <c r="N8" i="3"/>
  <c r="O8" i="3" s="1"/>
  <c r="M8" i="3"/>
  <c r="K8" i="3"/>
  <c r="I8" i="3"/>
  <c r="M7" i="3"/>
  <c r="K7" i="3"/>
  <c r="I7" i="3"/>
  <c r="N6" i="3"/>
  <c r="O6" i="3" s="1"/>
  <c r="M6" i="3"/>
  <c r="K6" i="3"/>
  <c r="I6" i="3"/>
  <c r="M5" i="3"/>
  <c r="K5" i="3"/>
  <c r="I5" i="3"/>
  <c r="N4" i="3"/>
  <c r="O4" i="3" s="1"/>
  <c r="M4" i="3"/>
  <c r="M27" i="3" s="1"/>
  <c r="M56" i="3" s="1"/>
  <c r="K4" i="3"/>
  <c r="I4" i="3"/>
  <c r="M168" i="3" l="1"/>
  <c r="M196" i="3" s="1"/>
  <c r="K224" i="3"/>
  <c r="K251" i="3" s="1"/>
  <c r="K278" i="3" s="1"/>
  <c r="K27" i="3"/>
  <c r="K56" i="3" s="1"/>
  <c r="M112" i="3"/>
  <c r="M140" i="3" s="1"/>
  <c r="K168" i="3"/>
  <c r="K196" i="3" s="1"/>
  <c r="M224" i="3"/>
  <c r="M251" i="3" s="1"/>
  <c r="M278" i="3" s="1"/>
  <c r="O58" i="3"/>
  <c r="O86" i="3" s="1"/>
  <c r="O114" i="3" s="1"/>
  <c r="N66" i="3"/>
  <c r="O66" i="3" s="1"/>
  <c r="H78" i="54" s="1"/>
  <c r="I78" i="54" s="1"/>
  <c r="I224" i="3"/>
  <c r="I251" i="3" s="1"/>
  <c r="I278" i="3" s="1"/>
  <c r="I152" i="57"/>
  <c r="I225" i="1"/>
  <c r="I224" i="1"/>
  <c r="I223" i="1"/>
  <c r="N74" i="3"/>
  <c r="O74" i="3" s="1"/>
  <c r="H78" i="58" s="1"/>
  <c r="I78" i="58" s="1"/>
  <c r="N64" i="3"/>
  <c r="O64" i="3" s="1"/>
  <c r="H78" i="1" s="1"/>
  <c r="I78" i="1" s="1"/>
  <c r="N72" i="3"/>
  <c r="O72" i="3" s="1"/>
  <c r="H78" i="56" s="1"/>
  <c r="I78" i="56" s="1"/>
  <c r="I27" i="3"/>
  <c r="I112" i="3"/>
  <c r="I140" i="3" s="1"/>
  <c r="K112" i="3"/>
  <c r="K140" i="3" s="1"/>
  <c r="I168" i="3"/>
  <c r="I56" i="3"/>
  <c r="O56" i="3" s="1"/>
  <c r="N30" i="3" s="1"/>
  <c r="O278" i="3" l="1"/>
  <c r="N254" i="3" s="1"/>
  <c r="N227" i="3" s="1"/>
  <c r="I196" i="3"/>
  <c r="O196" i="3" s="1"/>
  <c r="N171" i="3" s="1"/>
  <c r="O168" i="3"/>
  <c r="N143" i="3" s="1"/>
  <c r="I243" i="56"/>
  <c r="L254" i="56" s="1"/>
  <c r="I156" i="53"/>
  <c r="I157" i="53"/>
  <c r="O140" i="3"/>
  <c r="N115" i="3" s="1"/>
  <c r="N126" i="3" s="1"/>
  <c r="O126" i="3" s="1"/>
  <c r="H99" i="57" s="1"/>
  <c r="I99" i="57" s="1"/>
  <c r="N39" i="3"/>
  <c r="O39" i="3" s="1"/>
  <c r="H76" i="58" s="1"/>
  <c r="I76" i="58" s="1"/>
  <c r="N35" i="3"/>
  <c r="O35" i="3" s="1"/>
  <c r="N2" i="3"/>
  <c r="N33" i="3"/>
  <c r="O33" i="3" s="1"/>
  <c r="H76" i="56" s="1"/>
  <c r="I76" i="56" s="1"/>
  <c r="N41" i="3"/>
  <c r="O41" i="3" s="1"/>
  <c r="N37" i="3"/>
  <c r="O37" i="3" s="1"/>
  <c r="H76" i="57" s="1"/>
  <c r="I76" i="57" s="1"/>
  <c r="N257" i="3" l="1"/>
  <c r="O257" i="3" s="1"/>
  <c r="H109" i="58" s="1"/>
  <c r="I109" i="58" s="1"/>
  <c r="N178" i="3"/>
  <c r="O178" i="3" s="1"/>
  <c r="H101" i="55" s="1"/>
  <c r="I101" i="55" s="1"/>
  <c r="N190" i="3"/>
  <c r="O190" i="3" s="1"/>
  <c r="H108" i="55" s="1"/>
  <c r="I108" i="55" s="1"/>
  <c r="N180" i="3"/>
  <c r="O180" i="3" s="1"/>
  <c r="H102" i="55" s="1"/>
  <c r="I102" i="55" s="1"/>
  <c r="N182" i="3"/>
  <c r="O182" i="3" s="1"/>
  <c r="H103" i="55" s="1"/>
  <c r="I103" i="55" s="1"/>
  <c r="N184" i="3"/>
  <c r="O184" i="3" s="1"/>
  <c r="H104" i="55" s="1"/>
  <c r="I104" i="55" s="1"/>
  <c r="N186" i="3"/>
  <c r="O186" i="3" s="1"/>
  <c r="H105" i="55" s="1"/>
  <c r="I105" i="55" s="1"/>
  <c r="N174" i="3"/>
  <c r="O174" i="3" s="1"/>
  <c r="H99" i="55" s="1"/>
  <c r="I99" i="55" s="1"/>
  <c r="N188" i="3"/>
  <c r="O188" i="3" s="1"/>
  <c r="H106" i="55" s="1"/>
  <c r="I106" i="55" s="1"/>
  <c r="N176" i="3"/>
  <c r="O176" i="3" s="1"/>
  <c r="H100" i="55" s="1"/>
  <c r="I100" i="55" s="1"/>
  <c r="N87" i="3"/>
  <c r="N94" i="3" s="1"/>
  <c r="O94" i="3" s="1"/>
  <c r="H103" i="1" s="1"/>
  <c r="I103" i="1" s="1"/>
  <c r="N118" i="3"/>
  <c r="O118" i="3" s="1"/>
  <c r="H99" i="56" s="1"/>
  <c r="I99" i="56" s="1"/>
  <c r="N122" i="3"/>
  <c r="O122" i="3" s="1"/>
  <c r="H103" i="56" s="1"/>
  <c r="I103" i="56" s="1"/>
  <c r="N124" i="3"/>
  <c r="O124" i="3" s="1"/>
  <c r="H105" i="56" s="1"/>
  <c r="I105" i="56" s="1"/>
  <c r="N120" i="3"/>
  <c r="O120" i="3" s="1"/>
  <c r="H101" i="56" s="1"/>
  <c r="I101" i="56" s="1"/>
  <c r="I132" i="58"/>
  <c r="N250" i="3"/>
  <c r="O250" i="3" s="1"/>
  <c r="H107" i="58" s="1"/>
  <c r="I107" i="58" s="1"/>
  <c r="N246" i="3"/>
  <c r="O246" i="3" s="1"/>
  <c r="H103" i="58" s="1"/>
  <c r="I103" i="58" s="1"/>
  <c r="N242" i="3"/>
  <c r="O242" i="3" s="1"/>
  <c r="H99" i="58" s="1"/>
  <c r="I99" i="58" s="1"/>
  <c r="N238" i="3"/>
  <c r="O238" i="3" s="1"/>
  <c r="H201" i="56" s="1"/>
  <c r="I201" i="56" s="1"/>
  <c r="N234" i="3"/>
  <c r="O234" i="3" s="1"/>
  <c r="H197" i="56" s="1"/>
  <c r="I197" i="56" s="1"/>
  <c r="N248" i="3"/>
  <c r="O248" i="3" s="1"/>
  <c r="H105" i="58" s="1"/>
  <c r="I105" i="58" s="1"/>
  <c r="N244" i="3"/>
  <c r="O244" i="3" s="1"/>
  <c r="H101" i="58" s="1"/>
  <c r="I101" i="58" s="1"/>
  <c r="N240" i="3"/>
  <c r="O240" i="3" s="1"/>
  <c r="H203" i="56" s="1"/>
  <c r="I203" i="56" s="1"/>
  <c r="N236" i="3"/>
  <c r="O236" i="3" s="1"/>
  <c r="H199" i="56" s="1"/>
  <c r="I199" i="56" s="1"/>
  <c r="N232" i="3"/>
  <c r="O232" i="3" s="1"/>
  <c r="H195" i="56" s="1"/>
  <c r="I195" i="56" s="1"/>
  <c r="N230" i="3"/>
  <c r="O230" i="3" s="1"/>
  <c r="H193" i="56" s="1"/>
  <c r="I193" i="56" s="1"/>
  <c r="N199" i="3"/>
  <c r="N18" i="3"/>
  <c r="O18" i="3" s="1"/>
  <c r="H79" i="55" s="1"/>
  <c r="I79" i="55" s="1"/>
  <c r="N21" i="3"/>
  <c r="O21" i="3" s="1"/>
  <c r="H82" i="55" s="1"/>
  <c r="I82" i="55" s="1"/>
  <c r="N5" i="3"/>
  <c r="O5" i="3" s="1"/>
  <c r="H76" i="1" s="1"/>
  <c r="I76" i="1" s="1"/>
  <c r="N13" i="3"/>
  <c r="O13" i="3" s="1"/>
  <c r="N9" i="3"/>
  <c r="O9" i="3" s="1"/>
  <c r="H76" i="47" s="1"/>
  <c r="I76" i="47" s="1"/>
  <c r="N11" i="3"/>
  <c r="O11" i="3" s="1"/>
  <c r="H76" i="54" s="1"/>
  <c r="I76" i="54" s="1"/>
  <c r="N15" i="3"/>
  <c r="O15" i="3" s="1"/>
  <c r="H76" i="55" s="1"/>
  <c r="I76" i="55" s="1"/>
  <c r="N23" i="3"/>
  <c r="O23" i="3" s="1"/>
  <c r="H84" i="55" s="1"/>
  <c r="I84" i="55" s="1"/>
  <c r="N7" i="3"/>
  <c r="O7" i="3" s="1"/>
  <c r="N146" i="3"/>
  <c r="O146" i="3" s="1"/>
  <c r="H122" i="47" s="1"/>
  <c r="I122" i="47" s="1"/>
  <c r="N150" i="3"/>
  <c r="O150" i="3" s="1"/>
  <c r="H122" i="57" s="1"/>
  <c r="I122" i="57" s="1"/>
  <c r="N92" i="3" l="1"/>
  <c r="O92" i="3" s="1"/>
  <c r="H101" i="1" s="1"/>
  <c r="I101" i="1" s="1"/>
  <c r="N90" i="3"/>
  <c r="O90" i="3" s="1"/>
  <c r="H99" i="1" s="1"/>
  <c r="I99" i="1" s="1"/>
  <c r="N96" i="3"/>
  <c r="O96" i="3" s="1"/>
  <c r="H99" i="47" s="1"/>
  <c r="I99" i="47" s="1"/>
  <c r="N99" i="3"/>
  <c r="O99" i="3" s="1"/>
  <c r="H76" i="53" s="1"/>
  <c r="I76" i="53" s="1"/>
  <c r="N216" i="3"/>
  <c r="O216" i="3" s="1"/>
  <c r="H101" i="54" s="1"/>
  <c r="I101" i="54" s="1"/>
  <c r="N212" i="3"/>
  <c r="O212" i="3" s="1"/>
  <c r="H181" i="1" s="1"/>
  <c r="I181" i="1" s="1"/>
  <c r="N208" i="3"/>
  <c r="O208" i="3" s="1"/>
  <c r="H177" i="1" s="1"/>
  <c r="I177" i="1" s="1"/>
  <c r="N204" i="3"/>
  <c r="O204" i="3" s="1"/>
  <c r="H173" i="1" s="1"/>
  <c r="I173" i="1" s="1"/>
  <c r="N218" i="3"/>
  <c r="O218" i="3" s="1"/>
  <c r="H126" i="53" s="1"/>
  <c r="I126" i="53" s="1"/>
  <c r="N214" i="3"/>
  <c r="O214" i="3" s="1"/>
  <c r="H99" i="54" s="1"/>
  <c r="I99" i="54" s="1"/>
  <c r="N210" i="3"/>
  <c r="O210" i="3" s="1"/>
  <c r="H179" i="1" s="1"/>
  <c r="I179" i="1" s="1"/>
  <c r="N206" i="3"/>
  <c r="O206" i="3" s="1"/>
  <c r="H175" i="1" s="1"/>
  <c r="I175" i="1" s="1"/>
  <c r="N202" i="3"/>
  <c r="O202" i="3" s="1"/>
  <c r="H171" i="1" s="1"/>
  <c r="I171" i="1" s="1"/>
  <c r="I42" i="52" l="1"/>
  <c r="Q1" i="3"/>
  <c r="I131" i="58" l="1"/>
  <c r="I130" i="58"/>
  <c r="I129" i="58"/>
  <c r="I127" i="58"/>
  <c r="I126" i="58"/>
  <c r="I125" i="58"/>
  <c r="I124" i="58"/>
  <c r="I122" i="58"/>
  <c r="I121" i="58"/>
  <c r="I113" i="58"/>
  <c r="I112" i="58"/>
  <c r="I111" i="58"/>
  <c r="I110" i="58"/>
  <c r="I108" i="58"/>
  <c r="I106" i="58"/>
  <c r="I104" i="58"/>
  <c r="I102" i="58"/>
  <c r="I100" i="58"/>
  <c r="I81" i="58"/>
  <c r="I80" i="58"/>
  <c r="I77" i="58"/>
  <c r="M71" i="6"/>
  <c r="I42" i="51" l="1"/>
  <c r="L2" i="48"/>
  <c r="G2" i="48"/>
  <c r="N6" i="48"/>
  <c r="O2" i="36" s="1"/>
  <c r="M6" i="48"/>
  <c r="N2" i="36" s="1"/>
  <c r="L6" i="48"/>
  <c r="M2" i="36" s="1"/>
  <c r="K6" i="48"/>
  <c r="L2" i="36" s="1"/>
  <c r="J6" i="48"/>
  <c r="K2" i="36" s="1"/>
  <c r="I6" i="48"/>
  <c r="J2" i="36" s="1"/>
  <c r="H6" i="48"/>
  <c r="I2" i="36" s="1"/>
  <c r="G6" i="48"/>
  <c r="H2" i="36" s="1"/>
  <c r="K202" i="48"/>
  <c r="K194" i="48" s="1"/>
  <c r="J202" i="48"/>
  <c r="J194" i="48" s="1"/>
  <c r="K185" i="48"/>
  <c r="J185" i="48"/>
  <c r="K176" i="48"/>
  <c r="J176" i="48"/>
  <c r="K150" i="48"/>
  <c r="K160" i="48" s="1"/>
  <c r="K30" i="48" s="1"/>
  <c r="J150" i="48"/>
  <c r="J13" i="48" s="1"/>
  <c r="K141" i="48"/>
  <c r="J141" i="48"/>
  <c r="K138" i="48"/>
  <c r="J138" i="48"/>
  <c r="K97" i="48"/>
  <c r="J97" i="48"/>
  <c r="K73" i="48"/>
  <c r="J73" i="48"/>
  <c r="K72" i="48"/>
  <c r="J72" i="48"/>
  <c r="K71" i="48"/>
  <c r="J71" i="48"/>
  <c r="K70" i="48"/>
  <c r="J70" i="48"/>
  <c r="K67" i="48"/>
  <c r="J67" i="48"/>
  <c r="K66" i="48"/>
  <c r="J66" i="48"/>
  <c r="K65" i="48"/>
  <c r="J65" i="48"/>
  <c r="K64" i="48"/>
  <c r="J64" i="48"/>
  <c r="K63" i="48"/>
  <c r="J63" i="48"/>
  <c r="K58" i="48"/>
  <c r="J58" i="48"/>
  <c r="K51" i="48"/>
  <c r="J51" i="48"/>
  <c r="K50" i="48"/>
  <c r="J50" i="48"/>
  <c r="K36" i="48"/>
  <c r="J36" i="48"/>
  <c r="K34" i="48"/>
  <c r="J34" i="48"/>
  <c r="K31" i="48"/>
  <c r="J31" i="48"/>
  <c r="K13" i="48"/>
  <c r="H58" i="55"/>
  <c r="H57" i="55"/>
  <c r="H56" i="55"/>
  <c r="H55" i="55"/>
  <c r="H54" i="55"/>
  <c r="H53" i="55"/>
  <c r="H58" i="54"/>
  <c r="H57" i="54"/>
  <c r="H56" i="54"/>
  <c r="H55" i="54"/>
  <c r="H54" i="54"/>
  <c r="H53" i="54"/>
  <c r="H58" i="53"/>
  <c r="H57" i="53"/>
  <c r="H56" i="53"/>
  <c r="H55" i="53"/>
  <c r="H54" i="53"/>
  <c r="H53" i="53"/>
  <c r="H58" i="47"/>
  <c r="H57" i="47"/>
  <c r="H56" i="47"/>
  <c r="H54" i="47"/>
  <c r="H55" i="47"/>
  <c r="H53" i="47"/>
  <c r="H57" i="1"/>
  <c r="H56" i="1"/>
  <c r="H55" i="1"/>
  <c r="H54" i="1"/>
  <c r="H53" i="1"/>
  <c r="I44" i="47"/>
  <c r="I43" i="47"/>
  <c r="I42" i="47"/>
  <c r="I41" i="47"/>
  <c r="I35" i="47"/>
  <c r="J160" i="48" l="1"/>
  <c r="J30" i="48" s="1"/>
  <c r="J61" i="48"/>
  <c r="K61" i="48"/>
  <c r="M140" i="58"/>
  <c r="L139" i="58"/>
  <c r="J139" i="58"/>
  <c r="I138" i="58"/>
  <c r="I139" i="58" s="1"/>
  <c r="I10" i="58" s="1"/>
  <c r="L116" i="58"/>
  <c r="K116" i="58"/>
  <c r="J116" i="58"/>
  <c r="I115" i="58"/>
  <c r="I114" i="58"/>
  <c r="I98" i="58"/>
  <c r="M71" i="58"/>
  <c r="I92" i="58"/>
  <c r="I91" i="58"/>
  <c r="I90" i="58"/>
  <c r="I89" i="58"/>
  <c r="I88" i="58"/>
  <c r="I87" i="58"/>
  <c r="I86" i="58"/>
  <c r="I85" i="58"/>
  <c r="I84" i="58"/>
  <c r="I83" i="58"/>
  <c r="I82" i="58"/>
  <c r="I75" i="58"/>
  <c r="I155" i="57"/>
  <c r="H49" i="51" s="1"/>
  <c r="I153" i="57"/>
  <c r="I151" i="57"/>
  <c r="I150" i="57"/>
  <c r="I149" i="57"/>
  <c r="I146" i="57"/>
  <c r="I124" i="57"/>
  <c r="I123" i="57"/>
  <c r="I101" i="57"/>
  <c r="I100" i="57"/>
  <c r="I79" i="57"/>
  <c r="I78" i="57"/>
  <c r="I77" i="57"/>
  <c r="M163" i="57"/>
  <c r="L162" i="57"/>
  <c r="J162" i="57"/>
  <c r="I161" i="57"/>
  <c r="I160" i="57"/>
  <c r="I159" i="57"/>
  <c r="I158" i="57"/>
  <c r="I157" i="57"/>
  <c r="I144" i="57"/>
  <c r="L139" i="57"/>
  <c r="K139" i="57"/>
  <c r="J139" i="57"/>
  <c r="I138" i="57"/>
  <c r="I137" i="57"/>
  <c r="I136" i="57"/>
  <c r="I135" i="57"/>
  <c r="I134" i="57"/>
  <c r="I133" i="57"/>
  <c r="I132" i="57"/>
  <c r="I131" i="57"/>
  <c r="I130" i="57"/>
  <c r="I129" i="57"/>
  <c r="I128" i="57"/>
  <c r="I127" i="57"/>
  <c r="I126" i="57"/>
  <c r="I125" i="57"/>
  <c r="I121" i="57"/>
  <c r="M94" i="57"/>
  <c r="I115" i="57"/>
  <c r="I114" i="57"/>
  <c r="I113" i="57"/>
  <c r="I112" i="57"/>
  <c r="I111" i="57"/>
  <c r="I110" i="57"/>
  <c r="I109" i="57"/>
  <c r="I108" i="57"/>
  <c r="I107" i="57"/>
  <c r="I106" i="57"/>
  <c r="I105" i="57"/>
  <c r="I104" i="57"/>
  <c r="I103" i="57"/>
  <c r="I102" i="57"/>
  <c r="I98" i="57"/>
  <c r="M71" i="57"/>
  <c r="L93" i="57"/>
  <c r="K93" i="57"/>
  <c r="J93" i="57"/>
  <c r="I92" i="57"/>
  <c r="I91" i="57"/>
  <c r="I90" i="57"/>
  <c r="I89" i="57"/>
  <c r="I88" i="57"/>
  <c r="I87" i="57"/>
  <c r="I86" i="57"/>
  <c r="I85" i="57"/>
  <c r="I84" i="57"/>
  <c r="I83" i="57"/>
  <c r="I82" i="57"/>
  <c r="I81" i="57"/>
  <c r="I80" i="57"/>
  <c r="I75" i="57"/>
  <c r="I228" i="56"/>
  <c r="I225" i="56"/>
  <c r="I224" i="56"/>
  <c r="I223" i="56"/>
  <c r="I222" i="56"/>
  <c r="I220" i="56"/>
  <c r="I202" i="56"/>
  <c r="I200" i="56"/>
  <c r="I198" i="56"/>
  <c r="I196" i="56"/>
  <c r="I194" i="56"/>
  <c r="I192" i="56"/>
  <c r="I191" i="56"/>
  <c r="I174" i="56"/>
  <c r="I173" i="56"/>
  <c r="I172" i="56"/>
  <c r="I171" i="56"/>
  <c r="I170" i="56"/>
  <c r="I169" i="56"/>
  <c r="I151" i="56"/>
  <c r="I150" i="56"/>
  <c r="I149" i="56"/>
  <c r="I148" i="56"/>
  <c r="I147" i="56"/>
  <c r="I146" i="56"/>
  <c r="I145" i="56"/>
  <c r="I125" i="56"/>
  <c r="I123" i="56"/>
  <c r="I106" i="56"/>
  <c r="I104" i="56"/>
  <c r="I102" i="56"/>
  <c r="I100" i="56"/>
  <c r="I80" i="56"/>
  <c r="I77" i="56"/>
  <c r="I86" i="55"/>
  <c r="I85" i="55"/>
  <c r="I83" i="55"/>
  <c r="I81" i="55"/>
  <c r="I80" i="55"/>
  <c r="I78" i="55"/>
  <c r="I77" i="55"/>
  <c r="I135" i="54"/>
  <c r="I133" i="54"/>
  <c r="I132" i="54"/>
  <c r="I131" i="54"/>
  <c r="I128" i="54"/>
  <c r="I126" i="54"/>
  <c r="I125" i="54"/>
  <c r="I124" i="54"/>
  <c r="I105" i="54"/>
  <c r="I104" i="54"/>
  <c r="I103" i="54"/>
  <c r="I102" i="54"/>
  <c r="I100" i="54"/>
  <c r="I81" i="54"/>
  <c r="I80" i="54"/>
  <c r="I77" i="54"/>
  <c r="I155" i="53"/>
  <c r="I154" i="53"/>
  <c r="I153" i="53"/>
  <c r="I151" i="53"/>
  <c r="I150" i="53"/>
  <c r="I149" i="53"/>
  <c r="I148" i="53"/>
  <c r="I147" i="53"/>
  <c r="I129" i="53"/>
  <c r="I128" i="53"/>
  <c r="I127" i="53"/>
  <c r="I125" i="53"/>
  <c r="I122" i="53"/>
  <c r="I78" i="53"/>
  <c r="I77" i="53"/>
  <c r="I149" i="47"/>
  <c r="I146" i="47"/>
  <c r="I124" i="47"/>
  <c r="I123" i="47"/>
  <c r="I101" i="47"/>
  <c r="I100" i="47"/>
  <c r="I78" i="47"/>
  <c r="I77" i="47"/>
  <c r="I216" i="1"/>
  <c r="I203" i="1"/>
  <c r="I202" i="1"/>
  <c r="I201" i="1"/>
  <c r="I199" i="1"/>
  <c r="I194" i="1"/>
  <c r="I182" i="1"/>
  <c r="I180" i="1"/>
  <c r="I178" i="1"/>
  <c r="I176" i="1"/>
  <c r="I174" i="1"/>
  <c r="I172" i="1"/>
  <c r="I170" i="1"/>
  <c r="I169" i="1"/>
  <c r="I168" i="1"/>
  <c r="I151" i="1"/>
  <c r="I150" i="1"/>
  <c r="I149" i="1"/>
  <c r="I148" i="1"/>
  <c r="I147" i="1"/>
  <c r="I146" i="1"/>
  <c r="I145" i="1"/>
  <c r="I125" i="1"/>
  <c r="I124" i="1"/>
  <c r="I123" i="1"/>
  <c r="I113" i="1"/>
  <c r="I109" i="1"/>
  <c r="I108" i="1"/>
  <c r="I106" i="1"/>
  <c r="I105" i="1"/>
  <c r="I104" i="1"/>
  <c r="I102" i="1"/>
  <c r="I100" i="1"/>
  <c r="I80" i="1"/>
  <c r="I77" i="1"/>
  <c r="M209" i="56"/>
  <c r="L231" i="56"/>
  <c r="I230" i="56"/>
  <c r="I213" i="56"/>
  <c r="I231" i="56" s="1"/>
  <c r="I254" i="56" s="1"/>
  <c r="I14" i="56" s="1"/>
  <c r="M186" i="56"/>
  <c r="L208" i="56"/>
  <c r="K208" i="56"/>
  <c r="J208" i="56"/>
  <c r="I207" i="56"/>
  <c r="I206" i="56"/>
  <c r="I205" i="56"/>
  <c r="I204" i="56"/>
  <c r="I190" i="56"/>
  <c r="M163" i="56"/>
  <c r="L185" i="56"/>
  <c r="K185" i="56"/>
  <c r="J185" i="56"/>
  <c r="I184" i="56"/>
  <c r="I183" i="56"/>
  <c r="I182" i="56"/>
  <c r="I181" i="56"/>
  <c r="I180" i="56"/>
  <c r="I179" i="56"/>
  <c r="I178" i="56"/>
  <c r="I177" i="56"/>
  <c r="I176" i="56"/>
  <c r="I175" i="56"/>
  <c r="I167" i="56"/>
  <c r="M140" i="56"/>
  <c r="L162" i="56"/>
  <c r="K162" i="56"/>
  <c r="J162" i="56"/>
  <c r="I161" i="56"/>
  <c r="I160" i="56"/>
  <c r="I159" i="56"/>
  <c r="I158" i="56"/>
  <c r="I157" i="56"/>
  <c r="I156" i="56"/>
  <c r="I155" i="56"/>
  <c r="I154" i="56"/>
  <c r="I153" i="56"/>
  <c r="I152" i="56"/>
  <c r="I144" i="56"/>
  <c r="M117" i="56"/>
  <c r="L139" i="56"/>
  <c r="K139" i="56"/>
  <c r="J139" i="56"/>
  <c r="I138" i="56"/>
  <c r="I137" i="56"/>
  <c r="I136" i="56"/>
  <c r="I135" i="56"/>
  <c r="I134" i="56"/>
  <c r="I133" i="56"/>
  <c r="I132" i="56"/>
  <c r="I131" i="56"/>
  <c r="I130" i="56"/>
  <c r="I129" i="56"/>
  <c r="I128" i="56"/>
  <c r="I127" i="56"/>
  <c r="I126" i="56"/>
  <c r="I121" i="56"/>
  <c r="M94" i="56"/>
  <c r="L116" i="56"/>
  <c r="K116" i="56"/>
  <c r="J116" i="56"/>
  <c r="I115" i="56"/>
  <c r="I98" i="56"/>
  <c r="M71" i="56"/>
  <c r="L93" i="56"/>
  <c r="K93" i="56"/>
  <c r="J93" i="56"/>
  <c r="I92" i="56"/>
  <c r="I91" i="56"/>
  <c r="I90" i="56"/>
  <c r="I89" i="56"/>
  <c r="I88" i="56"/>
  <c r="I87" i="56"/>
  <c r="I86" i="56"/>
  <c r="I85" i="56"/>
  <c r="I84" i="56"/>
  <c r="I83" i="56"/>
  <c r="I82" i="56"/>
  <c r="I81" i="56"/>
  <c r="I75" i="56"/>
  <c r="M94" i="55"/>
  <c r="M117" i="55"/>
  <c r="L116" i="55"/>
  <c r="K116" i="55"/>
  <c r="J116" i="55"/>
  <c r="I115" i="55"/>
  <c r="I114" i="55"/>
  <c r="I98" i="55"/>
  <c r="M71" i="55"/>
  <c r="L93" i="55"/>
  <c r="K93" i="55"/>
  <c r="J93" i="55"/>
  <c r="I92" i="55"/>
  <c r="I91" i="55"/>
  <c r="I90" i="55"/>
  <c r="I89" i="55"/>
  <c r="I88" i="55"/>
  <c r="I87" i="55"/>
  <c r="I75" i="55"/>
  <c r="L139" i="54"/>
  <c r="I138" i="54"/>
  <c r="I137" i="54"/>
  <c r="I136" i="54"/>
  <c r="I139" i="54"/>
  <c r="I162" i="54" s="1"/>
  <c r="I10" i="54" s="1"/>
  <c r="L116" i="54"/>
  <c r="K116" i="54"/>
  <c r="J116" i="54"/>
  <c r="I115" i="54"/>
  <c r="I114" i="54"/>
  <c r="I113" i="54"/>
  <c r="I112" i="54"/>
  <c r="I111" i="54"/>
  <c r="I110" i="54"/>
  <c r="I109" i="54"/>
  <c r="I108" i="54"/>
  <c r="I107" i="54"/>
  <c r="I106" i="54"/>
  <c r="I98" i="54"/>
  <c r="M71" i="54"/>
  <c r="I92" i="54"/>
  <c r="I91" i="54"/>
  <c r="I90" i="54"/>
  <c r="I89" i="54"/>
  <c r="I88" i="54"/>
  <c r="I87" i="54"/>
  <c r="I86" i="54"/>
  <c r="I85" i="54"/>
  <c r="I84" i="54"/>
  <c r="I83" i="54"/>
  <c r="I82" i="54"/>
  <c r="I75" i="54"/>
  <c r="M140" i="53"/>
  <c r="L162" i="53"/>
  <c r="I161" i="53"/>
  <c r="I144" i="53"/>
  <c r="M117" i="53"/>
  <c r="L139" i="53"/>
  <c r="K139" i="53"/>
  <c r="J139" i="53"/>
  <c r="I138" i="53"/>
  <c r="I137" i="53"/>
  <c r="I136" i="53"/>
  <c r="I135" i="53"/>
  <c r="I134" i="53"/>
  <c r="I133" i="53"/>
  <c r="I132" i="53"/>
  <c r="I131" i="53"/>
  <c r="I130" i="53"/>
  <c r="I121" i="53"/>
  <c r="M94" i="53"/>
  <c r="L116" i="53"/>
  <c r="K116" i="53"/>
  <c r="J116" i="53"/>
  <c r="I115" i="53"/>
  <c r="I114" i="53"/>
  <c r="I113" i="53"/>
  <c r="I112" i="53"/>
  <c r="I111" i="53"/>
  <c r="I110" i="53"/>
  <c r="I109" i="53"/>
  <c r="I108" i="53"/>
  <c r="I107" i="53"/>
  <c r="I106" i="53"/>
  <c r="I105" i="53"/>
  <c r="I104" i="53"/>
  <c r="I103" i="53"/>
  <c r="I102" i="53"/>
  <c r="I101" i="53"/>
  <c r="I100" i="53"/>
  <c r="I116" i="53" s="1"/>
  <c r="I9" i="53" s="1"/>
  <c r="I98" i="53"/>
  <c r="M71" i="53"/>
  <c r="L93" i="53"/>
  <c r="K93" i="53"/>
  <c r="J93" i="53"/>
  <c r="I92" i="53"/>
  <c r="I91" i="53"/>
  <c r="I90" i="53"/>
  <c r="I89" i="53"/>
  <c r="I88" i="53"/>
  <c r="I87" i="53"/>
  <c r="I86" i="53"/>
  <c r="I85" i="53"/>
  <c r="I84" i="53"/>
  <c r="I83" i="53"/>
  <c r="I82" i="53"/>
  <c r="I81" i="53"/>
  <c r="I80" i="53"/>
  <c r="I79" i="53"/>
  <c r="I75" i="53"/>
  <c r="I93" i="53" s="1"/>
  <c r="I8" i="53" s="1"/>
  <c r="M163" i="47"/>
  <c r="L162" i="47"/>
  <c r="J162" i="47"/>
  <c r="I161" i="47"/>
  <c r="I160" i="47"/>
  <c r="I159" i="47"/>
  <c r="I158" i="47"/>
  <c r="I157" i="47"/>
  <c r="I144" i="47"/>
  <c r="L139" i="47"/>
  <c r="K139" i="47"/>
  <c r="J139" i="47"/>
  <c r="I138" i="47"/>
  <c r="I137" i="47"/>
  <c r="I136" i="47"/>
  <c r="I135" i="47"/>
  <c r="I134" i="47"/>
  <c r="I133" i="47"/>
  <c r="I132" i="47"/>
  <c r="I131" i="47"/>
  <c r="I130" i="47"/>
  <c r="I129" i="47"/>
  <c r="I128" i="47"/>
  <c r="I127" i="47"/>
  <c r="I126" i="47"/>
  <c r="I125" i="47"/>
  <c r="I121" i="47"/>
  <c r="M94" i="47"/>
  <c r="I115" i="47"/>
  <c r="I114" i="47"/>
  <c r="I113" i="47"/>
  <c r="I112" i="47"/>
  <c r="I111" i="47"/>
  <c r="I110" i="47"/>
  <c r="I109" i="47"/>
  <c r="I108" i="47"/>
  <c r="I107" i="47"/>
  <c r="I106" i="47"/>
  <c r="I105" i="47"/>
  <c r="I104" i="47"/>
  <c r="I103" i="47"/>
  <c r="I102" i="47"/>
  <c r="I98" i="47"/>
  <c r="M71" i="47"/>
  <c r="L93" i="47"/>
  <c r="K93" i="47"/>
  <c r="J93" i="47"/>
  <c r="I92" i="47"/>
  <c r="I91" i="47"/>
  <c r="I90" i="47"/>
  <c r="I89" i="47"/>
  <c r="I88" i="47"/>
  <c r="I87" i="47"/>
  <c r="I86" i="47"/>
  <c r="I85" i="47"/>
  <c r="I84" i="47"/>
  <c r="I83" i="47"/>
  <c r="I82" i="47"/>
  <c r="I81" i="47"/>
  <c r="I80" i="47"/>
  <c r="I79" i="47"/>
  <c r="I75" i="47"/>
  <c r="M209" i="1"/>
  <c r="L231" i="1"/>
  <c r="I230" i="1"/>
  <c r="I229" i="1"/>
  <c r="I228" i="1"/>
  <c r="I227" i="1"/>
  <c r="I213" i="1"/>
  <c r="M186" i="1"/>
  <c r="L208" i="1"/>
  <c r="I207" i="1"/>
  <c r="I206" i="1"/>
  <c r="I205" i="1"/>
  <c r="I204" i="1"/>
  <c r="M163" i="1"/>
  <c r="L185" i="1"/>
  <c r="K185" i="1"/>
  <c r="J185" i="1"/>
  <c r="I184" i="1"/>
  <c r="I183" i="1"/>
  <c r="I167" i="1"/>
  <c r="M140" i="1"/>
  <c r="L162" i="1"/>
  <c r="K162" i="1"/>
  <c r="J162" i="1"/>
  <c r="I161" i="1"/>
  <c r="I160" i="1"/>
  <c r="I159" i="1"/>
  <c r="I158" i="1"/>
  <c r="I157" i="1"/>
  <c r="I156" i="1"/>
  <c r="I155" i="1"/>
  <c r="I154" i="1"/>
  <c r="I153" i="1"/>
  <c r="I152" i="1"/>
  <c r="I144" i="1"/>
  <c r="M117" i="1"/>
  <c r="L139" i="1"/>
  <c r="K139" i="1"/>
  <c r="J139" i="1"/>
  <c r="I138" i="1"/>
  <c r="I137" i="1"/>
  <c r="I136" i="1"/>
  <c r="I135" i="1"/>
  <c r="I134" i="1"/>
  <c r="I133" i="1"/>
  <c r="I132" i="1"/>
  <c r="I131" i="1"/>
  <c r="I130" i="1"/>
  <c r="I129" i="1"/>
  <c r="I128" i="1"/>
  <c r="I127" i="1"/>
  <c r="I121" i="1"/>
  <c r="M94" i="1"/>
  <c r="L116" i="1"/>
  <c r="K116" i="1"/>
  <c r="J116" i="1"/>
  <c r="I115" i="1"/>
  <c r="I98" i="1"/>
  <c r="M71" i="1"/>
  <c r="L93" i="1"/>
  <c r="K93" i="1"/>
  <c r="J93" i="1"/>
  <c r="I92" i="1"/>
  <c r="I91" i="1"/>
  <c r="I90" i="1"/>
  <c r="I89" i="1"/>
  <c r="I88" i="1"/>
  <c r="I87" i="1"/>
  <c r="I86" i="1"/>
  <c r="I85" i="1"/>
  <c r="I84" i="1"/>
  <c r="I83" i="1"/>
  <c r="I82" i="1"/>
  <c r="I81" i="1"/>
  <c r="I75" i="1"/>
  <c r="L70" i="1"/>
  <c r="K70" i="1"/>
  <c r="J70" i="1"/>
  <c r="I69" i="58"/>
  <c r="I68" i="58"/>
  <c r="I67" i="58"/>
  <c r="I66" i="58"/>
  <c r="I65" i="58"/>
  <c r="I64" i="58"/>
  <c r="I63" i="58"/>
  <c r="I62" i="58"/>
  <c r="I61" i="58"/>
  <c r="I60" i="58"/>
  <c r="I59" i="58"/>
  <c r="I52" i="58"/>
  <c r="M48" i="58"/>
  <c r="I46" i="58"/>
  <c r="I44" i="58"/>
  <c r="I43" i="58"/>
  <c r="I42" i="58"/>
  <c r="I41" i="58"/>
  <c r="I35" i="58"/>
  <c r="I34" i="58"/>
  <c r="I33" i="58"/>
  <c r="I31" i="58"/>
  <c r="I29" i="58"/>
  <c r="M25" i="58"/>
  <c r="C5" i="58"/>
  <c r="I69" i="57"/>
  <c r="I68" i="57"/>
  <c r="I67" i="57"/>
  <c r="I66" i="57"/>
  <c r="I65" i="57"/>
  <c r="I64" i="57"/>
  <c r="I63" i="57"/>
  <c r="I62" i="57"/>
  <c r="I61" i="57"/>
  <c r="I60" i="57"/>
  <c r="I59" i="57"/>
  <c r="I52" i="57"/>
  <c r="M48" i="57"/>
  <c r="I46" i="57"/>
  <c r="I44" i="57"/>
  <c r="I43" i="57"/>
  <c r="I42" i="57"/>
  <c r="I41" i="57"/>
  <c r="I35" i="57"/>
  <c r="I34" i="57"/>
  <c r="I33" i="57"/>
  <c r="I31" i="57"/>
  <c r="I29" i="57"/>
  <c r="M25" i="57"/>
  <c r="C5" i="57"/>
  <c r="I69" i="56"/>
  <c r="I68" i="56"/>
  <c r="I67" i="56"/>
  <c r="I66" i="56"/>
  <c r="I65" i="56"/>
  <c r="I64" i="56"/>
  <c r="I63" i="56"/>
  <c r="I62" i="56"/>
  <c r="I61" i="56"/>
  <c r="I60" i="56"/>
  <c r="I59" i="56"/>
  <c r="I52" i="56"/>
  <c r="M48" i="56"/>
  <c r="I46" i="56"/>
  <c r="I44" i="56"/>
  <c r="I43" i="56"/>
  <c r="I42" i="56"/>
  <c r="I41" i="56"/>
  <c r="I35" i="56"/>
  <c r="I34" i="56"/>
  <c r="I33" i="56"/>
  <c r="I31" i="56"/>
  <c r="I29" i="56"/>
  <c r="M25" i="56"/>
  <c r="C5" i="56"/>
  <c r="I69" i="55"/>
  <c r="I68" i="55"/>
  <c r="I67" i="55"/>
  <c r="I66" i="55"/>
  <c r="I65" i="55"/>
  <c r="I64" i="55"/>
  <c r="I63" i="55"/>
  <c r="I62" i="55"/>
  <c r="I61" i="55"/>
  <c r="I60" i="55"/>
  <c r="I59" i="55"/>
  <c r="I58" i="55"/>
  <c r="I57" i="55"/>
  <c r="I56" i="55"/>
  <c r="I55" i="55"/>
  <c r="I54" i="55"/>
  <c r="I53" i="55"/>
  <c r="I52" i="55"/>
  <c r="M48" i="55"/>
  <c r="I46" i="55"/>
  <c r="I44" i="55"/>
  <c r="I43" i="55"/>
  <c r="I42" i="55"/>
  <c r="I41" i="55"/>
  <c r="I35" i="55"/>
  <c r="I34" i="55"/>
  <c r="I33" i="55"/>
  <c r="I31" i="55"/>
  <c r="I29" i="55"/>
  <c r="M25" i="55"/>
  <c r="C5" i="55"/>
  <c r="I69" i="54"/>
  <c r="I68" i="54"/>
  <c r="I67" i="54"/>
  <c r="I66" i="54"/>
  <c r="I65" i="54"/>
  <c r="I64" i="54"/>
  <c r="I63" i="54"/>
  <c r="I62" i="54"/>
  <c r="I61" i="54"/>
  <c r="I60" i="54"/>
  <c r="I59" i="54"/>
  <c r="I58" i="54"/>
  <c r="I57" i="54"/>
  <c r="I56" i="54"/>
  <c r="I55" i="54"/>
  <c r="I54" i="54"/>
  <c r="I53" i="54"/>
  <c r="I52" i="54"/>
  <c r="M48" i="54"/>
  <c r="I46" i="54"/>
  <c r="I44" i="54"/>
  <c r="I43" i="54"/>
  <c r="I42" i="54"/>
  <c r="I41" i="54"/>
  <c r="I35" i="54"/>
  <c r="I34" i="54"/>
  <c r="I33" i="54"/>
  <c r="I31" i="54"/>
  <c r="I29" i="54"/>
  <c r="M25" i="54"/>
  <c r="C5" i="54"/>
  <c r="I69" i="53"/>
  <c r="I68" i="53"/>
  <c r="I67" i="53"/>
  <c r="I66" i="53"/>
  <c r="I65" i="53"/>
  <c r="I64" i="53"/>
  <c r="I63" i="53"/>
  <c r="I62" i="53"/>
  <c r="I61" i="53"/>
  <c r="I60" i="53"/>
  <c r="I59" i="53"/>
  <c r="I58" i="53"/>
  <c r="I57" i="53"/>
  <c r="I56" i="53"/>
  <c r="I55" i="53"/>
  <c r="I54" i="53"/>
  <c r="I53" i="53"/>
  <c r="I52" i="53"/>
  <c r="M48" i="53"/>
  <c r="I46" i="53"/>
  <c r="I44" i="53"/>
  <c r="I43" i="53"/>
  <c r="I42" i="53"/>
  <c r="I41" i="53"/>
  <c r="I35" i="53"/>
  <c r="I34" i="53"/>
  <c r="I33" i="53"/>
  <c r="I31" i="53"/>
  <c r="I29" i="53"/>
  <c r="M25" i="53"/>
  <c r="C5" i="53"/>
  <c r="N202" i="52"/>
  <c r="M202" i="52"/>
  <c r="L202" i="52"/>
  <c r="K202" i="52"/>
  <c r="K194" i="52" s="1"/>
  <c r="J202" i="52"/>
  <c r="I202" i="52"/>
  <c r="H202" i="52"/>
  <c r="H194" i="52" s="1"/>
  <c r="G202" i="52"/>
  <c r="N194" i="52"/>
  <c r="M194" i="52"/>
  <c r="L194" i="52"/>
  <c r="J194" i="52"/>
  <c r="I194" i="52"/>
  <c r="G194" i="52"/>
  <c r="N185" i="52"/>
  <c r="M185" i="52"/>
  <c r="L185" i="52"/>
  <c r="K185" i="52"/>
  <c r="J185" i="52"/>
  <c r="I185" i="52"/>
  <c r="H185" i="52"/>
  <c r="G185" i="52"/>
  <c r="N176" i="52"/>
  <c r="M176" i="52"/>
  <c r="L176" i="52"/>
  <c r="K176" i="52"/>
  <c r="J176" i="52"/>
  <c r="I176" i="52"/>
  <c r="H176" i="52"/>
  <c r="G176" i="52"/>
  <c r="F163" i="52"/>
  <c r="E162" i="52"/>
  <c r="E161" i="52"/>
  <c r="I160" i="52"/>
  <c r="I30" i="52" s="1"/>
  <c r="H160" i="52"/>
  <c r="E160" i="52"/>
  <c r="D160" i="52"/>
  <c r="C160" i="52"/>
  <c r="D157" i="52"/>
  <c r="D156" i="52"/>
  <c r="D155" i="52"/>
  <c r="N150" i="52"/>
  <c r="N160" i="52" s="1"/>
  <c r="M150" i="52"/>
  <c r="M160" i="52" s="1"/>
  <c r="L150" i="52"/>
  <c r="L160" i="52" s="1"/>
  <c r="K150" i="52"/>
  <c r="K160" i="52" s="1"/>
  <c r="J150" i="52"/>
  <c r="J160" i="52" s="1"/>
  <c r="I150" i="52"/>
  <c r="H150" i="52"/>
  <c r="G150" i="52"/>
  <c r="C150" i="52"/>
  <c r="E144" i="52"/>
  <c r="E147" i="52" s="1"/>
  <c r="E157" i="52" s="1"/>
  <c r="E143" i="52"/>
  <c r="N141" i="52"/>
  <c r="M141" i="52"/>
  <c r="L141" i="52"/>
  <c r="K141" i="52"/>
  <c r="J141" i="52"/>
  <c r="I141" i="52"/>
  <c r="H141" i="52"/>
  <c r="G141" i="52"/>
  <c r="N138" i="52"/>
  <c r="M138" i="52"/>
  <c r="L138" i="52"/>
  <c r="K138" i="52"/>
  <c r="J138" i="52"/>
  <c r="I138" i="52"/>
  <c r="H138" i="52"/>
  <c r="G138" i="52"/>
  <c r="E133" i="52"/>
  <c r="D133" i="52"/>
  <c r="F132" i="52"/>
  <c r="F131" i="52"/>
  <c r="E130" i="52"/>
  <c r="D130" i="52"/>
  <c r="E129" i="52"/>
  <c r="D129" i="52"/>
  <c r="E128" i="52"/>
  <c r="D128" i="52"/>
  <c r="E127" i="52"/>
  <c r="D127" i="52"/>
  <c r="E124" i="52"/>
  <c r="D124" i="52"/>
  <c r="E123" i="52"/>
  <c r="D123" i="52"/>
  <c r="E122" i="52"/>
  <c r="D122" i="52"/>
  <c r="D121" i="52"/>
  <c r="D120" i="52"/>
  <c r="D119" i="52"/>
  <c r="D117" i="52"/>
  <c r="N97" i="52"/>
  <c r="M97" i="52"/>
  <c r="L97" i="52"/>
  <c r="K97" i="52"/>
  <c r="J97" i="52"/>
  <c r="I97" i="52"/>
  <c r="H97" i="52"/>
  <c r="G97" i="52"/>
  <c r="E92" i="52"/>
  <c r="D92" i="52"/>
  <c r="N91" i="52"/>
  <c r="N112" i="52" s="1"/>
  <c r="N130" i="52" s="1"/>
  <c r="E91" i="52"/>
  <c r="D91" i="52"/>
  <c r="E90" i="52"/>
  <c r="D90" i="52"/>
  <c r="E89" i="52"/>
  <c r="D89" i="52"/>
  <c r="E88" i="52"/>
  <c r="D88" i="52"/>
  <c r="E85" i="52"/>
  <c r="D85" i="52"/>
  <c r="E84" i="52"/>
  <c r="D84" i="52"/>
  <c r="E83" i="52"/>
  <c r="D83" i="52"/>
  <c r="D80" i="52"/>
  <c r="D78" i="52"/>
  <c r="N74" i="52"/>
  <c r="M74" i="52"/>
  <c r="M92" i="52" s="1"/>
  <c r="L74" i="52"/>
  <c r="K74" i="52"/>
  <c r="K92" i="52" s="1"/>
  <c r="J74" i="52"/>
  <c r="I74" i="52"/>
  <c r="I92" i="52" s="1"/>
  <c r="H74" i="52"/>
  <c r="G74" i="52"/>
  <c r="G92" i="52" s="1"/>
  <c r="N73" i="52"/>
  <c r="M73" i="52"/>
  <c r="M91" i="52" s="1"/>
  <c r="M112" i="52" s="1"/>
  <c r="L73" i="52"/>
  <c r="K73" i="52"/>
  <c r="K91" i="52" s="1"/>
  <c r="K112" i="52" s="1"/>
  <c r="K130" i="52" s="1"/>
  <c r="J73" i="52"/>
  <c r="I73" i="52"/>
  <c r="I91" i="52" s="1"/>
  <c r="I112" i="52" s="1"/>
  <c r="H73" i="52"/>
  <c r="G73" i="52"/>
  <c r="G91" i="52" s="1"/>
  <c r="G112" i="52" s="1"/>
  <c r="G130" i="52" s="1"/>
  <c r="N72" i="52"/>
  <c r="M72" i="52"/>
  <c r="L72" i="52"/>
  <c r="K72" i="52"/>
  <c r="K90" i="52" s="1"/>
  <c r="K111" i="52" s="1"/>
  <c r="K129" i="52" s="1"/>
  <c r="J72" i="52"/>
  <c r="I72" i="52"/>
  <c r="H72" i="52"/>
  <c r="G72" i="52"/>
  <c r="G90" i="52" s="1"/>
  <c r="G111" i="52" s="1"/>
  <c r="N71" i="52"/>
  <c r="M71" i="52"/>
  <c r="M89" i="52" s="1"/>
  <c r="M110" i="52" s="1"/>
  <c r="M128" i="52" s="1"/>
  <c r="L71" i="52"/>
  <c r="K71" i="52"/>
  <c r="J71" i="52"/>
  <c r="I71" i="52"/>
  <c r="I89" i="52" s="1"/>
  <c r="I110" i="52" s="1"/>
  <c r="I128" i="52" s="1"/>
  <c r="H71" i="52"/>
  <c r="G71" i="52"/>
  <c r="F71" i="52" s="1"/>
  <c r="N70" i="52"/>
  <c r="M70" i="52"/>
  <c r="M88" i="52" s="1"/>
  <c r="M109" i="52" s="1"/>
  <c r="M127" i="52" s="1"/>
  <c r="L70" i="52"/>
  <c r="K70" i="52"/>
  <c r="K88" i="52" s="1"/>
  <c r="K109" i="52" s="1"/>
  <c r="K127" i="52" s="1"/>
  <c r="J70" i="52"/>
  <c r="I70" i="52"/>
  <c r="I88" i="52" s="1"/>
  <c r="I109" i="52" s="1"/>
  <c r="I127" i="52" s="1"/>
  <c r="H70" i="52"/>
  <c r="G70" i="52"/>
  <c r="G88" i="52" s="1"/>
  <c r="G109" i="52" s="1"/>
  <c r="N67" i="52"/>
  <c r="M67" i="52"/>
  <c r="M85" i="52" s="1"/>
  <c r="M106" i="52" s="1"/>
  <c r="M124" i="52" s="1"/>
  <c r="L67" i="52"/>
  <c r="I67" i="52"/>
  <c r="I85" i="52" s="1"/>
  <c r="I106" i="52" s="1"/>
  <c r="I124" i="52" s="1"/>
  <c r="H67" i="52"/>
  <c r="N66" i="52"/>
  <c r="M66" i="52"/>
  <c r="L66" i="52"/>
  <c r="L84" i="52" s="1"/>
  <c r="L105" i="52" s="1"/>
  <c r="L123" i="52" s="1"/>
  <c r="K66" i="52"/>
  <c r="J66" i="52"/>
  <c r="I66" i="52"/>
  <c r="H66" i="52"/>
  <c r="H84" i="52" s="1"/>
  <c r="H105" i="52" s="1"/>
  <c r="H123" i="52" s="1"/>
  <c r="G66" i="52"/>
  <c r="N65" i="52"/>
  <c r="M65" i="52"/>
  <c r="L65" i="52"/>
  <c r="L83" i="52" s="1"/>
  <c r="L104" i="52" s="1"/>
  <c r="K65" i="52"/>
  <c r="J65" i="52"/>
  <c r="I65" i="52"/>
  <c r="H65" i="52"/>
  <c r="H83" i="52" s="1"/>
  <c r="H104" i="52" s="1"/>
  <c r="G65" i="52"/>
  <c r="N64" i="52"/>
  <c r="M64" i="52"/>
  <c r="L64" i="52"/>
  <c r="K64" i="52"/>
  <c r="J64" i="52"/>
  <c r="I64" i="52"/>
  <c r="H64" i="52"/>
  <c r="G64" i="52"/>
  <c r="N63" i="52"/>
  <c r="M63" i="52"/>
  <c r="L63" i="52"/>
  <c r="K63" i="52"/>
  <c r="J63" i="52"/>
  <c r="I63" i="52"/>
  <c r="H63" i="52"/>
  <c r="G63" i="52"/>
  <c r="N62" i="52"/>
  <c r="N79" i="52" s="1"/>
  <c r="M61" i="52"/>
  <c r="N58" i="52"/>
  <c r="M58" i="52"/>
  <c r="L58" i="52"/>
  <c r="K58" i="52"/>
  <c r="J58" i="52"/>
  <c r="I58" i="52"/>
  <c r="H58" i="52"/>
  <c r="G58" i="52"/>
  <c r="F55" i="52"/>
  <c r="F54" i="52"/>
  <c r="F53" i="52"/>
  <c r="F52" i="52"/>
  <c r="N51" i="52"/>
  <c r="M51" i="52"/>
  <c r="L51" i="52"/>
  <c r="K51" i="52"/>
  <c r="J51" i="52"/>
  <c r="I51" i="52"/>
  <c r="H51" i="52"/>
  <c r="G51" i="52"/>
  <c r="N50" i="52"/>
  <c r="N113" i="52" s="1"/>
  <c r="N133" i="52" s="1"/>
  <c r="M50" i="52"/>
  <c r="L50" i="52"/>
  <c r="L113" i="52" s="1"/>
  <c r="L133" i="52" s="1"/>
  <c r="K50" i="52"/>
  <c r="J50" i="52"/>
  <c r="J113" i="52" s="1"/>
  <c r="J133" i="52" s="1"/>
  <c r="I50" i="52"/>
  <c r="H50" i="52"/>
  <c r="H113" i="52" s="1"/>
  <c r="H133" i="52" s="1"/>
  <c r="G50" i="52"/>
  <c r="F49" i="52"/>
  <c r="F48" i="52"/>
  <c r="F47" i="52"/>
  <c r="F46" i="52"/>
  <c r="F45" i="52"/>
  <c r="F41" i="52"/>
  <c r="F40" i="52"/>
  <c r="F39" i="52"/>
  <c r="F38" i="52"/>
  <c r="N37" i="52"/>
  <c r="M37" i="52"/>
  <c r="M62" i="52" s="1"/>
  <c r="L37" i="52"/>
  <c r="L62" i="52" s="1"/>
  <c r="N36" i="52"/>
  <c r="N61" i="52" s="1"/>
  <c r="M36" i="52"/>
  <c r="L36" i="52"/>
  <c r="L60" i="52" s="1"/>
  <c r="K36" i="52"/>
  <c r="K61" i="52" s="1"/>
  <c r="K77" i="52" s="1"/>
  <c r="J36" i="52"/>
  <c r="J61" i="52" s="1"/>
  <c r="I36" i="52"/>
  <c r="I61" i="52" s="1"/>
  <c r="H36" i="52"/>
  <c r="G36" i="52"/>
  <c r="N34" i="52"/>
  <c r="M34" i="52"/>
  <c r="L34" i="52"/>
  <c r="K34" i="52"/>
  <c r="J34" i="52"/>
  <c r="I34" i="52"/>
  <c r="H34" i="52"/>
  <c r="G34" i="52"/>
  <c r="N31" i="52"/>
  <c r="M31" i="52"/>
  <c r="L31" i="52"/>
  <c r="K31" i="52"/>
  <c r="J31" i="52"/>
  <c r="I31" i="52"/>
  <c r="H31" i="52"/>
  <c r="G31" i="52"/>
  <c r="N30" i="52"/>
  <c r="M30" i="52"/>
  <c r="L30" i="52"/>
  <c r="K30" i="52"/>
  <c r="J30" i="52"/>
  <c r="H30" i="52"/>
  <c r="N26" i="52"/>
  <c r="M26" i="52"/>
  <c r="L26" i="52"/>
  <c r="K26" i="52"/>
  <c r="J26" i="52"/>
  <c r="I26" i="52"/>
  <c r="H26" i="52"/>
  <c r="G26" i="52"/>
  <c r="N20" i="52"/>
  <c r="M20" i="52"/>
  <c r="L20" i="52"/>
  <c r="K20" i="52"/>
  <c r="J20" i="52"/>
  <c r="I20" i="52"/>
  <c r="H20" i="52"/>
  <c r="G20" i="52"/>
  <c r="F19" i="52"/>
  <c r="F18" i="52"/>
  <c r="N14" i="52"/>
  <c r="M14" i="52"/>
  <c r="L14" i="52"/>
  <c r="K14" i="52"/>
  <c r="J14" i="52"/>
  <c r="I14" i="52"/>
  <c r="H14" i="52"/>
  <c r="G14" i="52"/>
  <c r="M13" i="52"/>
  <c r="L13" i="52"/>
  <c r="K13" i="52"/>
  <c r="I13" i="52"/>
  <c r="H13" i="52"/>
  <c r="G13" i="52"/>
  <c r="O8" i="52"/>
  <c r="N202" i="51"/>
  <c r="N194" i="51" s="1"/>
  <c r="M202" i="51"/>
  <c r="L202" i="51"/>
  <c r="K202" i="51"/>
  <c r="J202" i="51"/>
  <c r="I202" i="51"/>
  <c r="H202" i="51"/>
  <c r="H194" i="51" s="1"/>
  <c r="G202" i="51"/>
  <c r="M194" i="51"/>
  <c r="L194" i="51"/>
  <c r="K194" i="51"/>
  <c r="J194" i="51"/>
  <c r="I194" i="51"/>
  <c r="G194" i="51"/>
  <c r="N185" i="51"/>
  <c r="M185" i="51"/>
  <c r="L185" i="51"/>
  <c r="K185" i="51"/>
  <c r="J185" i="51"/>
  <c r="I185" i="51"/>
  <c r="H185" i="51"/>
  <c r="G185" i="51"/>
  <c r="N176" i="51"/>
  <c r="M176" i="51"/>
  <c r="L176" i="51"/>
  <c r="K176" i="51"/>
  <c r="J176" i="51"/>
  <c r="I176" i="51"/>
  <c r="H176" i="51"/>
  <c r="G176" i="51"/>
  <c r="F163" i="51"/>
  <c r="E162" i="51"/>
  <c r="E161" i="51"/>
  <c r="E160" i="51"/>
  <c r="D160" i="51"/>
  <c r="C160" i="51"/>
  <c r="D157" i="51"/>
  <c r="D156" i="51"/>
  <c r="D155" i="51"/>
  <c r="N150" i="51"/>
  <c r="N160" i="51" s="1"/>
  <c r="N30" i="51" s="1"/>
  <c r="M150" i="51"/>
  <c r="M160" i="51" s="1"/>
  <c r="L150" i="51"/>
  <c r="L160" i="51" s="1"/>
  <c r="K150" i="51"/>
  <c r="K160" i="51" s="1"/>
  <c r="J150" i="51"/>
  <c r="J160" i="51" s="1"/>
  <c r="J30" i="51" s="1"/>
  <c r="I150" i="51"/>
  <c r="I160" i="51" s="1"/>
  <c r="H150" i="51"/>
  <c r="H160" i="51" s="1"/>
  <c r="G150" i="51"/>
  <c r="C150" i="51"/>
  <c r="E144" i="51"/>
  <c r="E147" i="51" s="1"/>
  <c r="E157" i="51" s="1"/>
  <c r="E143" i="51"/>
  <c r="N141" i="51"/>
  <c r="M141" i="51"/>
  <c r="L141" i="51"/>
  <c r="K141" i="51"/>
  <c r="J141" i="51"/>
  <c r="I141" i="51"/>
  <c r="H141" i="51"/>
  <c r="G141" i="51"/>
  <c r="N138" i="51"/>
  <c r="M138" i="51"/>
  <c r="L138" i="51"/>
  <c r="K138" i="51"/>
  <c r="J138" i="51"/>
  <c r="I138" i="51"/>
  <c r="H138" i="51"/>
  <c r="G138" i="51"/>
  <c r="E133" i="51"/>
  <c r="D133" i="51"/>
  <c r="F132" i="51"/>
  <c r="F131" i="51"/>
  <c r="E130" i="51"/>
  <c r="D130" i="51"/>
  <c r="E129" i="51"/>
  <c r="D129" i="51"/>
  <c r="E128" i="51"/>
  <c r="D128" i="51"/>
  <c r="E127" i="51"/>
  <c r="D127" i="51"/>
  <c r="E124" i="51"/>
  <c r="D124" i="51"/>
  <c r="E123" i="51"/>
  <c r="D123" i="51"/>
  <c r="E122" i="51"/>
  <c r="D122" i="51"/>
  <c r="D121" i="51"/>
  <c r="D120" i="51"/>
  <c r="D119" i="51"/>
  <c r="D117" i="51"/>
  <c r="N97" i="51"/>
  <c r="M97" i="51"/>
  <c r="L97" i="51"/>
  <c r="K97" i="51"/>
  <c r="J97" i="51"/>
  <c r="I97" i="51"/>
  <c r="H97" i="51"/>
  <c r="G97" i="51"/>
  <c r="E92" i="51"/>
  <c r="K92" i="51" s="1"/>
  <c r="D92" i="51"/>
  <c r="E91" i="51"/>
  <c r="D91" i="51"/>
  <c r="E90" i="51"/>
  <c r="D90" i="51"/>
  <c r="E89" i="51"/>
  <c r="D89" i="51"/>
  <c r="E88" i="51"/>
  <c r="D88" i="51"/>
  <c r="E85" i="51"/>
  <c r="D85" i="51"/>
  <c r="E84" i="51"/>
  <c r="D84" i="51"/>
  <c r="E83" i="51"/>
  <c r="D83" i="51"/>
  <c r="D80" i="51"/>
  <c r="D78" i="51"/>
  <c r="N74" i="51"/>
  <c r="N92" i="51" s="1"/>
  <c r="M74" i="51"/>
  <c r="L74" i="51"/>
  <c r="L92" i="51" s="1"/>
  <c r="K74" i="51"/>
  <c r="J74" i="51"/>
  <c r="J92" i="51" s="1"/>
  <c r="I74" i="51"/>
  <c r="H74" i="51"/>
  <c r="H92" i="51" s="1"/>
  <c r="G74" i="51"/>
  <c r="N73" i="51"/>
  <c r="N91" i="51" s="1"/>
  <c r="N112" i="51" s="1"/>
  <c r="N130" i="51" s="1"/>
  <c r="M73" i="51"/>
  <c r="L73" i="51"/>
  <c r="K73" i="51"/>
  <c r="J73" i="51"/>
  <c r="J91" i="51" s="1"/>
  <c r="J112" i="51" s="1"/>
  <c r="I73" i="51"/>
  <c r="H73" i="51"/>
  <c r="G73" i="51"/>
  <c r="F73" i="51"/>
  <c r="F91" i="51" s="1"/>
  <c r="N72" i="51"/>
  <c r="M72" i="51"/>
  <c r="M90" i="51" s="1"/>
  <c r="M111" i="51" s="1"/>
  <c r="M129" i="51" s="1"/>
  <c r="L72" i="51"/>
  <c r="K72" i="51"/>
  <c r="K90" i="51" s="1"/>
  <c r="K111" i="51" s="1"/>
  <c r="K129" i="51" s="1"/>
  <c r="J72" i="51"/>
  <c r="I72" i="51"/>
  <c r="I90" i="51" s="1"/>
  <c r="I111" i="51" s="1"/>
  <c r="I129" i="51" s="1"/>
  <c r="H72" i="51"/>
  <c r="G72" i="51"/>
  <c r="G90" i="51" s="1"/>
  <c r="G111" i="51" s="1"/>
  <c r="N71" i="51"/>
  <c r="M71" i="51"/>
  <c r="L71" i="51"/>
  <c r="K71" i="51"/>
  <c r="J71" i="51"/>
  <c r="I71" i="51"/>
  <c r="H71" i="51"/>
  <c r="G71" i="51"/>
  <c r="N70" i="51"/>
  <c r="M70" i="51"/>
  <c r="M88" i="51" s="1"/>
  <c r="M109" i="51" s="1"/>
  <c r="M127" i="51" s="1"/>
  <c r="L70" i="51"/>
  <c r="K70" i="51"/>
  <c r="K88" i="51" s="1"/>
  <c r="K109" i="51" s="1"/>
  <c r="K127" i="51" s="1"/>
  <c r="J70" i="51"/>
  <c r="I70" i="51"/>
  <c r="I88" i="51" s="1"/>
  <c r="I109" i="51" s="1"/>
  <c r="I127" i="51" s="1"/>
  <c r="H70" i="51"/>
  <c r="G70" i="51"/>
  <c r="G88" i="51" s="1"/>
  <c r="G109" i="51" s="1"/>
  <c r="N67" i="51"/>
  <c r="M67" i="51"/>
  <c r="M85" i="51" s="1"/>
  <c r="M106" i="51" s="1"/>
  <c r="M124" i="51" s="1"/>
  <c r="L67" i="51"/>
  <c r="K67" i="51"/>
  <c r="K85" i="51" s="1"/>
  <c r="K106" i="51" s="1"/>
  <c r="K124" i="51" s="1"/>
  <c r="J67" i="51"/>
  <c r="I67" i="51"/>
  <c r="I85" i="51" s="1"/>
  <c r="I106" i="51" s="1"/>
  <c r="I124" i="51" s="1"/>
  <c r="H67" i="51"/>
  <c r="N66" i="51"/>
  <c r="M66" i="51"/>
  <c r="L66" i="51"/>
  <c r="K66" i="51"/>
  <c r="J66" i="51"/>
  <c r="I66" i="51"/>
  <c r="H66" i="51"/>
  <c r="G66" i="51"/>
  <c r="N65" i="51"/>
  <c r="N83" i="51" s="1"/>
  <c r="N104" i="51" s="1"/>
  <c r="N122" i="51" s="1"/>
  <c r="M65" i="51"/>
  <c r="L65" i="51"/>
  <c r="L83" i="51" s="1"/>
  <c r="L104" i="51" s="1"/>
  <c r="K65" i="51"/>
  <c r="J65" i="51"/>
  <c r="J83" i="51" s="1"/>
  <c r="J104" i="51" s="1"/>
  <c r="J122" i="51" s="1"/>
  <c r="I65" i="51"/>
  <c r="H65" i="51"/>
  <c r="G65" i="51"/>
  <c r="N64" i="51"/>
  <c r="M64" i="51"/>
  <c r="L64" i="51"/>
  <c r="K64" i="51"/>
  <c r="J64" i="51"/>
  <c r="I64" i="51"/>
  <c r="H64" i="51"/>
  <c r="G64" i="51"/>
  <c r="N63" i="51"/>
  <c r="M63" i="51"/>
  <c r="L63" i="51"/>
  <c r="K63" i="51"/>
  <c r="J63" i="51"/>
  <c r="F63" i="51" s="1"/>
  <c r="I63" i="51"/>
  <c r="H63" i="51"/>
  <c r="G63" i="51"/>
  <c r="N58" i="51"/>
  <c r="M58" i="51"/>
  <c r="L58" i="51"/>
  <c r="K58" i="51"/>
  <c r="J58" i="51"/>
  <c r="I58" i="51"/>
  <c r="H58" i="51"/>
  <c r="G58" i="51"/>
  <c r="F55" i="51"/>
  <c r="F54" i="51"/>
  <c r="F53" i="51"/>
  <c r="F52" i="51"/>
  <c r="N51" i="51"/>
  <c r="M51" i="51"/>
  <c r="L51" i="51"/>
  <c r="K51" i="51"/>
  <c r="J51" i="51"/>
  <c r="I51" i="51"/>
  <c r="H51" i="51"/>
  <c r="G51" i="51"/>
  <c r="F51" i="51" s="1"/>
  <c r="N50" i="51"/>
  <c r="M50" i="51"/>
  <c r="L50" i="51"/>
  <c r="L113" i="51" s="1"/>
  <c r="L133" i="51" s="1"/>
  <c r="K50" i="51"/>
  <c r="J50" i="51"/>
  <c r="I50" i="51"/>
  <c r="H50" i="51"/>
  <c r="H113" i="51" s="1"/>
  <c r="H133" i="51" s="1"/>
  <c r="G50" i="51"/>
  <c r="F49" i="51"/>
  <c r="F48" i="51"/>
  <c r="F47" i="51"/>
  <c r="F46" i="51"/>
  <c r="F45" i="51"/>
  <c r="F41" i="51"/>
  <c r="F40" i="51"/>
  <c r="F39" i="51"/>
  <c r="F38" i="51"/>
  <c r="N37" i="51"/>
  <c r="N62" i="51" s="1"/>
  <c r="M37" i="51"/>
  <c r="M62" i="51" s="1"/>
  <c r="L37" i="51"/>
  <c r="L62" i="51" s="1"/>
  <c r="K37" i="51"/>
  <c r="K62" i="51" s="1"/>
  <c r="J37" i="51"/>
  <c r="J62" i="51" s="1"/>
  <c r="N36" i="51"/>
  <c r="N61" i="51" s="1"/>
  <c r="M36" i="51"/>
  <c r="M61" i="51" s="1"/>
  <c r="L36" i="51"/>
  <c r="L61" i="51" s="1"/>
  <c r="K36" i="51"/>
  <c r="J36" i="51"/>
  <c r="J61" i="51" s="1"/>
  <c r="I36" i="51"/>
  <c r="I61" i="51" s="1"/>
  <c r="H36" i="51"/>
  <c r="H61" i="51" s="1"/>
  <c r="G36" i="51"/>
  <c r="N34" i="51"/>
  <c r="M34" i="51"/>
  <c r="L34" i="51"/>
  <c r="K34" i="51"/>
  <c r="J34" i="51"/>
  <c r="I34" i="51"/>
  <c r="H34" i="51"/>
  <c r="G34" i="51"/>
  <c r="N31" i="51"/>
  <c r="M31" i="51"/>
  <c r="L31" i="51"/>
  <c r="K31" i="51"/>
  <c r="J31" i="51"/>
  <c r="I31" i="51"/>
  <c r="H31" i="51"/>
  <c r="G31" i="51"/>
  <c r="M30" i="51"/>
  <c r="L30" i="51"/>
  <c r="K30" i="51"/>
  <c r="I30" i="51"/>
  <c r="H30" i="51"/>
  <c r="N26" i="51"/>
  <c r="M26" i="51"/>
  <c r="L26" i="51"/>
  <c r="K26" i="51"/>
  <c r="J26" i="51"/>
  <c r="I26" i="51"/>
  <c r="H26" i="51"/>
  <c r="G26" i="51"/>
  <c r="F26" i="51" s="1"/>
  <c r="N20" i="51"/>
  <c r="M20" i="51"/>
  <c r="L20" i="51"/>
  <c r="K20" i="51"/>
  <c r="J20" i="51"/>
  <c r="I20" i="51"/>
  <c r="H20" i="51"/>
  <c r="F20" i="51" s="1"/>
  <c r="G20" i="51"/>
  <c r="F19" i="51"/>
  <c r="F18" i="51"/>
  <c r="N14" i="51"/>
  <c r="M14" i="51"/>
  <c r="L14" i="51"/>
  <c r="K14" i="51"/>
  <c r="J14" i="51"/>
  <c r="I14" i="51"/>
  <c r="H14" i="51"/>
  <c r="G14" i="51"/>
  <c r="N13" i="51"/>
  <c r="M13" i="51"/>
  <c r="L13" i="51"/>
  <c r="K13" i="51"/>
  <c r="J13" i="51"/>
  <c r="I13" i="51"/>
  <c r="H13" i="51"/>
  <c r="G13" i="51"/>
  <c r="O8" i="51"/>
  <c r="K7" i="36"/>
  <c r="O7" i="36"/>
  <c r="M7" i="36"/>
  <c r="H91" i="51" l="1"/>
  <c r="H112" i="51" s="1"/>
  <c r="H130" i="51" s="1"/>
  <c r="F26" i="52"/>
  <c r="K60" i="51"/>
  <c r="I113" i="51"/>
  <c r="I133" i="51" s="1"/>
  <c r="M113" i="51"/>
  <c r="M133" i="51" s="1"/>
  <c r="I83" i="51"/>
  <c r="I104" i="51" s="1"/>
  <c r="I122" i="51" s="1"/>
  <c r="M83" i="51"/>
  <c r="M104" i="51" s="1"/>
  <c r="M122" i="51" s="1"/>
  <c r="I84" i="51"/>
  <c r="I105" i="51" s="1"/>
  <c r="M84" i="51"/>
  <c r="M105" i="51" s="1"/>
  <c r="J85" i="51"/>
  <c r="J106" i="51" s="1"/>
  <c r="J124" i="51" s="1"/>
  <c r="N85" i="51"/>
  <c r="N106" i="51" s="1"/>
  <c r="N124" i="51" s="1"/>
  <c r="J88" i="51"/>
  <c r="J109" i="51" s="1"/>
  <c r="J127" i="51" s="1"/>
  <c r="N88" i="51"/>
  <c r="N109" i="51" s="1"/>
  <c r="N127" i="51" s="1"/>
  <c r="J90" i="51"/>
  <c r="J111" i="51" s="1"/>
  <c r="J129" i="51" s="1"/>
  <c r="N90" i="51"/>
  <c r="N111" i="51" s="1"/>
  <c r="N129" i="51" s="1"/>
  <c r="I91" i="51"/>
  <c r="I112" i="51" s="1"/>
  <c r="I130" i="51" s="1"/>
  <c r="M91" i="51"/>
  <c r="M112" i="51" s="1"/>
  <c r="M130" i="51" s="1"/>
  <c r="I92" i="51"/>
  <c r="M92" i="51"/>
  <c r="J13" i="52"/>
  <c r="N13" i="52"/>
  <c r="I83" i="52"/>
  <c r="I104" i="52" s="1"/>
  <c r="I122" i="52" s="1"/>
  <c r="M83" i="52"/>
  <c r="M104" i="52" s="1"/>
  <c r="M122" i="52" s="1"/>
  <c r="I84" i="52"/>
  <c r="I105" i="52" s="1"/>
  <c r="I123" i="52" s="1"/>
  <c r="M84" i="52"/>
  <c r="M105" i="52" s="1"/>
  <c r="M123" i="52" s="1"/>
  <c r="L85" i="52"/>
  <c r="L106" i="52" s="1"/>
  <c r="L124" i="52" s="1"/>
  <c r="H88" i="52"/>
  <c r="H109" i="52" s="1"/>
  <c r="H127" i="52" s="1"/>
  <c r="L88" i="52"/>
  <c r="L109" i="52" s="1"/>
  <c r="L127" i="52" s="1"/>
  <c r="H89" i="52"/>
  <c r="H110" i="52" s="1"/>
  <c r="H128" i="52" s="1"/>
  <c r="L89" i="52"/>
  <c r="L110" i="52" s="1"/>
  <c r="L128" i="52" s="1"/>
  <c r="H90" i="52"/>
  <c r="H111" i="52" s="1"/>
  <c r="H129" i="52" s="1"/>
  <c r="L90" i="52"/>
  <c r="L111" i="52" s="1"/>
  <c r="L129" i="52" s="1"/>
  <c r="H91" i="52"/>
  <c r="H112" i="52" s="1"/>
  <c r="H130" i="52" s="1"/>
  <c r="L91" i="52"/>
  <c r="L112" i="52" s="1"/>
  <c r="L130" i="52" s="1"/>
  <c r="H92" i="52"/>
  <c r="L92" i="52"/>
  <c r="F150" i="52"/>
  <c r="I90" i="52"/>
  <c r="I111" i="52" s="1"/>
  <c r="I129" i="52" s="1"/>
  <c r="M90" i="52"/>
  <c r="M111" i="52" s="1"/>
  <c r="M129" i="52" s="1"/>
  <c r="I130" i="52"/>
  <c r="F130" i="52" s="1"/>
  <c r="M130" i="52"/>
  <c r="F50" i="51"/>
  <c r="K113" i="51"/>
  <c r="K133" i="51" s="1"/>
  <c r="G83" i="51"/>
  <c r="G104" i="51" s="1"/>
  <c r="G122" i="51" s="1"/>
  <c r="K83" i="51"/>
  <c r="K104" i="51" s="1"/>
  <c r="K122" i="51" s="1"/>
  <c r="G84" i="51"/>
  <c r="G105" i="51" s="1"/>
  <c r="K84" i="51"/>
  <c r="K105" i="51" s="1"/>
  <c r="H85" i="51"/>
  <c r="H106" i="51" s="1"/>
  <c r="H124" i="51" s="1"/>
  <c r="L85" i="51"/>
  <c r="L106" i="51" s="1"/>
  <c r="L124" i="51" s="1"/>
  <c r="H88" i="51"/>
  <c r="H109" i="51" s="1"/>
  <c r="H127" i="51" s="1"/>
  <c r="L88" i="51"/>
  <c r="L109" i="51" s="1"/>
  <c r="L127" i="51" s="1"/>
  <c r="H89" i="51"/>
  <c r="H110" i="51" s="1"/>
  <c r="H128" i="51" s="1"/>
  <c r="L89" i="51"/>
  <c r="L110" i="51" s="1"/>
  <c r="L128" i="51" s="1"/>
  <c r="H90" i="51"/>
  <c r="H111" i="51" s="1"/>
  <c r="H129" i="51" s="1"/>
  <c r="L90" i="51"/>
  <c r="L111" i="51" s="1"/>
  <c r="L129" i="51" s="1"/>
  <c r="G91" i="51"/>
  <c r="G112" i="51" s="1"/>
  <c r="G130" i="51" s="1"/>
  <c r="K91" i="51"/>
  <c r="K112" i="51" s="1"/>
  <c r="K130" i="51" s="1"/>
  <c r="G92" i="51"/>
  <c r="F51" i="52"/>
  <c r="N60" i="52"/>
  <c r="F65" i="52"/>
  <c r="H85" i="52"/>
  <c r="H106" i="52" s="1"/>
  <c r="H124" i="52" s="1"/>
  <c r="N85" i="52"/>
  <c r="N106" i="52" s="1"/>
  <c r="N124" i="52" s="1"/>
  <c r="J88" i="52"/>
  <c r="J109" i="52" s="1"/>
  <c r="J127" i="52" s="1"/>
  <c r="N88" i="52"/>
  <c r="N109" i="52" s="1"/>
  <c r="N127" i="52" s="1"/>
  <c r="J90" i="52"/>
  <c r="J111" i="52" s="1"/>
  <c r="J129" i="52" s="1"/>
  <c r="N90" i="52"/>
  <c r="N111" i="52" s="1"/>
  <c r="N129" i="52" s="1"/>
  <c r="J91" i="52"/>
  <c r="J112" i="52" s="1"/>
  <c r="J130" i="52" s="1"/>
  <c r="J92" i="52"/>
  <c r="N92" i="52"/>
  <c r="I116" i="58"/>
  <c r="I9" i="58" s="1"/>
  <c r="M60" i="51"/>
  <c r="F65" i="51"/>
  <c r="L91" i="51"/>
  <c r="L112" i="51" s="1"/>
  <c r="L130" i="51" s="1"/>
  <c r="F20" i="52"/>
  <c r="I116" i="55"/>
  <c r="J42" i="52"/>
  <c r="J67" i="52" s="1"/>
  <c r="J85" i="52" s="1"/>
  <c r="J106" i="52" s="1"/>
  <c r="J124" i="52" s="1"/>
  <c r="I116" i="54"/>
  <c r="I9" i="54" s="1"/>
  <c r="G42" i="52"/>
  <c r="G42" i="51"/>
  <c r="I139" i="56"/>
  <c r="I10" i="56" s="1"/>
  <c r="I162" i="53"/>
  <c r="I185" i="53" s="1"/>
  <c r="I11" i="53" s="1"/>
  <c r="I93" i="58"/>
  <c r="I8" i="58" s="1"/>
  <c r="I139" i="57"/>
  <c r="I10" i="57" s="1"/>
  <c r="I93" i="57"/>
  <c r="I8" i="57" s="1"/>
  <c r="I116" i="57"/>
  <c r="I9" i="57" s="1"/>
  <c r="I139" i="47"/>
  <c r="I10" i="47" s="1"/>
  <c r="I93" i="47"/>
  <c r="I8" i="47" s="1"/>
  <c r="I162" i="56"/>
  <c r="I11" i="56" s="1"/>
  <c r="I116" i="1"/>
  <c r="I9" i="1" s="1"/>
  <c r="I162" i="57"/>
  <c r="I11" i="57" s="1"/>
  <c r="I162" i="47"/>
  <c r="I11" i="47" s="1"/>
  <c r="I116" i="47"/>
  <c r="I9" i="47" s="1"/>
  <c r="I208" i="1"/>
  <c r="I231" i="1" s="1"/>
  <c r="I93" i="1"/>
  <c r="I8" i="1" s="1"/>
  <c r="I139" i="1"/>
  <c r="I10" i="1" s="1"/>
  <c r="I162" i="1"/>
  <c r="I11" i="1" s="1"/>
  <c r="I185" i="56"/>
  <c r="I12" i="56" s="1"/>
  <c r="K139" i="58"/>
  <c r="K77" i="48"/>
  <c r="K81" i="48" s="1"/>
  <c r="K102" i="48" s="1"/>
  <c r="J77" i="48"/>
  <c r="J81" i="48" s="1"/>
  <c r="J102" i="48" s="1"/>
  <c r="F141" i="51"/>
  <c r="F31" i="51"/>
  <c r="K81" i="52"/>
  <c r="K102" i="52" s="1"/>
  <c r="F31" i="52"/>
  <c r="K78" i="52"/>
  <c r="F141" i="52"/>
  <c r="N82" i="52"/>
  <c r="N103" i="52" s="1"/>
  <c r="G61" i="52"/>
  <c r="G77" i="52" s="1"/>
  <c r="G78" i="52" s="1"/>
  <c r="I70" i="55"/>
  <c r="I7" i="55" s="1"/>
  <c r="I70" i="54"/>
  <c r="I7" i="54" s="1"/>
  <c r="I70" i="53"/>
  <c r="I7" i="53" s="1"/>
  <c r="I93" i="54"/>
  <c r="I8" i="54" s="1"/>
  <c r="I139" i="53"/>
  <c r="I10" i="53" s="1"/>
  <c r="K162" i="57"/>
  <c r="I208" i="56"/>
  <c r="I13" i="56" s="1"/>
  <c r="I116" i="56"/>
  <c r="I9" i="56" s="1"/>
  <c r="I93" i="56"/>
  <c r="I8" i="56" s="1"/>
  <c r="K231" i="56"/>
  <c r="K254" i="56" s="1"/>
  <c r="I93" i="55"/>
  <c r="I8" i="55" s="1"/>
  <c r="K139" i="54"/>
  <c r="K162" i="54" s="1"/>
  <c r="K162" i="53"/>
  <c r="K185" i="53" s="1"/>
  <c r="K162" i="47"/>
  <c r="I185" i="1"/>
  <c r="I12" i="1" s="1"/>
  <c r="K208" i="1"/>
  <c r="K231" i="1" s="1"/>
  <c r="K254" i="1" s="1"/>
  <c r="G127" i="52"/>
  <c r="F111" i="52"/>
  <c r="G129" i="52"/>
  <c r="H122" i="52"/>
  <c r="H25" i="52" s="1"/>
  <c r="H12" i="52"/>
  <c r="L122" i="52"/>
  <c r="L25" i="52" s="1"/>
  <c r="M79" i="52"/>
  <c r="M80" i="52" s="1"/>
  <c r="M101" i="52" s="1"/>
  <c r="J77" i="52"/>
  <c r="J78" i="52" s="1"/>
  <c r="N77" i="52"/>
  <c r="N78" i="52" s="1"/>
  <c r="F70" i="52"/>
  <c r="F88" i="52" s="1"/>
  <c r="F112" i="52"/>
  <c r="I113" i="52"/>
  <c r="I133" i="52" s="1"/>
  <c r="M113" i="52"/>
  <c r="M133" i="52" s="1"/>
  <c r="M25" i="52" s="1"/>
  <c r="J83" i="52"/>
  <c r="J104" i="52" s="1"/>
  <c r="N83" i="52"/>
  <c r="N104" i="52" s="1"/>
  <c r="J89" i="52"/>
  <c r="J110" i="52" s="1"/>
  <c r="J128" i="52" s="1"/>
  <c r="N89" i="52"/>
  <c r="N110" i="52" s="1"/>
  <c r="N128" i="52" s="1"/>
  <c r="M77" i="52"/>
  <c r="M81" i="52" s="1"/>
  <c r="M102" i="52" s="1"/>
  <c r="F74" i="52"/>
  <c r="F92" i="52" s="1"/>
  <c r="F89" i="52"/>
  <c r="F36" i="52"/>
  <c r="F50" i="52"/>
  <c r="G83" i="52"/>
  <c r="G104" i="52" s="1"/>
  <c r="K83" i="52"/>
  <c r="K104" i="52" s="1"/>
  <c r="F66" i="52"/>
  <c r="J84" i="52"/>
  <c r="J105" i="52" s="1"/>
  <c r="J123" i="52" s="1"/>
  <c r="N84" i="52"/>
  <c r="N105" i="52" s="1"/>
  <c r="N123" i="52" s="1"/>
  <c r="G89" i="52"/>
  <c r="G110" i="52" s="1"/>
  <c r="K89" i="52"/>
  <c r="K110" i="52" s="1"/>
  <c r="K128" i="52" s="1"/>
  <c r="F72" i="52"/>
  <c r="F90" i="52" s="1"/>
  <c r="I77" i="52"/>
  <c r="I78" i="52" s="1"/>
  <c r="L79" i="52"/>
  <c r="L80" i="52" s="1"/>
  <c r="L101" i="52" s="1"/>
  <c r="F64" i="52"/>
  <c r="F84" i="52"/>
  <c r="M12" i="52"/>
  <c r="G113" i="52"/>
  <c r="K113" i="52"/>
  <c r="K133" i="52" s="1"/>
  <c r="M60" i="52"/>
  <c r="H61" i="52"/>
  <c r="L61" i="52"/>
  <c r="F63" i="52"/>
  <c r="G84" i="52"/>
  <c r="G105" i="52" s="1"/>
  <c r="K84" i="52"/>
  <c r="K105" i="52" s="1"/>
  <c r="K123" i="52" s="1"/>
  <c r="F73" i="52"/>
  <c r="F91" i="52" s="1"/>
  <c r="N80" i="52"/>
  <c r="N101" i="52" s="1"/>
  <c r="F83" i="52"/>
  <c r="F160" i="52"/>
  <c r="G160" i="52" s="1"/>
  <c r="G30" i="52" s="1"/>
  <c r="F30" i="52" s="1"/>
  <c r="I77" i="51"/>
  <c r="I81" i="51" s="1"/>
  <c r="I102" i="51" s="1"/>
  <c r="M77" i="51"/>
  <c r="M81" i="51" s="1"/>
  <c r="M102" i="51" s="1"/>
  <c r="J130" i="51"/>
  <c r="F112" i="51"/>
  <c r="J77" i="51"/>
  <c r="J78" i="51" s="1"/>
  <c r="N77" i="51"/>
  <c r="N78" i="51" s="1"/>
  <c r="N100" i="51" s="1"/>
  <c r="M79" i="51"/>
  <c r="M80" i="51" s="1"/>
  <c r="M101" i="51" s="1"/>
  <c r="L122" i="51"/>
  <c r="L79" i="51"/>
  <c r="L80" i="51" s="1"/>
  <c r="L101" i="51" s="1"/>
  <c r="G127" i="51"/>
  <c r="J79" i="51"/>
  <c r="J80" i="51" s="1"/>
  <c r="J101" i="51" s="1"/>
  <c r="I123" i="51"/>
  <c r="I25" i="51" s="1"/>
  <c r="G123" i="51"/>
  <c r="K123" i="51"/>
  <c r="G129" i="51"/>
  <c r="F129" i="51" s="1"/>
  <c r="F111" i="51"/>
  <c r="N79" i="51"/>
  <c r="N80" i="51" s="1"/>
  <c r="N101" i="51" s="1"/>
  <c r="M123" i="51"/>
  <c r="J60" i="51"/>
  <c r="N60" i="51"/>
  <c r="F64" i="51"/>
  <c r="H84" i="51"/>
  <c r="H105" i="51" s="1"/>
  <c r="H123" i="51" s="1"/>
  <c r="L84" i="51"/>
  <c r="L105" i="51" s="1"/>
  <c r="L123" i="51" s="1"/>
  <c r="F70" i="51"/>
  <c r="F88" i="51" s="1"/>
  <c r="I89" i="51"/>
  <c r="I110" i="51" s="1"/>
  <c r="I128" i="51" s="1"/>
  <c r="M89" i="51"/>
  <c r="M110" i="51" s="1"/>
  <c r="M128" i="51" s="1"/>
  <c r="F74" i="51"/>
  <c r="F92" i="51" s="1"/>
  <c r="H83" i="51"/>
  <c r="H104" i="51" s="1"/>
  <c r="L77" i="51"/>
  <c r="L81" i="51" s="1"/>
  <c r="L102" i="51" s="1"/>
  <c r="F71" i="51"/>
  <c r="F89" i="51" s="1"/>
  <c r="J89" i="51"/>
  <c r="J110" i="51" s="1"/>
  <c r="J128" i="51" s="1"/>
  <c r="N89" i="51"/>
  <c r="N110" i="51" s="1"/>
  <c r="N128" i="51" s="1"/>
  <c r="G113" i="51"/>
  <c r="H77" i="51"/>
  <c r="H81" i="51" s="1"/>
  <c r="H102" i="51" s="1"/>
  <c r="F36" i="51"/>
  <c r="J113" i="51"/>
  <c r="J133" i="51" s="1"/>
  <c r="N113" i="51"/>
  <c r="N133" i="51" s="1"/>
  <c r="L60" i="51"/>
  <c r="G61" i="51"/>
  <c r="K61" i="51"/>
  <c r="F66" i="51"/>
  <c r="F84" i="51" s="1"/>
  <c r="J84" i="51"/>
  <c r="J105" i="51" s="1"/>
  <c r="N84" i="51"/>
  <c r="N105" i="51" s="1"/>
  <c r="G89" i="51"/>
  <c r="G110" i="51" s="1"/>
  <c r="K89" i="51"/>
  <c r="K110" i="51" s="1"/>
  <c r="K128" i="51" s="1"/>
  <c r="F72" i="51"/>
  <c r="F90" i="51" s="1"/>
  <c r="K79" i="51"/>
  <c r="K82" i="51" s="1"/>
  <c r="K103" i="51" s="1"/>
  <c r="F83" i="51"/>
  <c r="F150" i="51"/>
  <c r="F160" i="51" s="1"/>
  <c r="G160" i="51" s="1"/>
  <c r="G30" i="51" s="1"/>
  <c r="F30" i="51" s="1"/>
  <c r="H5" i="8"/>
  <c r="H4" i="8"/>
  <c r="N459" i="50"/>
  <c r="M459" i="50"/>
  <c r="M437" i="50" s="1"/>
  <c r="L459" i="50"/>
  <c r="L437" i="50" s="1"/>
  <c r="K459" i="50"/>
  <c r="J459" i="50"/>
  <c r="I459" i="50"/>
  <c r="I437" i="50" s="1"/>
  <c r="H459" i="50"/>
  <c r="H437" i="50" s="1"/>
  <c r="G459" i="50"/>
  <c r="E458" i="50"/>
  <c r="E457" i="50"/>
  <c r="E456" i="50"/>
  <c r="D456" i="50"/>
  <c r="C456" i="50"/>
  <c r="D453" i="50"/>
  <c r="D452" i="50"/>
  <c r="D451" i="50"/>
  <c r="C446" i="50"/>
  <c r="N437" i="50"/>
  <c r="K437" i="50"/>
  <c r="J437" i="50"/>
  <c r="G437" i="50"/>
  <c r="E429" i="50"/>
  <c r="D429" i="50"/>
  <c r="F428" i="50"/>
  <c r="N427" i="50"/>
  <c r="M427" i="50"/>
  <c r="M322" i="50" s="1"/>
  <c r="L427" i="50"/>
  <c r="K427" i="50"/>
  <c r="J427" i="50"/>
  <c r="I427" i="50"/>
  <c r="I322" i="50" s="1"/>
  <c r="H427" i="50"/>
  <c r="G427" i="50"/>
  <c r="E426" i="50"/>
  <c r="D426" i="50"/>
  <c r="E425" i="50"/>
  <c r="D425" i="50"/>
  <c r="E424" i="50"/>
  <c r="D424" i="50"/>
  <c r="E423" i="50"/>
  <c r="D423" i="50"/>
  <c r="E420" i="50"/>
  <c r="D420" i="50"/>
  <c r="E419" i="50"/>
  <c r="D419" i="50"/>
  <c r="E418" i="50"/>
  <c r="D418" i="50"/>
  <c r="D417" i="50"/>
  <c r="D416" i="50"/>
  <c r="D415" i="50"/>
  <c r="D413" i="50"/>
  <c r="E388" i="50"/>
  <c r="D388" i="50"/>
  <c r="E387" i="50"/>
  <c r="D387" i="50"/>
  <c r="E386" i="50"/>
  <c r="D386" i="50"/>
  <c r="E385" i="50"/>
  <c r="D385" i="50"/>
  <c r="E384" i="50"/>
  <c r="D384" i="50"/>
  <c r="E381" i="50"/>
  <c r="D381" i="50"/>
  <c r="E380" i="50"/>
  <c r="D380" i="50"/>
  <c r="E379" i="50"/>
  <c r="D379" i="50"/>
  <c r="D376" i="50"/>
  <c r="D374" i="50"/>
  <c r="N351" i="50"/>
  <c r="N446" i="50" s="1"/>
  <c r="N456" i="50" s="1"/>
  <c r="N326" i="50" s="1"/>
  <c r="M351" i="50"/>
  <c r="M446" i="50" s="1"/>
  <c r="M456" i="50" s="1"/>
  <c r="L351" i="50"/>
  <c r="L446" i="50" s="1"/>
  <c r="L456" i="50" s="1"/>
  <c r="K351" i="50"/>
  <c r="K446" i="50" s="1"/>
  <c r="K456" i="50" s="1"/>
  <c r="J351" i="50"/>
  <c r="J446" i="50" s="1"/>
  <c r="J456" i="50" s="1"/>
  <c r="J326" i="50" s="1"/>
  <c r="I351" i="50"/>
  <c r="I446" i="50" s="1"/>
  <c r="I456" i="50" s="1"/>
  <c r="H351" i="50"/>
  <c r="H446" i="50" s="1"/>
  <c r="H456" i="50" s="1"/>
  <c r="G351" i="50"/>
  <c r="G446" i="50" s="1"/>
  <c r="F351" i="50"/>
  <c r="N350" i="50"/>
  <c r="N316" i="50" s="1"/>
  <c r="M350" i="50"/>
  <c r="L350" i="50"/>
  <c r="K350" i="50"/>
  <c r="K316" i="50" s="1"/>
  <c r="J350" i="50"/>
  <c r="J316" i="50" s="1"/>
  <c r="I350" i="50"/>
  <c r="H350" i="50"/>
  <c r="G350" i="50"/>
  <c r="N349" i="50"/>
  <c r="N310" i="50" s="1"/>
  <c r="M349" i="50"/>
  <c r="L349" i="50"/>
  <c r="L310" i="50" s="1"/>
  <c r="K349" i="50"/>
  <c r="J349" i="50"/>
  <c r="I349" i="50"/>
  <c r="H349" i="50"/>
  <c r="H310" i="50" s="1"/>
  <c r="G349" i="50"/>
  <c r="G310" i="50" s="1"/>
  <c r="N348" i="50"/>
  <c r="M348" i="50"/>
  <c r="L348" i="50"/>
  <c r="K348" i="50"/>
  <c r="J348" i="50"/>
  <c r="I348" i="50"/>
  <c r="H348" i="50"/>
  <c r="G348" i="50"/>
  <c r="N345" i="50"/>
  <c r="M345" i="50"/>
  <c r="L345" i="50"/>
  <c r="K345" i="50"/>
  <c r="J345" i="50"/>
  <c r="I345" i="50"/>
  <c r="H345" i="50"/>
  <c r="G345" i="50"/>
  <c r="N344" i="50"/>
  <c r="M344" i="50"/>
  <c r="L344" i="50"/>
  <c r="K344" i="50"/>
  <c r="J344" i="50"/>
  <c r="I344" i="50"/>
  <c r="H344" i="50"/>
  <c r="G344" i="50"/>
  <c r="N343" i="50"/>
  <c r="M343" i="50"/>
  <c r="L343" i="50"/>
  <c r="K343" i="50"/>
  <c r="J343" i="50"/>
  <c r="I343" i="50"/>
  <c r="H343" i="50"/>
  <c r="G343" i="50"/>
  <c r="F343" i="50" s="1"/>
  <c r="N342" i="50"/>
  <c r="M342" i="50"/>
  <c r="L342" i="50"/>
  <c r="K342" i="50"/>
  <c r="J342" i="50"/>
  <c r="I342" i="50"/>
  <c r="H342" i="50"/>
  <c r="G342" i="50"/>
  <c r="N341" i="50"/>
  <c r="M341" i="50"/>
  <c r="L341" i="50"/>
  <c r="K341" i="50"/>
  <c r="J341" i="50"/>
  <c r="I341" i="50"/>
  <c r="H341" i="50"/>
  <c r="G341" i="50"/>
  <c r="N340" i="50"/>
  <c r="M340" i="50"/>
  <c r="L340" i="50"/>
  <c r="K340" i="50"/>
  <c r="J340" i="50"/>
  <c r="I340" i="50"/>
  <c r="H340" i="50"/>
  <c r="G340" i="50"/>
  <c r="N339" i="50"/>
  <c r="M339" i="50"/>
  <c r="L339" i="50"/>
  <c r="K339" i="50"/>
  <c r="J339" i="50"/>
  <c r="I339" i="50"/>
  <c r="H339" i="50"/>
  <c r="G339" i="50"/>
  <c r="N338" i="50"/>
  <c r="M338" i="50"/>
  <c r="L338" i="50"/>
  <c r="K338" i="50"/>
  <c r="J338" i="50"/>
  <c r="I338" i="50"/>
  <c r="H338" i="50"/>
  <c r="G338" i="50"/>
  <c r="N337" i="50"/>
  <c r="M337" i="50"/>
  <c r="L337" i="50"/>
  <c r="K337" i="50"/>
  <c r="J337" i="50"/>
  <c r="I337" i="50"/>
  <c r="H337" i="50"/>
  <c r="G337" i="50"/>
  <c r="F337" i="50" s="1"/>
  <c r="N336" i="50"/>
  <c r="M336" i="50"/>
  <c r="L336" i="50"/>
  <c r="K336" i="50"/>
  <c r="J336" i="50"/>
  <c r="I336" i="50"/>
  <c r="H336" i="50"/>
  <c r="G336" i="50"/>
  <c r="N335" i="50"/>
  <c r="M335" i="50"/>
  <c r="L335" i="50"/>
  <c r="K335" i="50"/>
  <c r="J335" i="50"/>
  <c r="I335" i="50"/>
  <c r="H335" i="50"/>
  <c r="G335" i="50"/>
  <c r="N334" i="50"/>
  <c r="M334" i="50"/>
  <c r="L334" i="50"/>
  <c r="K334" i="50"/>
  <c r="J334" i="50"/>
  <c r="I334" i="50"/>
  <c r="H334" i="50"/>
  <c r="G334" i="50"/>
  <c r="N327" i="50"/>
  <c r="M327" i="50"/>
  <c r="L327" i="50"/>
  <c r="K327" i="50"/>
  <c r="J327" i="50"/>
  <c r="I327" i="50"/>
  <c r="H327" i="50"/>
  <c r="G327" i="50"/>
  <c r="M326" i="50"/>
  <c r="L326" i="50"/>
  <c r="K326" i="50"/>
  <c r="I326" i="50"/>
  <c r="H326" i="50"/>
  <c r="N322" i="50"/>
  <c r="L322" i="50"/>
  <c r="K322" i="50"/>
  <c r="J322" i="50"/>
  <c r="H322" i="50"/>
  <c r="G322" i="50"/>
  <c r="F322" i="50" s="1"/>
  <c r="M316" i="50"/>
  <c r="L316" i="50"/>
  <c r="I316" i="50"/>
  <c r="H316" i="50"/>
  <c r="N315" i="50"/>
  <c r="M315" i="50"/>
  <c r="L315" i="50"/>
  <c r="K315" i="50"/>
  <c r="J315" i="50"/>
  <c r="I315" i="50"/>
  <c r="H315" i="50"/>
  <c r="G315" i="50"/>
  <c r="F315" i="50" s="1"/>
  <c r="N314" i="50"/>
  <c r="M314" i="50"/>
  <c r="L314" i="50"/>
  <c r="K314" i="50"/>
  <c r="J314" i="50"/>
  <c r="I314" i="50"/>
  <c r="H314" i="50"/>
  <c r="G314" i="50"/>
  <c r="F314" i="50" s="1"/>
  <c r="N313" i="50"/>
  <c r="M313" i="50"/>
  <c r="L313" i="50"/>
  <c r="K313" i="50"/>
  <c r="J313" i="50"/>
  <c r="I313" i="50"/>
  <c r="H313" i="50"/>
  <c r="G313" i="50"/>
  <c r="M310" i="50"/>
  <c r="K310" i="50"/>
  <c r="J310" i="50"/>
  <c r="I310" i="50"/>
  <c r="N309" i="50"/>
  <c r="M309" i="50"/>
  <c r="L309" i="50"/>
  <c r="K309" i="50"/>
  <c r="J309" i="50"/>
  <c r="I309" i="50"/>
  <c r="H309" i="50"/>
  <c r="G309" i="50"/>
  <c r="N307" i="50"/>
  <c r="M307" i="50"/>
  <c r="L307" i="50"/>
  <c r="K307" i="50"/>
  <c r="J307" i="50"/>
  <c r="I307" i="50"/>
  <c r="H307" i="50"/>
  <c r="G307" i="50"/>
  <c r="F307" i="50"/>
  <c r="N305" i="50"/>
  <c r="M305" i="50"/>
  <c r="L305" i="50"/>
  <c r="K305" i="50"/>
  <c r="J305" i="50"/>
  <c r="I305" i="50"/>
  <c r="H305" i="50"/>
  <c r="G305" i="50"/>
  <c r="E305" i="50"/>
  <c r="E304" i="50"/>
  <c r="E303" i="50"/>
  <c r="E440" i="50" s="1"/>
  <c r="E443" i="50" s="1"/>
  <c r="E453" i="50" s="1"/>
  <c r="E302" i="50"/>
  <c r="E439" i="50" s="1"/>
  <c r="E442" i="50" s="1"/>
  <c r="E452" i="50" s="1"/>
  <c r="N301" i="50"/>
  <c r="M301" i="50"/>
  <c r="L301" i="50"/>
  <c r="K301" i="50"/>
  <c r="J301" i="50"/>
  <c r="I301" i="50"/>
  <c r="H301" i="50"/>
  <c r="G301" i="50"/>
  <c r="J300" i="50"/>
  <c r="I300" i="50"/>
  <c r="N284" i="50"/>
  <c r="M284" i="50"/>
  <c r="L284" i="50"/>
  <c r="K284" i="50"/>
  <c r="J284" i="50"/>
  <c r="I284" i="50"/>
  <c r="H284" i="50"/>
  <c r="G284" i="50"/>
  <c r="N276" i="50"/>
  <c r="M276" i="50"/>
  <c r="L276" i="50"/>
  <c r="K276" i="50"/>
  <c r="J276" i="50"/>
  <c r="I276" i="50"/>
  <c r="H276" i="50"/>
  <c r="G276" i="50"/>
  <c r="N267" i="50"/>
  <c r="M267" i="50"/>
  <c r="L267" i="50"/>
  <c r="K267" i="50"/>
  <c r="J267" i="50"/>
  <c r="I267" i="50"/>
  <c r="H267" i="50"/>
  <c r="G267" i="50"/>
  <c r="N258" i="50"/>
  <c r="M258" i="50"/>
  <c r="L258" i="50"/>
  <c r="K258" i="50"/>
  <c r="J258" i="50"/>
  <c r="I258" i="50"/>
  <c r="H258" i="50"/>
  <c r="G258" i="50"/>
  <c r="F245" i="50"/>
  <c r="E244" i="50"/>
  <c r="E243" i="50"/>
  <c r="E242" i="50"/>
  <c r="D242" i="50"/>
  <c r="C242" i="50"/>
  <c r="D239" i="50"/>
  <c r="D238" i="50"/>
  <c r="D237" i="50"/>
  <c r="N232" i="50"/>
  <c r="N242" i="50" s="1"/>
  <c r="N111" i="50" s="1"/>
  <c r="M232" i="50"/>
  <c r="M242" i="50" s="1"/>
  <c r="M111" i="50" s="1"/>
  <c r="L232" i="50"/>
  <c r="K232" i="50"/>
  <c r="K94" i="50" s="1"/>
  <c r="J232" i="50"/>
  <c r="J242" i="50" s="1"/>
  <c r="J111" i="50" s="1"/>
  <c r="I232" i="50"/>
  <c r="I242" i="50" s="1"/>
  <c r="I111" i="50" s="1"/>
  <c r="H232" i="50"/>
  <c r="G232" i="50"/>
  <c r="C232" i="50"/>
  <c r="E226" i="50"/>
  <c r="E229" i="50" s="1"/>
  <c r="E239" i="50" s="1"/>
  <c r="E225" i="50"/>
  <c r="E228" i="50" s="1"/>
  <c r="E238" i="50" s="1"/>
  <c r="N223" i="50"/>
  <c r="M223" i="50"/>
  <c r="L223" i="50"/>
  <c r="K223" i="50"/>
  <c r="J223" i="50"/>
  <c r="I223" i="50"/>
  <c r="H223" i="50"/>
  <c r="G223" i="50"/>
  <c r="N220" i="50"/>
  <c r="M220" i="50"/>
  <c r="L220" i="50"/>
  <c r="K220" i="50"/>
  <c r="J220" i="50"/>
  <c r="I220" i="50"/>
  <c r="H220" i="50"/>
  <c r="G220" i="50"/>
  <c r="E214" i="50"/>
  <c r="D214" i="50"/>
  <c r="F213" i="50"/>
  <c r="F212" i="50"/>
  <c r="E211" i="50"/>
  <c r="D211" i="50"/>
  <c r="E210" i="50"/>
  <c r="D210" i="50"/>
  <c r="E209" i="50"/>
  <c r="D209" i="50"/>
  <c r="E208" i="50"/>
  <c r="D208" i="50"/>
  <c r="E205" i="50"/>
  <c r="D205" i="50"/>
  <c r="E204" i="50"/>
  <c r="D204" i="50"/>
  <c r="E203" i="50"/>
  <c r="D203" i="50"/>
  <c r="D202" i="50"/>
  <c r="D201" i="50"/>
  <c r="D200" i="50"/>
  <c r="D198" i="50"/>
  <c r="N178" i="50"/>
  <c r="M178" i="50"/>
  <c r="L178" i="50"/>
  <c r="K178" i="50"/>
  <c r="J178" i="50"/>
  <c r="I178" i="50"/>
  <c r="H178" i="50"/>
  <c r="G178" i="50"/>
  <c r="G173" i="50"/>
  <c r="E173" i="50"/>
  <c r="D173" i="50"/>
  <c r="E172" i="50"/>
  <c r="D172" i="50"/>
  <c r="E171" i="50"/>
  <c r="D171" i="50"/>
  <c r="E170" i="50"/>
  <c r="D170" i="50"/>
  <c r="H169" i="50"/>
  <c r="H190" i="50" s="1"/>
  <c r="H208" i="50" s="1"/>
  <c r="G169" i="50"/>
  <c r="G190" i="50" s="1"/>
  <c r="E169" i="50"/>
  <c r="D169" i="50"/>
  <c r="E166" i="50"/>
  <c r="D166" i="50"/>
  <c r="E165" i="50"/>
  <c r="D165" i="50"/>
  <c r="E164" i="50"/>
  <c r="D164" i="50"/>
  <c r="D161" i="50"/>
  <c r="D159" i="50"/>
  <c r="J158" i="50"/>
  <c r="N155" i="50"/>
  <c r="M155" i="50"/>
  <c r="L155" i="50"/>
  <c r="L173" i="50" s="1"/>
  <c r="K155" i="50"/>
  <c r="K173" i="50" s="1"/>
  <c r="J155" i="50"/>
  <c r="I155" i="50"/>
  <c r="H155" i="50"/>
  <c r="H173" i="50" s="1"/>
  <c r="G155" i="50"/>
  <c r="F155" i="50" s="1"/>
  <c r="F173" i="50" s="1"/>
  <c r="N154" i="50"/>
  <c r="M154" i="50"/>
  <c r="M172" i="50" s="1"/>
  <c r="M193" i="50" s="1"/>
  <c r="M211" i="50" s="1"/>
  <c r="L154" i="50"/>
  <c r="K154" i="50"/>
  <c r="J154" i="50"/>
  <c r="I154" i="50"/>
  <c r="I172" i="50" s="1"/>
  <c r="I193" i="50" s="1"/>
  <c r="I211" i="50" s="1"/>
  <c r="H154" i="50"/>
  <c r="G154" i="50"/>
  <c r="N153" i="50"/>
  <c r="N171" i="50" s="1"/>
  <c r="N192" i="50" s="1"/>
  <c r="M153" i="50"/>
  <c r="L153" i="50"/>
  <c r="L171" i="50" s="1"/>
  <c r="L192" i="50" s="1"/>
  <c r="K153" i="50"/>
  <c r="K171" i="50" s="1"/>
  <c r="K192" i="50" s="1"/>
  <c r="J153" i="50"/>
  <c r="J171" i="50" s="1"/>
  <c r="J192" i="50" s="1"/>
  <c r="I153" i="50"/>
  <c r="I171" i="50" s="1"/>
  <c r="I192" i="50" s="1"/>
  <c r="I210" i="50" s="1"/>
  <c r="H153" i="50"/>
  <c r="H171" i="50" s="1"/>
  <c r="H192" i="50" s="1"/>
  <c r="G153" i="50"/>
  <c r="G171" i="50" s="1"/>
  <c r="G192" i="50" s="1"/>
  <c r="N152" i="50"/>
  <c r="M152" i="50"/>
  <c r="L152" i="50"/>
  <c r="K152" i="50"/>
  <c r="J152" i="50"/>
  <c r="I152" i="50"/>
  <c r="H152" i="50"/>
  <c r="G152" i="50"/>
  <c r="N151" i="50"/>
  <c r="N169" i="50" s="1"/>
  <c r="N190" i="50" s="1"/>
  <c r="M151" i="50"/>
  <c r="M169" i="50" s="1"/>
  <c r="M190" i="50" s="1"/>
  <c r="M208" i="50" s="1"/>
  <c r="L151" i="50"/>
  <c r="L169" i="50" s="1"/>
  <c r="L190" i="50" s="1"/>
  <c r="L208" i="50" s="1"/>
  <c r="K151" i="50"/>
  <c r="K169" i="50" s="1"/>
  <c r="K190" i="50" s="1"/>
  <c r="K208" i="50" s="1"/>
  <c r="J151" i="50"/>
  <c r="J169" i="50" s="1"/>
  <c r="J190" i="50" s="1"/>
  <c r="I151" i="50"/>
  <c r="I169" i="50" s="1"/>
  <c r="I190" i="50" s="1"/>
  <c r="I208" i="50" s="1"/>
  <c r="H151" i="50"/>
  <c r="F151" i="50" s="1"/>
  <c r="G151" i="50"/>
  <c r="N148" i="50"/>
  <c r="N166" i="50" s="1"/>
  <c r="N187" i="50" s="1"/>
  <c r="N205" i="50" s="1"/>
  <c r="M148" i="50"/>
  <c r="M166" i="50" s="1"/>
  <c r="M187" i="50" s="1"/>
  <c r="M205" i="50" s="1"/>
  <c r="L148" i="50"/>
  <c r="K148" i="50"/>
  <c r="J148" i="50"/>
  <c r="I148" i="50"/>
  <c r="I166" i="50" s="1"/>
  <c r="I187" i="50" s="1"/>
  <c r="I205" i="50" s="1"/>
  <c r="H148" i="50"/>
  <c r="G148" i="50"/>
  <c r="N147" i="50"/>
  <c r="N165" i="50" s="1"/>
  <c r="N186" i="50" s="1"/>
  <c r="N204" i="50" s="1"/>
  <c r="M147" i="50"/>
  <c r="L147" i="50"/>
  <c r="L165" i="50" s="1"/>
  <c r="L186" i="50" s="1"/>
  <c r="L204" i="50" s="1"/>
  <c r="K147" i="50"/>
  <c r="J147" i="50"/>
  <c r="J165" i="50" s="1"/>
  <c r="J186" i="50" s="1"/>
  <c r="J204" i="50" s="1"/>
  <c r="I147" i="50"/>
  <c r="H147" i="50"/>
  <c r="G147" i="50"/>
  <c r="N146" i="50"/>
  <c r="N164" i="50" s="1"/>
  <c r="N185" i="50" s="1"/>
  <c r="M146" i="50"/>
  <c r="L146" i="50"/>
  <c r="K146" i="50"/>
  <c r="J146" i="50"/>
  <c r="I146" i="50"/>
  <c r="H146" i="50"/>
  <c r="G146" i="50"/>
  <c r="N145" i="50"/>
  <c r="M145" i="50"/>
  <c r="L145" i="50"/>
  <c r="K145" i="50"/>
  <c r="J145" i="50"/>
  <c r="I145" i="50"/>
  <c r="H145" i="50"/>
  <c r="G145" i="50"/>
  <c r="F145" i="50"/>
  <c r="N144" i="50"/>
  <c r="M144" i="50"/>
  <c r="L144" i="50"/>
  <c r="K144" i="50"/>
  <c r="J144" i="50"/>
  <c r="J162" i="50" s="1"/>
  <c r="J183" i="50" s="1"/>
  <c r="I144" i="50"/>
  <c r="H144" i="50"/>
  <c r="G144" i="50"/>
  <c r="L143" i="50"/>
  <c r="L160" i="50" s="1"/>
  <c r="L163" i="50" s="1"/>
  <c r="L184" i="50" s="1"/>
  <c r="K143" i="50"/>
  <c r="K160" i="50" s="1"/>
  <c r="K163" i="50" s="1"/>
  <c r="K184" i="50" s="1"/>
  <c r="J143" i="50"/>
  <c r="J160" i="50" s="1"/>
  <c r="J161" i="50" s="1"/>
  <c r="I143" i="50"/>
  <c r="I160" i="50" s="1"/>
  <c r="I161" i="50" s="1"/>
  <c r="H143" i="50"/>
  <c r="G143" i="50"/>
  <c r="G160" i="50" s="1"/>
  <c r="G163" i="50" s="1"/>
  <c r="L142" i="50"/>
  <c r="L158" i="50" s="1"/>
  <c r="L162" i="50" s="1"/>
  <c r="L183" i="50" s="1"/>
  <c r="K142" i="50"/>
  <c r="J142" i="50"/>
  <c r="I142" i="50"/>
  <c r="H142" i="50"/>
  <c r="H158" i="50" s="1"/>
  <c r="H162" i="50" s="1"/>
  <c r="H183" i="50" s="1"/>
  <c r="G142" i="50"/>
  <c r="N139" i="50"/>
  <c r="M139" i="50"/>
  <c r="L139" i="50"/>
  <c r="K139" i="50"/>
  <c r="J139" i="50"/>
  <c r="I139" i="50"/>
  <c r="H139" i="50"/>
  <c r="G139" i="50"/>
  <c r="F136" i="50"/>
  <c r="F135" i="50"/>
  <c r="F134" i="50"/>
  <c r="F133" i="50"/>
  <c r="N132" i="50"/>
  <c r="M132" i="50"/>
  <c r="L132" i="50"/>
  <c r="K132" i="50"/>
  <c r="K347" i="50" s="1"/>
  <c r="J132" i="50"/>
  <c r="I132" i="50"/>
  <c r="H132" i="50"/>
  <c r="G132" i="50"/>
  <c r="N131" i="50"/>
  <c r="M131" i="50"/>
  <c r="L131" i="50"/>
  <c r="L346" i="50" s="1"/>
  <c r="K131" i="50"/>
  <c r="J131" i="50"/>
  <c r="I131" i="50"/>
  <c r="H131" i="50"/>
  <c r="G131" i="50"/>
  <c r="F130" i="50"/>
  <c r="F129" i="50"/>
  <c r="F128" i="50"/>
  <c r="F127" i="50"/>
  <c r="F126" i="50"/>
  <c r="F123" i="50"/>
  <c r="F122" i="50"/>
  <c r="F121" i="50"/>
  <c r="F120" i="50"/>
  <c r="F119" i="50"/>
  <c r="N118" i="50"/>
  <c r="N143" i="50" s="1"/>
  <c r="N160" i="50" s="1"/>
  <c r="M118" i="50"/>
  <c r="M143" i="50" s="1"/>
  <c r="L118" i="50"/>
  <c r="K118" i="50"/>
  <c r="J118" i="50"/>
  <c r="I118" i="50"/>
  <c r="H118" i="50"/>
  <c r="G118" i="50"/>
  <c r="N117" i="50"/>
  <c r="N142" i="50" s="1"/>
  <c r="M117" i="50"/>
  <c r="M142" i="50" s="1"/>
  <c r="L117" i="50"/>
  <c r="K117" i="50"/>
  <c r="J117" i="50"/>
  <c r="J141" i="50" s="1"/>
  <c r="I117" i="50"/>
  <c r="I141" i="50" s="1"/>
  <c r="H117" i="50"/>
  <c r="G117" i="50"/>
  <c r="G332" i="50" s="1"/>
  <c r="N115" i="50"/>
  <c r="M115" i="50"/>
  <c r="L115" i="50"/>
  <c r="K115" i="50"/>
  <c r="J115" i="50"/>
  <c r="I115" i="50"/>
  <c r="H115" i="50"/>
  <c r="G115" i="50"/>
  <c r="N112" i="50"/>
  <c r="M112" i="50"/>
  <c r="L112" i="50"/>
  <c r="K112" i="50"/>
  <c r="J112" i="50"/>
  <c r="I112" i="50"/>
  <c r="F112" i="50" s="1"/>
  <c r="H112" i="50"/>
  <c r="G112" i="50"/>
  <c r="N107" i="50"/>
  <c r="M107" i="50"/>
  <c r="L107" i="50"/>
  <c r="K107" i="50"/>
  <c r="J107" i="50"/>
  <c r="I107" i="50"/>
  <c r="H107" i="50"/>
  <c r="G107" i="50"/>
  <c r="N101" i="50"/>
  <c r="M101" i="50"/>
  <c r="L101" i="50"/>
  <c r="K101" i="50"/>
  <c r="J101" i="50"/>
  <c r="I101" i="50"/>
  <c r="H101" i="50"/>
  <c r="G101" i="50"/>
  <c r="F101" i="50" s="1"/>
  <c r="F100" i="50"/>
  <c r="F99" i="50"/>
  <c r="F98" i="50"/>
  <c r="L97" i="50"/>
  <c r="L96" i="50" s="1"/>
  <c r="L91" i="50" s="1"/>
  <c r="K97" i="50"/>
  <c r="K96" i="50" s="1"/>
  <c r="K91" i="50" s="1"/>
  <c r="J97" i="50"/>
  <c r="I97" i="50"/>
  <c r="I96" i="50" s="1"/>
  <c r="I91" i="50" s="1"/>
  <c r="H97" i="50"/>
  <c r="H96" i="50" s="1"/>
  <c r="H91" i="50" s="1"/>
  <c r="G97" i="50"/>
  <c r="J96" i="50"/>
  <c r="J91" i="50" s="1"/>
  <c r="N95" i="50"/>
  <c r="M95" i="50"/>
  <c r="L95" i="50"/>
  <c r="K95" i="50"/>
  <c r="J95" i="50"/>
  <c r="I95" i="50"/>
  <c r="H95" i="50"/>
  <c r="G95" i="50"/>
  <c r="N94" i="50"/>
  <c r="M94" i="50"/>
  <c r="J94" i="50"/>
  <c r="I94" i="50"/>
  <c r="G94" i="50"/>
  <c r="F92" i="50"/>
  <c r="C84" i="50"/>
  <c r="F83" i="50"/>
  <c r="F298" i="50" s="1"/>
  <c r="F68" i="50"/>
  <c r="M65" i="50"/>
  <c r="J61" i="50"/>
  <c r="I61" i="50"/>
  <c r="F58" i="50"/>
  <c r="F44" i="50"/>
  <c r="F43" i="50"/>
  <c r="F42" i="50"/>
  <c r="F41" i="50"/>
  <c r="N40" i="50"/>
  <c r="M40" i="50"/>
  <c r="L40" i="50"/>
  <c r="K40" i="50"/>
  <c r="J40" i="50"/>
  <c r="I40" i="50"/>
  <c r="H40" i="50"/>
  <c r="G40" i="50"/>
  <c r="N39" i="50"/>
  <c r="M39" i="50"/>
  <c r="L39" i="50"/>
  <c r="K39" i="50"/>
  <c r="J39" i="50"/>
  <c r="I39" i="50"/>
  <c r="H39" i="50"/>
  <c r="G39" i="50"/>
  <c r="F39" i="50"/>
  <c r="F38" i="50"/>
  <c r="F37" i="50"/>
  <c r="F36" i="50"/>
  <c r="F35" i="50"/>
  <c r="F34" i="50"/>
  <c r="F31" i="50"/>
  <c r="F30" i="50"/>
  <c r="F29" i="50"/>
  <c r="F28" i="50"/>
  <c r="F27" i="50"/>
  <c r="M26" i="50"/>
  <c r="F23" i="50"/>
  <c r="F22" i="50"/>
  <c r="F21" i="50"/>
  <c r="L20" i="50"/>
  <c r="L14" i="50" s="1"/>
  <c r="N17" i="50"/>
  <c r="M17" i="50"/>
  <c r="L17" i="50"/>
  <c r="K17" i="50"/>
  <c r="J17" i="50"/>
  <c r="I17" i="50"/>
  <c r="H17" i="50"/>
  <c r="G17" i="50"/>
  <c r="J16" i="50"/>
  <c r="I16" i="50"/>
  <c r="F13" i="50"/>
  <c r="L12" i="50"/>
  <c r="L78" i="50" s="1"/>
  <c r="L81" i="50" s="1"/>
  <c r="L4" i="50" s="1"/>
  <c r="N10" i="50"/>
  <c r="N304" i="50" s="1"/>
  <c r="M10" i="50"/>
  <c r="M304" i="50" s="1"/>
  <c r="L10" i="50"/>
  <c r="L304" i="50" s="1"/>
  <c r="K10" i="50"/>
  <c r="K304" i="50" s="1"/>
  <c r="J10" i="50"/>
  <c r="J304" i="50" s="1"/>
  <c r="I10" i="50"/>
  <c r="I304" i="50" s="1"/>
  <c r="H10" i="50"/>
  <c r="H304" i="50" s="1"/>
  <c r="H312" i="50" s="1"/>
  <c r="H311" i="50" s="1"/>
  <c r="H306" i="50" s="1"/>
  <c r="G10" i="50"/>
  <c r="G304" i="50" s="1"/>
  <c r="N9" i="50"/>
  <c r="N26" i="50" s="1"/>
  <c r="M9" i="50"/>
  <c r="M25" i="50" s="1"/>
  <c r="L9" i="50"/>
  <c r="L26" i="50" s="1"/>
  <c r="K9" i="50"/>
  <c r="K26" i="50" s="1"/>
  <c r="J9" i="50"/>
  <c r="I9" i="50"/>
  <c r="I25" i="50" s="1"/>
  <c r="H9" i="50"/>
  <c r="H26" i="50" s="1"/>
  <c r="G9" i="50"/>
  <c r="G26" i="50" s="1"/>
  <c r="N8" i="50"/>
  <c r="M8" i="50"/>
  <c r="M300" i="50" s="1"/>
  <c r="L8" i="50"/>
  <c r="L300" i="50" s="1"/>
  <c r="K8" i="50"/>
  <c r="K300" i="50" s="1"/>
  <c r="H8" i="50"/>
  <c r="G8" i="50"/>
  <c r="N3" i="50"/>
  <c r="M3" i="50"/>
  <c r="L3" i="50"/>
  <c r="L302" i="50" s="1"/>
  <c r="K3" i="50"/>
  <c r="J3" i="50"/>
  <c r="I3" i="50"/>
  <c r="H3" i="50"/>
  <c r="H302" i="50" s="1"/>
  <c r="G3" i="50"/>
  <c r="L200" i="49"/>
  <c r="L192" i="49" s="1"/>
  <c r="K200" i="49"/>
  <c r="K192" i="49" s="1"/>
  <c r="J200" i="49"/>
  <c r="I200" i="49"/>
  <c r="I192" i="49" s="1"/>
  <c r="H200" i="49"/>
  <c r="G200" i="49"/>
  <c r="G192" i="49" s="1"/>
  <c r="J192" i="49"/>
  <c r="H192" i="49"/>
  <c r="L183" i="49"/>
  <c r="K183" i="49"/>
  <c r="J183" i="49"/>
  <c r="I183" i="49"/>
  <c r="H183" i="49"/>
  <c r="G183" i="49"/>
  <c r="L174" i="49"/>
  <c r="K174" i="49"/>
  <c r="J174" i="49"/>
  <c r="I174" i="49"/>
  <c r="H174" i="49"/>
  <c r="G174" i="49"/>
  <c r="E162" i="49"/>
  <c r="E161" i="49"/>
  <c r="E160" i="49"/>
  <c r="E144" i="49"/>
  <c r="E147" i="49" s="1"/>
  <c r="E157" i="49" s="1"/>
  <c r="E143" i="49"/>
  <c r="E146" i="49" s="1"/>
  <c r="E156" i="49" s="1"/>
  <c r="L138" i="49"/>
  <c r="K138" i="49"/>
  <c r="J138" i="49"/>
  <c r="I138" i="49"/>
  <c r="H138" i="49"/>
  <c r="G138" i="49"/>
  <c r="E132" i="49"/>
  <c r="F130" i="49"/>
  <c r="E129" i="49"/>
  <c r="E128" i="49"/>
  <c r="E127" i="49"/>
  <c r="E124" i="49"/>
  <c r="C124" i="49"/>
  <c r="E123" i="49"/>
  <c r="C123" i="49"/>
  <c r="E122" i="49"/>
  <c r="C122" i="49"/>
  <c r="J121" i="49"/>
  <c r="E121" i="49"/>
  <c r="C121" i="49"/>
  <c r="K120" i="49"/>
  <c r="E120" i="49"/>
  <c r="C120" i="49"/>
  <c r="E119" i="49"/>
  <c r="C119" i="49"/>
  <c r="H112" i="49"/>
  <c r="L109" i="49"/>
  <c r="L129" i="49" s="1"/>
  <c r="K109" i="49"/>
  <c r="K129" i="49" s="1"/>
  <c r="J109" i="49"/>
  <c r="J129" i="49" s="1"/>
  <c r="I109" i="49"/>
  <c r="I129" i="49" s="1"/>
  <c r="H109" i="49"/>
  <c r="H129" i="49" s="1"/>
  <c r="G109" i="49"/>
  <c r="L108" i="49"/>
  <c r="L128" i="49" s="1"/>
  <c r="K108" i="49"/>
  <c r="K128" i="49" s="1"/>
  <c r="J108" i="49"/>
  <c r="J128" i="49" s="1"/>
  <c r="I108" i="49"/>
  <c r="I128" i="49" s="1"/>
  <c r="H108" i="49"/>
  <c r="G108" i="49"/>
  <c r="L107" i="49"/>
  <c r="L127" i="49" s="1"/>
  <c r="K107" i="49"/>
  <c r="K127" i="49" s="1"/>
  <c r="J107" i="49"/>
  <c r="J127" i="49" s="1"/>
  <c r="I107" i="49"/>
  <c r="I127" i="49" s="1"/>
  <c r="H107" i="49"/>
  <c r="H127" i="49" s="1"/>
  <c r="G107" i="49"/>
  <c r="L104" i="49"/>
  <c r="L124" i="49" s="1"/>
  <c r="K104" i="49"/>
  <c r="K124" i="49" s="1"/>
  <c r="J104" i="49"/>
  <c r="I104" i="49"/>
  <c r="I124" i="49" s="1"/>
  <c r="H104" i="49"/>
  <c r="H124" i="49" s="1"/>
  <c r="F104" i="49"/>
  <c r="G104" i="49" s="1"/>
  <c r="G70" i="49" s="1"/>
  <c r="L103" i="49"/>
  <c r="L123" i="49" s="1"/>
  <c r="K103" i="49"/>
  <c r="K123" i="49" s="1"/>
  <c r="J103" i="49"/>
  <c r="J123" i="49" s="1"/>
  <c r="I103" i="49"/>
  <c r="H103" i="49"/>
  <c r="H123" i="49" s="1"/>
  <c r="L102" i="49"/>
  <c r="K102" i="49"/>
  <c r="K122" i="49" s="1"/>
  <c r="J102" i="49"/>
  <c r="J122" i="49" s="1"/>
  <c r="I102" i="49"/>
  <c r="I122" i="49" s="1"/>
  <c r="H102" i="49"/>
  <c r="L101" i="49"/>
  <c r="L121" i="49" s="1"/>
  <c r="K101" i="49"/>
  <c r="J101" i="49"/>
  <c r="I101" i="49"/>
  <c r="I121" i="49" s="1"/>
  <c r="H101" i="49"/>
  <c r="H121" i="49" s="1"/>
  <c r="L100" i="49"/>
  <c r="L120" i="49" s="1"/>
  <c r="K100" i="49"/>
  <c r="J100" i="49"/>
  <c r="I100" i="49"/>
  <c r="I120" i="49" s="1"/>
  <c r="H100" i="49"/>
  <c r="H120" i="49" s="1"/>
  <c r="J96" i="49"/>
  <c r="L92" i="49"/>
  <c r="K92" i="49"/>
  <c r="J92" i="49"/>
  <c r="I92" i="49"/>
  <c r="H92" i="49"/>
  <c r="G92" i="49"/>
  <c r="E87" i="49"/>
  <c r="D87" i="49"/>
  <c r="E86" i="49"/>
  <c r="I86" i="49" s="1"/>
  <c r="D86" i="49"/>
  <c r="E85" i="49"/>
  <c r="D85" i="49"/>
  <c r="L85" i="49" s="1"/>
  <c r="D79" i="49"/>
  <c r="D77" i="49"/>
  <c r="L76" i="49"/>
  <c r="K76" i="49"/>
  <c r="J76" i="49"/>
  <c r="I76" i="49"/>
  <c r="H76" i="49"/>
  <c r="G76" i="49"/>
  <c r="J73" i="49"/>
  <c r="I70" i="49"/>
  <c r="H70" i="49"/>
  <c r="L69" i="49"/>
  <c r="K69" i="49"/>
  <c r="J69" i="49"/>
  <c r="H69" i="49"/>
  <c r="I68" i="49"/>
  <c r="L67" i="49"/>
  <c r="J67" i="49"/>
  <c r="I67" i="49"/>
  <c r="H67" i="49"/>
  <c r="L66" i="49"/>
  <c r="K66" i="49"/>
  <c r="L65" i="49"/>
  <c r="L61" i="49"/>
  <c r="K61" i="49"/>
  <c r="J61" i="49"/>
  <c r="I61" i="49"/>
  <c r="H61" i="49"/>
  <c r="G61" i="49"/>
  <c r="L58" i="49"/>
  <c r="L150" i="49" s="1"/>
  <c r="K58" i="49"/>
  <c r="J58" i="49"/>
  <c r="J150" i="49" s="1"/>
  <c r="I58" i="49"/>
  <c r="I150" i="49" s="1"/>
  <c r="H58" i="49"/>
  <c r="H150" i="49" s="1"/>
  <c r="G58" i="49"/>
  <c r="L57" i="49"/>
  <c r="K57" i="49"/>
  <c r="J57" i="49"/>
  <c r="I57" i="49"/>
  <c r="H57" i="49"/>
  <c r="F57" i="49" s="1"/>
  <c r="G57" i="49"/>
  <c r="F56" i="49"/>
  <c r="L55" i="49"/>
  <c r="K55" i="49"/>
  <c r="J55" i="49"/>
  <c r="I55" i="49"/>
  <c r="H55" i="49"/>
  <c r="F55" i="49" s="1"/>
  <c r="G55" i="49"/>
  <c r="L54" i="49"/>
  <c r="K54" i="49"/>
  <c r="J54" i="49"/>
  <c r="I54" i="49"/>
  <c r="H54" i="49"/>
  <c r="G54" i="49"/>
  <c r="L53" i="49"/>
  <c r="K53" i="49"/>
  <c r="J53" i="49"/>
  <c r="J41" i="49" s="1"/>
  <c r="I53" i="49"/>
  <c r="I110" i="49" s="1"/>
  <c r="I132" i="49" s="1"/>
  <c r="H53" i="49"/>
  <c r="G53" i="49"/>
  <c r="F52" i="49"/>
  <c r="F51" i="49"/>
  <c r="F50" i="49"/>
  <c r="F49" i="49"/>
  <c r="F48" i="49"/>
  <c r="F47" i="49"/>
  <c r="F46" i="49"/>
  <c r="F45" i="49"/>
  <c r="F44" i="49"/>
  <c r="F68" i="49" s="1"/>
  <c r="F43" i="49"/>
  <c r="F101" i="49" s="1"/>
  <c r="G101" i="49" s="1"/>
  <c r="G67" i="49" s="1"/>
  <c r="F42" i="49"/>
  <c r="F100" i="49" s="1"/>
  <c r="G100" i="49" s="1"/>
  <c r="G66" i="49" s="1"/>
  <c r="L39" i="49"/>
  <c r="L97" i="49" s="1"/>
  <c r="K39" i="49"/>
  <c r="K97" i="49" s="1"/>
  <c r="J39" i="49"/>
  <c r="J97" i="49" s="1"/>
  <c r="I39" i="49"/>
  <c r="I97" i="49" s="1"/>
  <c r="H39" i="49"/>
  <c r="G39" i="49"/>
  <c r="G97" i="49" s="1"/>
  <c r="L38" i="49"/>
  <c r="K38" i="49"/>
  <c r="J38" i="49"/>
  <c r="J65" i="49" s="1"/>
  <c r="I38" i="49"/>
  <c r="H38" i="49"/>
  <c r="H65" i="49" s="1"/>
  <c r="G38" i="49"/>
  <c r="L37" i="49"/>
  <c r="L95" i="49" s="1"/>
  <c r="L112" i="49" s="1"/>
  <c r="K37" i="49"/>
  <c r="K64" i="49" s="1"/>
  <c r="K77" i="49" s="1"/>
  <c r="J37" i="49"/>
  <c r="I37" i="49"/>
  <c r="I64" i="49" s="1"/>
  <c r="I77" i="49" s="1"/>
  <c r="H37" i="49"/>
  <c r="H95" i="49" s="1"/>
  <c r="G37" i="49"/>
  <c r="F37" i="49" s="1"/>
  <c r="L35" i="49"/>
  <c r="K35" i="49"/>
  <c r="J35" i="49"/>
  <c r="I35" i="49"/>
  <c r="H35" i="49"/>
  <c r="G35" i="49"/>
  <c r="F19" i="49"/>
  <c r="F18" i="49"/>
  <c r="F17" i="49"/>
  <c r="F16" i="49"/>
  <c r="F15" i="49"/>
  <c r="F14" i="49"/>
  <c r="F13" i="49"/>
  <c r="F10" i="49"/>
  <c r="P202" i="48"/>
  <c r="O202" i="48"/>
  <c r="N202" i="48"/>
  <c r="M202" i="48"/>
  <c r="M194" i="48" s="1"/>
  <c r="L202" i="48"/>
  <c r="L194" i="48" s="1"/>
  <c r="I202" i="48"/>
  <c r="I194" i="48" s="1"/>
  <c r="H202" i="48"/>
  <c r="G202" i="48"/>
  <c r="G194" i="48" s="1"/>
  <c r="P194" i="48"/>
  <c r="O194" i="48"/>
  <c r="N194" i="48"/>
  <c r="H194" i="48"/>
  <c r="P185" i="48"/>
  <c r="O185" i="48"/>
  <c r="N185" i="48"/>
  <c r="M185" i="48"/>
  <c r="L185" i="48"/>
  <c r="I185" i="48"/>
  <c r="H185" i="48"/>
  <c r="G185" i="48"/>
  <c r="P176" i="48"/>
  <c r="O176" i="48"/>
  <c r="N176" i="48"/>
  <c r="M176" i="48"/>
  <c r="L176" i="48"/>
  <c r="I176" i="48"/>
  <c r="H176" i="48"/>
  <c r="G176" i="48"/>
  <c r="F163" i="48"/>
  <c r="E162" i="48"/>
  <c r="E161" i="48"/>
  <c r="E160" i="48"/>
  <c r="D160" i="48"/>
  <c r="C160" i="48"/>
  <c r="D157" i="48"/>
  <c r="D156" i="48"/>
  <c r="D155" i="48"/>
  <c r="P150" i="48"/>
  <c r="P160" i="48" s="1"/>
  <c r="P30" i="48" s="1"/>
  <c r="O150" i="48"/>
  <c r="O160" i="48" s="1"/>
  <c r="N150" i="48"/>
  <c r="N160" i="48" s="1"/>
  <c r="N30" i="48" s="1"/>
  <c r="M150" i="48"/>
  <c r="M160" i="48" s="1"/>
  <c r="L150" i="48"/>
  <c r="L160" i="48" s="1"/>
  <c r="L30" i="48" s="1"/>
  <c r="I150" i="48"/>
  <c r="I160" i="48" s="1"/>
  <c r="H150" i="48"/>
  <c r="H160" i="48" s="1"/>
  <c r="H30" i="48" s="1"/>
  <c r="G150" i="48"/>
  <c r="F150" i="48"/>
  <c r="C150" i="48"/>
  <c r="E144" i="48"/>
  <c r="E147" i="48" s="1"/>
  <c r="E157" i="48" s="1"/>
  <c r="E143" i="48"/>
  <c r="P141" i="48"/>
  <c r="O141" i="48"/>
  <c r="N141" i="48"/>
  <c r="M141" i="48"/>
  <c r="L141" i="48"/>
  <c r="I141" i="48"/>
  <c r="H141" i="48"/>
  <c r="G141" i="48"/>
  <c r="P138" i="48"/>
  <c r="O138" i="48"/>
  <c r="N138" i="48"/>
  <c r="M138" i="48"/>
  <c r="L138" i="48"/>
  <c r="I138" i="48"/>
  <c r="H138" i="48"/>
  <c r="G138" i="48"/>
  <c r="E133" i="48"/>
  <c r="D133" i="48"/>
  <c r="F132" i="48"/>
  <c r="E130" i="48"/>
  <c r="D130" i="48"/>
  <c r="E129" i="48"/>
  <c r="D129" i="48"/>
  <c r="E128" i="48"/>
  <c r="D128" i="48"/>
  <c r="E127" i="48"/>
  <c r="D127" i="48"/>
  <c r="E124" i="48"/>
  <c r="D124" i="48"/>
  <c r="E123" i="48"/>
  <c r="D123" i="48"/>
  <c r="E122" i="48"/>
  <c r="D122" i="48"/>
  <c r="D121" i="48"/>
  <c r="D120" i="48"/>
  <c r="D119" i="48"/>
  <c r="D117" i="48"/>
  <c r="P97" i="48"/>
  <c r="O97" i="48"/>
  <c r="N97" i="48"/>
  <c r="M97" i="48"/>
  <c r="L97" i="48"/>
  <c r="I97" i="48"/>
  <c r="H97" i="48"/>
  <c r="G97" i="48"/>
  <c r="E92" i="48"/>
  <c r="D92" i="48"/>
  <c r="E91" i="48"/>
  <c r="D91" i="48"/>
  <c r="E90" i="48"/>
  <c r="D90" i="48"/>
  <c r="E89" i="48"/>
  <c r="D89" i="48"/>
  <c r="E88" i="48"/>
  <c r="D88" i="48"/>
  <c r="E85" i="48"/>
  <c r="D85" i="48"/>
  <c r="E84" i="48"/>
  <c r="D84" i="48"/>
  <c r="E83" i="48"/>
  <c r="D83" i="48"/>
  <c r="D80" i="48"/>
  <c r="D78" i="48"/>
  <c r="P74" i="48"/>
  <c r="P92" i="48" s="1"/>
  <c r="O74" i="48"/>
  <c r="P73" i="48"/>
  <c r="O73" i="48"/>
  <c r="N73" i="48"/>
  <c r="M73" i="48"/>
  <c r="L73" i="48"/>
  <c r="I73" i="48"/>
  <c r="H73" i="48"/>
  <c r="G73" i="48"/>
  <c r="P72" i="48"/>
  <c r="P90" i="48" s="1"/>
  <c r="P111" i="48" s="1"/>
  <c r="P129" i="48" s="1"/>
  <c r="O72" i="48"/>
  <c r="O90" i="48" s="1"/>
  <c r="O111" i="48" s="1"/>
  <c r="N72" i="48"/>
  <c r="N90" i="48" s="1"/>
  <c r="N111" i="48" s="1"/>
  <c r="M72" i="48"/>
  <c r="L72" i="48"/>
  <c r="L90" i="48" s="1"/>
  <c r="L111" i="48" s="1"/>
  <c r="L129" i="48" s="1"/>
  <c r="I72" i="48"/>
  <c r="I90" i="48" s="1"/>
  <c r="I111" i="48" s="1"/>
  <c r="H72" i="48"/>
  <c r="H90" i="48" s="1"/>
  <c r="H111" i="48" s="1"/>
  <c r="G72" i="48"/>
  <c r="P71" i="48"/>
  <c r="O71" i="48"/>
  <c r="N71" i="48"/>
  <c r="M71" i="48"/>
  <c r="L71" i="48"/>
  <c r="I71" i="48"/>
  <c r="H71" i="48"/>
  <c r="G71" i="48"/>
  <c r="P70" i="48"/>
  <c r="P88" i="48" s="1"/>
  <c r="P109" i="48" s="1"/>
  <c r="P127" i="48" s="1"/>
  <c r="O70" i="48"/>
  <c r="N70" i="48"/>
  <c r="M70" i="48"/>
  <c r="M88" i="48" s="1"/>
  <c r="M109" i="48" s="1"/>
  <c r="L70" i="48"/>
  <c r="L88" i="48" s="1"/>
  <c r="L109" i="48" s="1"/>
  <c r="L127" i="48" s="1"/>
  <c r="I70" i="48"/>
  <c r="H70" i="48"/>
  <c r="G70" i="48"/>
  <c r="P67" i="48"/>
  <c r="O67" i="48"/>
  <c r="O85" i="48" s="1"/>
  <c r="O106" i="48" s="1"/>
  <c r="O124" i="48" s="1"/>
  <c r="N67" i="48"/>
  <c r="M67" i="48"/>
  <c r="L67" i="48"/>
  <c r="I67" i="48"/>
  <c r="I85" i="48" s="1"/>
  <c r="I106" i="48" s="1"/>
  <c r="I124" i="48" s="1"/>
  <c r="H67" i="48"/>
  <c r="G67" i="48"/>
  <c r="P66" i="48"/>
  <c r="O66" i="48"/>
  <c r="O84" i="48" s="1"/>
  <c r="O105" i="48" s="1"/>
  <c r="O123" i="48" s="1"/>
  <c r="N66" i="48"/>
  <c r="M66" i="48"/>
  <c r="M84" i="48" s="1"/>
  <c r="M105" i="48" s="1"/>
  <c r="M123" i="48" s="1"/>
  <c r="L66" i="48"/>
  <c r="I66" i="48"/>
  <c r="I84" i="48" s="1"/>
  <c r="I105" i="48" s="1"/>
  <c r="I123" i="48" s="1"/>
  <c r="H66" i="48"/>
  <c r="G66" i="48"/>
  <c r="G84" i="48" s="1"/>
  <c r="G105" i="48" s="1"/>
  <c r="P65" i="48"/>
  <c r="P83" i="48" s="1"/>
  <c r="P104" i="48" s="1"/>
  <c r="O65" i="48"/>
  <c r="O83" i="48" s="1"/>
  <c r="O104" i="48" s="1"/>
  <c r="N65" i="48"/>
  <c r="N83" i="48" s="1"/>
  <c r="N104" i="48" s="1"/>
  <c r="M65" i="48"/>
  <c r="M83" i="48" s="1"/>
  <c r="M104" i="48" s="1"/>
  <c r="L65" i="48"/>
  <c r="L83" i="48" s="1"/>
  <c r="L104" i="48" s="1"/>
  <c r="I65" i="48"/>
  <c r="I83" i="48" s="1"/>
  <c r="I104" i="48" s="1"/>
  <c r="H65" i="48"/>
  <c r="H83" i="48" s="1"/>
  <c r="H104" i="48" s="1"/>
  <c r="G65" i="48"/>
  <c r="G83" i="48" s="1"/>
  <c r="G104" i="48" s="1"/>
  <c r="P64" i="48"/>
  <c r="O64" i="48"/>
  <c r="N64" i="48"/>
  <c r="M64" i="48"/>
  <c r="L64" i="48"/>
  <c r="I64" i="48"/>
  <c r="H64" i="48"/>
  <c r="G64" i="48"/>
  <c r="P63" i="48"/>
  <c r="O63" i="48"/>
  <c r="N63" i="48"/>
  <c r="M63" i="48"/>
  <c r="L63" i="48"/>
  <c r="I63" i="48"/>
  <c r="H63" i="48"/>
  <c r="G63" i="48"/>
  <c r="O62" i="48"/>
  <c r="O79" i="48" s="1"/>
  <c r="P58" i="48"/>
  <c r="O58" i="48"/>
  <c r="N58" i="48"/>
  <c r="M58" i="48"/>
  <c r="L58" i="48"/>
  <c r="I58" i="48"/>
  <c r="H58" i="48"/>
  <c r="G58" i="48"/>
  <c r="F55" i="48"/>
  <c r="F52" i="48"/>
  <c r="P51" i="48"/>
  <c r="O51" i="48"/>
  <c r="N51" i="48"/>
  <c r="M51" i="48"/>
  <c r="L51" i="48"/>
  <c r="I51" i="48"/>
  <c r="H51" i="48"/>
  <c r="G51" i="48"/>
  <c r="P50" i="48"/>
  <c r="P113" i="48" s="1"/>
  <c r="O50" i="48"/>
  <c r="O113" i="48" s="1"/>
  <c r="N50" i="48"/>
  <c r="M50" i="48"/>
  <c r="L50" i="48"/>
  <c r="I50" i="48"/>
  <c r="H50" i="48"/>
  <c r="G50" i="48"/>
  <c r="F49" i="48"/>
  <c r="F48" i="48"/>
  <c r="F47" i="48"/>
  <c r="F46" i="48"/>
  <c r="F45" i="48"/>
  <c r="F42" i="48"/>
  <c r="F41" i="48"/>
  <c r="F40" i="48"/>
  <c r="F39" i="48"/>
  <c r="F38" i="48"/>
  <c r="P37" i="48"/>
  <c r="O37" i="48"/>
  <c r="P36" i="48"/>
  <c r="P61" i="48" s="1"/>
  <c r="P77" i="48" s="1"/>
  <c r="O36" i="48"/>
  <c r="N36" i="48"/>
  <c r="M36" i="48"/>
  <c r="L36" i="48"/>
  <c r="L61" i="48" s="1"/>
  <c r="L77" i="48" s="1"/>
  <c r="I36" i="48"/>
  <c r="H36" i="48"/>
  <c r="G36" i="48"/>
  <c r="P34" i="48"/>
  <c r="O34" i="48"/>
  <c r="N34" i="48"/>
  <c r="M34" i="48"/>
  <c r="L34" i="48"/>
  <c r="I34" i="48"/>
  <c r="H34" i="48"/>
  <c r="G34" i="48"/>
  <c r="P31" i="48"/>
  <c r="O31" i="48"/>
  <c r="N31" i="48"/>
  <c r="M31" i="48"/>
  <c r="L31" i="48"/>
  <c r="I31" i="48"/>
  <c r="H31" i="48"/>
  <c r="G31" i="48"/>
  <c r="O30" i="48"/>
  <c r="M30" i="48"/>
  <c r="I30" i="48"/>
  <c r="P26" i="48"/>
  <c r="O26" i="48"/>
  <c r="P20" i="48"/>
  <c r="O20" i="48"/>
  <c r="F19" i="48"/>
  <c r="F18" i="48"/>
  <c r="P14" i="48"/>
  <c r="O14" i="48"/>
  <c r="O13" i="48"/>
  <c r="N13" i="48"/>
  <c r="M13" i="48"/>
  <c r="I13" i="48"/>
  <c r="H13" i="48"/>
  <c r="G13" i="48"/>
  <c r="Q8" i="48"/>
  <c r="J7" i="36"/>
  <c r="J6" i="36"/>
  <c r="I7" i="36"/>
  <c r="L6" i="36"/>
  <c r="N7" i="36"/>
  <c r="K6" i="36"/>
  <c r="K242" i="50" l="1"/>
  <c r="K111" i="50" s="1"/>
  <c r="M25" i="51"/>
  <c r="K12" i="51"/>
  <c r="P84" i="48"/>
  <c r="P105" i="48" s="1"/>
  <c r="P123" i="48" s="1"/>
  <c r="L89" i="48"/>
  <c r="L110" i="48" s="1"/>
  <c r="L128" i="48" s="1"/>
  <c r="P89" i="48"/>
  <c r="P110" i="48" s="1"/>
  <c r="P128" i="48" s="1"/>
  <c r="L91" i="48"/>
  <c r="L112" i="48" s="1"/>
  <c r="L130" i="48" s="1"/>
  <c r="K85" i="48"/>
  <c r="K106" i="48" s="1"/>
  <c r="K124" i="48" s="1"/>
  <c r="J85" i="48"/>
  <c r="J106" i="48" s="1"/>
  <c r="J124" i="48" s="1"/>
  <c r="H66" i="49"/>
  <c r="L81" i="48"/>
  <c r="L102" i="48" s="1"/>
  <c r="P81" i="48"/>
  <c r="P102" i="48" s="1"/>
  <c r="P133" i="48"/>
  <c r="G85" i="48"/>
  <c r="G106" i="48" s="1"/>
  <c r="M85" i="48"/>
  <c r="M106" i="48" s="1"/>
  <c r="M124" i="48" s="1"/>
  <c r="G110" i="49"/>
  <c r="K110" i="49"/>
  <c r="K132" i="49" s="1"/>
  <c r="J110" i="49"/>
  <c r="J132" i="49" s="1"/>
  <c r="I66" i="49"/>
  <c r="J68" i="49"/>
  <c r="K70" i="49"/>
  <c r="I85" i="49"/>
  <c r="F107" i="49"/>
  <c r="F127" i="49" s="1"/>
  <c r="G127" i="49" s="1"/>
  <c r="F109" i="49"/>
  <c r="F129" i="49" s="1"/>
  <c r="G129" i="49" s="1"/>
  <c r="M141" i="50"/>
  <c r="G164" i="50"/>
  <c r="G185" i="50" s="1"/>
  <c r="K164" i="50"/>
  <c r="K185" i="50" s="1"/>
  <c r="K203" i="50" s="1"/>
  <c r="G165" i="50"/>
  <c r="G186" i="50" s="1"/>
  <c r="G204" i="50" s="1"/>
  <c r="F204" i="50" s="1"/>
  <c r="K165" i="50"/>
  <c r="K186" i="50" s="1"/>
  <c r="K204" i="50" s="1"/>
  <c r="K166" i="50"/>
  <c r="K187" i="50" s="1"/>
  <c r="K205" i="50" s="1"/>
  <c r="J208" i="50"/>
  <c r="N208" i="50"/>
  <c r="J210" i="50"/>
  <c r="N210" i="50"/>
  <c r="J172" i="50"/>
  <c r="J193" i="50" s="1"/>
  <c r="J211" i="50" s="1"/>
  <c r="N172" i="50"/>
  <c r="N193" i="50" s="1"/>
  <c r="N211" i="50" s="1"/>
  <c r="I173" i="50"/>
  <c r="M173" i="50"/>
  <c r="J164" i="50"/>
  <c r="J185" i="50" s="1"/>
  <c r="H370" i="50"/>
  <c r="H388" i="50" s="1"/>
  <c r="F437" i="50"/>
  <c r="F109" i="51"/>
  <c r="F130" i="51"/>
  <c r="F109" i="52"/>
  <c r="O133" i="48"/>
  <c r="O82" i="48"/>
  <c r="O103" i="48" s="1"/>
  <c r="L84" i="48"/>
  <c r="L105" i="48" s="1"/>
  <c r="L123" i="48" s="1"/>
  <c r="L85" i="48"/>
  <c r="L106" i="48" s="1"/>
  <c r="L124" i="48" s="1"/>
  <c r="P85" i="48"/>
  <c r="P106" i="48" s="1"/>
  <c r="P124" i="48" s="1"/>
  <c r="P91" i="48"/>
  <c r="P112" i="48" s="1"/>
  <c r="P130" i="48" s="1"/>
  <c r="K84" i="48"/>
  <c r="K105" i="48" s="1"/>
  <c r="K123" i="48" s="1"/>
  <c r="J84" i="48"/>
  <c r="J105" i="48" s="1"/>
  <c r="J123" i="48" s="1"/>
  <c r="G64" i="49"/>
  <c r="H84" i="48"/>
  <c r="H105" i="48" s="1"/>
  <c r="H123" i="48" s="1"/>
  <c r="N84" i="48"/>
  <c r="N105" i="48" s="1"/>
  <c r="N123" i="48" s="1"/>
  <c r="H85" i="48"/>
  <c r="H106" i="48" s="1"/>
  <c r="H124" i="48" s="1"/>
  <c r="N85" i="48"/>
  <c r="N106" i="48" s="1"/>
  <c r="N124" i="48" s="1"/>
  <c r="J83" i="48"/>
  <c r="J104" i="48" s="1"/>
  <c r="J122" i="48" s="1"/>
  <c r="K83" i="48"/>
  <c r="K104" i="48" s="1"/>
  <c r="K122" i="48" s="1"/>
  <c r="M90" i="48"/>
  <c r="M111" i="48" s="1"/>
  <c r="M129" i="48" s="1"/>
  <c r="F124" i="49"/>
  <c r="K68" i="49"/>
  <c r="L70" i="49"/>
  <c r="J85" i="49"/>
  <c r="I95" i="49"/>
  <c r="F40" i="50"/>
  <c r="N141" i="50"/>
  <c r="J159" i="50"/>
  <c r="H164" i="50"/>
  <c r="H185" i="50" s="1"/>
  <c r="L164" i="50"/>
  <c r="L185" i="50" s="1"/>
  <c r="H165" i="50"/>
  <c r="H186" i="50" s="1"/>
  <c r="H204" i="50" s="1"/>
  <c r="H166" i="50"/>
  <c r="H187" i="50" s="1"/>
  <c r="H205" i="50" s="1"/>
  <c r="L166" i="50"/>
  <c r="L187" i="50" s="1"/>
  <c r="L205" i="50" s="1"/>
  <c r="G210" i="50"/>
  <c r="K210" i="50"/>
  <c r="K172" i="50"/>
  <c r="K193" i="50" s="1"/>
  <c r="K211" i="50" s="1"/>
  <c r="J173" i="50"/>
  <c r="N173" i="50"/>
  <c r="F427" i="50"/>
  <c r="F127" i="51"/>
  <c r="F127" i="52"/>
  <c r="K25" i="50"/>
  <c r="I163" i="50"/>
  <c r="I184" i="50" s="1"/>
  <c r="I164" i="50"/>
  <c r="I185" i="50" s="1"/>
  <c r="I93" i="50" s="1"/>
  <c r="M164" i="50"/>
  <c r="M185" i="50" s="1"/>
  <c r="I165" i="50"/>
  <c r="I186" i="50" s="1"/>
  <c r="I204" i="50" s="1"/>
  <c r="M165" i="50"/>
  <c r="M186" i="50" s="1"/>
  <c r="M204" i="50" s="1"/>
  <c r="H210" i="50"/>
  <c r="L210" i="50"/>
  <c r="N161" i="50"/>
  <c r="N182" i="50" s="1"/>
  <c r="J166" i="50"/>
  <c r="J187" i="50" s="1"/>
  <c r="J205" i="50" s="1"/>
  <c r="F313" i="50"/>
  <c r="F327" i="50"/>
  <c r="F341" i="50"/>
  <c r="I25" i="52"/>
  <c r="L12" i="52"/>
  <c r="F129" i="52"/>
  <c r="I9" i="55"/>
  <c r="I16" i="55" s="1"/>
  <c r="K42" i="52"/>
  <c r="K67" i="52" s="1"/>
  <c r="K85" i="52" s="1"/>
  <c r="K106" i="52" s="1"/>
  <c r="K124" i="52" s="1"/>
  <c r="G67" i="52"/>
  <c r="F42" i="51"/>
  <c r="G67" i="51"/>
  <c r="I254" i="1"/>
  <c r="I13" i="1" s="1"/>
  <c r="I16" i="53"/>
  <c r="I12" i="52"/>
  <c r="F61" i="52"/>
  <c r="I16" i="54"/>
  <c r="P60" i="48"/>
  <c r="F31" i="48"/>
  <c r="F63" i="48"/>
  <c r="F64" i="48"/>
  <c r="F66" i="48"/>
  <c r="F84" i="48" s="1"/>
  <c r="F70" i="48"/>
  <c r="M127" i="48"/>
  <c r="G89" i="48"/>
  <c r="G110" i="48" s="1"/>
  <c r="G128" i="48" s="1"/>
  <c r="F128" i="48" s="1"/>
  <c r="M89" i="48"/>
  <c r="M110" i="48" s="1"/>
  <c r="M128" i="48" s="1"/>
  <c r="F72" i="48"/>
  <c r="F90" i="48" s="1"/>
  <c r="G91" i="48"/>
  <c r="G112" i="48" s="1"/>
  <c r="M91" i="48"/>
  <c r="M112" i="48" s="1"/>
  <c r="M130" i="48" s="1"/>
  <c r="H89" i="48"/>
  <c r="H110" i="48" s="1"/>
  <c r="H128" i="48" s="1"/>
  <c r="N89" i="48"/>
  <c r="N110" i="48" s="1"/>
  <c r="N128" i="48" s="1"/>
  <c r="H129" i="48"/>
  <c r="N129" i="48"/>
  <c r="H91" i="48"/>
  <c r="H112" i="48" s="1"/>
  <c r="H130" i="48" s="1"/>
  <c r="N91" i="48"/>
  <c r="N112" i="48" s="1"/>
  <c r="N130" i="48" s="1"/>
  <c r="N88" i="48"/>
  <c r="N109" i="48" s="1"/>
  <c r="N127" i="48" s="1"/>
  <c r="K88" i="48"/>
  <c r="K109" i="48" s="1"/>
  <c r="J88" i="48"/>
  <c r="J109" i="48" s="1"/>
  <c r="K90" i="48"/>
  <c r="K111" i="48" s="1"/>
  <c r="K129" i="48" s="1"/>
  <c r="J90" i="48"/>
  <c r="J111" i="48" s="1"/>
  <c r="J129" i="48" s="1"/>
  <c r="J89" i="48"/>
  <c r="J110" i="48" s="1"/>
  <c r="J128" i="48" s="1"/>
  <c r="K89" i="48"/>
  <c r="K110" i="48" s="1"/>
  <c r="K128" i="48" s="1"/>
  <c r="J91" i="48"/>
  <c r="J112" i="48" s="1"/>
  <c r="J130" i="48" s="1"/>
  <c r="K91" i="48"/>
  <c r="K112" i="48" s="1"/>
  <c r="K130" i="48" s="1"/>
  <c r="F50" i="48"/>
  <c r="F51" i="48"/>
  <c r="I89" i="48"/>
  <c r="I110" i="48" s="1"/>
  <c r="I128" i="48" s="1"/>
  <c r="O89" i="48"/>
  <c r="O110" i="48" s="1"/>
  <c r="O128" i="48" s="1"/>
  <c r="I129" i="48"/>
  <c r="O129" i="48"/>
  <c r="I91" i="48"/>
  <c r="I112" i="48" s="1"/>
  <c r="I130" i="48" s="1"/>
  <c r="O91" i="48"/>
  <c r="O112" i="48" s="1"/>
  <c r="O130" i="48" s="1"/>
  <c r="G90" i="48"/>
  <c r="G111" i="48" s="1"/>
  <c r="G129" i="48" s="1"/>
  <c r="F129" i="48" s="1"/>
  <c r="F141" i="48"/>
  <c r="F160" i="48"/>
  <c r="G160" i="48" s="1"/>
  <c r="G30" i="48" s="1"/>
  <c r="F30" i="48" s="1"/>
  <c r="J78" i="48"/>
  <c r="K78" i="48"/>
  <c r="N81" i="51"/>
  <c r="N102" i="51" s="1"/>
  <c r="L82" i="51"/>
  <c r="L103" i="51" s="1"/>
  <c r="I78" i="51"/>
  <c r="L78" i="51"/>
  <c r="L100" i="51" s="1"/>
  <c r="L116" i="51" s="1"/>
  <c r="L117" i="51" s="1"/>
  <c r="N82" i="51"/>
  <c r="N103" i="51" s="1"/>
  <c r="H78" i="51"/>
  <c r="J81" i="51"/>
  <c r="J102" i="51" s="1"/>
  <c r="M82" i="51"/>
  <c r="M103" i="51" s="1"/>
  <c r="M82" i="52"/>
  <c r="M103" i="52" s="1"/>
  <c r="G81" i="52"/>
  <c r="G102" i="52" s="1"/>
  <c r="I81" i="52"/>
  <c r="I102" i="52" s="1"/>
  <c r="L82" i="52"/>
  <c r="L103" i="52" s="1"/>
  <c r="N118" i="52"/>
  <c r="N121" i="52" s="1"/>
  <c r="L118" i="52"/>
  <c r="L119" i="52" s="1"/>
  <c r="N100" i="52"/>
  <c r="J81" i="52"/>
  <c r="J102" i="52" s="1"/>
  <c r="M118" i="52"/>
  <c r="M78" i="52"/>
  <c r="F105" i="52"/>
  <c r="G123" i="52"/>
  <c r="F123" i="52" s="1"/>
  <c r="L77" i="52"/>
  <c r="L81" i="52" s="1"/>
  <c r="L102" i="52" s="1"/>
  <c r="G128" i="52"/>
  <c r="F128" i="52" s="1"/>
  <c r="F110" i="52"/>
  <c r="K122" i="52"/>
  <c r="N122" i="52"/>
  <c r="N25" i="52" s="1"/>
  <c r="N12" i="52"/>
  <c r="H77" i="52"/>
  <c r="H81" i="52" s="1"/>
  <c r="H102" i="52" s="1"/>
  <c r="G133" i="52"/>
  <c r="F133" i="52" s="1"/>
  <c r="F113" i="52"/>
  <c r="G122" i="52"/>
  <c r="F104" i="52"/>
  <c r="J12" i="52"/>
  <c r="J122" i="52"/>
  <c r="J25" i="52" s="1"/>
  <c r="N81" i="52"/>
  <c r="N102" i="52" s="1"/>
  <c r="M118" i="51"/>
  <c r="M119" i="51" s="1"/>
  <c r="J118" i="51"/>
  <c r="J119" i="51" s="1"/>
  <c r="L118" i="51"/>
  <c r="J123" i="51"/>
  <c r="J25" i="51" s="1"/>
  <c r="J12" i="51"/>
  <c r="N118" i="51"/>
  <c r="K80" i="51"/>
  <c r="K101" i="51" s="1"/>
  <c r="F113" i="51"/>
  <c r="G133" i="51"/>
  <c r="F133" i="51" s="1"/>
  <c r="J82" i="51"/>
  <c r="J103" i="51" s="1"/>
  <c r="M12" i="51"/>
  <c r="K25" i="51"/>
  <c r="M78" i="51"/>
  <c r="N123" i="51"/>
  <c r="N25" i="51" s="1"/>
  <c r="N12" i="51"/>
  <c r="F105" i="51"/>
  <c r="K77" i="51"/>
  <c r="K81" i="51" s="1"/>
  <c r="K102" i="51" s="1"/>
  <c r="J100" i="51"/>
  <c r="L12" i="51"/>
  <c r="N116" i="51"/>
  <c r="H122" i="51"/>
  <c r="H25" i="51" s="1"/>
  <c r="H12" i="51"/>
  <c r="G128" i="51"/>
  <c r="F128" i="51" s="1"/>
  <c r="F110" i="51"/>
  <c r="F104" i="51"/>
  <c r="G77" i="51"/>
  <c r="G81" i="51" s="1"/>
  <c r="F61" i="51"/>
  <c r="I12" i="51"/>
  <c r="L25" i="51"/>
  <c r="L122" i="48"/>
  <c r="P122" i="48"/>
  <c r="P12" i="48"/>
  <c r="I122" i="48"/>
  <c r="G122" i="48"/>
  <c r="F104" i="48"/>
  <c r="M122" i="48"/>
  <c r="F106" i="48"/>
  <c r="G124" i="48"/>
  <c r="F110" i="48"/>
  <c r="G130" i="48"/>
  <c r="F88" i="48"/>
  <c r="O122" i="48"/>
  <c r="G123" i="48"/>
  <c r="F123" i="48" s="1"/>
  <c r="F105" i="48"/>
  <c r="H122" i="48"/>
  <c r="N122" i="48"/>
  <c r="F65" i="48"/>
  <c r="F83" i="48" s="1"/>
  <c r="F71" i="48"/>
  <c r="F89" i="48" s="1"/>
  <c r="I112" i="49"/>
  <c r="I113" i="49" s="1"/>
  <c r="L160" i="49"/>
  <c r="H160" i="49"/>
  <c r="J160" i="49"/>
  <c r="K302" i="50"/>
  <c r="H332" i="50"/>
  <c r="H141" i="50"/>
  <c r="L182" i="50"/>
  <c r="L141" i="50"/>
  <c r="J203" i="50"/>
  <c r="G302" i="50"/>
  <c r="F36" i="48"/>
  <c r="G61" i="48"/>
  <c r="M61" i="48"/>
  <c r="P62" i="48"/>
  <c r="L78" i="48"/>
  <c r="P78" i="48"/>
  <c r="J64" i="49"/>
  <c r="J95" i="49"/>
  <c r="G150" i="49"/>
  <c r="G160" i="49" s="1"/>
  <c r="F58" i="49"/>
  <c r="K150" i="49"/>
  <c r="K160" i="49" s="1"/>
  <c r="J87" i="49"/>
  <c r="L86" i="49"/>
  <c r="H86" i="49"/>
  <c r="K86" i="49"/>
  <c r="G86" i="49"/>
  <c r="J86" i="49"/>
  <c r="J124" i="49"/>
  <c r="G124" i="49" s="1"/>
  <c r="J70" i="49"/>
  <c r="F121" i="49"/>
  <c r="I160" i="49"/>
  <c r="N25" i="50"/>
  <c r="J180" i="50"/>
  <c r="N199" i="50"/>
  <c r="N200" i="50" s="1"/>
  <c r="N203" i="50"/>
  <c r="O88" i="48"/>
  <c r="O109" i="48" s="1"/>
  <c r="O127" i="48" s="1"/>
  <c r="O92" i="48"/>
  <c r="G65" i="49"/>
  <c r="F38" i="49"/>
  <c r="G96" i="49"/>
  <c r="L122" i="49"/>
  <c r="L68" i="49"/>
  <c r="I180" i="50"/>
  <c r="L13" i="48"/>
  <c r="P13" i="48"/>
  <c r="O60" i="48"/>
  <c r="H61" i="48"/>
  <c r="N61" i="48"/>
  <c r="F67" i="48"/>
  <c r="F85" i="48" s="1"/>
  <c r="F73" i="48"/>
  <c r="F91" i="48" s="1"/>
  <c r="O80" i="48"/>
  <c r="O101" i="48" s="1"/>
  <c r="G88" i="48"/>
  <c r="G109" i="48" s="1"/>
  <c r="J99" i="49"/>
  <c r="I41" i="49"/>
  <c r="J114" i="49"/>
  <c r="J115" i="49" s="1"/>
  <c r="K121" i="49"/>
  <c r="K67" i="49"/>
  <c r="I123" i="49"/>
  <c r="I69" i="49"/>
  <c r="H242" i="50"/>
  <c r="H111" i="50" s="1"/>
  <c r="H94" i="50"/>
  <c r="L242" i="50"/>
  <c r="L111" i="50" s="1"/>
  <c r="L94" i="50"/>
  <c r="I88" i="48"/>
  <c r="I109" i="48" s="1"/>
  <c r="I127" i="48" s="1"/>
  <c r="K65" i="49"/>
  <c r="K63" i="49" s="1"/>
  <c r="K96" i="49"/>
  <c r="H122" i="49"/>
  <c r="H68" i="49"/>
  <c r="I61" i="48"/>
  <c r="O61" i="48"/>
  <c r="H88" i="48"/>
  <c r="H109" i="48" s="1"/>
  <c r="H127" i="48" s="1"/>
  <c r="H113" i="49"/>
  <c r="L113" i="49"/>
  <c r="F39" i="49"/>
  <c r="H97" i="49"/>
  <c r="F120" i="49"/>
  <c r="H110" i="49"/>
  <c r="H132" i="49" s="1"/>
  <c r="H73" i="49"/>
  <c r="H87" i="49" s="1"/>
  <c r="F53" i="49"/>
  <c r="H41" i="49"/>
  <c r="L110" i="49"/>
  <c r="L132" i="49" s="1"/>
  <c r="L73" i="49"/>
  <c r="L87" i="49" s="1"/>
  <c r="L41" i="49"/>
  <c r="G77" i="49"/>
  <c r="F67" i="49"/>
  <c r="F97" i="49"/>
  <c r="J120" i="49"/>
  <c r="J66" i="49"/>
  <c r="F108" i="49"/>
  <c r="F128" i="49" s="1"/>
  <c r="H128" i="49"/>
  <c r="H300" i="50"/>
  <c r="H65" i="50"/>
  <c r="H20" i="50"/>
  <c r="H14" i="50" s="1"/>
  <c r="H12" i="50" s="1"/>
  <c r="N300" i="50"/>
  <c r="N65" i="50"/>
  <c r="N20" i="50"/>
  <c r="N14" i="50" s="1"/>
  <c r="N12" i="50" s="1"/>
  <c r="J26" i="50"/>
  <c r="J333" i="50" s="1"/>
  <c r="J356" i="50" s="1"/>
  <c r="J25" i="50"/>
  <c r="J370" i="50"/>
  <c r="J388" i="50" s="1"/>
  <c r="J366" i="50"/>
  <c r="J384" i="50" s="1"/>
  <c r="J369" i="50"/>
  <c r="J387" i="50" s="1"/>
  <c r="J408" i="50" s="1"/>
  <c r="J426" i="50" s="1"/>
  <c r="J56" i="50" s="1"/>
  <c r="J367" i="50"/>
  <c r="J385" i="50" s="1"/>
  <c r="J362" i="50"/>
  <c r="J380" i="50" s="1"/>
  <c r="J401" i="50" s="1"/>
  <c r="J419" i="50" s="1"/>
  <c r="J51" i="50" s="1"/>
  <c r="J358" i="50"/>
  <c r="J361" i="50"/>
  <c r="J379" i="50" s="1"/>
  <c r="J400" i="50" s="1"/>
  <c r="J357" i="50"/>
  <c r="J312" i="50"/>
  <c r="J311" i="50" s="1"/>
  <c r="J306" i="50" s="1"/>
  <c r="J360" i="50"/>
  <c r="J399" i="50" s="1"/>
  <c r="J368" i="50"/>
  <c r="J386" i="50" s="1"/>
  <c r="J407" i="50" s="1"/>
  <c r="J425" i="50" s="1"/>
  <c r="J363" i="50"/>
  <c r="J381" i="50" s="1"/>
  <c r="J359" i="50"/>
  <c r="N370" i="50"/>
  <c r="N388" i="50" s="1"/>
  <c r="N366" i="50"/>
  <c r="N384" i="50" s="1"/>
  <c r="N369" i="50"/>
  <c r="N387" i="50" s="1"/>
  <c r="N363" i="50"/>
  <c r="N381" i="50" s="1"/>
  <c r="N362" i="50"/>
  <c r="N380" i="50" s="1"/>
  <c r="N401" i="50" s="1"/>
  <c r="N419" i="50" s="1"/>
  <c r="N51" i="50" s="1"/>
  <c r="N368" i="50"/>
  <c r="N386" i="50" s="1"/>
  <c r="N361" i="50"/>
  <c r="N379" i="50" s="1"/>
  <c r="N400" i="50" s="1"/>
  <c r="N367" i="50"/>
  <c r="N385" i="50" s="1"/>
  <c r="N406" i="50" s="1"/>
  <c r="N424" i="50" s="1"/>
  <c r="N360" i="50"/>
  <c r="N359" i="50"/>
  <c r="H180" i="50"/>
  <c r="I158" i="50"/>
  <c r="I162" i="50" s="1"/>
  <c r="I183" i="50" s="1"/>
  <c r="I159" i="50"/>
  <c r="M158" i="50"/>
  <c r="M162" i="50" s="1"/>
  <c r="M183" i="50" s="1"/>
  <c r="G203" i="50"/>
  <c r="F186" i="50"/>
  <c r="F148" i="50"/>
  <c r="G166" i="50"/>
  <c r="G187" i="50" s="1"/>
  <c r="N170" i="50"/>
  <c r="N191" i="50" s="1"/>
  <c r="N209" i="50" s="1"/>
  <c r="J170" i="50"/>
  <c r="J191" i="50" s="1"/>
  <c r="J209" i="50" s="1"/>
  <c r="G41" i="49"/>
  <c r="K41" i="49"/>
  <c r="F54" i="49"/>
  <c r="H64" i="49"/>
  <c r="L64" i="49"/>
  <c r="F64" i="49" s="1"/>
  <c r="I65" i="49"/>
  <c r="F66" i="49"/>
  <c r="F70" i="49"/>
  <c r="G73" i="49"/>
  <c r="K73" i="49"/>
  <c r="K87" i="49" s="1"/>
  <c r="G85" i="49"/>
  <c r="K85" i="49"/>
  <c r="F103" i="49"/>
  <c r="G103" i="49" s="1"/>
  <c r="G69" i="49" s="1"/>
  <c r="H434" i="50"/>
  <c r="H354" i="50"/>
  <c r="H393" i="50"/>
  <c r="H330" i="50"/>
  <c r="L434" i="50"/>
  <c r="L354" i="50"/>
  <c r="L393" i="50"/>
  <c r="L330" i="50"/>
  <c r="F17" i="50"/>
  <c r="L62" i="50"/>
  <c r="L180" i="50"/>
  <c r="M160" i="50"/>
  <c r="M161" i="50" s="1"/>
  <c r="M182" i="50" s="1"/>
  <c r="F131" i="50"/>
  <c r="G347" i="50"/>
  <c r="F132" i="50"/>
  <c r="G184" i="50"/>
  <c r="H203" i="50"/>
  <c r="L203" i="50"/>
  <c r="G170" i="50"/>
  <c r="G191" i="50" s="1"/>
  <c r="K170" i="50"/>
  <c r="K191" i="50" s="1"/>
  <c r="K209" i="50" s="1"/>
  <c r="K106" i="50" s="1"/>
  <c r="G172" i="50"/>
  <c r="G193" i="50" s="1"/>
  <c r="F154" i="50"/>
  <c r="H159" i="50"/>
  <c r="L194" i="50"/>
  <c r="L214" i="50" s="1"/>
  <c r="F69" i="49"/>
  <c r="H85" i="49"/>
  <c r="G95" i="49"/>
  <c r="K95" i="49"/>
  <c r="H96" i="49"/>
  <c r="L96" i="49"/>
  <c r="F102" i="49"/>
  <c r="G102" i="49" s="1"/>
  <c r="G68" i="49" s="1"/>
  <c r="I302" i="50"/>
  <c r="M302" i="50"/>
  <c r="M20" i="50"/>
  <c r="M14" i="50" s="1"/>
  <c r="M12" i="50" s="1"/>
  <c r="I26" i="50"/>
  <c r="F26" i="50" s="1"/>
  <c r="K180" i="50"/>
  <c r="H346" i="50"/>
  <c r="H409" i="50" s="1"/>
  <c r="H429" i="50" s="1"/>
  <c r="H57" i="50" s="1"/>
  <c r="H194" i="50"/>
  <c r="H214" i="50" s="1"/>
  <c r="L161" i="50"/>
  <c r="M163" i="50"/>
  <c r="M184" i="50" s="1"/>
  <c r="I203" i="50"/>
  <c r="M203" i="50"/>
  <c r="H170" i="50"/>
  <c r="H191" i="50" s="1"/>
  <c r="H209" i="50" s="1"/>
  <c r="L170" i="50"/>
  <c r="L191" i="50" s="1"/>
  <c r="L209" i="50" s="1"/>
  <c r="L159" i="50"/>
  <c r="I73" i="49"/>
  <c r="I87" i="49" s="1"/>
  <c r="I96" i="49"/>
  <c r="J302" i="50"/>
  <c r="N302" i="50"/>
  <c r="G300" i="50"/>
  <c r="G65" i="50"/>
  <c r="G20" i="50"/>
  <c r="M498" i="50"/>
  <c r="M490" i="50" s="1"/>
  <c r="M481" i="50"/>
  <c r="M472" i="50"/>
  <c r="I367" i="50"/>
  <c r="I385" i="50" s="1"/>
  <c r="I406" i="50" s="1"/>
  <c r="I424" i="50" s="1"/>
  <c r="I370" i="50"/>
  <c r="I388" i="50" s="1"/>
  <c r="I366" i="50"/>
  <c r="I384" i="50" s="1"/>
  <c r="I405" i="50" s="1"/>
  <c r="I423" i="50" s="1"/>
  <c r="I53" i="50" s="1"/>
  <c r="I368" i="50"/>
  <c r="I386" i="50" s="1"/>
  <c r="I363" i="50"/>
  <c r="I381" i="50" s="1"/>
  <c r="I359" i="50"/>
  <c r="I362" i="50"/>
  <c r="I380" i="50" s="1"/>
  <c r="I401" i="50" s="1"/>
  <c r="I419" i="50" s="1"/>
  <c r="I51" i="50" s="1"/>
  <c r="I358" i="50"/>
  <c r="I361" i="50"/>
  <c r="I379" i="50" s="1"/>
  <c r="I357" i="50"/>
  <c r="I312" i="50"/>
  <c r="I311" i="50" s="1"/>
  <c r="I306" i="50" s="1"/>
  <c r="I369" i="50"/>
  <c r="I387" i="50" s="1"/>
  <c r="I408" i="50" s="1"/>
  <c r="I426" i="50" s="1"/>
  <c r="I56" i="50" s="1"/>
  <c r="I360" i="50"/>
  <c r="M367" i="50"/>
  <c r="M385" i="50" s="1"/>
  <c r="M370" i="50"/>
  <c r="M388" i="50" s="1"/>
  <c r="M366" i="50"/>
  <c r="M384" i="50" s="1"/>
  <c r="M363" i="50"/>
  <c r="M381" i="50" s="1"/>
  <c r="M359" i="50"/>
  <c r="M369" i="50"/>
  <c r="M387" i="50" s="1"/>
  <c r="M362" i="50"/>
  <c r="M380" i="50" s="1"/>
  <c r="M401" i="50" s="1"/>
  <c r="M419" i="50" s="1"/>
  <c r="M51" i="50" s="1"/>
  <c r="M368" i="50"/>
  <c r="M386" i="50" s="1"/>
  <c r="M361" i="50"/>
  <c r="M379" i="50" s="1"/>
  <c r="M400" i="50" s="1"/>
  <c r="M360" i="50"/>
  <c r="F107" i="50"/>
  <c r="K182" i="50"/>
  <c r="G333" i="50"/>
  <c r="F118" i="50"/>
  <c r="K333" i="50"/>
  <c r="F144" i="50"/>
  <c r="J163" i="50"/>
  <c r="J184" i="50" s="1"/>
  <c r="N163" i="50"/>
  <c r="N184" i="50" s="1"/>
  <c r="I170" i="50"/>
  <c r="I191" i="50" s="1"/>
  <c r="I209" i="50" s="1"/>
  <c r="M170" i="50"/>
  <c r="M191" i="50" s="1"/>
  <c r="M209" i="50" s="1"/>
  <c r="N158" i="50"/>
  <c r="N159" i="50" s="1"/>
  <c r="N181" i="50" s="1"/>
  <c r="H160" i="50"/>
  <c r="H163" i="50" s="1"/>
  <c r="H184" i="50" s="1"/>
  <c r="K498" i="50"/>
  <c r="K490" i="50" s="1"/>
  <c r="K481" i="50"/>
  <c r="K472" i="50"/>
  <c r="G369" i="50"/>
  <c r="G368" i="50"/>
  <c r="G370" i="50"/>
  <c r="G361" i="50"/>
  <c r="G357" i="50"/>
  <c r="G312" i="50"/>
  <c r="G367" i="50"/>
  <c r="G360" i="50"/>
  <c r="G366" i="50"/>
  <c r="G363" i="50"/>
  <c r="G359" i="50"/>
  <c r="G362" i="50"/>
  <c r="G358" i="50"/>
  <c r="K369" i="50"/>
  <c r="K387" i="50" s="1"/>
  <c r="K368" i="50"/>
  <c r="K386" i="50" s="1"/>
  <c r="K407" i="50" s="1"/>
  <c r="K425" i="50" s="1"/>
  <c r="K366" i="50"/>
  <c r="K384" i="50" s="1"/>
  <c r="K361" i="50"/>
  <c r="K379" i="50" s="1"/>
  <c r="K400" i="50" s="1"/>
  <c r="K357" i="50"/>
  <c r="K312" i="50"/>
  <c r="K311" i="50" s="1"/>
  <c r="K306" i="50" s="1"/>
  <c r="K360" i="50"/>
  <c r="K370" i="50"/>
  <c r="K388" i="50" s="1"/>
  <c r="K363" i="50"/>
  <c r="K381" i="50" s="1"/>
  <c r="K402" i="50" s="1"/>
  <c r="K420" i="50" s="1"/>
  <c r="K52" i="50" s="1"/>
  <c r="K359" i="50"/>
  <c r="K358" i="50"/>
  <c r="K367" i="50"/>
  <c r="K385" i="50" s="1"/>
  <c r="L25" i="50"/>
  <c r="F25" i="50" s="1"/>
  <c r="G96" i="50"/>
  <c r="I332" i="50"/>
  <c r="I182" i="50"/>
  <c r="I181" i="50"/>
  <c r="M332" i="50"/>
  <c r="H333" i="50"/>
  <c r="L333" i="50"/>
  <c r="I346" i="50"/>
  <c r="I409" i="50" s="1"/>
  <c r="I429" i="50" s="1"/>
  <c r="I57" i="50" s="1"/>
  <c r="M346" i="50"/>
  <c r="H347" i="50"/>
  <c r="L347" i="50"/>
  <c r="L409" i="50" s="1"/>
  <c r="L429" i="50" s="1"/>
  <c r="L57" i="50" s="1"/>
  <c r="G141" i="50"/>
  <c r="K141" i="50"/>
  <c r="F142" i="50"/>
  <c r="F146" i="50"/>
  <c r="F152" i="50"/>
  <c r="M171" i="50"/>
  <c r="M192" i="50" s="1"/>
  <c r="M210" i="50" s="1"/>
  <c r="F210" i="50" s="1"/>
  <c r="H172" i="50"/>
  <c r="H193" i="50" s="1"/>
  <c r="H211" i="50" s="1"/>
  <c r="L172" i="50"/>
  <c r="L193" i="50" s="1"/>
  <c r="L211" i="50" s="1"/>
  <c r="G158" i="50"/>
  <c r="G159" i="50" s="1"/>
  <c r="K158" i="50"/>
  <c r="K159" i="50" s="1"/>
  <c r="G161" i="50"/>
  <c r="G182" i="50" s="1"/>
  <c r="K161" i="50"/>
  <c r="M194" i="50"/>
  <c r="M214" i="50" s="1"/>
  <c r="K332" i="50"/>
  <c r="L498" i="50"/>
  <c r="L490" i="50" s="1"/>
  <c r="L481" i="50"/>
  <c r="L472" i="50"/>
  <c r="H368" i="50"/>
  <c r="H386" i="50" s="1"/>
  <c r="H367" i="50"/>
  <c r="H385" i="50" s="1"/>
  <c r="H369" i="50"/>
  <c r="H387" i="50" s="1"/>
  <c r="H408" i="50" s="1"/>
  <c r="H426" i="50" s="1"/>
  <c r="H56" i="50" s="1"/>
  <c r="H360" i="50"/>
  <c r="H399" i="50" s="1"/>
  <c r="H366" i="50"/>
  <c r="H384" i="50" s="1"/>
  <c r="H363" i="50"/>
  <c r="H381" i="50" s="1"/>
  <c r="H359" i="50"/>
  <c r="H362" i="50"/>
  <c r="H380" i="50" s="1"/>
  <c r="H358" i="50"/>
  <c r="H361" i="50"/>
  <c r="H379" i="50" s="1"/>
  <c r="L368" i="50"/>
  <c r="L386" i="50" s="1"/>
  <c r="L407" i="50" s="1"/>
  <c r="L425" i="50" s="1"/>
  <c r="L367" i="50"/>
  <c r="L385" i="50" s="1"/>
  <c r="L406" i="50" s="1"/>
  <c r="L424" i="50" s="1"/>
  <c r="L360" i="50"/>
  <c r="L370" i="50"/>
  <c r="L388" i="50" s="1"/>
  <c r="L363" i="50"/>
  <c r="L381" i="50" s="1"/>
  <c r="L402" i="50" s="1"/>
  <c r="L420" i="50" s="1"/>
  <c r="L52" i="50" s="1"/>
  <c r="L359" i="50"/>
  <c r="L369" i="50"/>
  <c r="L387" i="50" s="1"/>
  <c r="L408" i="50" s="1"/>
  <c r="L426" i="50" s="1"/>
  <c r="L362" i="50"/>
  <c r="L380" i="50" s="1"/>
  <c r="L358" i="50"/>
  <c r="L361" i="50"/>
  <c r="L379" i="50" s="1"/>
  <c r="L400" i="50" s="1"/>
  <c r="L357" i="50"/>
  <c r="L312" i="50"/>
  <c r="L311" i="50" s="1"/>
  <c r="L306" i="50" s="1"/>
  <c r="K20" i="50"/>
  <c r="K14" i="50" s="1"/>
  <c r="K12" i="50" s="1"/>
  <c r="K65" i="50"/>
  <c r="F117" i="50"/>
  <c r="J332" i="50"/>
  <c r="J181" i="50"/>
  <c r="N332" i="50"/>
  <c r="M333" i="50"/>
  <c r="M358" i="50" s="1"/>
  <c r="J346" i="50"/>
  <c r="J409" i="50" s="1"/>
  <c r="J429" i="50" s="1"/>
  <c r="J57" i="50" s="1"/>
  <c r="J194" i="50"/>
  <c r="J214" i="50" s="1"/>
  <c r="N346" i="50"/>
  <c r="N194" i="50"/>
  <c r="N214" i="50" s="1"/>
  <c r="I347" i="50"/>
  <c r="M347" i="50"/>
  <c r="F143" i="50"/>
  <c r="F147" i="50"/>
  <c r="F153" i="50"/>
  <c r="J182" i="50"/>
  <c r="F223" i="50"/>
  <c r="G399" i="50"/>
  <c r="F336" i="50"/>
  <c r="J406" i="50"/>
  <c r="J424" i="50" s="1"/>
  <c r="I407" i="50"/>
  <c r="I425" i="50" s="1"/>
  <c r="M407" i="50"/>
  <c r="M425" i="50" s="1"/>
  <c r="M408" i="50"/>
  <c r="M426" i="50" s="1"/>
  <c r="M56" i="50" s="1"/>
  <c r="H356" i="50"/>
  <c r="K362" i="50"/>
  <c r="K380" i="50" s="1"/>
  <c r="L65" i="50"/>
  <c r="L66" i="50" s="1"/>
  <c r="N333" i="50"/>
  <c r="N358" i="50" s="1"/>
  <c r="G346" i="50"/>
  <c r="G409" i="50" s="1"/>
  <c r="G194" i="50"/>
  <c r="K346" i="50"/>
  <c r="K194" i="50"/>
  <c r="K214" i="50" s="1"/>
  <c r="J347" i="50"/>
  <c r="N347" i="50"/>
  <c r="G208" i="50"/>
  <c r="F208" i="50" s="1"/>
  <c r="F190" i="50"/>
  <c r="I194" i="50"/>
  <c r="I214" i="50" s="1"/>
  <c r="F232" i="50"/>
  <c r="F242" i="50" s="1"/>
  <c r="G242" i="50" s="1"/>
  <c r="G111" i="50" s="1"/>
  <c r="F111" i="50" s="1"/>
  <c r="H357" i="50"/>
  <c r="L366" i="50"/>
  <c r="L384" i="50" s="1"/>
  <c r="L405" i="50" s="1"/>
  <c r="L423" i="50" s="1"/>
  <c r="L53" i="50" s="1"/>
  <c r="L399" i="50"/>
  <c r="K405" i="50"/>
  <c r="K423" i="50" s="1"/>
  <c r="K53" i="50" s="1"/>
  <c r="F342" i="50"/>
  <c r="K406" i="50"/>
  <c r="K424" i="50" s="1"/>
  <c r="N407" i="50"/>
  <c r="N425" i="50" s="1"/>
  <c r="H402" i="50"/>
  <c r="H420" i="50" s="1"/>
  <c r="H52" i="50" s="1"/>
  <c r="H405" i="50"/>
  <c r="H423" i="50" s="1"/>
  <c r="H53" i="50" s="1"/>
  <c r="F345" i="50"/>
  <c r="N356" i="50"/>
  <c r="I402" i="50"/>
  <c r="I420" i="50" s="1"/>
  <c r="I52" i="50" s="1"/>
  <c r="M402" i="50"/>
  <c r="M420" i="50" s="1"/>
  <c r="M52" i="50" s="1"/>
  <c r="G356" i="50"/>
  <c r="K356" i="50"/>
  <c r="F349" i="50"/>
  <c r="F350" i="50"/>
  <c r="G316" i="50"/>
  <c r="F316" i="50" s="1"/>
  <c r="I498" i="50"/>
  <c r="I490" i="50" s="1"/>
  <c r="I481" i="50"/>
  <c r="I472" i="50"/>
  <c r="F334" i="50"/>
  <c r="I399" i="50"/>
  <c r="M399" i="50"/>
  <c r="H400" i="50"/>
  <c r="K401" i="50"/>
  <c r="K419" i="50" s="1"/>
  <c r="K51" i="50" s="1"/>
  <c r="F338" i="50"/>
  <c r="J402" i="50"/>
  <c r="J420" i="50" s="1"/>
  <c r="J52" i="50" s="1"/>
  <c r="N402" i="50"/>
  <c r="N420" i="50" s="1"/>
  <c r="N52" i="50" s="1"/>
  <c r="M405" i="50"/>
  <c r="M423" i="50" s="1"/>
  <c r="M53" i="50" s="1"/>
  <c r="H406" i="50"/>
  <c r="H424" i="50" s="1"/>
  <c r="F344" i="50"/>
  <c r="N408" i="50"/>
  <c r="N426" i="50" s="1"/>
  <c r="N56" i="50" s="1"/>
  <c r="F348" i="50"/>
  <c r="F446" i="50"/>
  <c r="J498" i="50"/>
  <c r="J490" i="50" s="1"/>
  <c r="J481" i="50"/>
  <c r="J472" i="50"/>
  <c r="F335" i="50"/>
  <c r="I400" i="50"/>
  <c r="H401" i="50"/>
  <c r="H419" i="50" s="1"/>
  <c r="H51" i="50" s="1"/>
  <c r="L401" i="50"/>
  <c r="L419" i="50" s="1"/>
  <c r="L51" i="50" s="1"/>
  <c r="J405" i="50"/>
  <c r="J423" i="50" s="1"/>
  <c r="J53" i="50" s="1"/>
  <c r="N405" i="50"/>
  <c r="N423" i="50" s="1"/>
  <c r="N53" i="50" s="1"/>
  <c r="M406" i="50"/>
  <c r="M424" i="50" s="1"/>
  <c r="H407" i="50"/>
  <c r="H425" i="50" s="1"/>
  <c r="K408" i="50"/>
  <c r="K426" i="50" s="1"/>
  <c r="K56" i="50" s="1"/>
  <c r="K409" i="50"/>
  <c r="K429" i="50" s="1"/>
  <c r="F456" i="50"/>
  <c r="G456" i="50" s="1"/>
  <c r="G326" i="50" s="1"/>
  <c r="F326" i="50" s="1"/>
  <c r="F459" i="50"/>
  <c r="I333" i="50" l="1"/>
  <c r="I356" i="50" s="1"/>
  <c r="N162" i="50"/>
  <c r="N183" i="50" s="1"/>
  <c r="H395" i="50"/>
  <c r="F185" i="50"/>
  <c r="P25" i="48"/>
  <c r="F123" i="51"/>
  <c r="N409" i="50"/>
  <c r="N429" i="50" s="1"/>
  <c r="N57" i="50" s="1"/>
  <c r="L56" i="50"/>
  <c r="M409" i="50"/>
  <c r="M429" i="50" s="1"/>
  <c r="M57" i="50" s="1"/>
  <c r="M159" i="50"/>
  <c r="M181" i="50" s="1"/>
  <c r="M198" i="50" s="1"/>
  <c r="F124" i="48"/>
  <c r="G93" i="50"/>
  <c r="F110" i="49"/>
  <c r="F132" i="49" s="1"/>
  <c r="G132" i="49" s="1"/>
  <c r="F42" i="52"/>
  <c r="K25" i="52"/>
  <c r="K12" i="52"/>
  <c r="G85" i="52"/>
  <c r="G106" i="52" s="1"/>
  <c r="F67" i="52"/>
  <c r="F85" i="52" s="1"/>
  <c r="G85" i="51"/>
  <c r="G106" i="51" s="1"/>
  <c r="F67" i="51"/>
  <c r="F85" i="51" s="1"/>
  <c r="K11" i="52"/>
  <c r="K37" i="52" s="1"/>
  <c r="I11" i="52"/>
  <c r="I11" i="48" s="1"/>
  <c r="J5" i="36" s="1"/>
  <c r="J11" i="52"/>
  <c r="J37" i="52" s="1"/>
  <c r="M121" i="52"/>
  <c r="F130" i="48"/>
  <c r="J127" i="48"/>
  <c r="F111" i="48"/>
  <c r="F112" i="48"/>
  <c r="K127" i="48"/>
  <c r="L121" i="51"/>
  <c r="N120" i="51"/>
  <c r="N93" i="51"/>
  <c r="N16" i="51" s="1"/>
  <c r="N15" i="51" s="1"/>
  <c r="N10" i="51" s="1"/>
  <c r="N99" i="51" s="1"/>
  <c r="N121" i="51"/>
  <c r="L93" i="51"/>
  <c r="L16" i="51" s="1"/>
  <c r="L15" i="51" s="1"/>
  <c r="L10" i="51" s="1"/>
  <c r="L99" i="51" s="1"/>
  <c r="M121" i="51"/>
  <c r="L120" i="51"/>
  <c r="J93" i="51"/>
  <c r="J16" i="51" s="1"/>
  <c r="J15" i="51" s="1"/>
  <c r="J10" i="51" s="1"/>
  <c r="J99" i="51" s="1"/>
  <c r="L119" i="51"/>
  <c r="N117" i="51"/>
  <c r="N119" i="51"/>
  <c r="L78" i="52"/>
  <c r="L93" i="52" s="1"/>
  <c r="L16" i="52" s="1"/>
  <c r="L15" i="52" s="1"/>
  <c r="L10" i="52" s="1"/>
  <c r="M119" i="52"/>
  <c r="H78" i="52"/>
  <c r="F81" i="52"/>
  <c r="N116" i="52"/>
  <c r="N117" i="52" s="1"/>
  <c r="L121" i="52"/>
  <c r="F102" i="52"/>
  <c r="N93" i="52"/>
  <c r="N16" i="52" s="1"/>
  <c r="N15" i="52" s="1"/>
  <c r="N10" i="52" s="1"/>
  <c r="F122" i="52"/>
  <c r="M93" i="52"/>
  <c r="M16" i="52" s="1"/>
  <c r="M15" i="52" s="1"/>
  <c r="M10" i="52" s="1"/>
  <c r="M100" i="52"/>
  <c r="N119" i="52"/>
  <c r="F81" i="51"/>
  <c r="G102" i="51"/>
  <c r="F122" i="51"/>
  <c r="G78" i="51"/>
  <c r="J116" i="51"/>
  <c r="J120" i="51" s="1"/>
  <c r="M93" i="51"/>
  <c r="M16" i="51" s="1"/>
  <c r="M15" i="51" s="1"/>
  <c r="M10" i="51" s="1"/>
  <c r="M100" i="51"/>
  <c r="J121" i="51"/>
  <c r="K118" i="51"/>
  <c r="K121" i="51" s="1"/>
  <c r="K78" i="51"/>
  <c r="M418" i="50"/>
  <c r="N418" i="50"/>
  <c r="N308" i="50"/>
  <c r="G181" i="50"/>
  <c r="L70" i="50"/>
  <c r="L73" i="50"/>
  <c r="M375" i="50"/>
  <c r="M376" i="50" s="1"/>
  <c r="M397" i="50" s="1"/>
  <c r="K181" i="50"/>
  <c r="N375" i="50"/>
  <c r="N378" i="50" s="1"/>
  <c r="M199" i="50"/>
  <c r="M200" i="50" s="1"/>
  <c r="G199" i="50"/>
  <c r="G200" i="50" s="1"/>
  <c r="K418" i="50"/>
  <c r="K308" i="50"/>
  <c r="I395" i="50"/>
  <c r="J395" i="50"/>
  <c r="N197" i="50"/>
  <c r="N198" i="50" s="1"/>
  <c r="G375" i="50"/>
  <c r="G376" i="50" s="1"/>
  <c r="F358" i="50"/>
  <c r="K199" i="50"/>
  <c r="K202" i="50" s="1"/>
  <c r="N174" i="50"/>
  <c r="N97" i="50" s="1"/>
  <c r="N96" i="50" s="1"/>
  <c r="N91" i="50" s="1"/>
  <c r="L93" i="50"/>
  <c r="K99" i="49"/>
  <c r="N78" i="50"/>
  <c r="N81" i="50" s="1"/>
  <c r="N4" i="50" s="1"/>
  <c r="N66" i="50"/>
  <c r="N62" i="50"/>
  <c r="H77" i="48"/>
  <c r="H81" i="48" s="1"/>
  <c r="H102" i="48" s="1"/>
  <c r="P79" i="48"/>
  <c r="P82" i="48" s="1"/>
  <c r="P103" i="48" s="1"/>
  <c r="J106" i="50"/>
  <c r="L199" i="50"/>
  <c r="L202" i="50" s="1"/>
  <c r="F160" i="49"/>
  <c r="L418" i="50"/>
  <c r="L308" i="50"/>
  <c r="F346" i="50"/>
  <c r="L395" i="50"/>
  <c r="F141" i="50"/>
  <c r="K375" i="50"/>
  <c r="K378" i="50" s="1"/>
  <c r="K399" i="50"/>
  <c r="G380" i="50"/>
  <c r="G401" i="50" s="1"/>
  <c r="F362" i="50"/>
  <c r="F360" i="50"/>
  <c r="G379" i="50"/>
  <c r="G400" i="50" s="1"/>
  <c r="F361" i="50"/>
  <c r="G162" i="50"/>
  <c r="G174" i="50" s="1"/>
  <c r="M378" i="50"/>
  <c r="I373" i="50"/>
  <c r="I374" i="50" s="1"/>
  <c r="N434" i="50"/>
  <c r="N393" i="50"/>
  <c r="N330" i="50"/>
  <c r="N354" i="50"/>
  <c r="I106" i="50"/>
  <c r="I434" i="50"/>
  <c r="I393" i="50"/>
  <c r="I354" i="50"/>
  <c r="I330" i="50"/>
  <c r="K112" i="49"/>
  <c r="K113" i="49" s="1"/>
  <c r="L106" i="50"/>
  <c r="F163" i="50"/>
  <c r="F347" i="50"/>
  <c r="G87" i="49"/>
  <c r="F87" i="49" s="1"/>
  <c r="F73" i="49"/>
  <c r="L63" i="49"/>
  <c r="L77" i="49"/>
  <c r="F41" i="49"/>
  <c r="M201" i="50"/>
  <c r="J373" i="50"/>
  <c r="J374" i="50"/>
  <c r="G128" i="49"/>
  <c r="K115" i="49"/>
  <c r="K114" i="49"/>
  <c r="J22" i="49"/>
  <c r="J119" i="49"/>
  <c r="J23" i="49"/>
  <c r="J77" i="49"/>
  <c r="J63" i="49"/>
  <c r="J93" i="50"/>
  <c r="L332" i="50"/>
  <c r="K393" i="50"/>
  <c r="K434" i="50"/>
  <c r="K330" i="50"/>
  <c r="K354" i="50"/>
  <c r="O12" i="48"/>
  <c r="I199" i="50"/>
  <c r="I202" i="50" s="1"/>
  <c r="I200" i="50"/>
  <c r="G373" i="50"/>
  <c r="G374" i="50" s="1"/>
  <c r="I114" i="49"/>
  <c r="I115" i="49" s="1"/>
  <c r="G211" i="50"/>
  <c r="F211" i="50" s="1"/>
  <c r="F193" i="50"/>
  <c r="G205" i="50"/>
  <c r="F205" i="50" s="1"/>
  <c r="F187" i="50"/>
  <c r="J377" i="50"/>
  <c r="J398" i="50" s="1"/>
  <c r="F123" i="49"/>
  <c r="G123" i="49" s="1"/>
  <c r="I418" i="50"/>
  <c r="I308" i="50"/>
  <c r="J197" i="50"/>
  <c r="J201" i="50" s="1"/>
  <c r="L373" i="50"/>
  <c r="L377" i="50" s="1"/>
  <c r="L398" i="50" s="1"/>
  <c r="H375" i="50"/>
  <c r="H376" i="50"/>
  <c r="H397" i="50" s="1"/>
  <c r="M356" i="50"/>
  <c r="G91" i="50"/>
  <c r="K395" i="50"/>
  <c r="F359" i="50"/>
  <c r="G385" i="50"/>
  <c r="G406" i="50" s="1"/>
  <c r="F367" i="50"/>
  <c r="G388" i="50"/>
  <c r="F370" i="50"/>
  <c r="F388" i="50" s="1"/>
  <c r="N202" i="50"/>
  <c r="F192" i="50"/>
  <c r="M93" i="50"/>
  <c r="M202" i="50"/>
  <c r="M78" i="50"/>
  <c r="M81" i="50" s="1"/>
  <c r="M4" i="50" s="1"/>
  <c r="M66" i="50"/>
  <c r="M62" i="50"/>
  <c r="G112" i="49"/>
  <c r="G113" i="49"/>
  <c r="F95" i="49"/>
  <c r="H93" i="50"/>
  <c r="F184" i="50"/>
  <c r="H63" i="49"/>
  <c r="H77" i="49"/>
  <c r="F203" i="50"/>
  <c r="I174" i="50"/>
  <c r="O77" i="48"/>
  <c r="O81" i="48" s="1"/>
  <c r="O102" i="48" s="1"/>
  <c r="I99" i="49"/>
  <c r="F109" i="48"/>
  <c r="G127" i="48"/>
  <c r="F127" i="48" s="1"/>
  <c r="G63" i="49"/>
  <c r="F65" i="49"/>
  <c r="N93" i="50"/>
  <c r="P100" i="48"/>
  <c r="M77" i="48"/>
  <c r="M81" i="48" s="1"/>
  <c r="M102" i="48" s="1"/>
  <c r="H181" i="50"/>
  <c r="O25" i="48"/>
  <c r="F122" i="48"/>
  <c r="G429" i="50"/>
  <c r="F409" i="50"/>
  <c r="F194" i="50"/>
  <c r="G214" i="50"/>
  <c r="F214" i="50" s="1"/>
  <c r="L375" i="50"/>
  <c r="L378" i="50" s="1"/>
  <c r="M197" i="50"/>
  <c r="G384" i="50"/>
  <c r="G405" i="50" s="1"/>
  <c r="F366" i="50"/>
  <c r="G387" i="50"/>
  <c r="G408" i="50" s="1"/>
  <c r="F369" i="50"/>
  <c r="K162" i="50"/>
  <c r="K183" i="50" s="1"/>
  <c r="G14" i="50"/>
  <c r="H114" i="49"/>
  <c r="H115" i="49"/>
  <c r="M174" i="50"/>
  <c r="M97" i="50" s="1"/>
  <c r="H78" i="50"/>
  <c r="H81" i="50" s="1"/>
  <c r="H4" i="50" s="1"/>
  <c r="H66" i="50"/>
  <c r="H62" i="50"/>
  <c r="O118" i="48"/>
  <c r="O121" i="48" s="1"/>
  <c r="H418" i="50"/>
  <c r="H308" i="50"/>
  <c r="K57" i="50"/>
  <c r="N399" i="50"/>
  <c r="F399" i="50" s="1"/>
  <c r="J418" i="50"/>
  <c r="J308" i="50"/>
  <c r="H373" i="50"/>
  <c r="H374" i="50" s="1"/>
  <c r="J199" i="50"/>
  <c r="J200" i="50" s="1"/>
  <c r="J396" i="50"/>
  <c r="K78" i="50"/>
  <c r="K81" i="50" s="1"/>
  <c r="K4" i="50" s="1"/>
  <c r="K66" i="50"/>
  <c r="K62" i="50"/>
  <c r="H378" i="50"/>
  <c r="F161" i="50"/>
  <c r="I197" i="50"/>
  <c r="I198" i="50" s="1"/>
  <c r="K373" i="50"/>
  <c r="K377" i="50" s="1"/>
  <c r="K398" i="50" s="1"/>
  <c r="G381" i="50"/>
  <c r="G402" i="50" s="1"/>
  <c r="F363" i="50"/>
  <c r="G311" i="50"/>
  <c r="G386" i="50"/>
  <c r="G407" i="50" s="1"/>
  <c r="F368" i="50"/>
  <c r="F333" i="50"/>
  <c r="M357" i="50"/>
  <c r="I375" i="50"/>
  <c r="I378" i="50" s="1"/>
  <c r="G481" i="50"/>
  <c r="G472" i="50"/>
  <c r="G498" i="50"/>
  <c r="G490" i="50" s="1"/>
  <c r="J393" i="50"/>
  <c r="J434" i="50"/>
  <c r="J330" i="50"/>
  <c r="J354" i="50"/>
  <c r="L174" i="50"/>
  <c r="M106" i="50"/>
  <c r="H161" i="50"/>
  <c r="H182" i="50" s="1"/>
  <c r="M434" i="50"/>
  <c r="M393" i="50"/>
  <c r="M354" i="50"/>
  <c r="M330" i="50"/>
  <c r="L114" i="49"/>
  <c r="L115" i="49"/>
  <c r="F191" i="50"/>
  <c r="G209" i="50"/>
  <c r="F209" i="50" s="1"/>
  <c r="H106" i="50"/>
  <c r="J174" i="50"/>
  <c r="F122" i="49"/>
  <c r="G122" i="49" s="1"/>
  <c r="F85" i="49"/>
  <c r="N357" i="50"/>
  <c r="J375" i="50"/>
  <c r="J378" i="50" s="1"/>
  <c r="N498" i="50"/>
  <c r="N490" i="50" s="1"/>
  <c r="N481" i="50"/>
  <c r="N472" i="50"/>
  <c r="H498" i="50"/>
  <c r="H490" i="50" s="1"/>
  <c r="H481" i="50"/>
  <c r="H472" i="50"/>
  <c r="L99" i="49"/>
  <c r="H99" i="49"/>
  <c r="G120" i="49"/>
  <c r="I77" i="48"/>
  <c r="I81" i="48" s="1"/>
  <c r="I102" i="48" s="1"/>
  <c r="K93" i="50"/>
  <c r="I63" i="49"/>
  <c r="N77" i="48"/>
  <c r="N81" i="48" s="1"/>
  <c r="N102" i="48" s="1"/>
  <c r="G114" i="49"/>
  <c r="G115" i="49" s="1"/>
  <c r="F96" i="49"/>
  <c r="N106" i="50"/>
  <c r="G121" i="49"/>
  <c r="F86" i="49"/>
  <c r="F150" i="49"/>
  <c r="J112" i="49"/>
  <c r="J113" i="49"/>
  <c r="G77" i="48"/>
  <c r="G81" i="48" s="1"/>
  <c r="F61" i="48"/>
  <c r="G393" i="50"/>
  <c r="G330" i="50"/>
  <c r="G354" i="50"/>
  <c r="G434" i="50"/>
  <c r="L181" i="50"/>
  <c r="I376" i="50" l="1"/>
  <c r="I397" i="50" s="1"/>
  <c r="G377" i="50"/>
  <c r="M308" i="50"/>
  <c r="J202" i="50"/>
  <c r="L374" i="50"/>
  <c r="F115" i="49"/>
  <c r="F357" i="50"/>
  <c r="F159" i="50"/>
  <c r="G378" i="50"/>
  <c r="J8" i="36"/>
  <c r="G124" i="52"/>
  <c r="F106" i="52"/>
  <c r="G12" i="52"/>
  <c r="I53" i="48"/>
  <c r="I37" i="48" s="1"/>
  <c r="I62" i="48" s="1"/>
  <c r="G124" i="51"/>
  <c r="F106" i="51"/>
  <c r="G12" i="51"/>
  <c r="K11" i="48"/>
  <c r="L5" i="36" s="1"/>
  <c r="K100" i="52"/>
  <c r="K62" i="52"/>
  <c r="K60" i="52"/>
  <c r="I37" i="52"/>
  <c r="I100" i="52" s="1"/>
  <c r="J11" i="48"/>
  <c r="K5" i="36" s="1"/>
  <c r="J62" i="52"/>
  <c r="J60" i="52"/>
  <c r="J100" i="52"/>
  <c r="J116" i="52" s="1"/>
  <c r="J120" i="52" s="1"/>
  <c r="O119" i="48"/>
  <c r="M78" i="48"/>
  <c r="G78" i="48"/>
  <c r="O78" i="48"/>
  <c r="O100" i="48" s="1"/>
  <c r="I78" i="48"/>
  <c r="N24" i="51"/>
  <c r="N23" i="51" s="1"/>
  <c r="N22" i="51" s="1"/>
  <c r="L134" i="51"/>
  <c r="L135" i="51" s="1"/>
  <c r="L167" i="51" s="1"/>
  <c r="L170" i="51" s="1"/>
  <c r="L24" i="51"/>
  <c r="L23" i="51" s="1"/>
  <c r="L22" i="51" s="1"/>
  <c r="N134" i="51"/>
  <c r="N135" i="51" s="1"/>
  <c r="N140" i="51" s="1"/>
  <c r="N145" i="51" s="1"/>
  <c r="J117" i="51"/>
  <c r="J134" i="51" s="1"/>
  <c r="J135" i="51" s="1"/>
  <c r="L100" i="52"/>
  <c r="L116" i="52" s="1"/>
  <c r="L120" i="52" s="1"/>
  <c r="N120" i="52"/>
  <c r="N24" i="52" s="1"/>
  <c r="N23" i="52" s="1"/>
  <c r="N22" i="52" s="1"/>
  <c r="F78" i="52"/>
  <c r="L99" i="52"/>
  <c r="M99" i="52"/>
  <c r="M116" i="52"/>
  <c r="M120" i="52" s="1"/>
  <c r="N99" i="52"/>
  <c r="F78" i="51"/>
  <c r="M116" i="51"/>
  <c r="M120" i="51" s="1"/>
  <c r="K93" i="51"/>
  <c r="K16" i="51" s="1"/>
  <c r="K15" i="51" s="1"/>
  <c r="K10" i="51" s="1"/>
  <c r="K100" i="51"/>
  <c r="K119" i="51"/>
  <c r="M99" i="51"/>
  <c r="F102" i="51"/>
  <c r="H414" i="50"/>
  <c r="H417" i="50" s="1"/>
  <c r="I396" i="50"/>
  <c r="I414" i="50"/>
  <c r="I417" i="50" s="1"/>
  <c r="I49" i="50" s="1"/>
  <c r="H396" i="50"/>
  <c r="G397" i="50"/>
  <c r="M415" i="50"/>
  <c r="M47" i="50" s="1"/>
  <c r="M414" i="50"/>
  <c r="M417" i="50" s="1"/>
  <c r="M49" i="50" s="1"/>
  <c r="G389" i="50"/>
  <c r="G396" i="50"/>
  <c r="G306" i="50"/>
  <c r="G12" i="50"/>
  <c r="G424" i="50"/>
  <c r="F424" i="50" s="1"/>
  <c r="F406" i="50"/>
  <c r="G102" i="48"/>
  <c r="F81" i="48"/>
  <c r="J376" i="50"/>
  <c r="J397" i="50" s="1"/>
  <c r="I201" i="50"/>
  <c r="I215" i="50" s="1"/>
  <c r="I216" i="50" s="1"/>
  <c r="K374" i="50"/>
  <c r="J412" i="50"/>
  <c r="J413" i="50" s="1"/>
  <c r="J321" i="50"/>
  <c r="J50" i="50"/>
  <c r="H321" i="50"/>
  <c r="H50" i="50"/>
  <c r="M96" i="50"/>
  <c r="F97" i="50"/>
  <c r="L376" i="50"/>
  <c r="P116" i="48"/>
  <c r="P120" i="48" s="1"/>
  <c r="I22" i="49"/>
  <c r="I119" i="49"/>
  <c r="I23" i="49"/>
  <c r="G106" i="50"/>
  <c r="F106" i="50" s="1"/>
  <c r="G202" i="50"/>
  <c r="F113" i="49"/>
  <c r="J198" i="50"/>
  <c r="J416" i="50"/>
  <c r="J48" i="50" s="1"/>
  <c r="J28" i="49"/>
  <c r="J159" i="49"/>
  <c r="J32" i="49" s="1"/>
  <c r="F99" i="49"/>
  <c r="G99" i="49" s="1"/>
  <c r="G418" i="50"/>
  <c r="F400" i="50"/>
  <c r="G308" i="50"/>
  <c r="G419" i="50"/>
  <c r="F401" i="50"/>
  <c r="K376" i="50"/>
  <c r="K397" i="50" s="1"/>
  <c r="L200" i="50"/>
  <c r="P80" i="48"/>
  <c r="K119" i="49"/>
  <c r="K28" i="49" s="1"/>
  <c r="K23" i="49"/>
  <c r="K22" i="49"/>
  <c r="N376" i="50"/>
  <c r="N397" i="50" s="1"/>
  <c r="L75" i="50"/>
  <c r="N321" i="50"/>
  <c r="N50" i="50"/>
  <c r="M215" i="50"/>
  <c r="M105" i="50"/>
  <c r="M104" i="50" s="1"/>
  <c r="M103" i="50" s="1"/>
  <c r="L389" i="50"/>
  <c r="L15" i="50" s="1"/>
  <c r="L16" i="50" s="1"/>
  <c r="L397" i="50"/>
  <c r="L396" i="50"/>
  <c r="L356" i="50"/>
  <c r="F356" i="50" s="1"/>
  <c r="F332" i="50"/>
  <c r="L197" i="50"/>
  <c r="L201" i="50" s="1"/>
  <c r="F405" i="50"/>
  <c r="G423" i="50"/>
  <c r="F429" i="50"/>
  <c r="F57" i="50" s="1"/>
  <c r="G57" i="50"/>
  <c r="H197" i="50"/>
  <c r="H201" i="50" s="1"/>
  <c r="F63" i="49"/>
  <c r="M73" i="50"/>
  <c r="M70" i="50"/>
  <c r="G398" i="50"/>
  <c r="J389" i="50"/>
  <c r="J15" i="50" s="1"/>
  <c r="I377" i="50"/>
  <c r="I398" i="50" s="1"/>
  <c r="L321" i="50"/>
  <c r="L50" i="50"/>
  <c r="N70" i="50"/>
  <c r="N73" i="50"/>
  <c r="K159" i="49"/>
  <c r="K32" i="49" s="1"/>
  <c r="K200" i="50"/>
  <c r="H377" i="50"/>
  <c r="H398" i="50" s="1"/>
  <c r="K321" i="50"/>
  <c r="K50" i="50"/>
  <c r="K197" i="50"/>
  <c r="K201" i="50" s="1"/>
  <c r="L23" i="49"/>
  <c r="L22" i="49"/>
  <c r="L119" i="49"/>
  <c r="L28" i="49" s="1"/>
  <c r="G426" i="50"/>
  <c r="F408" i="50"/>
  <c r="G180" i="50"/>
  <c r="I321" i="50"/>
  <c r="I50" i="50"/>
  <c r="K272" i="50"/>
  <c r="G272" i="50"/>
  <c r="K271" i="50"/>
  <c r="G271" i="50"/>
  <c r="K270" i="50"/>
  <c r="G270" i="50"/>
  <c r="K269" i="50"/>
  <c r="G269" i="50"/>
  <c r="K268" i="50"/>
  <c r="G268" i="50"/>
  <c r="N272" i="50"/>
  <c r="J272" i="50"/>
  <c r="N271" i="50"/>
  <c r="J271" i="50"/>
  <c r="N270" i="50"/>
  <c r="J270" i="50"/>
  <c r="N269" i="50"/>
  <c r="J269" i="50"/>
  <c r="N268" i="50"/>
  <c r="J268" i="50"/>
  <c r="J273" i="50" s="1"/>
  <c r="J274" i="50" s="1"/>
  <c r="L272" i="50"/>
  <c r="L271" i="50"/>
  <c r="L270" i="50"/>
  <c r="L269" i="50"/>
  <c r="L268" i="50"/>
  <c r="M263" i="50"/>
  <c r="I263" i="50"/>
  <c r="M262" i="50"/>
  <c r="I262" i="50"/>
  <c r="M261" i="50"/>
  <c r="I261" i="50"/>
  <c r="M260" i="50"/>
  <c r="I260" i="50"/>
  <c r="M259" i="50"/>
  <c r="I259" i="50"/>
  <c r="I272" i="50"/>
  <c r="I271" i="50"/>
  <c r="I270" i="50"/>
  <c r="I269" i="50"/>
  <c r="I268" i="50"/>
  <c r="I264" i="50"/>
  <c r="I265" i="50" s="1"/>
  <c r="L263" i="50"/>
  <c r="H263" i="50"/>
  <c r="L262" i="50"/>
  <c r="H262" i="50"/>
  <c r="L261" i="50"/>
  <c r="H261" i="50"/>
  <c r="L260" i="50"/>
  <c r="H260" i="50"/>
  <c r="L259" i="50"/>
  <c r="H259" i="50"/>
  <c r="H272" i="50"/>
  <c r="H271" i="50"/>
  <c r="H270" i="50"/>
  <c r="H269" i="50"/>
  <c r="H268" i="50"/>
  <c r="H273" i="50" s="1"/>
  <c r="H274" i="50" s="1"/>
  <c r="K263" i="50"/>
  <c r="G263" i="50"/>
  <c r="K262" i="50"/>
  <c r="G262" i="50"/>
  <c r="K261" i="50"/>
  <c r="G261" i="50"/>
  <c r="K260" i="50"/>
  <c r="G260" i="50"/>
  <c r="K259" i="50"/>
  <c r="K264" i="50" s="1"/>
  <c r="K265" i="50" s="1"/>
  <c r="G259" i="50"/>
  <c r="G264" i="50" s="1"/>
  <c r="G265" i="50" s="1"/>
  <c r="M272" i="50"/>
  <c r="M268" i="50"/>
  <c r="J263" i="50"/>
  <c r="J261" i="50"/>
  <c r="J259" i="50"/>
  <c r="M271" i="50"/>
  <c r="N262" i="50"/>
  <c r="N260" i="50"/>
  <c r="M270" i="50"/>
  <c r="J262" i="50"/>
  <c r="J260" i="50"/>
  <c r="N263" i="50"/>
  <c r="N261" i="50"/>
  <c r="M273" i="50"/>
  <c r="M274" i="50" s="1"/>
  <c r="N259" i="50"/>
  <c r="M269" i="50"/>
  <c r="N180" i="50"/>
  <c r="H23" i="49"/>
  <c r="H22" i="49"/>
  <c r="H119" i="49"/>
  <c r="H28" i="49" s="1"/>
  <c r="K70" i="50"/>
  <c r="K73" i="50"/>
  <c r="N78" i="48"/>
  <c r="N373" i="50"/>
  <c r="N377" i="50" s="1"/>
  <c r="N398" i="50" s="1"/>
  <c r="H199" i="50"/>
  <c r="H202" i="50" s="1"/>
  <c r="M373" i="50"/>
  <c r="M377" i="50" s="1"/>
  <c r="M398" i="50" s="1"/>
  <c r="G425" i="50"/>
  <c r="F425" i="50" s="1"/>
  <c r="F407" i="50"/>
  <c r="G420" i="50"/>
  <c r="F402" i="50"/>
  <c r="H70" i="50"/>
  <c r="H73" i="50"/>
  <c r="N201" i="50"/>
  <c r="N105" i="50" s="1"/>
  <c r="N104" i="50" s="1"/>
  <c r="N103" i="50" s="1"/>
  <c r="H174" i="50"/>
  <c r="F174" i="50" s="1"/>
  <c r="F77" i="49"/>
  <c r="G183" i="50"/>
  <c r="F162" i="50"/>
  <c r="F378" i="50"/>
  <c r="H78" i="48"/>
  <c r="F182" i="50"/>
  <c r="K174" i="50"/>
  <c r="G197" i="50"/>
  <c r="G198" i="50" s="1"/>
  <c r="F181" i="50"/>
  <c r="M321" i="50"/>
  <c r="M50" i="50"/>
  <c r="L264" i="50" l="1"/>
  <c r="L265" i="50" s="1"/>
  <c r="M264" i="50"/>
  <c r="M265" i="50" s="1"/>
  <c r="K273" i="50"/>
  <c r="K274" i="50" s="1"/>
  <c r="N264" i="50"/>
  <c r="N265" i="50" s="1"/>
  <c r="L273" i="50"/>
  <c r="L274" i="50" s="1"/>
  <c r="H198" i="50"/>
  <c r="N215" i="50"/>
  <c r="N216" i="50" s="1"/>
  <c r="H389" i="50"/>
  <c r="H15" i="50" s="1"/>
  <c r="H16" i="50" s="1"/>
  <c r="J264" i="50"/>
  <c r="J265" i="50" s="1"/>
  <c r="H264" i="50"/>
  <c r="H265" i="50" s="1"/>
  <c r="I273" i="50"/>
  <c r="I274" i="50" s="1"/>
  <c r="N273" i="50"/>
  <c r="N274" i="50" s="1"/>
  <c r="G273" i="50"/>
  <c r="G274" i="50" s="1"/>
  <c r="K198" i="50"/>
  <c r="L198" i="50"/>
  <c r="F119" i="49"/>
  <c r="G119" i="49" s="1"/>
  <c r="F376" i="50"/>
  <c r="I415" i="50"/>
  <c r="I47" i="50" s="1"/>
  <c r="K8" i="36"/>
  <c r="L8" i="36"/>
  <c r="I14" i="48"/>
  <c r="I100" i="48"/>
  <c r="I116" i="48" s="1"/>
  <c r="I120" i="48" s="1"/>
  <c r="I60" i="48"/>
  <c r="F124" i="52"/>
  <c r="G25" i="52"/>
  <c r="F25" i="52" s="1"/>
  <c r="J53" i="48"/>
  <c r="J37" i="48" s="1"/>
  <c r="J100" i="48" s="1"/>
  <c r="J116" i="48" s="1"/>
  <c r="J120" i="48" s="1"/>
  <c r="K53" i="48"/>
  <c r="F124" i="51"/>
  <c r="G25" i="51"/>
  <c r="F25" i="51" s="1"/>
  <c r="I60" i="52"/>
  <c r="I62" i="52"/>
  <c r="K116" i="52"/>
  <c r="K120" i="52" s="1"/>
  <c r="O93" i="48"/>
  <c r="O16" i="48" s="1"/>
  <c r="O15" i="48" s="1"/>
  <c r="O10" i="48" s="1"/>
  <c r="O99" i="48" s="1"/>
  <c r="J117" i="52"/>
  <c r="F78" i="48"/>
  <c r="N167" i="51"/>
  <c r="N170" i="51" s="1"/>
  <c r="J24" i="51"/>
  <c r="J23" i="51" s="1"/>
  <c r="J22" i="51" s="1"/>
  <c r="L140" i="51"/>
  <c r="L145" i="51" s="1"/>
  <c r="L147" i="51" s="1"/>
  <c r="L157" i="51" s="1"/>
  <c r="N134" i="52"/>
  <c r="N135" i="52" s="1"/>
  <c r="N140" i="52" s="1"/>
  <c r="N145" i="52" s="1"/>
  <c r="L117" i="52"/>
  <c r="M117" i="52"/>
  <c r="N155" i="51"/>
  <c r="N146" i="51"/>
  <c r="N156" i="51" s="1"/>
  <c r="N147" i="51"/>
  <c r="N157" i="51" s="1"/>
  <c r="K99" i="51"/>
  <c r="K116" i="51"/>
  <c r="K120" i="51" s="1"/>
  <c r="M117" i="51"/>
  <c r="J167" i="51"/>
  <c r="J170" i="51" s="1"/>
  <c r="J140" i="51"/>
  <c r="J145" i="51" s="1"/>
  <c r="F198" i="50"/>
  <c r="I249" i="50"/>
  <c r="I252" i="50" s="1"/>
  <c r="I222" i="50"/>
  <c r="I227" i="50" s="1"/>
  <c r="N249" i="50"/>
  <c r="N252" i="50" s="1"/>
  <c r="N222" i="50"/>
  <c r="N227" i="50" s="1"/>
  <c r="F377" i="50"/>
  <c r="I105" i="50"/>
  <c r="I104" i="50" s="1"/>
  <c r="I103" i="50" s="1"/>
  <c r="I412" i="50"/>
  <c r="I413" i="50" s="1"/>
  <c r="H75" i="50"/>
  <c r="H200" i="50"/>
  <c r="F200" i="50" s="1"/>
  <c r="H159" i="49"/>
  <c r="H32" i="49" s="1"/>
  <c r="F426" i="50"/>
  <c r="F56" i="50" s="1"/>
  <c r="G56" i="50"/>
  <c r="N486" i="50"/>
  <c r="J486" i="50"/>
  <c r="N485" i="50"/>
  <c r="J485" i="50"/>
  <c r="N484" i="50"/>
  <c r="J484" i="50"/>
  <c r="N483" i="50"/>
  <c r="J483" i="50"/>
  <c r="N482" i="50"/>
  <c r="N487" i="50" s="1"/>
  <c r="N488" i="50" s="1"/>
  <c r="J482" i="50"/>
  <c r="N477" i="50"/>
  <c r="J477" i="50"/>
  <c r="N476" i="50"/>
  <c r="J476" i="50"/>
  <c r="N475" i="50"/>
  <c r="J475" i="50"/>
  <c r="N474" i="50"/>
  <c r="J474" i="50"/>
  <c r="N473" i="50"/>
  <c r="N478" i="50" s="1"/>
  <c r="N479" i="50" s="1"/>
  <c r="J473" i="50"/>
  <c r="J478" i="50" s="1"/>
  <c r="J479" i="50" s="1"/>
  <c r="M486" i="50"/>
  <c r="I486" i="50"/>
  <c r="M485" i="50"/>
  <c r="I485" i="50"/>
  <c r="M484" i="50"/>
  <c r="I484" i="50"/>
  <c r="M483" i="50"/>
  <c r="I483" i="50"/>
  <c r="M482" i="50"/>
  <c r="I482" i="50"/>
  <c r="M477" i="50"/>
  <c r="I477" i="50"/>
  <c r="M476" i="50"/>
  <c r="I476" i="50"/>
  <c r="M475" i="50"/>
  <c r="I475" i="50"/>
  <c r="M474" i="50"/>
  <c r="I474" i="50"/>
  <c r="M473" i="50"/>
  <c r="M478" i="50" s="1"/>
  <c r="M479" i="50" s="1"/>
  <c r="I473" i="50"/>
  <c r="I478" i="50" s="1"/>
  <c r="I479" i="50" s="1"/>
  <c r="L486" i="50"/>
  <c r="H486" i="50"/>
  <c r="L485" i="50"/>
  <c r="H485" i="50"/>
  <c r="L484" i="50"/>
  <c r="H484" i="50"/>
  <c r="L483" i="50"/>
  <c r="H483" i="50"/>
  <c r="L482" i="50"/>
  <c r="H482" i="50"/>
  <c r="L477" i="50"/>
  <c r="H477" i="50"/>
  <c r="L476" i="50"/>
  <c r="H476" i="50"/>
  <c r="L475" i="50"/>
  <c r="H475" i="50"/>
  <c r="L474" i="50"/>
  <c r="H474" i="50"/>
  <c r="L473" i="50"/>
  <c r="L478" i="50" s="1"/>
  <c r="L479" i="50" s="1"/>
  <c r="H473" i="50"/>
  <c r="H478" i="50" s="1"/>
  <c r="H479" i="50" s="1"/>
  <c r="G485" i="50"/>
  <c r="G483" i="50"/>
  <c r="G476" i="50"/>
  <c r="G474" i="50"/>
  <c r="K486" i="50"/>
  <c r="K484" i="50"/>
  <c r="K482" i="50"/>
  <c r="K487" i="50" s="1"/>
  <c r="K488" i="50" s="1"/>
  <c r="K477" i="50"/>
  <c r="K475" i="50"/>
  <c r="K473" i="50"/>
  <c r="G486" i="50"/>
  <c r="G484" i="50"/>
  <c r="G482" i="50"/>
  <c r="G477" i="50"/>
  <c r="G475" i="50"/>
  <c r="G473" i="50"/>
  <c r="K485" i="50"/>
  <c r="K476" i="50"/>
  <c r="K483" i="50"/>
  <c r="K474" i="50"/>
  <c r="L80" i="50"/>
  <c r="L82" i="50" s="1"/>
  <c r="L76" i="50"/>
  <c r="K414" i="50"/>
  <c r="K417" i="50" s="1"/>
  <c r="K49" i="50" s="1"/>
  <c r="J105" i="50"/>
  <c r="J104" i="50" s="1"/>
  <c r="J103" i="50" s="1"/>
  <c r="J215" i="50"/>
  <c r="J216" i="50" s="1"/>
  <c r="F202" i="50"/>
  <c r="I28" i="49"/>
  <c r="I159" i="49"/>
  <c r="I32" i="49" s="1"/>
  <c r="J414" i="50"/>
  <c r="J417" i="50" s="1"/>
  <c r="J49" i="50" s="1"/>
  <c r="F102" i="48"/>
  <c r="G395" i="50"/>
  <c r="I389" i="50"/>
  <c r="I15" i="50" s="1"/>
  <c r="I416" i="50"/>
  <c r="I48" i="50" s="1"/>
  <c r="H215" i="50"/>
  <c r="H216" i="50" s="1"/>
  <c r="H105" i="50"/>
  <c r="H104" i="50" s="1"/>
  <c r="H103" i="50" s="1"/>
  <c r="G412" i="50"/>
  <c r="G413" i="50" s="1"/>
  <c r="K75" i="50"/>
  <c r="K215" i="50"/>
  <c r="K216" i="50" s="1"/>
  <c r="K105" i="50"/>
  <c r="K104" i="50" s="1"/>
  <c r="K103" i="50" s="1"/>
  <c r="N75" i="50"/>
  <c r="L188" i="49"/>
  <c r="H188" i="49"/>
  <c r="J187" i="49"/>
  <c r="L186" i="49"/>
  <c r="H186" i="49"/>
  <c r="J185" i="49"/>
  <c r="L184" i="49"/>
  <c r="H184" i="49"/>
  <c r="L179" i="49"/>
  <c r="H179" i="49"/>
  <c r="J178" i="49"/>
  <c r="L177" i="49"/>
  <c r="H177" i="49"/>
  <c r="J176" i="49"/>
  <c r="L175" i="49"/>
  <c r="H175" i="49"/>
  <c r="K188" i="49"/>
  <c r="G188" i="49"/>
  <c r="I187" i="49"/>
  <c r="K186" i="49"/>
  <c r="G186" i="49"/>
  <c r="I185" i="49"/>
  <c r="K184" i="49"/>
  <c r="G184" i="49"/>
  <c r="K179" i="49"/>
  <c r="G179" i="49"/>
  <c r="I178" i="49"/>
  <c r="K177" i="49"/>
  <c r="G177" i="49"/>
  <c r="I176" i="49"/>
  <c r="K175" i="49"/>
  <c r="G175" i="49"/>
  <c r="J188" i="49"/>
  <c r="L187" i="49"/>
  <c r="H187" i="49"/>
  <c r="J186" i="49"/>
  <c r="L185" i="49"/>
  <c r="L189" i="49" s="1"/>
  <c r="L190" i="49" s="1"/>
  <c r="L78" i="49" s="1"/>
  <c r="H185" i="49"/>
  <c r="J184" i="49"/>
  <c r="J179" i="49"/>
  <c r="L178" i="49"/>
  <c r="H178" i="49"/>
  <c r="J177" i="49"/>
  <c r="L176" i="49"/>
  <c r="H176" i="49"/>
  <c r="H180" i="49" s="1"/>
  <c r="H181" i="49" s="1"/>
  <c r="J175" i="49"/>
  <c r="J180" i="49" s="1"/>
  <c r="J181" i="49" s="1"/>
  <c r="I186" i="49"/>
  <c r="I177" i="49"/>
  <c r="I184" i="49"/>
  <c r="G178" i="49"/>
  <c r="I188" i="49"/>
  <c r="K185" i="49"/>
  <c r="K189" i="49" s="1"/>
  <c r="K190" i="49" s="1"/>
  <c r="K78" i="49" s="1"/>
  <c r="I179" i="49"/>
  <c r="K176" i="49"/>
  <c r="K180" i="49" s="1"/>
  <c r="K181" i="49" s="1"/>
  <c r="G187" i="49"/>
  <c r="K187" i="49"/>
  <c r="G185" i="49"/>
  <c r="G189" i="49" s="1"/>
  <c r="G190" i="49" s="1"/>
  <c r="G78" i="49" s="1"/>
  <c r="K178" i="49"/>
  <c r="G176" i="49"/>
  <c r="I175" i="49"/>
  <c r="I180" i="49" s="1"/>
  <c r="I181" i="49" s="1"/>
  <c r="L215" i="50"/>
  <c r="L216" i="50" s="1"/>
  <c r="L105" i="50"/>
  <c r="L104" i="50" s="1"/>
  <c r="L103" i="50" s="1"/>
  <c r="L412" i="50"/>
  <c r="L416" i="50" s="1"/>
  <c r="L48" i="50" s="1"/>
  <c r="F418" i="50"/>
  <c r="F50" i="50" s="1"/>
  <c r="G321" i="50"/>
  <c r="F321" i="50" s="1"/>
  <c r="G50" i="50"/>
  <c r="J46" i="50"/>
  <c r="G15" i="50"/>
  <c r="H49" i="50"/>
  <c r="F420" i="50"/>
  <c r="F52" i="50" s="1"/>
  <c r="G52" i="50"/>
  <c r="M91" i="50"/>
  <c r="F96" i="50"/>
  <c r="O116" i="48"/>
  <c r="O120" i="48" s="1"/>
  <c r="G201" i="50"/>
  <c r="F201" i="50" s="1"/>
  <c r="F183" i="50"/>
  <c r="M374" i="50"/>
  <c r="N374" i="50"/>
  <c r="G416" i="50"/>
  <c r="F398" i="50"/>
  <c r="M75" i="50"/>
  <c r="F423" i="50"/>
  <c r="F53" i="50" s="1"/>
  <c r="G53" i="50"/>
  <c r="L415" i="50"/>
  <c r="L47" i="50" s="1"/>
  <c r="L414" i="50"/>
  <c r="L417" i="50" s="1"/>
  <c r="L49" i="50" s="1"/>
  <c r="N414" i="50"/>
  <c r="N417" i="50" s="1"/>
  <c r="N49" i="50" s="1"/>
  <c r="P101" i="48"/>
  <c r="P93" i="48"/>
  <c r="P16" i="48" s="1"/>
  <c r="P15" i="48" s="1"/>
  <c r="P10" i="48" s="1"/>
  <c r="F419" i="50"/>
  <c r="F51" i="50" s="1"/>
  <c r="G51" i="50"/>
  <c r="G23" i="49"/>
  <c r="G22" i="49"/>
  <c r="P117" i="48"/>
  <c r="K389" i="50"/>
  <c r="K15" i="50" s="1"/>
  <c r="K16" i="50" s="1"/>
  <c r="K396" i="50"/>
  <c r="G78" i="50"/>
  <c r="G66" i="50"/>
  <c r="G62" i="50"/>
  <c r="G414" i="50"/>
  <c r="G417" i="50" s="1"/>
  <c r="F397" i="50"/>
  <c r="H412" i="50"/>
  <c r="H416" i="50" s="1"/>
  <c r="H48" i="50" s="1"/>
  <c r="H413" i="50"/>
  <c r="L159" i="49"/>
  <c r="L32" i="49" s="1"/>
  <c r="H415" i="50"/>
  <c r="H47" i="50" s="1"/>
  <c r="G28" i="49" l="1"/>
  <c r="G159" i="49"/>
  <c r="F159" i="49" s="1"/>
  <c r="G478" i="50"/>
  <c r="G479" i="50" s="1"/>
  <c r="H189" i="49"/>
  <c r="H190" i="49" s="1"/>
  <c r="H78" i="49" s="1"/>
  <c r="H487" i="50"/>
  <c r="H488" i="50" s="1"/>
  <c r="I487" i="50"/>
  <c r="I488" i="50" s="1"/>
  <c r="J487" i="50"/>
  <c r="J488" i="50" s="1"/>
  <c r="I189" i="49"/>
  <c r="I190" i="49" s="1"/>
  <c r="I78" i="49" s="1"/>
  <c r="G415" i="50"/>
  <c r="G430" i="50" s="1"/>
  <c r="F374" i="50"/>
  <c r="G180" i="49"/>
  <c r="G181" i="49" s="1"/>
  <c r="J189" i="49"/>
  <c r="J190" i="49" s="1"/>
  <c r="J78" i="49" s="1"/>
  <c r="L180" i="49"/>
  <c r="L181" i="49" s="1"/>
  <c r="K415" i="50"/>
  <c r="K47" i="50" s="1"/>
  <c r="G487" i="50"/>
  <c r="G488" i="50" s="1"/>
  <c r="K478" i="50"/>
  <c r="K479" i="50" s="1"/>
  <c r="L487" i="50"/>
  <c r="L488" i="50" s="1"/>
  <c r="M487" i="50"/>
  <c r="M488" i="50" s="1"/>
  <c r="J62" i="48"/>
  <c r="J14" i="48"/>
  <c r="J60" i="48"/>
  <c r="K37" i="48"/>
  <c r="K14" i="48"/>
  <c r="K117" i="52"/>
  <c r="J117" i="48"/>
  <c r="I117" i="48"/>
  <c r="L146" i="51"/>
  <c r="L156" i="51" s="1"/>
  <c r="L29" i="51" s="1"/>
  <c r="L155" i="51"/>
  <c r="L28" i="51" s="1"/>
  <c r="N29" i="51"/>
  <c r="N167" i="52"/>
  <c r="N170" i="52" s="1"/>
  <c r="L134" i="52"/>
  <c r="L135" i="52" s="1"/>
  <c r="L24" i="52"/>
  <c r="L23" i="52" s="1"/>
  <c r="L22" i="52" s="1"/>
  <c r="N146" i="52"/>
  <c r="N156" i="52" s="1"/>
  <c r="N147" i="52"/>
  <c r="N157" i="52" s="1"/>
  <c r="N155" i="52"/>
  <c r="M134" i="52"/>
  <c r="M135" i="52" s="1"/>
  <c r="M24" i="52"/>
  <c r="M23" i="52" s="1"/>
  <c r="M22" i="52" s="1"/>
  <c r="J155" i="51"/>
  <c r="J147" i="51"/>
  <c r="J157" i="51" s="1"/>
  <c r="J146" i="51"/>
  <c r="J156" i="51" s="1"/>
  <c r="M134" i="51"/>
  <c r="M135" i="51" s="1"/>
  <c r="M24" i="51"/>
  <c r="M23" i="51" s="1"/>
  <c r="M22" i="51" s="1"/>
  <c r="K117" i="51"/>
  <c r="N166" i="51"/>
  <c r="N28" i="51"/>
  <c r="H81" i="49"/>
  <c r="H80" i="49"/>
  <c r="H84" i="49"/>
  <c r="H79" i="49"/>
  <c r="H83" i="49"/>
  <c r="H82" i="49"/>
  <c r="I430" i="50"/>
  <c r="I431" i="50" s="1"/>
  <c r="I320" i="50"/>
  <c r="I319" i="50" s="1"/>
  <c r="I318" i="50" s="1"/>
  <c r="I46" i="50"/>
  <c r="I60" i="50" s="1"/>
  <c r="J83" i="49"/>
  <c r="J79" i="49"/>
  <c r="J81" i="49"/>
  <c r="J82" i="49"/>
  <c r="J80" i="49"/>
  <c r="J84" i="49"/>
  <c r="G46" i="50"/>
  <c r="G84" i="49"/>
  <c r="G80" i="49"/>
  <c r="G81" i="49"/>
  <c r="G83" i="49"/>
  <c r="G79" i="49"/>
  <c r="G82" i="49"/>
  <c r="I82" i="49"/>
  <c r="I81" i="49"/>
  <c r="I80" i="49"/>
  <c r="I84" i="49"/>
  <c r="I83" i="49"/>
  <c r="I79" i="49"/>
  <c r="L81" i="49"/>
  <c r="L80" i="49"/>
  <c r="L84" i="49"/>
  <c r="L79" i="49"/>
  <c r="L83" i="49"/>
  <c r="L82" i="49"/>
  <c r="F417" i="50"/>
  <c r="F49" i="50" s="1"/>
  <c r="G49" i="50"/>
  <c r="G81" i="50"/>
  <c r="N415" i="50"/>
  <c r="N47" i="50" s="1"/>
  <c r="N389" i="50"/>
  <c r="N396" i="50"/>
  <c r="L413" i="50"/>
  <c r="K84" i="49"/>
  <c r="K80" i="49"/>
  <c r="K82" i="49"/>
  <c r="K83" i="49"/>
  <c r="K81" i="49"/>
  <c r="K79" i="49"/>
  <c r="K80" i="50"/>
  <c r="K82" i="50" s="1"/>
  <c r="K76" i="50"/>
  <c r="J415" i="50"/>
  <c r="G47" i="50"/>
  <c r="K412" i="50"/>
  <c r="K416" i="50" s="1"/>
  <c r="K48" i="50" s="1"/>
  <c r="M389" i="50"/>
  <c r="M396" i="50"/>
  <c r="F396" i="50" s="1"/>
  <c r="M216" i="50"/>
  <c r="M180" i="50"/>
  <c r="F180" i="50" s="1"/>
  <c r="F91" i="50"/>
  <c r="J249" i="50"/>
  <c r="J252" i="50" s="1"/>
  <c r="J222" i="50"/>
  <c r="J227" i="50" s="1"/>
  <c r="I229" i="50"/>
  <c r="I239" i="50" s="1"/>
  <c r="I228" i="50"/>
  <c r="I238" i="50" s="1"/>
  <c r="I110" i="50" s="1"/>
  <c r="I237" i="50"/>
  <c r="G105" i="50"/>
  <c r="G70" i="50"/>
  <c r="G73" i="50"/>
  <c r="P99" i="48"/>
  <c r="G48" i="50"/>
  <c r="O117" i="48"/>
  <c r="G16" i="50"/>
  <c r="N76" i="50"/>
  <c r="N80" i="50"/>
  <c r="N82" i="50" s="1"/>
  <c r="K249" i="50"/>
  <c r="K252" i="50" s="1"/>
  <c r="K222" i="50"/>
  <c r="K227" i="50" s="1"/>
  <c r="H80" i="50"/>
  <c r="H82" i="50" s="1"/>
  <c r="H76" i="50"/>
  <c r="N228" i="50"/>
  <c r="N238" i="50" s="1"/>
  <c r="N237" i="50"/>
  <c r="N229" i="50"/>
  <c r="N239" i="50" s="1"/>
  <c r="H430" i="50"/>
  <c r="H431" i="50" s="1"/>
  <c r="H320" i="50"/>
  <c r="H319" i="50" s="1"/>
  <c r="H318" i="50" s="1"/>
  <c r="H46" i="50"/>
  <c r="H60" i="50" s="1"/>
  <c r="H61" i="50" s="1"/>
  <c r="P118" i="48"/>
  <c r="P121" i="48" s="1"/>
  <c r="M76" i="50"/>
  <c r="M80" i="50"/>
  <c r="M82" i="50" s="1"/>
  <c r="F389" i="50"/>
  <c r="L249" i="50"/>
  <c r="L252" i="50" s="1"/>
  <c r="L222" i="50"/>
  <c r="L227" i="50" s="1"/>
  <c r="H249" i="50"/>
  <c r="H252" i="50" s="1"/>
  <c r="H222" i="50"/>
  <c r="H227" i="50" s="1"/>
  <c r="F28" i="49"/>
  <c r="G215" i="50"/>
  <c r="G60" i="50" l="1"/>
  <c r="G32" i="49"/>
  <c r="F32" i="49" s="1"/>
  <c r="F415" i="50"/>
  <c r="F47" i="50" s="1"/>
  <c r="G320" i="50"/>
  <c r="I88" i="49"/>
  <c r="F83" i="49"/>
  <c r="K100" i="48"/>
  <c r="K62" i="48"/>
  <c r="K60" i="48"/>
  <c r="L166" i="51"/>
  <c r="L168" i="51" s="1"/>
  <c r="N27" i="51"/>
  <c r="N21" i="51" s="1"/>
  <c r="N32" i="51" s="1"/>
  <c r="L27" i="51"/>
  <c r="L21" i="51" s="1"/>
  <c r="L32" i="51" s="1"/>
  <c r="N29" i="52"/>
  <c r="N166" i="52"/>
  <c r="N28" i="52"/>
  <c r="M167" i="52"/>
  <c r="M170" i="52" s="1"/>
  <c r="M140" i="52"/>
  <c r="M145" i="52" s="1"/>
  <c r="L167" i="52"/>
  <c r="L170" i="52" s="1"/>
  <c r="L140" i="52"/>
  <c r="L145" i="52" s="1"/>
  <c r="M167" i="51"/>
  <c r="M170" i="51" s="1"/>
  <c r="M140" i="51"/>
  <c r="M145" i="51" s="1"/>
  <c r="J29" i="51"/>
  <c r="N168" i="51"/>
  <c r="K134" i="51"/>
  <c r="K135" i="51" s="1"/>
  <c r="K24" i="51"/>
  <c r="K23" i="51" s="1"/>
  <c r="K22" i="51" s="1"/>
  <c r="J166" i="51"/>
  <c r="J28" i="51"/>
  <c r="L237" i="50"/>
  <c r="L229" i="50"/>
  <c r="L239" i="50" s="1"/>
  <c r="L228" i="50"/>
  <c r="L238" i="50" s="1"/>
  <c r="J228" i="50"/>
  <c r="J238" i="50" s="1"/>
  <c r="J237" i="50"/>
  <c r="J229" i="50"/>
  <c r="J239" i="50" s="1"/>
  <c r="M249" i="50"/>
  <c r="M252" i="50" s="1"/>
  <c r="M222" i="50"/>
  <c r="M227" i="50" s="1"/>
  <c r="L88" i="49"/>
  <c r="I12" i="49"/>
  <c r="I11" i="49" s="1"/>
  <c r="I98" i="49"/>
  <c r="I40" i="49"/>
  <c r="G61" i="50"/>
  <c r="H88" i="49"/>
  <c r="P119" i="48"/>
  <c r="N110" i="50"/>
  <c r="M15" i="50"/>
  <c r="M312" i="50"/>
  <c r="K413" i="50"/>
  <c r="J47" i="50"/>
  <c r="J60" i="50" s="1"/>
  <c r="J430" i="50"/>
  <c r="J431" i="50" s="1"/>
  <c r="J320" i="50"/>
  <c r="J319" i="50" s="1"/>
  <c r="J318" i="50" s="1"/>
  <c r="K88" i="49"/>
  <c r="F81" i="49"/>
  <c r="G319" i="50"/>
  <c r="J88" i="49"/>
  <c r="I463" i="50"/>
  <c r="I466" i="50" s="1"/>
  <c r="I436" i="50"/>
  <c r="I441" i="50" s="1"/>
  <c r="N412" i="50"/>
  <c r="N416" i="50" s="1"/>
  <c r="N48" i="50" s="1"/>
  <c r="H237" i="50"/>
  <c r="H229" i="50"/>
  <c r="H239" i="50" s="1"/>
  <c r="H228" i="50"/>
  <c r="H238" i="50" s="1"/>
  <c r="H463" i="50"/>
  <c r="H466" i="50" s="1"/>
  <c r="H436" i="50"/>
  <c r="H441" i="50" s="1"/>
  <c r="F105" i="50"/>
  <c r="G104" i="50"/>
  <c r="G4" i="50"/>
  <c r="F82" i="49"/>
  <c r="F80" i="49"/>
  <c r="G431" i="50"/>
  <c r="F215" i="50"/>
  <c r="G216" i="50"/>
  <c r="K228" i="50"/>
  <c r="K238" i="50" s="1"/>
  <c r="K237" i="50"/>
  <c r="K229" i="50"/>
  <c r="K239" i="50" s="1"/>
  <c r="G75" i="50"/>
  <c r="I248" i="50"/>
  <c r="I109" i="50"/>
  <c r="I108" i="50" s="1"/>
  <c r="I102" i="50" s="1"/>
  <c r="I113" i="50" s="1"/>
  <c r="L289" i="50"/>
  <c r="K289" i="50"/>
  <c r="G289" i="50"/>
  <c r="K288" i="50"/>
  <c r="G288" i="50"/>
  <c r="K287" i="50"/>
  <c r="G287" i="50"/>
  <c r="K286" i="50"/>
  <c r="G286" i="50"/>
  <c r="K285" i="50"/>
  <c r="K290" i="50" s="1"/>
  <c r="G285" i="50"/>
  <c r="K281" i="50"/>
  <c r="G281" i="50"/>
  <c r="K280" i="50"/>
  <c r="G280" i="50"/>
  <c r="K279" i="50"/>
  <c r="G279" i="50"/>
  <c r="K278" i="50"/>
  <c r="G278" i="50"/>
  <c r="K277" i="50"/>
  <c r="K282" i="50" s="1"/>
  <c r="G277" i="50"/>
  <c r="G282" i="50" s="1"/>
  <c r="N289" i="50"/>
  <c r="J289" i="50"/>
  <c r="N288" i="50"/>
  <c r="J288" i="50"/>
  <c r="N287" i="50"/>
  <c r="J287" i="50"/>
  <c r="N286" i="50"/>
  <c r="J286" i="50"/>
  <c r="N285" i="50"/>
  <c r="J285" i="50"/>
  <c r="N281" i="50"/>
  <c r="J281" i="50"/>
  <c r="N280" i="50"/>
  <c r="J280" i="50"/>
  <c r="N279" i="50"/>
  <c r="J279" i="50"/>
  <c r="N278" i="50"/>
  <c r="J278" i="50"/>
  <c r="N277" i="50"/>
  <c r="N282" i="50" s="1"/>
  <c r="J277" i="50"/>
  <c r="J282" i="50" s="1"/>
  <c r="M289" i="50"/>
  <c r="L288" i="50"/>
  <c r="L287" i="50"/>
  <c r="L286" i="50"/>
  <c r="L285" i="50"/>
  <c r="L281" i="50"/>
  <c r="L280" i="50"/>
  <c r="L279" i="50"/>
  <c r="L278" i="50"/>
  <c r="L277" i="50"/>
  <c r="I289" i="50"/>
  <c r="I288" i="50"/>
  <c r="I287" i="50"/>
  <c r="I286" i="50"/>
  <c r="I285" i="50"/>
  <c r="I290" i="50" s="1"/>
  <c r="I281" i="50"/>
  <c r="I280" i="50"/>
  <c r="I279" i="50"/>
  <c r="I278" i="50"/>
  <c r="I282" i="50" s="1"/>
  <c r="I277" i="50"/>
  <c r="H289" i="50"/>
  <c r="H288" i="50"/>
  <c r="H287" i="50"/>
  <c r="H286" i="50"/>
  <c r="H285" i="50"/>
  <c r="H281" i="50"/>
  <c r="H280" i="50"/>
  <c r="H279" i="50"/>
  <c r="H278" i="50"/>
  <c r="H282" i="50" s="1"/>
  <c r="H277" i="50"/>
  <c r="M288" i="50"/>
  <c r="M278" i="50"/>
  <c r="M287" i="50"/>
  <c r="M281" i="50"/>
  <c r="M277" i="50"/>
  <c r="M282" i="50" s="1"/>
  <c r="M286" i="50"/>
  <c r="M280" i="50"/>
  <c r="M285" i="50"/>
  <c r="M279" i="50"/>
  <c r="L430" i="50"/>
  <c r="L431" i="50" s="1"/>
  <c r="L320" i="50"/>
  <c r="L319" i="50" s="1"/>
  <c r="L318" i="50" s="1"/>
  <c r="L46" i="50"/>
  <c r="L60" i="50" s="1"/>
  <c r="L61" i="50" s="1"/>
  <c r="N15" i="50"/>
  <c r="N16" i="50" s="1"/>
  <c r="N312" i="50"/>
  <c r="N311" i="50" s="1"/>
  <c r="N306" i="50" s="1"/>
  <c r="F79" i="49"/>
  <c r="G88" i="49"/>
  <c r="F84" i="49"/>
  <c r="N248" i="50"/>
  <c r="N109" i="50"/>
  <c r="N108" i="50" s="1"/>
  <c r="N102" i="50" s="1"/>
  <c r="N113" i="50" s="1"/>
  <c r="O24" i="48"/>
  <c r="O23" i="48" s="1"/>
  <c r="O22" i="48" s="1"/>
  <c r="O134" i="48"/>
  <c r="O135" i="48" s="1"/>
  <c r="M412" i="50"/>
  <c r="M416" i="50" s="1"/>
  <c r="H290" i="50" l="1"/>
  <c r="J110" i="50"/>
  <c r="M290" i="50"/>
  <c r="L282" i="50"/>
  <c r="J290" i="50"/>
  <c r="G290" i="50"/>
  <c r="K110" i="50"/>
  <c r="L110" i="50"/>
  <c r="L290" i="50"/>
  <c r="N290" i="50"/>
  <c r="K116" i="48"/>
  <c r="K120" i="48" s="1"/>
  <c r="J27" i="51"/>
  <c r="J21" i="51" s="1"/>
  <c r="J32" i="51" s="1"/>
  <c r="N27" i="52"/>
  <c r="N21" i="52" s="1"/>
  <c r="N32" i="52" s="1"/>
  <c r="L155" i="52"/>
  <c r="L147" i="52"/>
  <c r="L157" i="52" s="1"/>
  <c r="L146" i="52"/>
  <c r="L156" i="52" s="1"/>
  <c r="N168" i="52"/>
  <c r="M155" i="52"/>
  <c r="M146" i="52"/>
  <c r="M156" i="52" s="1"/>
  <c r="M147" i="52"/>
  <c r="M157" i="52" s="1"/>
  <c r="M147" i="51"/>
  <c r="M157" i="51" s="1"/>
  <c r="M146" i="51"/>
  <c r="M156" i="51" s="1"/>
  <c r="M155" i="51"/>
  <c r="N174" i="51"/>
  <c r="N169" i="51"/>
  <c r="J168" i="51"/>
  <c r="L174" i="51"/>
  <c r="L169" i="51"/>
  <c r="K167" i="51"/>
  <c r="K170" i="51" s="1"/>
  <c r="K140" i="51"/>
  <c r="K145" i="51" s="1"/>
  <c r="M413" i="50"/>
  <c r="I250" i="50"/>
  <c r="H110" i="50"/>
  <c r="N413" i="50"/>
  <c r="J98" i="49"/>
  <c r="J40" i="49"/>
  <c r="J12" i="49"/>
  <c r="J11" i="49" s="1"/>
  <c r="M48" i="50"/>
  <c r="F416" i="50"/>
  <c r="F48" i="50" s="1"/>
  <c r="G98" i="49"/>
  <c r="G40" i="49"/>
  <c r="F88" i="49"/>
  <c r="F98" i="49" s="1"/>
  <c r="G12" i="49"/>
  <c r="G80" i="50"/>
  <c r="G76" i="50"/>
  <c r="K248" i="50"/>
  <c r="K109" i="50"/>
  <c r="K108" i="50" s="1"/>
  <c r="K102" i="50" s="1"/>
  <c r="K113" i="50" s="1"/>
  <c r="G463" i="50"/>
  <c r="G436" i="50"/>
  <c r="H442" i="50"/>
  <c r="H452" i="50" s="1"/>
  <c r="H451" i="50"/>
  <c r="H443" i="50"/>
  <c r="H453" i="50" s="1"/>
  <c r="G318" i="50"/>
  <c r="K98" i="49"/>
  <c r="K40" i="49"/>
  <c r="K12" i="49"/>
  <c r="K11" i="49" s="1"/>
  <c r="K430" i="50"/>
  <c r="K431" i="50" s="1"/>
  <c r="K320" i="50"/>
  <c r="K46" i="50"/>
  <c r="K60" i="50" s="1"/>
  <c r="F413" i="50"/>
  <c r="F46" i="50" s="1"/>
  <c r="L40" i="49"/>
  <c r="L12" i="49"/>
  <c r="L11" i="49" s="1"/>
  <c r="L98" i="49"/>
  <c r="J248" i="50"/>
  <c r="J109" i="50"/>
  <c r="J108" i="50" s="1"/>
  <c r="J102" i="50" s="1"/>
  <c r="J113" i="50" s="1"/>
  <c r="N250" i="50"/>
  <c r="G103" i="50"/>
  <c r="F104" i="50"/>
  <c r="H248" i="50"/>
  <c r="H109" i="50"/>
  <c r="H108" i="50" s="1"/>
  <c r="H102" i="50" s="1"/>
  <c r="H113" i="50" s="1"/>
  <c r="I442" i="50"/>
  <c r="I452" i="50" s="1"/>
  <c r="I451" i="50"/>
  <c r="I443" i="50"/>
  <c r="I453" i="50" s="1"/>
  <c r="M311" i="50"/>
  <c r="F312" i="50"/>
  <c r="H40" i="49"/>
  <c r="H12" i="49"/>
  <c r="H11" i="49" s="1"/>
  <c r="H98" i="49"/>
  <c r="I94" i="49"/>
  <c r="M229" i="50"/>
  <c r="M239" i="50" s="1"/>
  <c r="M228" i="50"/>
  <c r="M238" i="50" s="1"/>
  <c r="M110" i="50" s="1"/>
  <c r="M237" i="50"/>
  <c r="O167" i="48"/>
  <c r="O170" i="48" s="1"/>
  <c r="O140" i="48"/>
  <c r="O145" i="48" s="1"/>
  <c r="N395" i="50"/>
  <c r="L463" i="50"/>
  <c r="L466" i="50" s="1"/>
  <c r="L436" i="50"/>
  <c r="L441" i="50" s="1"/>
  <c r="G249" i="50"/>
  <c r="F216" i="50"/>
  <c r="G222" i="50"/>
  <c r="J463" i="50"/>
  <c r="J466" i="50" s="1"/>
  <c r="J436" i="50"/>
  <c r="J441" i="50" s="1"/>
  <c r="M16" i="50"/>
  <c r="F16" i="50" s="1"/>
  <c r="F15" i="50"/>
  <c r="P134" i="48"/>
  <c r="P135" i="48" s="1"/>
  <c r="P24" i="48"/>
  <c r="P23" i="48" s="1"/>
  <c r="P22" i="48" s="1"/>
  <c r="I116" i="49"/>
  <c r="I117" i="49" s="1"/>
  <c r="I24" i="49"/>
  <c r="I20" i="49"/>
  <c r="L248" i="50"/>
  <c r="L109" i="50"/>
  <c r="L108" i="50" s="1"/>
  <c r="L102" i="50" s="1"/>
  <c r="L113" i="50" s="1"/>
  <c r="I118" i="49" l="1"/>
  <c r="I141" i="49" s="1"/>
  <c r="I325" i="50"/>
  <c r="K117" i="48"/>
  <c r="M29" i="51"/>
  <c r="L29" i="52"/>
  <c r="N174" i="52"/>
  <c r="N169" i="52"/>
  <c r="M166" i="52"/>
  <c r="M28" i="52"/>
  <c r="M29" i="52"/>
  <c r="L166" i="52"/>
  <c r="L28" i="52"/>
  <c r="M166" i="51"/>
  <c r="M28" i="51"/>
  <c r="K155" i="51"/>
  <c r="K147" i="51"/>
  <c r="K157" i="51" s="1"/>
  <c r="K146" i="51"/>
  <c r="K156" i="51" s="1"/>
  <c r="J174" i="51"/>
  <c r="J169" i="51"/>
  <c r="P167" i="48"/>
  <c r="P170" i="48" s="1"/>
  <c r="P140" i="48"/>
  <c r="P145" i="48" s="1"/>
  <c r="O146" i="48"/>
  <c r="O156" i="48" s="1"/>
  <c r="O155" i="48"/>
  <c r="O147" i="48"/>
  <c r="O157" i="48" s="1"/>
  <c r="L94" i="49"/>
  <c r="K61" i="50"/>
  <c r="K94" i="49"/>
  <c r="G466" i="50"/>
  <c r="G116" i="49"/>
  <c r="G117" i="49" s="1"/>
  <c r="G24" i="49"/>
  <c r="G20" i="49"/>
  <c r="J94" i="49"/>
  <c r="G252" i="50"/>
  <c r="F252" i="50" s="1"/>
  <c r="F249" i="50"/>
  <c r="H94" i="49"/>
  <c r="H250" i="50"/>
  <c r="J250" i="50"/>
  <c r="K319" i="50"/>
  <c r="K116" i="49"/>
  <c r="K117" i="49" s="1"/>
  <c r="K24" i="49"/>
  <c r="K20" i="49"/>
  <c r="H462" i="50"/>
  <c r="H324" i="50"/>
  <c r="G82" i="50"/>
  <c r="G11" i="49"/>
  <c r="F11" i="49" s="1"/>
  <c r="F12" i="49"/>
  <c r="J116" i="49"/>
  <c r="J117" i="49" s="1"/>
  <c r="J24" i="49"/>
  <c r="J20" i="49"/>
  <c r="L250" i="50"/>
  <c r="I21" i="49"/>
  <c r="M18" i="50"/>
  <c r="I18" i="50"/>
  <c r="L18" i="50"/>
  <c r="H18" i="50"/>
  <c r="J18" i="50"/>
  <c r="G18" i="50"/>
  <c r="F18" i="50" s="1"/>
  <c r="F19" i="50" s="1"/>
  <c r="N18" i="50"/>
  <c r="K18" i="50"/>
  <c r="M248" i="50"/>
  <c r="M109" i="50"/>
  <c r="M108" i="50" s="1"/>
  <c r="M102" i="50" s="1"/>
  <c r="M113" i="50" s="1"/>
  <c r="I462" i="50"/>
  <c r="I324" i="50"/>
  <c r="I323" i="50" s="1"/>
  <c r="I317" i="50" s="1"/>
  <c r="I328" i="50" s="1"/>
  <c r="N251" i="50"/>
  <c r="N256" i="50"/>
  <c r="L116" i="49"/>
  <c r="L117" i="49" s="1"/>
  <c r="L24" i="49"/>
  <c r="L20" i="49"/>
  <c r="K463" i="50"/>
  <c r="K466" i="50" s="1"/>
  <c r="K436" i="50"/>
  <c r="K441" i="50" s="1"/>
  <c r="H325" i="50"/>
  <c r="G441" i="50"/>
  <c r="K250" i="50"/>
  <c r="N430" i="50"/>
  <c r="N431" i="50" s="1"/>
  <c r="N320" i="50"/>
  <c r="N319" i="50" s="1"/>
  <c r="N318" i="50" s="1"/>
  <c r="N46" i="50"/>
  <c r="N60" i="50" s="1"/>
  <c r="N61" i="50" s="1"/>
  <c r="J451" i="50"/>
  <c r="J443" i="50"/>
  <c r="J453" i="50" s="1"/>
  <c r="J442" i="50"/>
  <c r="J452" i="50" s="1"/>
  <c r="F222" i="50"/>
  <c r="F224" i="50" s="1"/>
  <c r="G227" i="50"/>
  <c r="L442" i="50"/>
  <c r="L452" i="50" s="1"/>
  <c r="L325" i="50" s="1"/>
  <c r="L451" i="50"/>
  <c r="L443" i="50"/>
  <c r="L453" i="50" s="1"/>
  <c r="H116" i="49"/>
  <c r="H117" i="49" s="1"/>
  <c r="H24" i="49"/>
  <c r="H20" i="49"/>
  <c r="M306" i="50"/>
  <c r="F311" i="50"/>
  <c r="F103" i="50"/>
  <c r="F40" i="49"/>
  <c r="G94" i="49"/>
  <c r="I256" i="50"/>
  <c r="I251" i="50"/>
  <c r="M430" i="50"/>
  <c r="F430" i="50" s="1"/>
  <c r="M320" i="50"/>
  <c r="M319" i="50" s="1"/>
  <c r="M318" i="50" s="1"/>
  <c r="M46" i="50"/>
  <c r="M60" i="50" s="1"/>
  <c r="M61" i="50" s="1"/>
  <c r="I134" i="49" l="1"/>
  <c r="I135" i="49" s="1"/>
  <c r="I140" i="49" s="1"/>
  <c r="I165" i="49" s="1"/>
  <c r="I168" i="49" s="1"/>
  <c r="J118" i="49"/>
  <c r="J145" i="49" s="1"/>
  <c r="L118" i="49"/>
  <c r="I27" i="49"/>
  <c r="I26" i="49" s="1"/>
  <c r="F320" i="50"/>
  <c r="I145" i="49"/>
  <c r="I149" i="49"/>
  <c r="O29" i="48"/>
  <c r="M27" i="51"/>
  <c r="M21" i="51" s="1"/>
  <c r="M32" i="51" s="1"/>
  <c r="L27" i="52"/>
  <c r="L21" i="52" s="1"/>
  <c r="L32" i="52" s="1"/>
  <c r="M27" i="52"/>
  <c r="M21" i="52" s="1"/>
  <c r="M32" i="52" s="1"/>
  <c r="M168" i="52"/>
  <c r="L168" i="52"/>
  <c r="K166" i="51"/>
  <c r="K28" i="51"/>
  <c r="M168" i="51"/>
  <c r="K29" i="51"/>
  <c r="L19" i="50"/>
  <c r="H19" i="50"/>
  <c r="K19" i="50"/>
  <c r="G19" i="50"/>
  <c r="I19" i="50"/>
  <c r="N19" i="50"/>
  <c r="M19" i="50"/>
  <c r="J19" i="50"/>
  <c r="J155" i="49"/>
  <c r="J146" i="49"/>
  <c r="J156" i="49" s="1"/>
  <c r="J147" i="49"/>
  <c r="J157" i="49" s="1"/>
  <c r="M431" i="50"/>
  <c r="M395" i="50"/>
  <c r="F395" i="50" s="1"/>
  <c r="F306" i="50"/>
  <c r="M250" i="50"/>
  <c r="F94" i="49"/>
  <c r="H21" i="49"/>
  <c r="H118" i="49"/>
  <c r="G228" i="50"/>
  <c r="F228" i="50" s="1"/>
  <c r="F238" i="50" s="1"/>
  <c r="G238" i="50" s="1"/>
  <c r="G110" i="50" s="1"/>
  <c r="F110" i="50" s="1"/>
  <c r="G229" i="50"/>
  <c r="F229" i="50" s="1"/>
  <c r="F239" i="50" s="1"/>
  <c r="G239" i="50" s="1"/>
  <c r="F227" i="50"/>
  <c r="J462" i="50"/>
  <c r="J324" i="50"/>
  <c r="K251" i="50"/>
  <c r="K256" i="50"/>
  <c r="L27" i="49"/>
  <c r="L26" i="49" s="1"/>
  <c r="L134" i="49"/>
  <c r="I20" i="50"/>
  <c r="J21" i="49"/>
  <c r="J149" i="49"/>
  <c r="K21" i="49"/>
  <c r="K118" i="49"/>
  <c r="H251" i="50"/>
  <c r="H256" i="50"/>
  <c r="J141" i="49"/>
  <c r="F61" i="50"/>
  <c r="O166" i="48"/>
  <c r="O28" i="48"/>
  <c r="G294" i="50"/>
  <c r="G293" i="50"/>
  <c r="G296" i="50"/>
  <c r="E227" i="50" s="1"/>
  <c r="E237" i="50" s="1"/>
  <c r="F237" i="50" s="1"/>
  <c r="G237" i="50" s="1"/>
  <c r="G295" i="50"/>
  <c r="I464" i="50"/>
  <c r="I68" i="50"/>
  <c r="H141" i="49"/>
  <c r="K141" i="49"/>
  <c r="L21" i="49"/>
  <c r="L135" i="49"/>
  <c r="L140" i="49" s="1"/>
  <c r="L165" i="49" s="1"/>
  <c r="L168" i="49" s="1"/>
  <c r="J20" i="50"/>
  <c r="J14" i="50" s="1"/>
  <c r="J12" i="50" s="1"/>
  <c r="L251" i="50"/>
  <c r="L256" i="50"/>
  <c r="L462" i="50"/>
  <c r="L324" i="50"/>
  <c r="L323" i="50" s="1"/>
  <c r="L317" i="50" s="1"/>
  <c r="L328" i="50" s="1"/>
  <c r="J325" i="50"/>
  <c r="G443" i="50"/>
  <c r="G442" i="50"/>
  <c r="K443" i="50"/>
  <c r="K453" i="50" s="1"/>
  <c r="K442" i="50"/>
  <c r="K452" i="50" s="1"/>
  <c r="K451" i="50"/>
  <c r="J134" i="49"/>
  <c r="J135" i="49" s="1"/>
  <c r="J140" i="49" s="1"/>
  <c r="J165" i="49" s="1"/>
  <c r="J168" i="49" s="1"/>
  <c r="J27" i="49"/>
  <c r="J26" i="49" s="1"/>
  <c r="H323" i="50"/>
  <c r="H317" i="50" s="1"/>
  <c r="H328" i="50" s="1"/>
  <c r="K318" i="50"/>
  <c r="F319" i="50"/>
  <c r="J251" i="50"/>
  <c r="J256" i="50"/>
  <c r="G21" i="49"/>
  <c r="F21" i="49" s="1"/>
  <c r="F20" i="49"/>
  <c r="G118" i="49"/>
  <c r="G27" i="49" s="1"/>
  <c r="L141" i="49"/>
  <c r="P155" i="48"/>
  <c r="P147" i="48"/>
  <c r="P157" i="48" s="1"/>
  <c r="P146" i="48"/>
  <c r="P156" i="48" s="1"/>
  <c r="H27" i="49"/>
  <c r="H26" i="49" s="1"/>
  <c r="H134" i="49"/>
  <c r="H135" i="49" s="1"/>
  <c r="H140" i="49" s="1"/>
  <c r="H165" i="49" s="1"/>
  <c r="H168" i="49" s="1"/>
  <c r="N463" i="50"/>
  <c r="N466" i="50" s="1"/>
  <c r="N436" i="50"/>
  <c r="N441" i="50" s="1"/>
  <c r="H464" i="50"/>
  <c r="H68" i="50"/>
  <c r="H69" i="50" s="1"/>
  <c r="K27" i="49"/>
  <c r="K26" i="49" s="1"/>
  <c r="K134" i="49"/>
  <c r="K135" i="49" s="1"/>
  <c r="K140" i="49" s="1"/>
  <c r="K165" i="49" s="1"/>
  <c r="K168" i="49" s="1"/>
  <c r="F24" i="49"/>
  <c r="F60" i="50"/>
  <c r="J323" i="50" l="1"/>
  <c r="J317" i="50" s="1"/>
  <c r="J328" i="50" s="1"/>
  <c r="L145" i="49"/>
  <c r="L149" i="49"/>
  <c r="K325" i="50"/>
  <c r="I147" i="49"/>
  <c r="I157" i="49" s="1"/>
  <c r="I146" i="49"/>
  <c r="I156" i="49" s="1"/>
  <c r="I31" i="49" s="1"/>
  <c r="I155" i="49"/>
  <c r="I164" i="49" s="1"/>
  <c r="O27" i="48"/>
  <c r="O21" i="48" s="1"/>
  <c r="O32" i="48" s="1"/>
  <c r="L169" i="52"/>
  <c r="L174" i="52"/>
  <c r="M169" i="52"/>
  <c r="M174" i="52"/>
  <c r="K27" i="51"/>
  <c r="K21" i="51" s="1"/>
  <c r="K32" i="51" s="1"/>
  <c r="K168" i="51"/>
  <c r="M169" i="51"/>
  <c r="M174" i="51"/>
  <c r="N451" i="50"/>
  <c r="N443" i="50"/>
  <c r="N453" i="50" s="1"/>
  <c r="N442" i="50"/>
  <c r="N452" i="50" s="1"/>
  <c r="G248" i="50"/>
  <c r="G109" i="50"/>
  <c r="J205" i="49"/>
  <c r="L204" i="49"/>
  <c r="H204" i="49"/>
  <c r="J203" i="49"/>
  <c r="L202" i="49"/>
  <c r="H202" i="49"/>
  <c r="J201" i="49"/>
  <c r="L197" i="49"/>
  <c r="H197" i="49"/>
  <c r="J196" i="49"/>
  <c r="L195" i="49"/>
  <c r="H195" i="49"/>
  <c r="J194" i="49"/>
  <c r="L193" i="49"/>
  <c r="H193" i="49"/>
  <c r="I205" i="49"/>
  <c r="K204" i="49"/>
  <c r="G204" i="49"/>
  <c r="I203" i="49"/>
  <c r="K202" i="49"/>
  <c r="G202" i="49"/>
  <c r="I201" i="49"/>
  <c r="K197" i="49"/>
  <c r="G197" i="49"/>
  <c r="I196" i="49"/>
  <c r="K195" i="49"/>
  <c r="G195" i="49"/>
  <c r="I194" i="49"/>
  <c r="K193" i="49"/>
  <c r="G193" i="49"/>
  <c r="L205" i="49"/>
  <c r="H205" i="49"/>
  <c r="J204" i="49"/>
  <c r="L203" i="49"/>
  <c r="H203" i="49"/>
  <c r="J202" i="49"/>
  <c r="J206" i="49" s="1"/>
  <c r="L201" i="49"/>
  <c r="H201" i="49"/>
  <c r="H206" i="49" s="1"/>
  <c r="J197" i="49"/>
  <c r="L196" i="49"/>
  <c r="H196" i="49"/>
  <c r="J195" i="49"/>
  <c r="L194" i="49"/>
  <c r="H194" i="49"/>
  <c r="H198" i="49" s="1"/>
  <c r="J193" i="49"/>
  <c r="J198" i="49" s="1"/>
  <c r="I204" i="49"/>
  <c r="K201" i="49"/>
  <c r="G196" i="49"/>
  <c r="I193" i="49"/>
  <c r="I202" i="49"/>
  <c r="G194" i="49"/>
  <c r="G198" i="49" s="1"/>
  <c r="K203" i="49"/>
  <c r="G201" i="49"/>
  <c r="I195" i="49"/>
  <c r="K205" i="49"/>
  <c r="G203" i="49"/>
  <c r="I197" i="49"/>
  <c r="K194" i="49"/>
  <c r="K198" i="49" s="1"/>
  <c r="G205" i="49"/>
  <c r="K196" i="49"/>
  <c r="P29" i="48"/>
  <c r="F118" i="49"/>
  <c r="F134" i="49" s="1"/>
  <c r="G145" i="49"/>
  <c r="G149" i="49"/>
  <c r="N63" i="50"/>
  <c r="J63" i="50"/>
  <c r="M63" i="50"/>
  <c r="I63" i="50"/>
  <c r="L63" i="50"/>
  <c r="H63" i="50"/>
  <c r="K63" i="50"/>
  <c r="G63" i="50"/>
  <c r="K145" i="49"/>
  <c r="K149" i="49"/>
  <c r="J464" i="50"/>
  <c r="J68" i="50"/>
  <c r="H145" i="49"/>
  <c r="H149" i="49"/>
  <c r="G141" i="49"/>
  <c r="F141" i="49" s="1"/>
  <c r="N503" i="50"/>
  <c r="J503" i="50"/>
  <c r="N502" i="50"/>
  <c r="J502" i="50"/>
  <c r="N501" i="50"/>
  <c r="J501" i="50"/>
  <c r="N500" i="50"/>
  <c r="J500" i="50"/>
  <c r="N499" i="50"/>
  <c r="J499" i="50"/>
  <c r="N495" i="50"/>
  <c r="J495" i="50"/>
  <c r="N494" i="50"/>
  <c r="J494" i="50"/>
  <c r="N493" i="50"/>
  <c r="J493" i="50"/>
  <c r="N492" i="50"/>
  <c r="J492" i="50"/>
  <c r="N491" i="50"/>
  <c r="N496" i="50" s="1"/>
  <c r="J491" i="50"/>
  <c r="J496" i="50" s="1"/>
  <c r="M503" i="50"/>
  <c r="I503" i="50"/>
  <c r="M502" i="50"/>
  <c r="I502" i="50"/>
  <c r="M501" i="50"/>
  <c r="I501" i="50"/>
  <c r="M500" i="50"/>
  <c r="I500" i="50"/>
  <c r="M499" i="50"/>
  <c r="I499" i="50"/>
  <c r="M495" i="50"/>
  <c r="I495" i="50"/>
  <c r="M494" i="50"/>
  <c r="I494" i="50"/>
  <c r="M493" i="50"/>
  <c r="I493" i="50"/>
  <c r="M492" i="50"/>
  <c r="I492" i="50"/>
  <c r="M491" i="50"/>
  <c r="M496" i="50" s="1"/>
  <c r="I491" i="50"/>
  <c r="I496" i="50" s="1"/>
  <c r="L503" i="50"/>
  <c r="H503" i="50"/>
  <c r="L502" i="50"/>
  <c r="H502" i="50"/>
  <c r="L501" i="50"/>
  <c r="H501" i="50"/>
  <c r="L500" i="50"/>
  <c r="H500" i="50"/>
  <c r="L499" i="50"/>
  <c r="H499" i="50"/>
  <c r="L495" i="50"/>
  <c r="H495" i="50"/>
  <c r="L494" i="50"/>
  <c r="H494" i="50"/>
  <c r="L493" i="50"/>
  <c r="H493" i="50"/>
  <c r="L492" i="50"/>
  <c r="H492" i="50"/>
  <c r="L491" i="50"/>
  <c r="L496" i="50" s="1"/>
  <c r="H491" i="50"/>
  <c r="H496" i="50" s="1"/>
  <c r="G503" i="50"/>
  <c r="G501" i="50"/>
  <c r="G499" i="50"/>
  <c r="G504" i="50" s="1"/>
  <c r="G494" i="50"/>
  <c r="G492" i="50"/>
  <c r="K502" i="50"/>
  <c r="K500" i="50"/>
  <c r="K495" i="50"/>
  <c r="K493" i="50"/>
  <c r="K491" i="50"/>
  <c r="K496" i="50" s="1"/>
  <c r="G502" i="50"/>
  <c r="G500" i="50"/>
  <c r="G495" i="50"/>
  <c r="G493" i="50"/>
  <c r="G491" i="50"/>
  <c r="G496" i="50" s="1"/>
  <c r="K503" i="50"/>
  <c r="K494" i="50"/>
  <c r="K501" i="50"/>
  <c r="K492" i="50"/>
  <c r="K499" i="50"/>
  <c r="G26" i="49"/>
  <c r="F27" i="49"/>
  <c r="M463" i="50"/>
  <c r="M436" i="50"/>
  <c r="F431" i="50"/>
  <c r="H465" i="50"/>
  <c r="H470" i="50"/>
  <c r="F318" i="50"/>
  <c r="I465" i="50"/>
  <c r="I470" i="50"/>
  <c r="I14" i="50"/>
  <c r="F20" i="50"/>
  <c r="P28" i="48"/>
  <c r="P166" i="48"/>
  <c r="K462" i="50"/>
  <c r="K324" i="50"/>
  <c r="K323" i="50" s="1"/>
  <c r="K317" i="50" s="1"/>
  <c r="K328" i="50" s="1"/>
  <c r="L464" i="50"/>
  <c r="L68" i="50"/>
  <c r="L69" i="50" s="1"/>
  <c r="J78" i="50"/>
  <c r="J81" i="50" s="1"/>
  <c r="J4" i="50" s="1"/>
  <c r="J62" i="50"/>
  <c r="G134" i="49"/>
  <c r="G135" i="49" s="1"/>
  <c r="J31" i="49"/>
  <c r="I166" i="49"/>
  <c r="O168" i="48"/>
  <c r="M256" i="50"/>
  <c r="M251" i="50"/>
  <c r="J164" i="49"/>
  <c r="H504" i="50" l="1"/>
  <c r="I504" i="50"/>
  <c r="J504" i="50"/>
  <c r="K504" i="50"/>
  <c r="L504" i="50"/>
  <c r="M504" i="50"/>
  <c r="N504" i="50"/>
  <c r="G206" i="49"/>
  <c r="I198" i="49"/>
  <c r="I206" i="49"/>
  <c r="L198" i="49"/>
  <c r="N325" i="50"/>
  <c r="L206" i="49"/>
  <c r="L147" i="49"/>
  <c r="L157" i="49" s="1"/>
  <c r="L146" i="49"/>
  <c r="L156" i="49" s="1"/>
  <c r="L155" i="49"/>
  <c r="K206" i="49"/>
  <c r="K169" i="51"/>
  <c r="K174" i="51"/>
  <c r="M466" i="50"/>
  <c r="F466" i="50" s="1"/>
  <c r="F463" i="50"/>
  <c r="J470" i="50"/>
  <c r="J465" i="50"/>
  <c r="K464" i="50"/>
  <c r="K68" i="50"/>
  <c r="K69" i="50" s="1"/>
  <c r="I12" i="50"/>
  <c r="F14" i="50"/>
  <c r="P168" i="48"/>
  <c r="F26" i="49"/>
  <c r="F109" i="50"/>
  <c r="G108" i="50"/>
  <c r="N462" i="50"/>
  <c r="N324" i="50"/>
  <c r="N323" i="50" s="1"/>
  <c r="N317" i="50" s="1"/>
  <c r="N328" i="50" s="1"/>
  <c r="J166" i="49"/>
  <c r="I172" i="49"/>
  <c r="I171" i="49" s="1"/>
  <c r="I169" i="49" s="1"/>
  <c r="I170" i="49" s="1"/>
  <c r="I30" i="49" s="1"/>
  <c r="I29" i="49" s="1"/>
  <c r="I25" i="49" s="1"/>
  <c r="I33" i="49" s="1"/>
  <c r="H147" i="49"/>
  <c r="H157" i="49" s="1"/>
  <c r="H146" i="49"/>
  <c r="H156" i="49" s="1"/>
  <c r="H31" i="49" s="1"/>
  <c r="H155" i="49"/>
  <c r="O169" i="48"/>
  <c r="O174" i="48"/>
  <c r="F135" i="49"/>
  <c r="F140" i="49" s="1"/>
  <c r="G140" i="49"/>
  <c r="G165" i="49" s="1"/>
  <c r="L465" i="50"/>
  <c r="L470" i="50"/>
  <c r="P27" i="48"/>
  <c r="P21" i="48" s="1"/>
  <c r="P32" i="48" s="1"/>
  <c r="M441" i="50"/>
  <c r="F436" i="50"/>
  <c r="F438" i="50" s="1"/>
  <c r="F63" i="50"/>
  <c r="F64" i="50" s="1"/>
  <c r="F149" i="49"/>
  <c r="F248" i="50"/>
  <c r="G250" i="50"/>
  <c r="G212" i="49"/>
  <c r="E145" i="49" s="1"/>
  <c r="E155" i="49" s="1"/>
  <c r="G211" i="49"/>
  <c r="G210" i="49"/>
  <c r="G209" i="49"/>
  <c r="K155" i="49"/>
  <c r="K147" i="49"/>
  <c r="K157" i="49" s="1"/>
  <c r="K146" i="49"/>
  <c r="K156" i="49" s="1"/>
  <c r="G147" i="49"/>
  <c r="G146" i="49"/>
  <c r="F145" i="49"/>
  <c r="L164" i="49" l="1"/>
  <c r="L166" i="49" s="1"/>
  <c r="F146" i="49"/>
  <c r="K31" i="49"/>
  <c r="L31" i="49"/>
  <c r="J172" i="49"/>
  <c r="J171" i="49" s="1"/>
  <c r="J169" i="49" s="1"/>
  <c r="J170" i="49" s="1"/>
  <c r="J30" i="49" s="1"/>
  <c r="J29" i="49" s="1"/>
  <c r="J25" i="49" s="1"/>
  <c r="J33" i="49" s="1"/>
  <c r="F108" i="50"/>
  <c r="G102" i="50"/>
  <c r="L172" i="49"/>
  <c r="L171" i="49" s="1"/>
  <c r="L169" i="49" s="1"/>
  <c r="L170" i="49" s="1"/>
  <c r="L30" i="49" s="1"/>
  <c r="L29" i="49" s="1"/>
  <c r="L25" i="49" s="1"/>
  <c r="L33" i="49" s="1"/>
  <c r="F155" i="49"/>
  <c r="G155" i="49" s="1"/>
  <c r="F147" i="49"/>
  <c r="F157" i="49" s="1"/>
  <c r="G157" i="49" s="1"/>
  <c r="G251" i="50"/>
  <c r="G256" i="50"/>
  <c r="F250" i="50"/>
  <c r="M64" i="50"/>
  <c r="I64" i="50"/>
  <c r="I65" i="50" s="1"/>
  <c r="L64" i="50"/>
  <c r="H64" i="50"/>
  <c r="K64" i="50"/>
  <c r="G64" i="50"/>
  <c r="N64" i="50"/>
  <c r="J64" i="50"/>
  <c r="J65" i="50" s="1"/>
  <c r="F165" i="49"/>
  <c r="G168" i="49"/>
  <c r="F168" i="49" s="1"/>
  <c r="K465" i="50"/>
  <c r="K470" i="50"/>
  <c r="G509" i="50"/>
  <c r="G508" i="50"/>
  <c r="G510" i="50" s="1"/>
  <c r="E441" i="50" s="1"/>
  <c r="E451" i="50" s="1"/>
  <c r="F451" i="50" s="1"/>
  <c r="G507" i="50"/>
  <c r="F156" i="49"/>
  <c r="G156" i="49" s="1"/>
  <c r="G31" i="49" s="1"/>
  <c r="F31" i="49" s="1"/>
  <c r="K164" i="49"/>
  <c r="I78" i="50"/>
  <c r="I66" i="50"/>
  <c r="I62" i="50"/>
  <c r="F62" i="50" s="1"/>
  <c r="F12" i="50"/>
  <c r="M442" i="50"/>
  <c r="M451" i="50"/>
  <c r="M443" i="50"/>
  <c r="F441" i="50"/>
  <c r="H164" i="49"/>
  <c r="N464" i="50"/>
  <c r="N68" i="50"/>
  <c r="N69" i="50" s="1"/>
  <c r="P174" i="48"/>
  <c r="P169" i="48"/>
  <c r="G451" i="50" l="1"/>
  <c r="G324" i="50" s="1"/>
  <c r="M452" i="50"/>
  <c r="F442" i="50"/>
  <c r="F452" i="50" s="1"/>
  <c r="G452" i="50" s="1"/>
  <c r="I73" i="50"/>
  <c r="I69" i="50"/>
  <c r="I70" i="50"/>
  <c r="K166" i="49"/>
  <c r="F102" i="50"/>
  <c r="G113" i="50"/>
  <c r="F113" i="50" s="1"/>
  <c r="N470" i="50"/>
  <c r="N465" i="50"/>
  <c r="J66" i="50"/>
  <c r="G164" i="49"/>
  <c r="M453" i="50"/>
  <c r="F443" i="50"/>
  <c r="F453" i="50" s="1"/>
  <c r="G453" i="50" s="1"/>
  <c r="I81" i="50"/>
  <c r="F78" i="50"/>
  <c r="H166" i="49"/>
  <c r="M462" i="50"/>
  <c r="M324" i="50"/>
  <c r="F65" i="50"/>
  <c r="E254" i="50"/>
  <c r="I4" i="50" l="1"/>
  <c r="F81" i="50"/>
  <c r="J70" i="50"/>
  <c r="J69" i="50"/>
  <c r="J73" i="50"/>
  <c r="H172" i="49"/>
  <c r="H171" i="49" s="1"/>
  <c r="H169" i="49" s="1"/>
  <c r="H170" i="49" s="1"/>
  <c r="H30" i="49" s="1"/>
  <c r="H29" i="49" s="1"/>
  <c r="H25" i="49" s="1"/>
  <c r="H33" i="49" s="1"/>
  <c r="F73" i="50"/>
  <c r="I75" i="50"/>
  <c r="E255" i="50"/>
  <c r="F255" i="50" s="1"/>
  <c r="F66" i="50"/>
  <c r="G325" i="50"/>
  <c r="F324" i="50"/>
  <c r="M464" i="50"/>
  <c r="M68" i="50"/>
  <c r="M69" i="50" s="1"/>
  <c r="F164" i="49"/>
  <c r="G166" i="49"/>
  <c r="K172" i="49"/>
  <c r="K171" i="49"/>
  <c r="K169" i="49" s="1"/>
  <c r="K170" i="49" s="1"/>
  <c r="K30" i="49" s="1"/>
  <c r="K29" i="49" s="1"/>
  <c r="K25" i="49" s="1"/>
  <c r="K33" i="49" s="1"/>
  <c r="F70" i="50"/>
  <c r="M325" i="50"/>
  <c r="M323" i="50" s="1"/>
  <c r="M317" i="50" s="1"/>
  <c r="M328" i="50" s="1"/>
  <c r="G462" i="50"/>
  <c r="F325" i="50" l="1"/>
  <c r="E256" i="50"/>
  <c r="M465" i="50"/>
  <c r="M470" i="50"/>
  <c r="I76" i="50"/>
  <c r="I80" i="50"/>
  <c r="F462" i="50"/>
  <c r="G464" i="50"/>
  <c r="G68" i="50"/>
  <c r="G69" i="50" s="1"/>
  <c r="F69" i="50" s="1"/>
  <c r="G172" i="49"/>
  <c r="F172" i="49" s="1"/>
  <c r="F166" i="49"/>
  <c r="G323" i="50"/>
  <c r="J75" i="50"/>
  <c r="F75" i="50" s="1"/>
  <c r="F4" i="50"/>
  <c r="F323" i="50" l="1"/>
  <c r="G317" i="50"/>
  <c r="K71" i="50"/>
  <c r="G71" i="50"/>
  <c r="N71" i="50"/>
  <c r="J71" i="50"/>
  <c r="M71" i="50"/>
  <c r="I71" i="50"/>
  <c r="H71" i="50"/>
  <c r="L71" i="50"/>
  <c r="J76" i="50"/>
  <c r="J80" i="50"/>
  <c r="J82" i="50" s="1"/>
  <c r="E170" i="49"/>
  <c r="G465" i="50"/>
  <c r="F464" i="50"/>
  <c r="G470" i="50"/>
  <c r="I82" i="50"/>
  <c r="N255" i="50"/>
  <c r="N253" i="50" s="1"/>
  <c r="N254" i="50" s="1"/>
  <c r="I255" i="50"/>
  <c r="I253" i="50" s="1"/>
  <c r="I254" i="50" s="1"/>
  <c r="L255" i="50"/>
  <c r="L253" i="50" s="1"/>
  <c r="L254" i="50" s="1"/>
  <c r="J255" i="50"/>
  <c r="J253" i="50" s="1"/>
  <c r="J254" i="50" s="1"/>
  <c r="K255" i="50"/>
  <c r="K253" i="50" s="1"/>
  <c r="K254" i="50" s="1"/>
  <c r="H255" i="50"/>
  <c r="H253" i="50" s="1"/>
  <c r="H254" i="50" s="1"/>
  <c r="M255" i="50"/>
  <c r="M253" i="50" s="1"/>
  <c r="M254" i="50" s="1"/>
  <c r="F256" i="50"/>
  <c r="F76" i="50"/>
  <c r="G255" i="50" l="1"/>
  <c r="G253" i="50" s="1"/>
  <c r="F253" i="50" s="1"/>
  <c r="F80" i="50"/>
  <c r="F82" i="50"/>
  <c r="F77" i="50"/>
  <c r="C80" i="50"/>
  <c r="E77" i="50"/>
  <c r="H77" i="50" s="1"/>
  <c r="E171" i="49"/>
  <c r="E172" i="49" s="1"/>
  <c r="G171" i="49" s="1"/>
  <c r="F317" i="50"/>
  <c r="G328" i="50"/>
  <c r="F328" i="50" s="1"/>
  <c r="G254" i="50"/>
  <c r="E468" i="50"/>
  <c r="F71" i="50"/>
  <c r="F72" i="50" s="1"/>
  <c r="M77" i="50" l="1"/>
  <c r="J77" i="50"/>
  <c r="N77" i="50"/>
  <c r="N79" i="50" s="1"/>
  <c r="H79" i="50"/>
  <c r="H74" i="50"/>
  <c r="H5" i="50" s="1"/>
  <c r="H6" i="50" s="1"/>
  <c r="F171" i="49"/>
  <c r="G169" i="49"/>
  <c r="K77" i="50"/>
  <c r="L77" i="50"/>
  <c r="M79" i="50"/>
  <c r="M74" i="50"/>
  <c r="M5" i="50" s="1"/>
  <c r="M6" i="50" s="1"/>
  <c r="J79" i="50"/>
  <c r="J74" i="50"/>
  <c r="J5" i="50" s="1"/>
  <c r="J6" i="50" s="1"/>
  <c r="N74" i="50"/>
  <c r="N5" i="50" s="1"/>
  <c r="N6" i="50" s="1"/>
  <c r="N72" i="50"/>
  <c r="J72" i="50"/>
  <c r="M72" i="50"/>
  <c r="I72" i="50"/>
  <c r="L72" i="50"/>
  <c r="H72" i="50"/>
  <c r="K72" i="50"/>
  <c r="G72" i="50"/>
  <c r="E469" i="50"/>
  <c r="F469" i="50" s="1"/>
  <c r="I77" i="50"/>
  <c r="G77" i="50"/>
  <c r="F169" i="49" l="1"/>
  <c r="G170" i="49"/>
  <c r="G30" i="49" s="1"/>
  <c r="G79" i="50"/>
  <c r="F79" i="50" s="1"/>
  <c r="G74" i="50"/>
  <c r="E470" i="50"/>
  <c r="L79" i="50"/>
  <c r="L74" i="50"/>
  <c r="L5" i="50" s="1"/>
  <c r="L6" i="50" s="1"/>
  <c r="I79" i="50"/>
  <c r="I74" i="50"/>
  <c r="I5" i="50" s="1"/>
  <c r="I6" i="50" s="1"/>
  <c r="K79" i="50"/>
  <c r="K74" i="50"/>
  <c r="K5" i="50" s="1"/>
  <c r="K6" i="50" s="1"/>
  <c r="F30" i="49" l="1"/>
  <c r="G29" i="49"/>
  <c r="H469" i="50"/>
  <c r="H467" i="50" s="1"/>
  <c r="H468" i="50" s="1"/>
  <c r="I469" i="50"/>
  <c r="I467" i="50" s="1"/>
  <c r="I468" i="50" s="1"/>
  <c r="J469" i="50"/>
  <c r="J467" i="50" s="1"/>
  <c r="J468" i="50" s="1"/>
  <c r="L469" i="50"/>
  <c r="L467" i="50" s="1"/>
  <c r="L468" i="50" s="1"/>
  <c r="K469" i="50"/>
  <c r="K467" i="50" s="1"/>
  <c r="K468" i="50" s="1"/>
  <c r="N469" i="50"/>
  <c r="N467" i="50" s="1"/>
  <c r="N468" i="50" s="1"/>
  <c r="M469" i="50"/>
  <c r="M467" i="50" s="1"/>
  <c r="M468" i="50" s="1"/>
  <c r="F470" i="50"/>
  <c r="F74" i="50"/>
  <c r="G5" i="50"/>
  <c r="F5" i="50" l="1"/>
  <c r="G6" i="50"/>
  <c r="F6" i="50" s="1"/>
  <c r="G469" i="50"/>
  <c r="G467" i="50" s="1"/>
  <c r="F29" i="49"/>
  <c r="G25" i="49"/>
  <c r="F467" i="50" l="1"/>
  <c r="G468" i="50"/>
  <c r="F25" i="49"/>
  <c r="G33" i="49"/>
  <c r="F33" i="49" s="1"/>
  <c r="K27" i="8" l="1"/>
  <c r="J27" i="8"/>
  <c r="I69" i="47" l="1"/>
  <c r="I68" i="47"/>
  <c r="I67" i="47"/>
  <c r="I66" i="47"/>
  <c r="I65" i="47"/>
  <c r="I64" i="47"/>
  <c r="I63" i="47"/>
  <c r="I62" i="47"/>
  <c r="I61" i="47"/>
  <c r="I60" i="47"/>
  <c r="I59" i="47"/>
  <c r="I58" i="47"/>
  <c r="I57" i="47"/>
  <c r="I56" i="47"/>
  <c r="I55" i="47"/>
  <c r="I54" i="47"/>
  <c r="I53" i="47"/>
  <c r="I52" i="47"/>
  <c r="M48" i="47"/>
  <c r="I46" i="47"/>
  <c r="I34" i="47"/>
  <c r="I33" i="47"/>
  <c r="I31" i="47"/>
  <c r="I29" i="47"/>
  <c r="M25" i="47"/>
  <c r="C5" i="47"/>
  <c r="I70" i="47" l="1"/>
  <c r="R11" i="6"/>
  <c r="R12" i="6"/>
  <c r="I7" i="47" l="1"/>
  <c r="I6" i="36"/>
  <c r="I16" i="47" l="1"/>
  <c r="I16" i="9"/>
  <c r="H11" i="52" l="1"/>
  <c r="H11" i="48" s="1"/>
  <c r="I5" i="36" s="1"/>
  <c r="I44" i="9"/>
  <c r="I43" i="9"/>
  <c r="I42" i="9"/>
  <c r="I41" i="9"/>
  <c r="I40" i="9"/>
  <c r="I39" i="9"/>
  <c r="I38" i="9"/>
  <c r="I37" i="9"/>
  <c r="I36" i="9"/>
  <c r="I35" i="9"/>
  <c r="I45" i="9" s="1"/>
  <c r="I34" i="9"/>
  <c r="I33" i="9"/>
  <c r="I31" i="9"/>
  <c r="I30" i="9"/>
  <c r="I32" i="9" s="1"/>
  <c r="I47" i="9" s="1"/>
  <c r="I29" i="9"/>
  <c r="K47" i="1"/>
  <c r="L47" i="1"/>
  <c r="I44" i="1"/>
  <c r="I31" i="1"/>
  <c r="I8" i="36" l="1"/>
  <c r="H53" i="48"/>
  <c r="H37" i="48" s="1"/>
  <c r="H60" i="48" s="1"/>
  <c r="H37" i="52"/>
  <c r="H100" i="52" s="1"/>
  <c r="H116" i="52" s="1"/>
  <c r="H120" i="52" s="1"/>
  <c r="H91" i="36"/>
  <c r="H51" i="38" l="1"/>
  <c r="H24" i="38"/>
  <c r="H11" i="38"/>
  <c r="H70" i="38"/>
  <c r="H58" i="38"/>
  <c r="H20" i="38"/>
  <c r="H52" i="38"/>
  <c r="H47" i="38"/>
  <c r="H28" i="38"/>
  <c r="H5" i="38"/>
  <c r="H14" i="48"/>
  <c r="H62" i="48"/>
  <c r="H100" i="48"/>
  <c r="H116" i="48" s="1"/>
  <c r="H120" i="48" s="1"/>
  <c r="H60" i="52"/>
  <c r="H62" i="52"/>
  <c r="H117" i="52"/>
  <c r="H75" i="38"/>
  <c r="H74" i="38"/>
  <c r="H87" i="38"/>
  <c r="H117" i="48" l="1"/>
  <c r="J93" i="38"/>
  <c r="J87" i="38"/>
  <c r="J88" i="38"/>
  <c r="J89" i="38"/>
  <c r="J90" i="38"/>
  <c r="J91" i="38"/>
  <c r="J92" i="38"/>
  <c r="J75" i="38"/>
  <c r="J83" i="38"/>
  <c r="J84" i="38"/>
  <c r="J74" i="38"/>
  <c r="I33" i="1" l="1"/>
  <c r="I34" i="1"/>
  <c r="I35" i="1"/>
  <c r="I41" i="1"/>
  <c r="I42" i="1"/>
  <c r="I43" i="1"/>
  <c r="I46" i="1"/>
  <c r="I29" i="1"/>
  <c r="I53" i="1"/>
  <c r="I54" i="1"/>
  <c r="I55" i="1"/>
  <c r="I56" i="1"/>
  <c r="I57" i="1"/>
  <c r="I59" i="1"/>
  <c r="I60" i="1"/>
  <c r="I61" i="1"/>
  <c r="I62" i="1"/>
  <c r="I63" i="1"/>
  <c r="I64" i="1"/>
  <c r="I65" i="1"/>
  <c r="I66" i="1"/>
  <c r="I67" i="1"/>
  <c r="I68" i="1"/>
  <c r="I69" i="1"/>
  <c r="I52" i="1"/>
  <c r="R13" i="6" l="1"/>
  <c r="H22" i="8"/>
  <c r="H21" i="8"/>
  <c r="H14" i="8"/>
  <c r="V13" i="6"/>
  <c r="U13" i="6"/>
  <c r="T13" i="6"/>
  <c r="S13" i="6"/>
  <c r="G1" i="36" l="1"/>
  <c r="G86" i="36" l="1"/>
  <c r="G68" i="36"/>
  <c r="G67" i="36"/>
  <c r="G66" i="36"/>
  <c r="G65" i="36"/>
  <c r="G64" i="36"/>
  <c r="G63" i="36"/>
  <c r="G62" i="36"/>
  <c r="G61" i="36"/>
  <c r="G60" i="36"/>
  <c r="G59" i="36"/>
  <c r="G58" i="36"/>
  <c r="G48" i="36" l="1"/>
  <c r="G39" i="36"/>
  <c r="G38" i="36"/>
  <c r="G37" i="36"/>
  <c r="G36" i="36"/>
  <c r="G35" i="36"/>
  <c r="G34" i="36"/>
  <c r="G33" i="36"/>
  <c r="G32" i="36"/>
  <c r="G31" i="36"/>
  <c r="G30" i="36"/>
  <c r="G29" i="36"/>
  <c r="G28" i="36"/>
  <c r="G27" i="36"/>
  <c r="G26" i="36"/>
  <c r="G25" i="36"/>
  <c r="G24" i="36"/>
  <c r="L71" i="8" l="1"/>
  <c r="K71" i="8"/>
  <c r="J71" i="8"/>
  <c r="H7" i="36"/>
  <c r="G7" i="36" l="1"/>
  <c r="H316" i="36"/>
  <c r="G316" i="36" s="1"/>
  <c r="D312" i="36"/>
  <c r="D311" i="36"/>
  <c r="H309" i="36"/>
  <c r="G309" i="36" s="1"/>
  <c r="H308" i="36"/>
  <c r="G308" i="36" s="1"/>
  <c r="H307" i="36"/>
  <c r="G307" i="36" s="1"/>
  <c r="H306" i="36"/>
  <c r="G306" i="36" s="1"/>
  <c r="H305" i="36"/>
  <c r="G305" i="36" s="1"/>
  <c r="H304" i="36"/>
  <c r="G304" i="36" s="1"/>
  <c r="H303" i="36"/>
  <c r="G303" i="36" s="1"/>
  <c r="H302" i="36"/>
  <c r="G302" i="36" s="1"/>
  <c r="H301" i="36"/>
  <c r="G301" i="36" s="1"/>
  <c r="H300" i="36"/>
  <c r="G300" i="36" s="1"/>
  <c r="H299" i="36"/>
  <c r="G299" i="36" s="1"/>
  <c r="H298" i="36"/>
  <c r="G298" i="36" s="1"/>
  <c r="H297" i="36"/>
  <c r="G297" i="36" s="1"/>
  <c r="H296" i="36"/>
  <c r="G296" i="36" s="1"/>
  <c r="H295" i="36"/>
  <c r="G295" i="36" s="1"/>
  <c r="H294" i="36"/>
  <c r="G294" i="36" s="1"/>
  <c r="H293" i="36"/>
  <c r="G293" i="36" s="1"/>
  <c r="H292" i="36"/>
  <c r="G292" i="36" s="1"/>
  <c r="H291" i="36"/>
  <c r="G291" i="36" s="1"/>
  <c r="H290" i="36"/>
  <c r="G290" i="36" s="1"/>
  <c r="H289" i="36"/>
  <c r="G289" i="36" s="1"/>
  <c r="H288" i="36"/>
  <c r="G288" i="36" s="1"/>
  <c r="H287" i="36"/>
  <c r="G287" i="36" s="1"/>
  <c r="H286" i="36"/>
  <c r="G286" i="36" s="1"/>
  <c r="H285" i="36"/>
  <c r="G285" i="36" s="1"/>
  <c r="H284" i="36"/>
  <c r="G284" i="36" s="1"/>
  <c r="H283" i="36"/>
  <c r="G283" i="36" s="1"/>
  <c r="H282" i="36"/>
  <c r="G282" i="36" s="1"/>
  <c r="H281" i="36"/>
  <c r="G281" i="36" s="1"/>
  <c r="H280" i="36"/>
  <c r="G280" i="36" s="1"/>
  <c r="H279" i="36"/>
  <c r="G279" i="36" s="1"/>
  <c r="H278" i="36"/>
  <c r="G278" i="36" s="1"/>
  <c r="H277" i="36"/>
  <c r="G277" i="36" s="1"/>
  <c r="H276" i="36"/>
  <c r="G276" i="36" s="1"/>
  <c r="H275" i="36"/>
  <c r="G275" i="36" s="1"/>
  <c r="H273" i="36"/>
  <c r="G273" i="36" s="1"/>
  <c r="H272" i="36"/>
  <c r="G272" i="36" s="1"/>
  <c r="H271" i="36"/>
  <c r="G271" i="36" s="1"/>
  <c r="H270" i="36"/>
  <c r="G270" i="36" s="1"/>
  <c r="H269" i="36"/>
  <c r="G269" i="36" s="1"/>
  <c r="H268" i="36"/>
  <c r="G268" i="36" s="1"/>
  <c r="H267" i="36"/>
  <c r="G267" i="36" s="1"/>
  <c r="H266" i="36"/>
  <c r="G266" i="36" s="1"/>
  <c r="H265" i="36"/>
  <c r="G265" i="36" s="1"/>
  <c r="H264" i="36"/>
  <c r="G264" i="36" s="1"/>
  <c r="H263" i="36"/>
  <c r="G263" i="36" s="1"/>
  <c r="H262" i="36"/>
  <c r="G262" i="36" s="1"/>
  <c r="H261" i="36"/>
  <c r="G261" i="36" s="1"/>
  <c r="H260" i="36"/>
  <c r="G260" i="36" s="1"/>
  <c r="H259" i="36"/>
  <c r="G259" i="36" s="1"/>
  <c r="H258" i="36"/>
  <c r="G258" i="36" s="1"/>
  <c r="H257" i="36"/>
  <c r="G257" i="36" s="1"/>
  <c r="H256" i="36"/>
  <c r="G256" i="36" s="1"/>
  <c r="H255" i="36"/>
  <c r="G255" i="36" s="1"/>
  <c r="H254" i="36"/>
  <c r="G254" i="36" s="1"/>
  <c r="H253" i="36"/>
  <c r="G253" i="36" s="1"/>
  <c r="H252" i="36"/>
  <c r="G252" i="36" s="1"/>
  <c r="H251" i="36"/>
  <c r="G251" i="36" s="1"/>
  <c r="H250" i="36"/>
  <c r="G250" i="36" s="1"/>
  <c r="H249" i="36"/>
  <c r="G249" i="36" s="1"/>
  <c r="H248" i="36"/>
  <c r="G248" i="36" s="1"/>
  <c r="H221" i="36"/>
  <c r="G221" i="36" s="1"/>
  <c r="H220" i="36"/>
  <c r="G220" i="36" s="1"/>
  <c r="H219" i="36"/>
  <c r="G219" i="36" s="1"/>
  <c r="H218" i="36"/>
  <c r="G218" i="36" s="1"/>
  <c r="H217" i="36"/>
  <c r="G217" i="36" s="1"/>
  <c r="H216" i="36"/>
  <c r="G216" i="36" s="1"/>
  <c r="H215" i="36"/>
  <c r="G215" i="36" s="1"/>
  <c r="H214" i="36"/>
  <c r="G214" i="36" s="1"/>
  <c r="H213" i="36"/>
  <c r="G213" i="36" s="1"/>
  <c r="H212" i="36"/>
  <c r="G212" i="36" s="1"/>
  <c r="H211" i="36"/>
  <c r="G211" i="36" s="1"/>
  <c r="H210" i="36"/>
  <c r="G210" i="36" s="1"/>
  <c r="H209" i="36"/>
  <c r="G209" i="36" s="1"/>
  <c r="H208" i="36"/>
  <c r="G208" i="36" s="1"/>
  <c r="H207" i="36"/>
  <c r="G207" i="36" s="1"/>
  <c r="H206" i="36"/>
  <c r="G206" i="36" s="1"/>
  <c r="H205" i="36"/>
  <c r="G205" i="36" s="1"/>
  <c r="H204" i="36"/>
  <c r="G204" i="36" s="1"/>
  <c r="H203" i="36"/>
  <c r="G203" i="36" s="1"/>
  <c r="H202" i="36"/>
  <c r="G202" i="36" s="1"/>
  <c r="H201" i="36"/>
  <c r="G201" i="36" s="1"/>
  <c r="H200" i="36"/>
  <c r="G200" i="36" s="1"/>
  <c r="H199" i="36"/>
  <c r="G199" i="36" s="1"/>
  <c r="H198" i="36"/>
  <c r="G198" i="36" s="1"/>
  <c r="H197" i="36"/>
  <c r="G197" i="36" s="1"/>
  <c r="H196" i="36"/>
  <c r="G196" i="36" s="1"/>
  <c r="H195" i="36"/>
  <c r="G195" i="36" s="1"/>
  <c r="H194" i="36"/>
  <c r="G194" i="36" s="1"/>
  <c r="H193" i="36"/>
  <c r="G193" i="36" s="1"/>
  <c r="H192" i="36"/>
  <c r="G192" i="36" s="1"/>
  <c r="H191" i="36"/>
  <c r="G191" i="36" s="1"/>
  <c r="H190" i="36"/>
  <c r="G190" i="36" s="1"/>
  <c r="H189" i="36"/>
  <c r="G189" i="36" s="1"/>
  <c r="H188" i="36"/>
  <c r="G188" i="36" s="1"/>
  <c r="H187" i="36"/>
  <c r="G187" i="36" s="1"/>
  <c r="H186" i="36"/>
  <c r="G186" i="36" s="1"/>
  <c r="H185" i="36"/>
  <c r="G185" i="36" s="1"/>
  <c r="H184" i="36"/>
  <c r="G184" i="36" s="1"/>
  <c r="H183" i="36"/>
  <c r="G183" i="36" s="1"/>
  <c r="H182" i="36"/>
  <c r="G182" i="36" s="1"/>
  <c r="H181" i="36"/>
  <c r="G181" i="36" s="1"/>
  <c r="H180" i="36"/>
  <c r="G180" i="36" s="1"/>
  <c r="H179" i="36"/>
  <c r="G179" i="36" s="1"/>
  <c r="H178" i="36"/>
  <c r="G178" i="36" s="1"/>
  <c r="H177" i="36"/>
  <c r="G177" i="36" s="1"/>
  <c r="H176" i="36"/>
  <c r="G176" i="36" s="1"/>
  <c r="H175" i="36"/>
  <c r="G175" i="36" s="1"/>
  <c r="H174" i="36"/>
  <c r="G174" i="36" s="1"/>
  <c r="H173" i="36"/>
  <c r="G173" i="36" s="1"/>
  <c r="H172" i="36"/>
  <c r="G172" i="36" s="1"/>
  <c r="H171" i="36"/>
  <c r="G171" i="36" s="1"/>
  <c r="H170" i="36"/>
  <c r="G170" i="36" s="1"/>
  <c r="H169" i="36"/>
  <c r="G169" i="36" s="1"/>
  <c r="H168" i="36"/>
  <c r="G168" i="36" s="1"/>
  <c r="H167" i="36"/>
  <c r="G167" i="36" s="1"/>
  <c r="H166" i="36"/>
  <c r="G166" i="36" s="1"/>
  <c r="H165" i="36"/>
  <c r="G165" i="36" s="1"/>
  <c r="H164" i="36"/>
  <c r="G164" i="36" s="1"/>
  <c r="H163" i="36"/>
  <c r="G163" i="36" s="1"/>
  <c r="H162" i="36"/>
  <c r="G162" i="36" s="1"/>
  <c r="H161" i="36"/>
  <c r="G161" i="36" s="1"/>
  <c r="H160" i="36"/>
  <c r="G160" i="36" s="1"/>
  <c r="H159" i="36"/>
  <c r="G159" i="36" s="1"/>
  <c r="H158" i="36"/>
  <c r="G158" i="36" s="1"/>
  <c r="H157" i="36"/>
  <c r="G157" i="36" s="1"/>
  <c r="H156" i="36"/>
  <c r="G156" i="36" s="1"/>
  <c r="H155" i="36"/>
  <c r="G155" i="36" s="1"/>
  <c r="H154" i="36"/>
  <c r="G154" i="36" s="1"/>
  <c r="H153" i="36"/>
  <c r="G153" i="36" s="1"/>
  <c r="H152" i="36"/>
  <c r="G152" i="36" s="1"/>
  <c r="H151" i="36"/>
  <c r="G151" i="36" s="1"/>
  <c r="H150" i="36"/>
  <c r="G150" i="36" s="1"/>
  <c r="H149" i="36"/>
  <c r="G149" i="36" s="1"/>
  <c r="H148" i="36"/>
  <c r="G148" i="36" s="1"/>
  <c r="H147" i="36"/>
  <c r="G147" i="36" s="1"/>
  <c r="H146" i="36"/>
  <c r="G146" i="36" s="1"/>
  <c r="H145" i="36"/>
  <c r="G145" i="36" s="1"/>
  <c r="H144" i="36"/>
  <c r="G144" i="36" s="1"/>
  <c r="H52" i="36"/>
  <c r="G90" i="36"/>
  <c r="G52" i="36" l="1"/>
  <c r="H69" i="36"/>
  <c r="G69" i="36" s="1"/>
  <c r="H310" i="36"/>
  <c r="G310" i="36" s="1"/>
  <c r="M94" i="38" l="1"/>
  <c r="I92" i="6"/>
  <c r="BC46" i="31" l="1"/>
  <c r="F13" i="7"/>
  <c r="E13" i="7"/>
  <c r="D13" i="7"/>
  <c r="C13" i="7"/>
  <c r="F12" i="7"/>
  <c r="E12" i="7"/>
  <c r="D12" i="7"/>
  <c r="C12" i="7"/>
  <c r="M48" i="31"/>
  <c r="I30" i="31"/>
  <c r="BC29" i="31"/>
  <c r="BC47" i="31" s="1"/>
  <c r="AH47" i="31" s="1"/>
  <c r="BC30" i="31"/>
  <c r="BC31" i="31"/>
  <c r="BC32" i="31"/>
  <c r="BC33" i="31"/>
  <c r="BC34" i="31"/>
  <c r="BC35" i="31"/>
  <c r="BC36" i="31"/>
  <c r="BC37" i="31"/>
  <c r="BC38" i="31"/>
  <c r="BC39" i="31"/>
  <c r="BC40" i="31"/>
  <c r="BC41" i="31"/>
  <c r="BC42" i="31"/>
  <c r="BC43" i="31"/>
  <c r="BC44" i="31"/>
  <c r="BC45" i="31"/>
  <c r="BC6" i="31"/>
  <c r="BC7" i="31"/>
  <c r="BC8" i="31"/>
  <c r="BC9" i="31"/>
  <c r="BC10" i="31"/>
  <c r="BC11" i="31"/>
  <c r="BC12" i="31"/>
  <c r="BC13" i="31"/>
  <c r="BC14" i="31"/>
  <c r="BC15" i="31"/>
  <c r="BC16" i="31"/>
  <c r="BC17" i="31"/>
  <c r="BC18" i="31"/>
  <c r="BC19" i="31"/>
  <c r="BC20" i="31"/>
  <c r="BC21" i="31"/>
  <c r="BC22" i="31"/>
  <c r="BC23" i="31"/>
  <c r="BB23" i="31"/>
  <c r="AJ23" i="31"/>
  <c r="AJ29" i="31"/>
  <c r="AJ36" i="31"/>
  <c r="AJ31" i="31"/>
  <c r="AJ30" i="31"/>
  <c r="AJ32" i="31"/>
  <c r="AJ33" i="31"/>
  <c r="AJ34" i="31"/>
  <c r="AJ35" i="31"/>
  <c r="I31" i="31"/>
  <c r="AL22" i="31"/>
  <c r="BB6" i="31"/>
  <c r="AN32" i="31"/>
  <c r="AJ6" i="31"/>
  <c r="BC24" i="31" l="1"/>
  <c r="AH24" i="31" s="1"/>
  <c r="D9" i="32" l="1"/>
  <c r="C28" i="6" l="1"/>
  <c r="F48" i="6" l="1"/>
  <c r="F71" i="6" s="1"/>
  <c r="N71" i="6" l="1"/>
  <c r="F94" i="6"/>
  <c r="M48" i="6"/>
  <c r="M94" i="6"/>
  <c r="M48" i="1"/>
  <c r="H137" i="36" l="1"/>
  <c r="G137" i="36" s="1"/>
  <c r="H133" i="36"/>
  <c r="G133" i="36" s="1"/>
  <c r="H129" i="36"/>
  <c r="G129" i="36" s="1"/>
  <c r="H125" i="36"/>
  <c r="G125" i="36" s="1"/>
  <c r="H121" i="36"/>
  <c r="G121" i="36" s="1"/>
  <c r="H124" i="36"/>
  <c r="G124" i="36" s="1"/>
  <c r="H134" i="36"/>
  <c r="G134" i="36" s="1"/>
  <c r="H136" i="36"/>
  <c r="G136" i="36" s="1"/>
  <c r="H132" i="36"/>
  <c r="G132" i="36" s="1"/>
  <c r="H128" i="36"/>
  <c r="G128" i="36" s="1"/>
  <c r="H120" i="36"/>
  <c r="G120" i="36" s="1"/>
  <c r="H126" i="36"/>
  <c r="G126" i="36" s="1"/>
  <c r="H143" i="36"/>
  <c r="G143" i="36" s="1"/>
  <c r="H135" i="36"/>
  <c r="G135" i="36" s="1"/>
  <c r="H131" i="36"/>
  <c r="G131" i="36" s="1"/>
  <c r="H127" i="36"/>
  <c r="G127" i="36" s="1"/>
  <c r="H123" i="36"/>
  <c r="G123" i="36" s="1"/>
  <c r="H119" i="36"/>
  <c r="G119" i="36" s="1"/>
  <c r="H130" i="36"/>
  <c r="G130" i="36" s="1"/>
  <c r="H122" i="36"/>
  <c r="G122" i="36" s="1"/>
  <c r="H236" i="36"/>
  <c r="G236" i="36" s="1"/>
  <c r="H232" i="36"/>
  <c r="G232" i="36" s="1"/>
  <c r="H228" i="36"/>
  <c r="G228" i="36" s="1"/>
  <c r="H224" i="36"/>
  <c r="G224" i="36" s="1"/>
  <c r="H229" i="36"/>
  <c r="G229" i="36" s="1"/>
  <c r="H247" i="36"/>
  <c r="G247" i="36" s="1"/>
  <c r="H235" i="36"/>
  <c r="G235" i="36" s="1"/>
  <c r="H231" i="36"/>
  <c r="G231" i="36" s="1"/>
  <c r="H227" i="36"/>
  <c r="G227" i="36" s="1"/>
  <c r="H223" i="36"/>
  <c r="G223" i="36" s="1"/>
  <c r="H237" i="36"/>
  <c r="G237" i="36" s="1"/>
  <c r="H225" i="36"/>
  <c r="G225" i="36" s="1"/>
  <c r="H238" i="36"/>
  <c r="G238" i="36" s="1"/>
  <c r="H234" i="36"/>
  <c r="G234" i="36" s="1"/>
  <c r="H230" i="36"/>
  <c r="G230" i="36" s="1"/>
  <c r="H226" i="36"/>
  <c r="G226" i="36" s="1"/>
  <c r="H233" i="36"/>
  <c r="G233" i="36" s="1"/>
  <c r="N48" i="6"/>
  <c r="W21" i="30" l="1"/>
  <c r="AA9" i="30"/>
  <c r="V5" i="30" s="1"/>
  <c r="Z9" i="30"/>
  <c r="U5" i="30" s="1"/>
  <c r="Y9" i="30"/>
  <c r="T5" i="30" s="1"/>
  <c r="X9" i="30"/>
  <c r="S5" i="30" s="1"/>
  <c r="Q21" i="30" l="1"/>
  <c r="S21" i="30"/>
  <c r="M9" i="30"/>
  <c r="L4" i="30" s="1"/>
  <c r="M21" i="30"/>
  <c r="P9" i="30"/>
  <c r="Q9" i="30"/>
  <c r="R9" i="30"/>
  <c r="S9" i="30"/>
  <c r="T9" i="30"/>
  <c r="S4" i="30" s="1"/>
  <c r="U9" i="30"/>
  <c r="T4" i="30" s="1"/>
  <c r="V9" i="30"/>
  <c r="U4" i="30" s="1"/>
  <c r="W9" i="30"/>
  <c r="V4" i="30" s="1"/>
  <c r="N9" i="30"/>
  <c r="M4" i="30" s="1"/>
  <c r="O9" i="30"/>
  <c r="N4" i="30" s="1"/>
  <c r="L9" i="30"/>
  <c r="K4" i="30" s="1"/>
  <c r="BB29" i="31"/>
  <c r="BB30" i="31"/>
  <c r="BB31" i="31"/>
  <c r="BB32" i="31"/>
  <c r="BB33" i="31"/>
  <c r="BB34" i="31"/>
  <c r="BB35" i="31"/>
  <c r="BB36" i="31"/>
  <c r="BB37" i="31"/>
  <c r="BB38" i="31"/>
  <c r="BB39" i="31"/>
  <c r="BB40" i="31"/>
  <c r="BB41" i="31"/>
  <c r="BB42" i="31"/>
  <c r="BB43" i="31"/>
  <c r="BB44" i="31"/>
  <c r="BB45" i="31"/>
  <c r="BB46" i="31"/>
  <c r="BA29" i="31"/>
  <c r="BA30" i="31"/>
  <c r="BA31" i="31"/>
  <c r="BA32" i="31"/>
  <c r="BA33" i="31"/>
  <c r="BA34" i="31"/>
  <c r="BA35" i="31"/>
  <c r="BA36" i="31"/>
  <c r="BA37" i="31"/>
  <c r="BA38" i="31"/>
  <c r="BA39" i="31"/>
  <c r="BA40" i="31"/>
  <c r="BA41" i="31"/>
  <c r="BA42" i="31"/>
  <c r="BA43" i="31"/>
  <c r="BA44" i="31"/>
  <c r="BA45" i="31"/>
  <c r="BA46" i="31"/>
  <c r="AZ29" i="31"/>
  <c r="AZ30" i="31"/>
  <c r="AZ31" i="31"/>
  <c r="AZ32" i="31"/>
  <c r="AZ33" i="31"/>
  <c r="AZ34" i="31"/>
  <c r="AZ35" i="31"/>
  <c r="AZ36" i="31"/>
  <c r="AZ37" i="31"/>
  <c r="AZ38" i="31"/>
  <c r="AZ39" i="31"/>
  <c r="AZ40" i="31"/>
  <c r="AZ41" i="31"/>
  <c r="AZ42" i="31"/>
  <c r="AZ43" i="31"/>
  <c r="AZ44" i="31"/>
  <c r="AZ45" i="31"/>
  <c r="AZ46" i="31"/>
  <c r="AY29" i="31"/>
  <c r="AY30" i="31"/>
  <c r="AY31" i="31"/>
  <c r="AY32" i="31"/>
  <c r="AY33" i="31"/>
  <c r="AY34" i="31"/>
  <c r="AY35" i="31"/>
  <c r="AY36" i="31"/>
  <c r="AY37" i="31"/>
  <c r="AY38" i="31"/>
  <c r="AY39" i="31"/>
  <c r="AY40" i="31"/>
  <c r="AY41" i="31"/>
  <c r="AY42" i="31"/>
  <c r="AY43" i="31"/>
  <c r="AY44" i="31"/>
  <c r="AY45" i="31"/>
  <c r="AY46" i="31"/>
  <c r="AX29" i="31"/>
  <c r="AX30" i="31"/>
  <c r="AX31" i="31"/>
  <c r="AX32" i="31"/>
  <c r="AX33" i="31"/>
  <c r="AX34" i="31"/>
  <c r="AX35" i="31"/>
  <c r="AX36" i="31"/>
  <c r="AX37" i="31"/>
  <c r="AX38" i="31"/>
  <c r="AX39" i="31"/>
  <c r="AX40" i="31"/>
  <c r="AX41" i="31"/>
  <c r="AX42" i="31"/>
  <c r="AX43" i="31"/>
  <c r="AX44" i="31"/>
  <c r="AX45" i="31"/>
  <c r="AX46" i="31"/>
  <c r="AW29" i="31"/>
  <c r="AW30" i="31"/>
  <c r="AW31" i="31"/>
  <c r="AW32" i="31"/>
  <c r="AW33" i="31"/>
  <c r="AW34" i="31"/>
  <c r="AW35" i="31"/>
  <c r="AW36" i="31"/>
  <c r="AW37" i="31"/>
  <c r="AW38" i="31"/>
  <c r="AW39" i="31"/>
  <c r="AW40" i="31"/>
  <c r="AW41" i="31"/>
  <c r="AW42" i="31"/>
  <c r="AW43" i="31"/>
  <c r="AW44" i="31"/>
  <c r="AW45" i="31"/>
  <c r="AW46" i="31"/>
  <c r="AV29" i="31"/>
  <c r="AV30" i="31"/>
  <c r="AV31" i="31"/>
  <c r="AV32" i="31"/>
  <c r="AV33" i="31"/>
  <c r="AV34" i="31"/>
  <c r="AV35" i="31"/>
  <c r="AV36" i="31"/>
  <c r="AV37" i="31"/>
  <c r="AV38" i="31"/>
  <c r="AV39" i="31"/>
  <c r="AV40" i="31"/>
  <c r="AV41" i="31"/>
  <c r="AV42" i="31"/>
  <c r="AV43" i="31"/>
  <c r="AV44" i="31"/>
  <c r="AV45" i="31"/>
  <c r="AV46" i="31"/>
  <c r="AU29" i="31"/>
  <c r="AU30" i="31"/>
  <c r="AU31" i="31"/>
  <c r="AU32" i="31"/>
  <c r="AU33" i="31"/>
  <c r="AU34" i="31"/>
  <c r="AU35" i="31"/>
  <c r="AU36" i="31"/>
  <c r="AU37" i="31"/>
  <c r="AU38" i="31"/>
  <c r="AU39" i="31"/>
  <c r="AU40" i="31"/>
  <c r="AU41" i="31"/>
  <c r="AU42" i="31"/>
  <c r="AU43" i="31"/>
  <c r="AU44" i="31"/>
  <c r="AU45" i="31"/>
  <c r="AU46" i="31"/>
  <c r="AT29" i="31"/>
  <c r="AT30" i="31"/>
  <c r="AT31" i="31"/>
  <c r="AT32" i="31"/>
  <c r="AT33" i="31"/>
  <c r="AT34" i="31"/>
  <c r="AT35" i="31"/>
  <c r="AT36" i="31"/>
  <c r="AT37" i="31"/>
  <c r="AT38" i="31"/>
  <c r="AT39" i="31"/>
  <c r="AT40" i="31"/>
  <c r="AT41" i="31"/>
  <c r="AT42" i="31"/>
  <c r="AT43" i="31"/>
  <c r="AT44" i="31"/>
  <c r="AT45" i="31"/>
  <c r="AT46" i="31"/>
  <c r="AS29" i="31"/>
  <c r="AS30" i="31"/>
  <c r="AS31" i="31"/>
  <c r="AS32" i="31"/>
  <c r="AS33" i="31"/>
  <c r="AS34" i="31"/>
  <c r="AS35" i="31"/>
  <c r="AS36" i="31"/>
  <c r="AS37" i="31"/>
  <c r="AS38" i="31"/>
  <c r="AS39" i="31"/>
  <c r="AS40" i="31"/>
  <c r="AS41" i="31"/>
  <c r="AS42" i="31"/>
  <c r="AS43" i="31"/>
  <c r="AS44" i="31"/>
  <c r="AS45" i="31"/>
  <c r="AS46" i="31"/>
  <c r="AR29" i="31"/>
  <c r="AR30" i="31"/>
  <c r="AR31" i="31"/>
  <c r="AR32" i="31"/>
  <c r="AR33" i="31"/>
  <c r="AR34" i="31"/>
  <c r="AR35" i="31"/>
  <c r="AR36" i="31"/>
  <c r="AR37" i="31"/>
  <c r="AR38" i="31"/>
  <c r="AR39" i="31"/>
  <c r="AR40" i="31"/>
  <c r="AR41" i="31"/>
  <c r="AR42" i="31"/>
  <c r="AR43" i="31"/>
  <c r="AR44" i="31"/>
  <c r="AR45" i="31"/>
  <c r="AR46" i="31"/>
  <c r="AQ29" i="31"/>
  <c r="AQ30" i="31"/>
  <c r="AQ31" i="31"/>
  <c r="AQ32" i="31"/>
  <c r="AQ33" i="31"/>
  <c r="AQ34" i="31"/>
  <c r="AQ35" i="31"/>
  <c r="AQ36" i="31"/>
  <c r="AQ37" i="31"/>
  <c r="AQ38" i="31"/>
  <c r="AQ39" i="31"/>
  <c r="AQ40" i="31"/>
  <c r="AQ41" i="31"/>
  <c r="AQ42" i="31"/>
  <c r="AQ43" i="31"/>
  <c r="AQ44" i="31"/>
  <c r="AQ45" i="31"/>
  <c r="AQ46" i="31"/>
  <c r="AP29" i="31"/>
  <c r="AP30" i="31"/>
  <c r="AP31" i="31"/>
  <c r="AP32" i="31"/>
  <c r="AP33" i="31"/>
  <c r="AP34" i="31"/>
  <c r="AP35" i="31"/>
  <c r="AP36" i="31"/>
  <c r="AP37" i="31"/>
  <c r="AP38" i="31"/>
  <c r="AP39" i="31"/>
  <c r="AP40" i="31"/>
  <c r="AP41" i="31"/>
  <c r="AP42" i="31"/>
  <c r="AP43" i="31"/>
  <c r="AP44" i="31"/>
  <c r="AP45" i="31"/>
  <c r="AP46" i="31"/>
  <c r="AO29" i="31"/>
  <c r="AO30" i="31"/>
  <c r="AO31" i="31"/>
  <c r="AO32" i="31"/>
  <c r="AO33" i="31"/>
  <c r="AO34" i="31"/>
  <c r="AO35" i="31"/>
  <c r="AO36" i="31"/>
  <c r="AO37" i="31"/>
  <c r="AO38" i="31"/>
  <c r="AO39" i="31"/>
  <c r="AO40" i="31"/>
  <c r="AO41" i="31"/>
  <c r="AO42" i="31"/>
  <c r="AO43" i="31"/>
  <c r="AO44" i="31"/>
  <c r="AO45" i="31"/>
  <c r="AO46" i="31"/>
  <c r="AN29" i="31"/>
  <c r="AN30" i="31"/>
  <c r="AN31" i="31"/>
  <c r="AN33" i="31"/>
  <c r="AN34" i="31"/>
  <c r="AN35" i="31"/>
  <c r="AN36" i="31"/>
  <c r="AN37" i="31"/>
  <c r="AN38" i="31"/>
  <c r="AN39" i="31"/>
  <c r="AN40" i="31"/>
  <c r="AN41" i="31"/>
  <c r="AN42" i="31"/>
  <c r="AN43" i="31"/>
  <c r="AN44" i="31"/>
  <c r="AN45" i="31"/>
  <c r="AN46" i="31"/>
  <c r="AM29" i="31"/>
  <c r="AM30" i="31"/>
  <c r="AM31" i="31"/>
  <c r="AM32" i="31"/>
  <c r="AM33" i="31"/>
  <c r="AM34" i="31"/>
  <c r="AM35" i="31"/>
  <c r="AM36" i="31"/>
  <c r="AM37" i="31"/>
  <c r="AM38" i="31"/>
  <c r="AM39" i="31"/>
  <c r="AM40" i="31"/>
  <c r="AM41" i="31"/>
  <c r="AM42" i="31"/>
  <c r="AM43" i="31"/>
  <c r="AM44" i="31"/>
  <c r="AM45" i="31"/>
  <c r="AM46" i="31"/>
  <c r="AL29" i="31"/>
  <c r="AL30" i="31"/>
  <c r="AL31" i="31"/>
  <c r="AL32" i="31"/>
  <c r="AL33" i="31"/>
  <c r="AL34" i="31"/>
  <c r="AL35" i="31"/>
  <c r="AL36" i="31"/>
  <c r="AL37" i="31"/>
  <c r="AL38" i="31"/>
  <c r="AL39" i="31"/>
  <c r="AL40" i="31"/>
  <c r="AL41" i="31"/>
  <c r="AL42" i="31"/>
  <c r="AL43" i="31"/>
  <c r="AL44" i="31"/>
  <c r="AL45" i="31"/>
  <c r="AL46" i="31"/>
  <c r="AK29" i="31"/>
  <c r="AK30" i="31"/>
  <c r="AK31" i="31"/>
  <c r="AK32" i="31"/>
  <c r="AK33" i="31"/>
  <c r="AK34" i="31"/>
  <c r="AK35" i="31"/>
  <c r="AK36" i="31"/>
  <c r="AK37" i="31"/>
  <c r="AK38" i="31"/>
  <c r="AK39" i="31"/>
  <c r="AK40" i="31"/>
  <c r="AK41" i="31"/>
  <c r="AK42" i="31"/>
  <c r="AK43" i="31"/>
  <c r="AK44" i="31"/>
  <c r="AK45" i="31"/>
  <c r="AK46" i="31"/>
  <c r="AJ37" i="31"/>
  <c r="AJ38" i="31"/>
  <c r="AJ39" i="31"/>
  <c r="AJ40" i="31"/>
  <c r="AJ41" i="31"/>
  <c r="AJ42" i="31"/>
  <c r="AJ43" i="31"/>
  <c r="AJ44" i="31"/>
  <c r="AJ45" i="31"/>
  <c r="AJ46" i="31"/>
  <c r="I29" i="31"/>
  <c r="I32" i="31"/>
  <c r="I33" i="31"/>
  <c r="I34" i="31"/>
  <c r="I35" i="31"/>
  <c r="I36" i="31"/>
  <c r="I37" i="31"/>
  <c r="I38" i="31"/>
  <c r="I39" i="31"/>
  <c r="I40" i="31"/>
  <c r="I41" i="31"/>
  <c r="I42" i="31"/>
  <c r="I43" i="31"/>
  <c r="I45" i="31"/>
  <c r="BB7" i="31"/>
  <c r="BB8" i="31"/>
  <c r="BB9" i="31"/>
  <c r="BB10" i="31"/>
  <c r="BB11" i="31"/>
  <c r="BB12" i="31"/>
  <c r="BB13" i="31"/>
  <c r="BB14" i="31"/>
  <c r="BB15" i="31"/>
  <c r="BB16" i="31"/>
  <c r="BB17" i="31"/>
  <c r="BB18" i="31"/>
  <c r="BB19" i="31"/>
  <c r="BB20" i="31"/>
  <c r="BB21" i="31"/>
  <c r="BB22" i="31"/>
  <c r="BA6" i="31"/>
  <c r="BA7" i="31"/>
  <c r="BA8" i="31"/>
  <c r="BA9" i="31"/>
  <c r="BA10" i="31"/>
  <c r="BA11" i="31"/>
  <c r="BA12" i="31"/>
  <c r="BA13" i="31"/>
  <c r="BA14" i="31"/>
  <c r="BA15" i="31"/>
  <c r="BA16" i="31"/>
  <c r="BA17" i="31"/>
  <c r="BA18" i="31"/>
  <c r="BA19" i="31"/>
  <c r="BA20" i="31"/>
  <c r="BA21" i="31"/>
  <c r="BA22" i="31"/>
  <c r="BA23" i="31"/>
  <c r="AZ6" i="31"/>
  <c r="AZ7" i="31"/>
  <c r="AZ8" i="31"/>
  <c r="AZ9" i="31"/>
  <c r="AZ10" i="31"/>
  <c r="AZ11" i="31"/>
  <c r="AZ12" i="31"/>
  <c r="AZ13" i="31"/>
  <c r="AZ14" i="31"/>
  <c r="AZ15" i="31"/>
  <c r="AZ16" i="31"/>
  <c r="AZ17" i="31"/>
  <c r="AZ18" i="31"/>
  <c r="AZ19" i="31"/>
  <c r="AZ20" i="31"/>
  <c r="AZ21" i="31"/>
  <c r="AZ22" i="31"/>
  <c r="AZ23" i="31"/>
  <c r="AY6" i="31"/>
  <c r="AY7" i="31"/>
  <c r="AY8" i="31"/>
  <c r="AY9" i="31"/>
  <c r="AY10" i="31"/>
  <c r="AY11" i="31"/>
  <c r="AY12" i="31"/>
  <c r="AY13" i="31"/>
  <c r="AY14" i="31"/>
  <c r="AY15" i="31"/>
  <c r="AY16" i="31"/>
  <c r="AY17" i="31"/>
  <c r="AY18" i="31"/>
  <c r="AY19" i="31"/>
  <c r="AY20" i="31"/>
  <c r="AY21" i="31"/>
  <c r="AY22" i="31"/>
  <c r="AY23" i="31"/>
  <c r="AX6" i="31"/>
  <c r="AX7" i="31"/>
  <c r="AX8" i="31"/>
  <c r="AX9" i="31"/>
  <c r="AX10" i="31"/>
  <c r="AX11" i="31"/>
  <c r="AX12" i="31"/>
  <c r="AX13" i="31"/>
  <c r="AX14" i="31"/>
  <c r="AX15" i="31"/>
  <c r="AX16" i="31"/>
  <c r="AX17" i="31"/>
  <c r="AX18" i="31"/>
  <c r="AX19" i="31"/>
  <c r="AX20" i="31"/>
  <c r="AX21" i="31"/>
  <c r="AX22" i="31"/>
  <c r="AX23" i="31"/>
  <c r="AW6" i="31"/>
  <c r="AW7" i="31"/>
  <c r="AW8" i="31"/>
  <c r="AW9" i="31"/>
  <c r="AW10" i="31"/>
  <c r="AW11" i="31"/>
  <c r="AW12" i="31"/>
  <c r="AW13" i="31"/>
  <c r="AW14" i="31"/>
  <c r="AW15" i="31"/>
  <c r="AW16" i="31"/>
  <c r="AW17" i="31"/>
  <c r="AW18" i="31"/>
  <c r="AW19" i="31"/>
  <c r="AW20" i="31"/>
  <c r="AW21" i="31"/>
  <c r="AW22" i="31"/>
  <c r="AW23" i="31"/>
  <c r="AV6" i="31"/>
  <c r="AV7" i="31"/>
  <c r="AV8" i="31"/>
  <c r="AV9" i="31"/>
  <c r="AV10" i="31"/>
  <c r="AV11" i="31"/>
  <c r="AV12" i="31"/>
  <c r="AV13" i="31"/>
  <c r="AV14" i="31"/>
  <c r="AV15" i="31"/>
  <c r="AV16" i="31"/>
  <c r="AV17" i="31"/>
  <c r="AV18" i="31"/>
  <c r="AV19" i="31"/>
  <c r="AV20" i="31"/>
  <c r="AV21" i="31"/>
  <c r="AV22" i="31"/>
  <c r="AV23" i="31"/>
  <c r="AU6" i="31"/>
  <c r="AU7" i="31"/>
  <c r="AU8" i="31"/>
  <c r="AU9" i="31"/>
  <c r="AU10" i="31"/>
  <c r="AU11" i="31"/>
  <c r="AU12" i="31"/>
  <c r="AU13" i="31"/>
  <c r="AU14" i="31"/>
  <c r="AU15" i="31"/>
  <c r="AU16" i="31"/>
  <c r="AU17" i="31"/>
  <c r="AU18" i="31"/>
  <c r="AU19" i="31"/>
  <c r="AU20" i="31"/>
  <c r="AU21" i="31"/>
  <c r="AU22" i="31"/>
  <c r="AU23" i="31"/>
  <c r="AT6" i="31"/>
  <c r="AT7" i="31"/>
  <c r="AT8" i="31"/>
  <c r="AT9" i="31"/>
  <c r="AT10" i="31"/>
  <c r="AT11" i="31"/>
  <c r="AT12" i="31"/>
  <c r="AT13" i="31"/>
  <c r="AT14" i="31"/>
  <c r="AT15" i="31"/>
  <c r="AT16" i="31"/>
  <c r="AT17" i="31"/>
  <c r="AT18" i="31"/>
  <c r="AT19" i="31"/>
  <c r="AT20" i="31"/>
  <c r="AT21" i="31"/>
  <c r="AT22" i="31"/>
  <c r="AT23" i="31"/>
  <c r="AS6" i="31"/>
  <c r="AS7" i="31"/>
  <c r="AS8" i="31"/>
  <c r="AS9" i="31"/>
  <c r="AS10" i="31"/>
  <c r="AS11" i="31"/>
  <c r="AS12" i="31"/>
  <c r="AS13" i="31"/>
  <c r="AS14" i="31"/>
  <c r="AS15" i="31"/>
  <c r="AS16" i="31"/>
  <c r="AS17" i="31"/>
  <c r="AS18" i="31"/>
  <c r="AS19" i="31"/>
  <c r="AS20" i="31"/>
  <c r="AS21" i="31"/>
  <c r="AS22" i="31"/>
  <c r="AS23" i="31"/>
  <c r="AR6" i="31"/>
  <c r="AR7" i="31"/>
  <c r="AR8" i="31"/>
  <c r="AR9" i="31"/>
  <c r="AR10" i="31"/>
  <c r="AR11" i="31"/>
  <c r="AR12" i="31"/>
  <c r="AR13" i="31"/>
  <c r="AR14" i="31"/>
  <c r="AR15" i="31"/>
  <c r="AR16" i="31"/>
  <c r="AR17" i="31"/>
  <c r="AR18" i="31"/>
  <c r="AR19" i="31"/>
  <c r="AR20" i="31"/>
  <c r="AR21" i="31"/>
  <c r="AR22" i="31"/>
  <c r="AR23" i="31"/>
  <c r="AQ6" i="31"/>
  <c r="AQ7" i="31"/>
  <c r="AQ8" i="31"/>
  <c r="AQ9" i="31"/>
  <c r="AQ10" i="31"/>
  <c r="AQ11" i="31"/>
  <c r="AQ12" i="31"/>
  <c r="AQ13" i="31"/>
  <c r="AQ14" i="31"/>
  <c r="AQ15" i="31"/>
  <c r="AQ16" i="31"/>
  <c r="AQ17" i="31"/>
  <c r="AQ18" i="31"/>
  <c r="AQ19" i="31"/>
  <c r="AQ20" i="31"/>
  <c r="AQ21" i="31"/>
  <c r="AQ22" i="31"/>
  <c r="AQ23" i="31"/>
  <c r="AP6" i="31"/>
  <c r="AP7" i="31"/>
  <c r="AP8" i="31"/>
  <c r="AP9" i="31"/>
  <c r="AP10" i="31"/>
  <c r="AP11" i="31"/>
  <c r="AP12" i="31"/>
  <c r="AP13" i="31"/>
  <c r="AP14" i="31"/>
  <c r="AP15" i="31"/>
  <c r="AP16" i="31"/>
  <c r="AP17" i="31"/>
  <c r="AP18" i="31"/>
  <c r="AP19" i="31"/>
  <c r="AP20" i="31"/>
  <c r="AP21" i="31"/>
  <c r="AP22" i="31"/>
  <c r="AP23" i="31"/>
  <c r="AO6" i="31"/>
  <c r="AO7" i="31"/>
  <c r="AO8" i="31"/>
  <c r="AO9" i="31"/>
  <c r="AO10" i="31"/>
  <c r="AO11" i="31"/>
  <c r="AO12" i="31"/>
  <c r="AO13" i="31"/>
  <c r="AO14" i="31"/>
  <c r="AO15" i="31"/>
  <c r="AO16" i="31"/>
  <c r="AO17" i="31"/>
  <c r="AO18" i="31"/>
  <c r="AO19" i="31"/>
  <c r="AO20" i="31"/>
  <c r="AO21" i="31"/>
  <c r="AO22" i="31"/>
  <c r="AO23" i="31"/>
  <c r="AN6" i="31"/>
  <c r="AN7" i="31"/>
  <c r="AN8" i="31"/>
  <c r="AN9" i="31"/>
  <c r="AN10" i="31"/>
  <c r="AN11" i="31"/>
  <c r="AN12" i="31"/>
  <c r="AN13" i="31"/>
  <c r="AN14" i="31"/>
  <c r="AN15" i="31"/>
  <c r="AN16" i="31"/>
  <c r="AN17" i="31"/>
  <c r="AN18" i="31"/>
  <c r="AN19" i="31"/>
  <c r="AN20" i="31"/>
  <c r="AN21" i="31"/>
  <c r="AN22" i="31"/>
  <c r="AN23" i="31"/>
  <c r="AM6" i="31"/>
  <c r="AM7" i="31"/>
  <c r="AM8" i="31"/>
  <c r="AM9" i="31"/>
  <c r="AM10" i="31"/>
  <c r="AM11" i="31"/>
  <c r="AM12" i="31"/>
  <c r="AM13" i="31"/>
  <c r="AM14" i="31"/>
  <c r="AM15" i="31"/>
  <c r="AM16" i="31"/>
  <c r="AM17" i="31"/>
  <c r="AM18" i="31"/>
  <c r="AM19" i="31"/>
  <c r="AM20" i="31"/>
  <c r="AM21" i="31"/>
  <c r="AM22" i="31"/>
  <c r="AM23" i="31"/>
  <c r="AL6" i="31"/>
  <c r="AL7" i="31"/>
  <c r="AL8" i="31"/>
  <c r="AL9" i="31"/>
  <c r="AL10" i="31"/>
  <c r="AL11" i="31"/>
  <c r="AL12" i="31"/>
  <c r="AL13" i="31"/>
  <c r="AL14" i="31"/>
  <c r="AL15" i="31"/>
  <c r="AL16" i="31"/>
  <c r="AL17" i="31"/>
  <c r="AL18" i="31"/>
  <c r="AL19" i="31"/>
  <c r="AL20" i="31"/>
  <c r="AL21" i="31"/>
  <c r="AL23" i="31"/>
  <c r="AK6" i="31"/>
  <c r="AK7" i="31"/>
  <c r="AK8" i="31"/>
  <c r="AK9" i="31"/>
  <c r="AK10" i="31"/>
  <c r="AK11" i="31"/>
  <c r="AK12" i="31"/>
  <c r="AK13" i="31"/>
  <c r="AK14" i="31"/>
  <c r="AK15" i="31"/>
  <c r="AK16" i="31"/>
  <c r="AK17" i="31"/>
  <c r="AK18" i="31"/>
  <c r="AK19" i="31"/>
  <c r="AK20" i="31"/>
  <c r="AK21" i="31"/>
  <c r="AK22" i="31"/>
  <c r="AK23" i="31"/>
  <c r="AJ7" i="31"/>
  <c r="AJ8" i="31"/>
  <c r="AJ9" i="31"/>
  <c r="AJ10" i="31"/>
  <c r="AJ11" i="31"/>
  <c r="AJ12" i="31"/>
  <c r="AJ13" i="31"/>
  <c r="AJ14" i="31"/>
  <c r="AJ15" i="31"/>
  <c r="AJ16" i="31"/>
  <c r="AJ17" i="31"/>
  <c r="AJ18" i="31"/>
  <c r="AJ19" i="31"/>
  <c r="AJ20" i="31"/>
  <c r="AJ21" i="31"/>
  <c r="AJ22" i="31"/>
  <c r="I6" i="31"/>
  <c r="I7" i="31"/>
  <c r="I8" i="31"/>
  <c r="I9" i="31"/>
  <c r="I10" i="31"/>
  <c r="I11" i="31"/>
  <c r="I12" i="31"/>
  <c r="I13" i="31"/>
  <c r="I14" i="31"/>
  <c r="I15" i="31"/>
  <c r="I16" i="31"/>
  <c r="I17" i="31"/>
  <c r="I18" i="31"/>
  <c r="I19" i="31"/>
  <c r="I20" i="31"/>
  <c r="I22" i="31"/>
  <c r="I23" i="31"/>
  <c r="F25" i="31"/>
  <c r="F48" i="31" s="1"/>
  <c r="N48" i="31" s="1"/>
  <c r="H25" i="31"/>
  <c r="H48" i="31" s="1"/>
  <c r="M25" i="1"/>
  <c r="V28" i="30"/>
  <c r="U28" i="30"/>
  <c r="V27" i="30"/>
  <c r="U27" i="30"/>
  <c r="T21" i="30"/>
  <c r="R21" i="30"/>
  <c r="P21" i="30"/>
  <c r="O21" i="30"/>
  <c r="N21" i="30"/>
  <c r="L21" i="30"/>
  <c r="K21" i="30"/>
  <c r="J21" i="30"/>
  <c r="I21" i="30"/>
  <c r="H21" i="30"/>
  <c r="G21" i="30"/>
  <c r="F21" i="30"/>
  <c r="E21" i="30"/>
  <c r="H15" i="30"/>
  <c r="H9" i="30" s="1"/>
  <c r="K3" i="30" s="1"/>
  <c r="K9" i="30"/>
  <c r="N3" i="30" s="1"/>
  <c r="J9" i="30"/>
  <c r="M3" i="30" s="1"/>
  <c r="I9" i="30"/>
  <c r="L3" i="30" s="1"/>
  <c r="M25" i="31"/>
  <c r="Q135" i="8"/>
  <c r="Q134" i="8"/>
  <c r="Q133" i="8"/>
  <c r="Q132" i="8"/>
  <c r="Q131" i="8"/>
  <c r="Q130" i="8"/>
  <c r="Q129" i="8"/>
  <c r="Q128" i="8"/>
  <c r="Q127" i="8"/>
  <c r="Q126" i="8"/>
  <c r="Q125" i="8"/>
  <c r="Q124" i="8"/>
  <c r="Q123" i="8"/>
  <c r="Q122" i="8"/>
  <c r="Q121" i="8"/>
  <c r="Q120" i="8"/>
  <c r="Q119" i="8"/>
  <c r="Q118" i="8"/>
  <c r="Q117" i="8"/>
  <c r="Q116" i="8"/>
  <c r="Q115" i="8"/>
  <c r="I84" i="8"/>
  <c r="I85" i="8"/>
  <c r="I86" i="8"/>
  <c r="I87" i="8"/>
  <c r="I88" i="8"/>
  <c r="I89" i="8"/>
  <c r="I90" i="8"/>
  <c r="I91" i="8"/>
  <c r="I92" i="8"/>
  <c r="I93" i="8"/>
  <c r="I94" i="8"/>
  <c r="I95" i="8"/>
  <c r="I96" i="8"/>
  <c r="I97" i="8"/>
  <c r="I98" i="8"/>
  <c r="I99" i="8"/>
  <c r="I100" i="8"/>
  <c r="I101" i="8"/>
  <c r="I102" i="8"/>
  <c r="I103" i="8"/>
  <c r="I104" i="8"/>
  <c r="I105" i="8"/>
  <c r="K84" i="8"/>
  <c r="K85" i="8"/>
  <c r="K86" i="8"/>
  <c r="K87" i="8"/>
  <c r="K88" i="8"/>
  <c r="K89" i="8"/>
  <c r="K90" i="8"/>
  <c r="K91" i="8"/>
  <c r="K92" i="8"/>
  <c r="K93" i="8"/>
  <c r="K94" i="8"/>
  <c r="K95" i="8"/>
  <c r="K96" i="8"/>
  <c r="K97" i="8"/>
  <c r="K98" i="8"/>
  <c r="K99" i="8"/>
  <c r="K100" i="8"/>
  <c r="K101" i="8"/>
  <c r="K102" i="8"/>
  <c r="K103" i="8"/>
  <c r="K104" i="8"/>
  <c r="K105" i="8"/>
  <c r="M84" i="8"/>
  <c r="M85" i="8"/>
  <c r="M86" i="8"/>
  <c r="M87" i="8"/>
  <c r="M88" i="8"/>
  <c r="M89" i="8"/>
  <c r="M90" i="8"/>
  <c r="M91" i="8"/>
  <c r="M92" i="8"/>
  <c r="M93" i="8"/>
  <c r="M94" i="8"/>
  <c r="M95" i="8"/>
  <c r="M96" i="8"/>
  <c r="M97" i="8"/>
  <c r="M98" i="8"/>
  <c r="M99" i="8"/>
  <c r="M100" i="8"/>
  <c r="M101" i="8"/>
  <c r="M102" i="8"/>
  <c r="M103" i="8"/>
  <c r="M104" i="8"/>
  <c r="M105" i="8"/>
  <c r="N105" i="8"/>
  <c r="O105" i="8" s="1"/>
  <c r="N104" i="8"/>
  <c r="O104" i="8" s="1"/>
  <c r="N103" i="8"/>
  <c r="O103" i="8" s="1"/>
  <c r="N102" i="8"/>
  <c r="O102" i="8" s="1"/>
  <c r="N101" i="8"/>
  <c r="O101" i="8" s="1"/>
  <c r="N100" i="8"/>
  <c r="O100" i="8" s="1"/>
  <c r="N99" i="8"/>
  <c r="O99" i="8" s="1"/>
  <c r="N98" i="8"/>
  <c r="O98" i="8" s="1"/>
  <c r="N97" i="8"/>
  <c r="O97" i="8" s="1"/>
  <c r="N96" i="8"/>
  <c r="O96" i="8" s="1"/>
  <c r="N95" i="8"/>
  <c r="O95" i="8" s="1"/>
  <c r="N94" i="8"/>
  <c r="O94" i="8" s="1"/>
  <c r="N93" i="8"/>
  <c r="O93" i="8" s="1"/>
  <c r="N92" i="8"/>
  <c r="O92" i="8" s="1"/>
  <c r="N91" i="8"/>
  <c r="O91" i="8" s="1"/>
  <c r="N90" i="8"/>
  <c r="O90" i="8" s="1"/>
  <c r="N89" i="8"/>
  <c r="O89" i="8" s="1"/>
  <c r="N88" i="8"/>
  <c r="O88" i="8" s="1"/>
  <c r="N87" i="8"/>
  <c r="O87" i="8" s="1"/>
  <c r="N86" i="8"/>
  <c r="O86" i="8" s="1"/>
  <c r="N85" i="8"/>
  <c r="O85" i="8" s="1"/>
  <c r="N84" i="8"/>
  <c r="O84" i="8" s="1"/>
  <c r="O136" i="8"/>
  <c r="N136" i="8"/>
  <c r="Q113" i="8"/>
  <c r="I70" i="8"/>
  <c r="I69" i="8"/>
  <c r="I68" i="8"/>
  <c r="I67" i="8"/>
  <c r="I66" i="8"/>
  <c r="I65" i="8"/>
  <c r="I64" i="8"/>
  <c r="I63" i="8"/>
  <c r="I62" i="8"/>
  <c r="I61" i="8"/>
  <c r="I60" i="8"/>
  <c r="I59" i="8"/>
  <c r="I58" i="8"/>
  <c r="I57" i="8"/>
  <c r="I56" i="8"/>
  <c r="I55" i="8"/>
  <c r="I54" i="8"/>
  <c r="I53" i="8"/>
  <c r="O81" i="8"/>
  <c r="I27" i="8"/>
  <c r="H2" i="8"/>
  <c r="I76" i="8"/>
  <c r="O107" i="8"/>
  <c r="N107" i="8"/>
  <c r="D106" i="8"/>
  <c r="H72" i="8"/>
  <c r="F72" i="8"/>
  <c r="N72" i="8" s="1"/>
  <c r="M72" i="8"/>
  <c r="C5" i="1"/>
  <c r="I46" i="9"/>
  <c r="I69" i="9"/>
  <c r="I68" i="9"/>
  <c r="I67" i="9"/>
  <c r="I66" i="9"/>
  <c r="I65" i="9"/>
  <c r="I64" i="9"/>
  <c r="I63" i="9"/>
  <c r="I62" i="9"/>
  <c r="I61" i="9"/>
  <c r="I60" i="9"/>
  <c r="I59" i="9"/>
  <c r="I58" i="9"/>
  <c r="I57" i="9"/>
  <c r="I56" i="9"/>
  <c r="I55" i="9"/>
  <c r="I54" i="9"/>
  <c r="I53" i="9"/>
  <c r="I52" i="9"/>
  <c r="M71" i="9"/>
  <c r="F25" i="9"/>
  <c r="F48" i="9" s="1"/>
  <c r="F71" i="9" s="1"/>
  <c r="N71" i="9" s="1"/>
  <c r="M25" i="9"/>
  <c r="M48" i="9"/>
  <c r="C5" i="9"/>
  <c r="N2" i="30" l="1"/>
  <c r="AK24" i="31"/>
  <c r="P24" i="31" s="1"/>
  <c r="O12" i="7" s="1"/>
  <c r="N25" i="31"/>
  <c r="BB24" i="31"/>
  <c r="AG24" i="31" s="1"/>
  <c r="AF12" i="7" s="1"/>
  <c r="V2" i="30"/>
  <c r="T2" i="30"/>
  <c r="U2" i="30"/>
  <c r="AX47" i="31"/>
  <c r="AC47" i="31" s="1"/>
  <c r="AB13" i="7" s="1"/>
  <c r="S2" i="30"/>
  <c r="BB47" i="31"/>
  <c r="AG47" i="31" s="1"/>
  <c r="AF13" i="7" s="1"/>
  <c r="H20" i="8"/>
  <c r="N25" i="9"/>
  <c r="AP47" i="31"/>
  <c r="U47" i="31" s="1"/>
  <c r="T13" i="7" s="1"/>
  <c r="AT47" i="31"/>
  <c r="Y47" i="31" s="1"/>
  <c r="X13" i="7" s="1"/>
  <c r="K106" i="8"/>
  <c r="I71" i="8"/>
  <c r="J2" i="31"/>
  <c r="I47" i="31"/>
  <c r="H13" i="7" s="1"/>
  <c r="AL47" i="31"/>
  <c r="Q47" i="31" s="1"/>
  <c r="P13" i="7" s="1"/>
  <c r="AM47" i="31"/>
  <c r="R47" i="31" s="1"/>
  <c r="Q13" i="7" s="1"/>
  <c r="AJ47" i="31"/>
  <c r="O47" i="31" s="1"/>
  <c r="N13" i="7" s="1"/>
  <c r="AO47" i="31"/>
  <c r="T47" i="31" s="1"/>
  <c r="S13" i="7" s="1"/>
  <c r="AU47" i="31"/>
  <c r="Z47" i="31" s="1"/>
  <c r="Y13" i="7" s="1"/>
  <c r="AZ47" i="31"/>
  <c r="AE47" i="31" s="1"/>
  <c r="AD13" i="7" s="1"/>
  <c r="AR47" i="31"/>
  <c r="W47" i="31" s="1"/>
  <c r="V13" i="7" s="1"/>
  <c r="AW47" i="31"/>
  <c r="AB47" i="31" s="1"/>
  <c r="AA13" i="7" s="1"/>
  <c r="BA47" i="31"/>
  <c r="AF47" i="31" s="1"/>
  <c r="AE13" i="7" s="1"/>
  <c r="AK47" i="31"/>
  <c r="P47" i="31" s="1"/>
  <c r="O13" i="7" s="1"/>
  <c r="AQ47" i="31"/>
  <c r="V47" i="31" s="1"/>
  <c r="U13" i="7" s="1"/>
  <c r="AV47" i="31"/>
  <c r="AA47" i="31" s="1"/>
  <c r="Z13" i="7" s="1"/>
  <c r="AN47" i="31"/>
  <c r="S47" i="31" s="1"/>
  <c r="R13" i="7" s="1"/>
  <c r="AS47" i="31"/>
  <c r="X47" i="31" s="1"/>
  <c r="W13" i="7" s="1"/>
  <c r="AY47" i="31"/>
  <c r="AD47" i="31" s="1"/>
  <c r="AC13" i="7" s="1"/>
  <c r="U21" i="30"/>
  <c r="M2" i="30"/>
  <c r="V21" i="30"/>
  <c r="S3" i="30"/>
  <c r="AM24" i="31"/>
  <c r="R24" i="31" s="1"/>
  <c r="Q12" i="7" s="1"/>
  <c r="AO24" i="31"/>
  <c r="T24" i="31" s="1"/>
  <c r="S12" i="7" s="1"/>
  <c r="AQ24" i="31"/>
  <c r="V24" i="31" s="1"/>
  <c r="U12" i="7" s="1"/>
  <c r="AS24" i="31"/>
  <c r="X24" i="31" s="1"/>
  <c r="W12" i="7" s="1"/>
  <c r="AU24" i="31"/>
  <c r="Z24" i="31" s="1"/>
  <c r="Y12" i="7" s="1"/>
  <c r="AW24" i="31"/>
  <c r="AB24" i="31" s="1"/>
  <c r="AA12" i="7" s="1"/>
  <c r="AY24" i="31"/>
  <c r="AD24" i="31" s="1"/>
  <c r="AC12" i="7" s="1"/>
  <c r="BA24" i="31"/>
  <c r="AF24" i="31" s="1"/>
  <c r="AE12" i="7" s="1"/>
  <c r="I106" i="8"/>
  <c r="J2" i="9"/>
  <c r="I24" i="31"/>
  <c r="H12" i="7" s="1"/>
  <c r="AJ24" i="31"/>
  <c r="O24" i="31" s="1"/>
  <c r="N12" i="7" s="1"/>
  <c r="AL24" i="31"/>
  <c r="Q24" i="31" s="1"/>
  <c r="P12" i="7" s="1"/>
  <c r="N48" i="9"/>
  <c r="I70" i="9"/>
  <c r="I19" i="9"/>
  <c r="I22" i="9" s="1"/>
  <c r="I24" i="9" s="1"/>
  <c r="M106" i="8"/>
  <c r="AN24" i="31"/>
  <c r="S24" i="31" s="1"/>
  <c r="R12" i="7" s="1"/>
  <c r="AP24" i="31"/>
  <c r="U24" i="31" s="1"/>
  <c r="T12" i="7" s="1"/>
  <c r="AR24" i="31"/>
  <c r="W24" i="31" s="1"/>
  <c r="V12" i="7" s="1"/>
  <c r="AT24" i="31"/>
  <c r="Y24" i="31" s="1"/>
  <c r="X12" i="7" s="1"/>
  <c r="AV24" i="31"/>
  <c r="AA24" i="31" s="1"/>
  <c r="Z12" i="7" s="1"/>
  <c r="AX24" i="31"/>
  <c r="AC24" i="31" s="1"/>
  <c r="AB12" i="7" s="1"/>
  <c r="AZ24" i="31"/>
  <c r="AE24" i="31" s="1"/>
  <c r="AD12" i="7" s="1"/>
  <c r="L2" i="30"/>
  <c r="U3" i="30"/>
  <c r="V3" i="30"/>
  <c r="K2" i="30"/>
  <c r="T3" i="30"/>
  <c r="K16" i="9" l="1"/>
  <c r="J16" i="9"/>
  <c r="O106" i="8"/>
  <c r="N82" i="8" s="1"/>
  <c r="N94" i="6" l="1"/>
  <c r="F2" i="38" l="1"/>
  <c r="F25" i="38" s="1"/>
  <c r="F48" i="38" l="1"/>
  <c r="N48" i="38" s="1"/>
  <c r="N25" i="38"/>
  <c r="H322" i="36"/>
  <c r="G322" i="36" s="1"/>
  <c r="F71" i="38" l="1"/>
  <c r="F94" i="38" s="1"/>
  <c r="N71" i="38"/>
  <c r="H243" i="36" l="1"/>
  <c r="G243" i="36" s="1"/>
  <c r="H241" i="36"/>
  <c r="G241" i="36" s="1"/>
  <c r="H245" i="36"/>
  <c r="G245" i="36" s="1"/>
  <c r="H242" i="36"/>
  <c r="G242" i="36" s="1"/>
  <c r="H244" i="36"/>
  <c r="G244" i="36" s="1"/>
  <c r="H239" i="36"/>
  <c r="G239" i="36" s="1"/>
  <c r="H240" i="36"/>
  <c r="G240" i="36" s="1"/>
  <c r="H246" i="36"/>
  <c r="G246" i="36" s="1"/>
  <c r="G42" i="36"/>
  <c r="G41" i="36"/>
  <c r="G40" i="36"/>
  <c r="N94" i="38" l="1"/>
  <c r="F2" i="1" l="1"/>
  <c r="F25" i="1" s="1"/>
  <c r="J2" i="38"/>
  <c r="N25" i="1" l="1"/>
  <c r="F48" i="1"/>
  <c r="F71" i="1" s="1"/>
  <c r="H222" i="36"/>
  <c r="G222" i="36" s="1"/>
  <c r="N71" i="1" l="1"/>
  <c r="F94" i="1"/>
  <c r="N48" i="1"/>
  <c r="N94" i="1" l="1"/>
  <c r="F117" i="1"/>
  <c r="H141" i="36"/>
  <c r="G141" i="36" s="1"/>
  <c r="H142" i="36"/>
  <c r="G142" i="36" s="1"/>
  <c r="H140" i="36"/>
  <c r="G140" i="36" s="1"/>
  <c r="H138" i="36"/>
  <c r="G138" i="36" s="1"/>
  <c r="H139" i="36"/>
  <c r="G139" i="36" s="1"/>
  <c r="N117" i="1" l="1"/>
  <c r="F140" i="1"/>
  <c r="N140" i="1" l="1"/>
  <c r="F163" i="1"/>
  <c r="N163" i="1" l="1"/>
  <c r="F186" i="1"/>
  <c r="N186" i="1" l="1"/>
  <c r="F209" i="1"/>
  <c r="N209" i="1" l="1"/>
  <c r="F232" i="1"/>
  <c r="N232" i="1" s="1"/>
  <c r="F255" i="1" l="1"/>
  <c r="N255" i="1" s="1"/>
  <c r="H43" i="36"/>
  <c r="H78" i="36"/>
  <c r="H85" i="36"/>
  <c r="H75" i="36"/>
  <c r="H76" i="36"/>
  <c r="H82" i="36"/>
  <c r="H84" i="36"/>
  <c r="H46" i="36"/>
  <c r="H45" i="36"/>
  <c r="H77" i="36"/>
  <c r="H47" i="36"/>
  <c r="H44" i="36"/>
  <c r="H83" i="36"/>
  <c r="H79" i="36"/>
  <c r="H81" i="36"/>
  <c r="H80" i="36" l="1"/>
  <c r="H74" i="36"/>
  <c r="J2" i="1"/>
  <c r="J16" i="1"/>
  <c r="K16" i="1"/>
  <c r="H12" i="36"/>
  <c r="H13" i="36"/>
  <c r="H87" i="36" l="1"/>
  <c r="H10" i="36"/>
  <c r="H14" i="36"/>
  <c r="F2" i="47"/>
  <c r="F25" i="47" s="1"/>
  <c r="F48" i="47" s="1"/>
  <c r="N25" i="47" l="1"/>
  <c r="F71" i="47"/>
  <c r="N48" i="47"/>
  <c r="N71" i="47" l="1"/>
  <c r="F94" i="47"/>
  <c r="H118" i="36" l="1"/>
  <c r="G118" i="36" s="1"/>
  <c r="F117" i="47"/>
  <c r="N94" i="47"/>
  <c r="N117" i="47" l="1"/>
  <c r="F140" i="47"/>
  <c r="N140" i="47" l="1"/>
  <c r="F163" i="47"/>
  <c r="N163" i="47" s="1"/>
  <c r="J2" i="47" s="1"/>
  <c r="I83" i="36"/>
  <c r="I85" i="36"/>
  <c r="I82" i="36"/>
  <c r="I84" i="36"/>
  <c r="I47" i="36"/>
  <c r="I79" i="36"/>
  <c r="I44" i="36"/>
  <c r="I43" i="36"/>
  <c r="I75" i="36"/>
  <c r="I46" i="36"/>
  <c r="I45" i="36"/>
  <c r="I81" i="36"/>
  <c r="I77" i="36"/>
  <c r="I78" i="36"/>
  <c r="I76" i="36"/>
  <c r="I80" i="36" l="1"/>
  <c r="I74" i="36"/>
  <c r="F2" i="53"/>
  <c r="F25" i="53" s="1"/>
  <c r="F48" i="53" s="1"/>
  <c r="J16" i="47"/>
  <c r="K16" i="47"/>
  <c r="I13" i="36"/>
  <c r="I12" i="36"/>
  <c r="I87" i="36" l="1"/>
  <c r="I10" i="36"/>
  <c r="I14" i="36"/>
  <c r="I11" i="36" s="1"/>
  <c r="I9" i="36"/>
  <c r="N25" i="53"/>
  <c r="F71" i="53"/>
  <c r="N48" i="53"/>
  <c r="I23" i="36" l="1"/>
  <c r="I49" i="36" s="1"/>
  <c r="I88" i="36" s="1"/>
  <c r="N71" i="53"/>
  <c r="F94" i="53"/>
  <c r="N94" i="53" l="1"/>
  <c r="F117" i="53"/>
  <c r="N117" i="53" l="1"/>
  <c r="F140" i="53"/>
  <c r="F163" i="53" s="1"/>
  <c r="N163" i="53" s="1"/>
  <c r="N140" i="53" l="1"/>
  <c r="F186" i="53" l="1"/>
  <c r="N186" i="53" s="1"/>
  <c r="K16" i="53"/>
  <c r="J2" i="53"/>
  <c r="J45" i="36"/>
  <c r="J75" i="36"/>
  <c r="J47" i="36"/>
  <c r="J79" i="36"/>
  <c r="J76" i="36"/>
  <c r="J46" i="36"/>
  <c r="J84" i="36"/>
  <c r="J44" i="36"/>
  <c r="J81" i="36"/>
  <c r="J85" i="36"/>
  <c r="J82" i="36"/>
  <c r="J43" i="36"/>
  <c r="J77" i="36"/>
  <c r="J78" i="36"/>
  <c r="J83" i="36"/>
  <c r="J80" i="36" l="1"/>
  <c r="J74" i="36"/>
  <c r="F2" i="54"/>
  <c r="F25" i="54" s="1"/>
  <c r="N25" i="54" s="1"/>
  <c r="J16" i="53"/>
  <c r="J13" i="36"/>
  <c r="J12" i="36"/>
  <c r="J87" i="36" l="1"/>
  <c r="J14" i="36"/>
  <c r="J11" i="36" s="1"/>
  <c r="J9" i="36"/>
  <c r="J10" i="36"/>
  <c r="F48" i="54"/>
  <c r="F71" i="54" s="1"/>
  <c r="J23" i="36" l="1"/>
  <c r="J49" i="36" s="1"/>
  <c r="J88" i="36" s="1"/>
  <c r="N48" i="54"/>
  <c r="F94" i="54"/>
  <c r="N71" i="54"/>
  <c r="N94" i="54" l="1"/>
  <c r="F117" i="54"/>
  <c r="F140" i="54" s="1"/>
  <c r="N140" i="54" s="1"/>
  <c r="N117" i="54" l="1"/>
  <c r="F163" i="54" l="1"/>
  <c r="N163" i="54" s="1"/>
  <c r="J16" i="54"/>
  <c r="K16" i="54"/>
  <c r="K79" i="36"/>
  <c r="K81" i="36"/>
  <c r="K78" i="36"/>
  <c r="K83" i="36"/>
  <c r="K77" i="36"/>
  <c r="K47" i="36"/>
  <c r="K45" i="36"/>
  <c r="K84" i="36"/>
  <c r="K82" i="36"/>
  <c r="K75" i="36"/>
  <c r="K85" i="36"/>
  <c r="K44" i="36"/>
  <c r="K76" i="36"/>
  <c r="K46" i="36"/>
  <c r="K43" i="36"/>
  <c r="K74" i="36" l="1"/>
  <c r="K80" i="36"/>
  <c r="J2" i="54"/>
  <c r="K12" i="36"/>
  <c r="K13" i="36"/>
  <c r="K87" i="36" l="1"/>
  <c r="K10" i="36"/>
  <c r="K14" i="36"/>
  <c r="K11" i="36" s="1"/>
  <c r="K9" i="36"/>
  <c r="F2" i="55"/>
  <c r="F25" i="55" s="1"/>
  <c r="K23" i="36" l="1"/>
  <c r="K49" i="36" s="1"/>
  <c r="K88" i="36" s="1"/>
  <c r="F48" i="55"/>
  <c r="N25" i="55"/>
  <c r="N48" i="55" l="1"/>
  <c r="F71" i="55"/>
  <c r="N71" i="55" l="1"/>
  <c r="F94" i="55"/>
  <c r="F117" i="55" l="1"/>
  <c r="N117" i="55" s="1"/>
  <c r="J2" i="55" s="1"/>
  <c r="N94" i="55"/>
  <c r="J16" i="55"/>
  <c r="L81" i="36"/>
  <c r="L82" i="36"/>
  <c r="L77" i="36"/>
  <c r="L44" i="36"/>
  <c r="L84" i="36"/>
  <c r="L83" i="36"/>
  <c r="L12" i="36"/>
  <c r="L13" i="36"/>
  <c r="L76" i="36"/>
  <c r="L79" i="36"/>
  <c r="L45" i="36"/>
  <c r="L47" i="36"/>
  <c r="L85" i="36"/>
  <c r="L78" i="36"/>
  <c r="L75" i="36"/>
  <c r="L46" i="36"/>
  <c r="L43" i="36"/>
  <c r="L80" i="36" l="1"/>
  <c r="L74" i="36"/>
  <c r="L10" i="36"/>
  <c r="L14" i="36"/>
  <c r="L11" i="36" s="1"/>
  <c r="L9" i="36"/>
  <c r="K16" i="55"/>
  <c r="F2" i="56"/>
  <c r="F25" i="56" s="1"/>
  <c r="L87" i="36" l="1"/>
  <c r="L23" i="36" s="1"/>
  <c r="L49" i="36" s="1"/>
  <c r="L88" i="36" s="1"/>
  <c r="N25" i="56"/>
  <c r="F48" i="56"/>
  <c r="F71" i="56" l="1"/>
  <c r="N48" i="56"/>
  <c r="N71" i="56" l="1"/>
  <c r="F94" i="56"/>
  <c r="F117" i="56" l="1"/>
  <c r="N94" i="56"/>
  <c r="F140" i="56" l="1"/>
  <c r="N117" i="56"/>
  <c r="N140" i="56" l="1"/>
  <c r="F163" i="56"/>
  <c r="N163" i="56" l="1"/>
  <c r="F186" i="56"/>
  <c r="F209" i="56" l="1"/>
  <c r="N186" i="56"/>
  <c r="F232" i="56" l="1"/>
  <c r="N209" i="56"/>
  <c r="N232" i="56" l="1"/>
  <c r="F255" i="56"/>
  <c r="N255" i="56" s="1"/>
  <c r="J2" i="56" s="1"/>
  <c r="K16" i="56"/>
  <c r="M84" i="36"/>
  <c r="M77" i="36"/>
  <c r="M44" i="36"/>
  <c r="M79" i="36"/>
  <c r="M85" i="36"/>
  <c r="M83" i="36"/>
  <c r="M76" i="36"/>
  <c r="M46" i="36"/>
  <c r="M82" i="36"/>
  <c r="M47" i="36"/>
  <c r="M81" i="36"/>
  <c r="M75" i="36"/>
  <c r="M45" i="36"/>
  <c r="M78" i="36"/>
  <c r="M43" i="36"/>
  <c r="M80" i="36" l="1"/>
  <c r="M74" i="36"/>
  <c r="J16" i="56"/>
  <c r="F2" i="57"/>
  <c r="F25" i="57" s="1"/>
  <c r="M12" i="36"/>
  <c r="M13" i="36"/>
  <c r="M87" i="36" l="1"/>
  <c r="M10" i="36"/>
  <c r="M14" i="36"/>
  <c r="N25" i="57"/>
  <c r="F48" i="57"/>
  <c r="F71" i="57" l="1"/>
  <c r="N48" i="57"/>
  <c r="N71" i="57" l="1"/>
  <c r="F94" i="57"/>
  <c r="N94" i="57" l="1"/>
  <c r="F117" i="57"/>
  <c r="N117" i="57" l="1"/>
  <c r="F140" i="57"/>
  <c r="J16" i="57" l="1"/>
  <c r="N140" i="57"/>
  <c r="F163" i="57"/>
  <c r="N163" i="57" s="1"/>
  <c r="J2" i="57" s="1"/>
  <c r="N82" i="36"/>
  <c r="N78" i="36"/>
  <c r="N43" i="36"/>
  <c r="N83" i="36"/>
  <c r="N79" i="36"/>
  <c r="N75" i="36"/>
  <c r="N85" i="36"/>
  <c r="N45" i="36"/>
  <c r="N77" i="36"/>
  <c r="N46" i="36"/>
  <c r="N13" i="36"/>
  <c r="N81" i="36"/>
  <c r="N44" i="36"/>
  <c r="N76" i="36"/>
  <c r="N84" i="36"/>
  <c r="N47" i="36"/>
  <c r="N10" i="36" l="1"/>
  <c r="N80" i="36"/>
  <c r="N74" i="36"/>
  <c r="F2" i="58"/>
  <c r="F25" i="58" s="1"/>
  <c r="K16" i="57"/>
  <c r="N12" i="36"/>
  <c r="N87" i="36" l="1"/>
  <c r="N14" i="36"/>
  <c r="N25" i="58"/>
  <c r="F48" i="58"/>
  <c r="F71" i="58" l="1"/>
  <c r="N48" i="58"/>
  <c r="F94" i="58" l="1"/>
  <c r="N71" i="58"/>
  <c r="F117" i="58" l="1"/>
  <c r="N94" i="58"/>
  <c r="N117" i="58" l="1"/>
  <c r="F140" i="58"/>
  <c r="N140" i="58" s="1"/>
  <c r="J2" i="58" s="1"/>
  <c r="J16" i="58"/>
  <c r="O76" i="36"/>
  <c r="O82" i="36"/>
  <c r="O13" i="36"/>
  <c r="O46" i="36"/>
  <c r="O79" i="36"/>
  <c r="O85" i="36"/>
  <c r="O84" i="36"/>
  <c r="O44" i="36"/>
  <c r="O81" i="36"/>
  <c r="O75" i="36"/>
  <c r="O83" i="36"/>
  <c r="O43" i="36"/>
  <c r="O45" i="36"/>
  <c r="O77" i="36"/>
  <c r="O47" i="36"/>
  <c r="O78" i="36"/>
  <c r="O10" i="36" l="1"/>
  <c r="O74" i="36"/>
  <c r="O80" i="36"/>
  <c r="G47" i="36"/>
  <c r="G43" i="36"/>
  <c r="G83" i="36"/>
  <c r="G44" i="36"/>
  <c r="G85" i="36"/>
  <c r="G46" i="36"/>
  <c r="G45" i="36"/>
  <c r="G84" i="36"/>
  <c r="G13" i="36"/>
  <c r="K16" i="58"/>
  <c r="H18" i="8"/>
  <c r="O12" i="36"/>
  <c r="O87" i="36" l="1"/>
  <c r="O14" i="36"/>
  <c r="G80" i="36"/>
  <c r="G10" i="36"/>
  <c r="G12" i="36"/>
  <c r="G74" i="36"/>
  <c r="H25" i="6"/>
  <c r="H27" i="8"/>
  <c r="H2" i="47" l="1"/>
  <c r="H25" i="47" s="1"/>
  <c r="H48" i="47" s="1"/>
  <c r="H71" i="47" s="1"/>
  <c r="H94" i="47" s="1"/>
  <c r="H117" i="47" s="1"/>
  <c r="H140" i="47" s="1"/>
  <c r="H163" i="47" s="1"/>
  <c r="F22" i="32"/>
  <c r="H2" i="55"/>
  <c r="H25" i="55" s="1"/>
  <c r="H48" i="55" s="1"/>
  <c r="H71" i="55" s="1"/>
  <c r="H94" i="55" s="1"/>
  <c r="H117" i="55" s="1"/>
  <c r="H71" i="6"/>
  <c r="H2" i="56"/>
  <c r="H25" i="56" s="1"/>
  <c r="H48" i="56" s="1"/>
  <c r="H71" i="56" s="1"/>
  <c r="H94" i="56" s="1"/>
  <c r="H117" i="56" s="1"/>
  <c r="H140" i="56" s="1"/>
  <c r="H163" i="56" s="1"/>
  <c r="H186" i="56" s="1"/>
  <c r="H209" i="56" s="1"/>
  <c r="H232" i="56" s="1"/>
  <c r="H255" i="56" s="1"/>
  <c r="H2" i="38"/>
  <c r="H25" i="38" s="1"/>
  <c r="H94" i="6"/>
  <c r="H2" i="57"/>
  <c r="H25" i="57" s="1"/>
  <c r="H48" i="57" s="1"/>
  <c r="H71" i="57" s="1"/>
  <c r="H94" i="57" s="1"/>
  <c r="H117" i="57" s="1"/>
  <c r="H140" i="57" s="1"/>
  <c r="H163" i="57" s="1"/>
  <c r="H2" i="58"/>
  <c r="H25" i="58" s="1"/>
  <c r="H48" i="58" s="1"/>
  <c r="H71" i="58" s="1"/>
  <c r="H94" i="58" s="1"/>
  <c r="H117" i="58" s="1"/>
  <c r="H140" i="58" s="1"/>
  <c r="H2" i="9"/>
  <c r="H25" i="9" s="1"/>
  <c r="H2" i="1"/>
  <c r="H25" i="1" s="1"/>
  <c r="H48" i="1" s="1"/>
  <c r="H71" i="1" s="1"/>
  <c r="H94" i="1" s="1"/>
  <c r="H117" i="1" s="1"/>
  <c r="H140" i="1" s="1"/>
  <c r="H163" i="1" s="1"/>
  <c r="H186" i="1" s="1"/>
  <c r="H209" i="1" s="1"/>
  <c r="H232" i="1" s="1"/>
  <c r="H255" i="1" s="1"/>
  <c r="H2" i="54"/>
  <c r="H25" i="54" s="1"/>
  <c r="H48" i="54" s="1"/>
  <c r="H71" i="54" s="1"/>
  <c r="H94" i="54" s="1"/>
  <c r="H117" i="54" s="1"/>
  <c r="H140" i="54" s="1"/>
  <c r="H163" i="54" s="1"/>
  <c r="H2" i="53"/>
  <c r="H25" i="53" s="1"/>
  <c r="H48" i="53" s="1"/>
  <c r="H71" i="53" s="1"/>
  <c r="H94" i="53" s="1"/>
  <c r="H117" i="53" s="1"/>
  <c r="H140" i="53" s="1"/>
  <c r="H163" i="53" s="1"/>
  <c r="H186" i="53" s="1"/>
  <c r="H48" i="6"/>
  <c r="G14" i="36"/>
  <c r="G87" i="36"/>
  <c r="H48" i="38" l="1"/>
  <c r="H94" i="38"/>
  <c r="H71" i="38"/>
  <c r="H71" i="9"/>
  <c r="H48" i="9"/>
  <c r="H56" i="58" l="1"/>
  <c r="I56" i="58" s="1"/>
  <c r="H57" i="57"/>
  <c r="I57" i="57" s="1"/>
  <c r="H38" i="53" l="1"/>
  <c r="I38" i="53" s="1"/>
  <c r="H56" i="57"/>
  <c r="I56" i="57" s="1"/>
  <c r="H38" i="54"/>
  <c r="I38" i="54" s="1"/>
  <c r="H58" i="58"/>
  <c r="I58" i="58" s="1"/>
  <c r="H38" i="47"/>
  <c r="I38" i="47" s="1"/>
  <c r="H38" i="55"/>
  <c r="I38" i="55" s="1"/>
  <c r="H58" i="57"/>
  <c r="I58" i="57" s="1"/>
  <c r="H56" i="56"/>
  <c r="I56" i="56" s="1"/>
  <c r="H38" i="1" l="1"/>
  <c r="I38" i="1" s="1"/>
  <c r="H57" i="58"/>
  <c r="I57" i="58" s="1"/>
  <c r="H57" i="56"/>
  <c r="I57" i="56" s="1"/>
  <c r="H36" i="54"/>
  <c r="I36" i="54" s="1"/>
  <c r="H36" i="47"/>
  <c r="I36" i="47" s="1"/>
  <c r="H36" i="53"/>
  <c r="I36" i="53" s="1"/>
  <c r="H53" i="58"/>
  <c r="I53" i="58" s="1"/>
  <c r="H53" i="57"/>
  <c r="I53" i="57" s="1"/>
  <c r="H53" i="56"/>
  <c r="I53" i="56" s="1"/>
  <c r="H54" i="56"/>
  <c r="I54" i="56" s="1"/>
  <c r="H54" i="57" l="1"/>
  <c r="I54" i="57" s="1"/>
  <c r="H54" i="58"/>
  <c r="I54" i="58" s="1"/>
  <c r="H55" i="57"/>
  <c r="I55" i="57" s="1"/>
  <c r="H36" i="55"/>
  <c r="I36" i="55" s="1"/>
  <c r="H37" i="55"/>
  <c r="I37" i="55" s="1"/>
  <c r="H37" i="53"/>
  <c r="I37" i="53" s="1"/>
  <c r="H37" i="47"/>
  <c r="I37" i="47" s="1"/>
  <c r="H37" i="54"/>
  <c r="I37" i="54" s="1"/>
  <c r="H55" i="56"/>
  <c r="I55" i="56" s="1"/>
  <c r="H37" i="1"/>
  <c r="I37" i="1" s="1"/>
  <c r="I70" i="57" l="1"/>
  <c r="I7" i="57" s="1"/>
  <c r="H55" i="58"/>
  <c r="I55" i="58" s="1"/>
  <c r="I70" i="58" s="1"/>
  <c r="I7" i="58" s="1"/>
  <c r="H36" i="1"/>
  <c r="I36" i="1" s="1"/>
  <c r="O6" i="36"/>
  <c r="N6" i="36"/>
  <c r="I16" i="57" l="1"/>
  <c r="H11" i="51" s="1"/>
  <c r="I16" i="58"/>
  <c r="I11" i="51" l="1"/>
  <c r="M11" i="48"/>
  <c r="N5" i="36" s="1"/>
  <c r="H37" i="51"/>
  <c r="N8" i="36" l="1"/>
  <c r="N11" i="36" s="1"/>
  <c r="N23" i="36" s="1"/>
  <c r="N9" i="36"/>
  <c r="H38" i="56"/>
  <c r="I38" i="56" s="1"/>
  <c r="H38" i="57"/>
  <c r="I38" i="57" s="1"/>
  <c r="H100" i="51"/>
  <c r="H62" i="51"/>
  <c r="H60" i="51"/>
  <c r="H36" i="57"/>
  <c r="I36" i="57" s="1"/>
  <c r="M53" i="48"/>
  <c r="M14" i="48" s="1"/>
  <c r="H37" i="57"/>
  <c r="I37" i="57" s="1"/>
  <c r="N11" i="48"/>
  <c r="O5" i="36" s="1"/>
  <c r="I37" i="51"/>
  <c r="O8" i="36" l="1"/>
  <c r="O11" i="36" s="1"/>
  <c r="O23" i="36" s="1"/>
  <c r="O9" i="36"/>
  <c r="N49" i="36"/>
  <c r="N88" i="36" s="1"/>
  <c r="M37" i="48"/>
  <c r="M62" i="48" s="1"/>
  <c r="I100" i="51"/>
  <c r="I62" i="51"/>
  <c r="I60" i="51"/>
  <c r="H37" i="58"/>
  <c r="I37" i="58" s="1"/>
  <c r="N53" i="48"/>
  <c r="N14" i="48" s="1"/>
  <c r="H38" i="58"/>
  <c r="I38" i="58" s="1"/>
  <c r="H36" i="58"/>
  <c r="I36" i="58" s="1"/>
  <c r="H36" i="56"/>
  <c r="H116" i="51"/>
  <c r="H120" i="51" s="1"/>
  <c r="O49" i="36" l="1"/>
  <c r="O88" i="36" s="1"/>
  <c r="M100" i="48"/>
  <c r="M116" i="48" s="1"/>
  <c r="M120" i="48" s="1"/>
  <c r="M60" i="48"/>
  <c r="N37" i="48"/>
  <c r="N60" i="48" s="1"/>
  <c r="H117" i="51"/>
  <c r="I116" i="51"/>
  <c r="I120" i="51" s="1"/>
  <c r="I36" i="56"/>
  <c r="M79" i="48"/>
  <c r="M82" i="48" s="1"/>
  <c r="M103" i="48" s="1"/>
  <c r="H37" i="56"/>
  <c r="I37" i="56" s="1"/>
  <c r="N100" i="48" l="1"/>
  <c r="N116" i="48" s="1"/>
  <c r="N120" i="48" s="1"/>
  <c r="N62" i="48"/>
  <c r="M80" i="48"/>
  <c r="I117" i="51"/>
  <c r="M117" i="48"/>
  <c r="N79" i="48" l="1"/>
  <c r="N82" i="48" s="1"/>
  <c r="N103" i="48" s="1"/>
  <c r="N117" i="48"/>
  <c r="N80" i="48" l="1"/>
  <c r="H21" i="38" l="1"/>
  <c r="H22" i="38"/>
  <c r="H40" i="57" l="1"/>
  <c r="I40" i="57" s="1"/>
  <c r="H40" i="58"/>
  <c r="I40" i="58" s="1"/>
  <c r="H40" i="47"/>
  <c r="I40" i="47" s="1"/>
  <c r="H40" i="53"/>
  <c r="I40" i="53" s="1"/>
  <c r="H40" i="55"/>
  <c r="I40" i="55" s="1"/>
  <c r="H40" i="54"/>
  <c r="I40" i="54" s="1"/>
  <c r="H39" i="47" l="1"/>
  <c r="I39" i="47" s="1"/>
  <c r="I45" i="47" s="1"/>
  <c r="H17" i="52" s="1"/>
  <c r="H39" i="55"/>
  <c r="I39" i="55" s="1"/>
  <c r="I45" i="55" s="1"/>
  <c r="K17" i="52" s="1"/>
  <c r="H39" i="54"/>
  <c r="I39" i="54" s="1"/>
  <c r="I45" i="54" s="1"/>
  <c r="J17" i="52" s="1"/>
  <c r="H39" i="53"/>
  <c r="I39" i="53" s="1"/>
  <c r="I45" i="53" s="1"/>
  <c r="I17" i="52" s="1"/>
  <c r="H40" i="56" l="1"/>
  <c r="I40" i="56" s="1"/>
  <c r="H40" i="1"/>
  <c r="I40" i="1" s="1"/>
  <c r="H39" i="1"/>
  <c r="I39" i="1" s="1"/>
  <c r="H58" i="1"/>
  <c r="I58" i="1" s="1"/>
  <c r="I70" i="1" s="1"/>
  <c r="I7" i="1" s="1"/>
  <c r="H6" i="36"/>
  <c r="I45" i="1" l="1"/>
  <c r="G17" i="52" s="1"/>
  <c r="F17" i="52" s="1"/>
  <c r="I16" i="1"/>
  <c r="G11" i="52" s="1"/>
  <c r="G11" i="48" l="1"/>
  <c r="G37" i="52"/>
  <c r="F11" i="52"/>
  <c r="H5" i="36" l="1"/>
  <c r="G53" i="48"/>
  <c r="G37" i="48"/>
  <c r="F37" i="52"/>
  <c r="G100" i="52"/>
  <c r="G60" i="52"/>
  <c r="F60" i="52" s="1"/>
  <c r="G62" i="52"/>
  <c r="H39" i="58"/>
  <c r="I39" i="58" s="1"/>
  <c r="I45" i="58" s="1"/>
  <c r="I17" i="51" s="1"/>
  <c r="H39" i="57"/>
  <c r="I39" i="57" s="1"/>
  <c r="I45" i="57" s="1"/>
  <c r="H17" i="51" s="1"/>
  <c r="F62" i="52" l="1"/>
  <c r="H9" i="36"/>
  <c r="H8" i="36"/>
  <c r="L186" i="52"/>
  <c r="G178" i="52"/>
  <c r="M181" i="52"/>
  <c r="K177" i="52"/>
  <c r="I189" i="52"/>
  <c r="G186" i="52"/>
  <c r="N178" i="52"/>
  <c r="H177" i="52"/>
  <c r="L187" i="52"/>
  <c r="J187" i="52"/>
  <c r="I181" i="52"/>
  <c r="M187" i="52"/>
  <c r="J177" i="52"/>
  <c r="M189" i="52"/>
  <c r="L181" i="52"/>
  <c r="K187" i="52"/>
  <c r="I179" i="52"/>
  <c r="J180" i="52"/>
  <c r="I190" i="52"/>
  <c r="L190" i="52"/>
  <c r="K181" i="52"/>
  <c r="N190" i="52"/>
  <c r="N188" i="52"/>
  <c r="J179" i="52"/>
  <c r="M177" i="52"/>
  <c r="J178" i="52"/>
  <c r="J181" i="52"/>
  <c r="M178" i="52"/>
  <c r="K180" i="52"/>
  <c r="K182" i="52" s="1"/>
  <c r="K183" i="52" s="1"/>
  <c r="N181" i="52"/>
  <c r="J189" i="52"/>
  <c r="L180" i="52"/>
  <c r="J188" i="52"/>
  <c r="M179" i="52"/>
  <c r="L179" i="52"/>
  <c r="G180" i="52"/>
  <c r="M188" i="52"/>
  <c r="H178" i="52"/>
  <c r="N177" i="52"/>
  <c r="G188" i="52"/>
  <c r="K179" i="52"/>
  <c r="G181" i="52"/>
  <c r="I178" i="52"/>
  <c r="H190" i="52"/>
  <c r="G179" i="52"/>
  <c r="K189" i="52"/>
  <c r="L177" i="52"/>
  <c r="N186" i="52"/>
  <c r="N180" i="52"/>
  <c r="N182" i="52" s="1"/>
  <c r="N183" i="52" s="1"/>
  <c r="J186" i="52"/>
  <c r="H181" i="52"/>
  <c r="N187" i="52"/>
  <c r="J190" i="52"/>
  <c r="K188" i="52"/>
  <c r="I186" i="52"/>
  <c r="G187" i="52"/>
  <c r="H180" i="52"/>
  <c r="H182" i="52" s="1"/>
  <c r="H183" i="52" s="1"/>
  <c r="G177" i="52"/>
  <c r="H189" i="52"/>
  <c r="K186" i="52"/>
  <c r="I187" i="52"/>
  <c r="L188" i="52"/>
  <c r="I180" i="52"/>
  <c r="M186" i="52"/>
  <c r="N179" i="52"/>
  <c r="H188" i="52"/>
  <c r="G190" i="52"/>
  <c r="N189" i="52"/>
  <c r="K190" i="52"/>
  <c r="M180" i="52"/>
  <c r="H179" i="52"/>
  <c r="M190" i="52"/>
  <c r="I188" i="52"/>
  <c r="H187" i="52"/>
  <c r="L178" i="52"/>
  <c r="L189" i="52"/>
  <c r="H186" i="52"/>
  <c r="H191" i="52" s="1"/>
  <c r="H192" i="52" s="1"/>
  <c r="H79" i="52" s="1"/>
  <c r="K178" i="52"/>
  <c r="G189" i="52"/>
  <c r="G191" i="52" s="1"/>
  <c r="G192" i="52" s="1"/>
  <c r="G79" i="52" s="1"/>
  <c r="I177" i="52"/>
  <c r="G182" i="52"/>
  <c r="G183" i="52" s="1"/>
  <c r="J191" i="52"/>
  <c r="J192" i="52" s="1"/>
  <c r="J79" i="52" s="1"/>
  <c r="K191" i="52"/>
  <c r="K192" i="52" s="1"/>
  <c r="K79" i="52" s="1"/>
  <c r="N191" i="52"/>
  <c r="N192" i="52" s="1"/>
  <c r="M191" i="52"/>
  <c r="M192" i="52" s="1"/>
  <c r="G116" i="52"/>
  <c r="G120" i="52" s="1"/>
  <c r="F100" i="52"/>
  <c r="G60" i="48"/>
  <c r="G62" i="48"/>
  <c r="G100" i="48"/>
  <c r="G14" i="48"/>
  <c r="H39" i="56"/>
  <c r="I39" i="56" s="1"/>
  <c r="I45" i="56" s="1"/>
  <c r="G17" i="51" s="1"/>
  <c r="F17" i="51" s="1"/>
  <c r="H58" i="56"/>
  <c r="I58" i="56" s="1"/>
  <c r="I70" i="56" s="1"/>
  <c r="I7" i="56" s="1"/>
  <c r="M6" i="36"/>
  <c r="I191" i="52" l="1"/>
  <c r="I192" i="52" s="1"/>
  <c r="I79" i="52" s="1"/>
  <c r="G117" i="52"/>
  <c r="M182" i="52"/>
  <c r="M183" i="52" s="1"/>
  <c r="J182" i="52"/>
  <c r="J183" i="52" s="1"/>
  <c r="L191" i="52"/>
  <c r="L192" i="52" s="1"/>
  <c r="I182" i="52"/>
  <c r="I183" i="52" s="1"/>
  <c r="L182" i="52"/>
  <c r="L183" i="52" s="1"/>
  <c r="G6" i="36"/>
  <c r="H80" i="52"/>
  <c r="H82" i="52"/>
  <c r="H103" i="52" s="1"/>
  <c r="G82" i="52"/>
  <c r="G80" i="52"/>
  <c r="I82" i="52"/>
  <c r="I103" i="52" s="1"/>
  <c r="I80" i="52"/>
  <c r="I16" i="56"/>
  <c r="G11" i="51" s="1"/>
  <c r="G116" i="48"/>
  <c r="G120" i="48" s="1"/>
  <c r="H11" i="36"/>
  <c r="J80" i="52"/>
  <c r="J82" i="52"/>
  <c r="J103" i="52" s="1"/>
  <c r="K80" i="52"/>
  <c r="K82" i="52"/>
  <c r="K103" i="52" s="1"/>
  <c r="G117" i="48" l="1"/>
  <c r="J93" i="52"/>
  <c r="J16" i="52" s="1"/>
  <c r="J101" i="52"/>
  <c r="G93" i="52"/>
  <c r="G101" i="52"/>
  <c r="G103" i="52"/>
  <c r="F82" i="52"/>
  <c r="H23" i="36"/>
  <c r="L11" i="48"/>
  <c r="F11" i="51"/>
  <c r="G37" i="51"/>
  <c r="F80" i="52"/>
  <c r="I101" i="52"/>
  <c r="I93" i="52"/>
  <c r="I16" i="52" s="1"/>
  <c r="K101" i="52"/>
  <c r="K93" i="52"/>
  <c r="K16" i="52" s="1"/>
  <c r="H93" i="52"/>
  <c r="H16" i="52" s="1"/>
  <c r="H101" i="52"/>
  <c r="H30" i="47" l="1"/>
  <c r="I30" i="47" s="1"/>
  <c r="I32" i="47" s="1"/>
  <c r="I47" i="47" s="1"/>
  <c r="I19" i="47" s="1"/>
  <c r="H15" i="52"/>
  <c r="H30" i="53"/>
  <c r="I30" i="53" s="1"/>
  <c r="I32" i="53" s="1"/>
  <c r="I47" i="53" s="1"/>
  <c r="I19" i="53" s="1"/>
  <c r="I15" i="52"/>
  <c r="G100" i="51"/>
  <c r="F37" i="51"/>
  <c r="G60" i="51"/>
  <c r="F60" i="51" s="1"/>
  <c r="G62" i="51"/>
  <c r="H49" i="36"/>
  <c r="K15" i="52"/>
  <c r="H30" i="55"/>
  <c r="I30" i="55" s="1"/>
  <c r="I32" i="55" s="1"/>
  <c r="I47" i="55" s="1"/>
  <c r="I19" i="55" s="1"/>
  <c r="F101" i="52"/>
  <c r="M5" i="36"/>
  <c r="L53" i="48"/>
  <c r="L37" i="48"/>
  <c r="F11" i="48"/>
  <c r="I30" i="6" s="1"/>
  <c r="G16" i="52"/>
  <c r="F93" i="52"/>
  <c r="F103" i="52"/>
  <c r="H30" i="54"/>
  <c r="I30" i="54" s="1"/>
  <c r="I32" i="54" s="1"/>
  <c r="I47" i="54" s="1"/>
  <c r="I19" i="54" s="1"/>
  <c r="J15" i="52"/>
  <c r="I16" i="36"/>
  <c r="K16" i="36"/>
  <c r="J16" i="36"/>
  <c r="L16" i="36"/>
  <c r="M8" i="36" l="1"/>
  <c r="M9" i="36"/>
  <c r="G9" i="36" s="1"/>
  <c r="G5" i="36"/>
  <c r="F62" i="51"/>
  <c r="I17" i="48"/>
  <c r="I54" i="48" s="1"/>
  <c r="I10" i="52"/>
  <c r="I99" i="52" s="1"/>
  <c r="L60" i="48"/>
  <c r="F60" i="48" s="1"/>
  <c r="L100" i="48"/>
  <c r="L62" i="48"/>
  <c r="F37" i="48"/>
  <c r="J10" i="52"/>
  <c r="J99" i="52" s="1"/>
  <c r="J17" i="48"/>
  <c r="J54" i="48" s="1"/>
  <c r="M188" i="51"/>
  <c r="N179" i="51"/>
  <c r="G180" i="51"/>
  <c r="M181" i="51"/>
  <c r="N181" i="51"/>
  <c r="N178" i="51"/>
  <c r="L180" i="51"/>
  <c r="L187" i="51"/>
  <c r="I189" i="51"/>
  <c r="H181" i="51"/>
  <c r="N188" i="51"/>
  <c r="K177" i="51"/>
  <c r="H177" i="51"/>
  <c r="N187" i="51"/>
  <c r="L177" i="51"/>
  <c r="H178" i="51"/>
  <c r="J189" i="51"/>
  <c r="J186" i="51"/>
  <c r="M180" i="51"/>
  <c r="N189" i="51"/>
  <c r="K181" i="51"/>
  <c r="L190" i="51"/>
  <c r="J178" i="51"/>
  <c r="I181" i="51"/>
  <c r="L188" i="51"/>
  <c r="H190" i="51"/>
  <c r="L179" i="51"/>
  <c r="N190" i="51"/>
  <c r="I178" i="51"/>
  <c r="K178" i="51"/>
  <c r="L181" i="51"/>
  <c r="L189" i="51"/>
  <c r="M177" i="51"/>
  <c r="N186" i="51"/>
  <c r="G189" i="51"/>
  <c r="N177" i="51"/>
  <c r="I190" i="51"/>
  <c r="H179" i="51"/>
  <c r="H189" i="51"/>
  <c r="J187" i="51"/>
  <c r="L178" i="51"/>
  <c r="J179" i="51"/>
  <c r="K188" i="51"/>
  <c r="G178" i="51"/>
  <c r="G186" i="51"/>
  <c r="J181" i="51"/>
  <c r="K180" i="51"/>
  <c r="I186" i="51"/>
  <c r="J188" i="51"/>
  <c r="G187" i="51"/>
  <c r="M179" i="51"/>
  <c r="G181" i="51"/>
  <c r="M189" i="51"/>
  <c r="J177" i="51"/>
  <c r="G188" i="51"/>
  <c r="K189" i="51"/>
  <c r="H187" i="51"/>
  <c r="M178" i="51"/>
  <c r="I177" i="51"/>
  <c r="G179" i="51"/>
  <c r="M186" i="51"/>
  <c r="H188" i="51"/>
  <c r="K187" i="51"/>
  <c r="H186" i="51"/>
  <c r="N180" i="51"/>
  <c r="I180" i="51"/>
  <c r="M187" i="51"/>
  <c r="I188" i="51"/>
  <c r="K179" i="51"/>
  <c r="G177" i="51"/>
  <c r="L186" i="51"/>
  <c r="J180" i="51"/>
  <c r="J182" i="51" s="1"/>
  <c r="J183" i="51" s="1"/>
  <c r="G190" i="51"/>
  <c r="K186" i="51"/>
  <c r="J190" i="51"/>
  <c r="K190" i="51"/>
  <c r="I179" i="51"/>
  <c r="H180" i="51"/>
  <c r="I187" i="51"/>
  <c r="M190" i="51"/>
  <c r="H88" i="36"/>
  <c r="H10" i="52"/>
  <c r="H99" i="52" s="1"/>
  <c r="H17" i="48"/>
  <c r="H54" i="48" s="1"/>
  <c r="H30" i="1"/>
  <c r="I30" i="1" s="1"/>
  <c r="I32" i="1" s="1"/>
  <c r="I47" i="1" s="1"/>
  <c r="I19" i="1" s="1"/>
  <c r="F16" i="52"/>
  <c r="G15" i="52"/>
  <c r="L14" i="48"/>
  <c r="F53" i="48"/>
  <c r="K10" i="52"/>
  <c r="K99" i="52" s="1"/>
  <c r="K17" i="48"/>
  <c r="K54" i="48" s="1"/>
  <c r="F100" i="51"/>
  <c r="G116" i="51"/>
  <c r="G120" i="51" s="1"/>
  <c r="F120" i="51" s="1"/>
  <c r="H16" i="36"/>
  <c r="N191" i="51" l="1"/>
  <c r="N192" i="51" s="1"/>
  <c r="L191" i="51"/>
  <c r="L192" i="51" s="1"/>
  <c r="I182" i="51"/>
  <c r="I183" i="51" s="1"/>
  <c r="K182" i="51"/>
  <c r="K183" i="51" s="1"/>
  <c r="M191" i="51"/>
  <c r="M192" i="51" s="1"/>
  <c r="H182" i="51"/>
  <c r="H183" i="51" s="1"/>
  <c r="G117" i="51"/>
  <c r="F117" i="51" s="1"/>
  <c r="G191" i="51"/>
  <c r="G192" i="51" s="1"/>
  <c r="G79" i="51" s="1"/>
  <c r="G82" i="51" s="1"/>
  <c r="G103" i="51" s="1"/>
  <c r="J191" i="51"/>
  <c r="J192" i="51" s="1"/>
  <c r="N182" i="51"/>
  <c r="N183" i="51" s="1"/>
  <c r="H191" i="51"/>
  <c r="H192" i="51" s="1"/>
  <c r="H79" i="51" s="1"/>
  <c r="H80" i="51" s="1"/>
  <c r="K191" i="51"/>
  <c r="K192" i="51" s="1"/>
  <c r="G182" i="51"/>
  <c r="G183" i="51" s="1"/>
  <c r="M182" i="51"/>
  <c r="M183" i="51" s="1"/>
  <c r="F15" i="52"/>
  <c r="G17" i="48"/>
  <c r="G10" i="52"/>
  <c r="L79" i="48"/>
  <c r="L82" i="48" s="1"/>
  <c r="L103" i="48" s="1"/>
  <c r="F62" i="48"/>
  <c r="I20" i="48"/>
  <c r="I113" i="48"/>
  <c r="I74" i="48"/>
  <c r="I92" i="48" s="1"/>
  <c r="H82" i="51"/>
  <c r="H103" i="51" s="1"/>
  <c r="K74" i="48"/>
  <c r="K92" i="48" s="1"/>
  <c r="K113" i="48"/>
  <c r="K20" i="48"/>
  <c r="I191" i="51"/>
  <c r="I192" i="51" s="1"/>
  <c r="I79" i="51" s="1"/>
  <c r="J113" i="48"/>
  <c r="J20" i="48"/>
  <c r="J74" i="48"/>
  <c r="J92" i="48" s="1"/>
  <c r="L116" i="48"/>
  <c r="L120" i="48" s="1"/>
  <c r="F120" i="48" s="1"/>
  <c r="F100" i="48"/>
  <c r="H113" i="48"/>
  <c r="H20" i="48"/>
  <c r="H74" i="48"/>
  <c r="H92" i="48" s="1"/>
  <c r="L182" i="51"/>
  <c r="L183" i="51" s="1"/>
  <c r="M180" i="48"/>
  <c r="J190" i="48"/>
  <c r="K188" i="48"/>
  <c r="L186" i="48"/>
  <c r="J177" i="48"/>
  <c r="H187" i="48"/>
  <c r="H181" i="48"/>
  <c r="J181" i="48"/>
  <c r="G189" i="48"/>
  <c r="K189" i="48"/>
  <c r="G177" i="48"/>
  <c r="P178" i="48"/>
  <c r="P181" i="48"/>
  <c r="P180" i="48"/>
  <c r="H177" i="48"/>
  <c r="O190" i="48"/>
  <c r="P187" i="48"/>
  <c r="H190" i="48"/>
  <c r="I190" i="48"/>
  <c r="K181" i="48"/>
  <c r="L178" i="48"/>
  <c r="G186" i="48"/>
  <c r="H179" i="48"/>
  <c r="M179" i="48"/>
  <c r="I179" i="48"/>
  <c r="G180" i="48"/>
  <c r="O187" i="48"/>
  <c r="N181" i="48"/>
  <c r="H189" i="48"/>
  <c r="K190" i="48"/>
  <c r="K177" i="48"/>
  <c r="J188" i="48"/>
  <c r="L190" i="48"/>
  <c r="M181" i="48"/>
  <c r="M178" i="48"/>
  <c r="P186" i="48"/>
  <c r="O186" i="48"/>
  <c r="L181" i="48"/>
  <c r="G181" i="48"/>
  <c r="G179" i="48"/>
  <c r="M177" i="48"/>
  <c r="H178" i="48"/>
  <c r="G188" i="48"/>
  <c r="J186" i="48"/>
  <c r="O178" i="48"/>
  <c r="I181" i="48"/>
  <c r="I177" i="48"/>
  <c r="M187" i="48"/>
  <c r="M190" i="48"/>
  <c r="G190" i="48"/>
  <c r="M189" i="48"/>
  <c r="N190" i="48"/>
  <c r="M188" i="48"/>
  <c r="L180" i="48"/>
  <c r="P189" i="48"/>
  <c r="N187" i="48"/>
  <c r="N180" i="48"/>
  <c r="I178" i="48"/>
  <c r="K186" i="48"/>
  <c r="J189" i="48"/>
  <c r="M186" i="48"/>
  <c r="I186" i="48"/>
  <c r="L187" i="48"/>
  <c r="L191" i="48" s="1"/>
  <c r="L192" i="48" s="1"/>
  <c r="O189" i="48"/>
  <c r="P177" i="48"/>
  <c r="J179" i="48"/>
  <c r="K180" i="48"/>
  <c r="N189" i="48"/>
  <c r="L188" i="48"/>
  <c r="G178" i="48"/>
  <c r="O188" i="48"/>
  <c r="J187" i="48"/>
  <c r="L179" i="48"/>
  <c r="N186" i="48"/>
  <c r="J178" i="48"/>
  <c r="G187" i="48"/>
  <c r="O177" i="48"/>
  <c r="H188" i="48"/>
  <c r="H186" i="48"/>
  <c r="H191" i="48" s="1"/>
  <c r="H192" i="48" s="1"/>
  <c r="H79" i="48" s="1"/>
  <c r="I187" i="48"/>
  <c r="L177" i="48"/>
  <c r="L182" i="48" s="1"/>
  <c r="L183" i="48" s="1"/>
  <c r="N188" i="48"/>
  <c r="K187" i="48"/>
  <c r="L189" i="48"/>
  <c r="O180" i="48"/>
  <c r="O181" i="48"/>
  <c r="N177" i="48"/>
  <c r="N182" i="48" s="1"/>
  <c r="N183" i="48" s="1"/>
  <c r="I180" i="48"/>
  <c r="J180" i="48"/>
  <c r="P179" i="48"/>
  <c r="K178" i="48"/>
  <c r="P188" i="48"/>
  <c r="P190" i="48"/>
  <c r="N178" i="48"/>
  <c r="O179" i="48"/>
  <c r="K179" i="48"/>
  <c r="I188" i="48"/>
  <c r="H180" i="48"/>
  <c r="I189" i="48"/>
  <c r="N179" i="48"/>
  <c r="N191" i="48"/>
  <c r="N192" i="48" s="1"/>
  <c r="J191" i="48"/>
  <c r="J192" i="48" s="1"/>
  <c r="J79" i="48" s="1"/>
  <c r="G191" i="48"/>
  <c r="G192" i="48" s="1"/>
  <c r="G79" i="48" s="1"/>
  <c r="I191" i="48"/>
  <c r="I192" i="48" s="1"/>
  <c r="I79" i="48" s="1"/>
  <c r="M11" i="36"/>
  <c r="G8" i="36"/>
  <c r="O182" i="48" l="1"/>
  <c r="O183" i="48" s="1"/>
  <c r="H182" i="48"/>
  <c r="H183" i="48" s="1"/>
  <c r="G182" i="48"/>
  <c r="G183" i="48" s="1"/>
  <c r="P182" i="48"/>
  <c r="P183" i="48" s="1"/>
  <c r="M191" i="48"/>
  <c r="M192" i="48" s="1"/>
  <c r="P191" i="48"/>
  <c r="P192" i="48" s="1"/>
  <c r="K191" i="48"/>
  <c r="K192" i="48" s="1"/>
  <c r="K79" i="48" s="1"/>
  <c r="O191" i="48"/>
  <c r="O192" i="48" s="1"/>
  <c r="M182" i="48"/>
  <c r="M183" i="48" s="1"/>
  <c r="J182" i="48"/>
  <c r="J183" i="48" s="1"/>
  <c r="G80" i="51"/>
  <c r="L80" i="48"/>
  <c r="K182" i="48"/>
  <c r="K183" i="48" s="1"/>
  <c r="H82" i="48"/>
  <c r="H103" i="48" s="1"/>
  <c r="H80" i="48"/>
  <c r="M23" i="36"/>
  <c r="G11" i="36"/>
  <c r="K12" i="48"/>
  <c r="K133" i="48"/>
  <c r="I182" i="48"/>
  <c r="I183" i="48" s="1"/>
  <c r="L117" i="48"/>
  <c r="J12" i="48"/>
  <c r="J133" i="48"/>
  <c r="I12" i="48"/>
  <c r="I133" i="48"/>
  <c r="G54" i="48"/>
  <c r="I82" i="48"/>
  <c r="I103" i="48" s="1"/>
  <c r="I80" i="48"/>
  <c r="H133" i="48"/>
  <c r="H12" i="48"/>
  <c r="I80" i="51"/>
  <c r="F80" i="51" s="1"/>
  <c r="I82" i="51"/>
  <c r="I103" i="51" s="1"/>
  <c r="F103" i="51" s="1"/>
  <c r="K80" i="48"/>
  <c r="K82" i="48"/>
  <c r="K103" i="48" s="1"/>
  <c r="G82" i="48"/>
  <c r="G80" i="48"/>
  <c r="G93" i="51"/>
  <c r="G101" i="51"/>
  <c r="H101" i="51"/>
  <c r="H93" i="51"/>
  <c r="H16" i="51" s="1"/>
  <c r="J82" i="48"/>
  <c r="J103" i="48" s="1"/>
  <c r="J80" i="48"/>
  <c r="F10" i="52"/>
  <c r="G99" i="52"/>
  <c r="F99" i="52" s="1"/>
  <c r="F82" i="51" l="1"/>
  <c r="H15" i="51"/>
  <c r="H30" i="57"/>
  <c r="I30" i="57" s="1"/>
  <c r="I32" i="57" s="1"/>
  <c r="I47" i="57" s="1"/>
  <c r="I19" i="57" s="1"/>
  <c r="G16" i="51"/>
  <c r="I93" i="48"/>
  <c r="I16" i="48" s="1"/>
  <c r="I15" i="48" s="1"/>
  <c r="I10" i="48" s="1"/>
  <c r="I101" i="48"/>
  <c r="F117" i="48"/>
  <c r="I101" i="51"/>
  <c r="F101" i="51" s="1"/>
  <c r="I93" i="51"/>
  <c r="I16" i="51" s="1"/>
  <c r="M49" i="36"/>
  <c r="G23" i="36"/>
  <c r="J101" i="48"/>
  <c r="J93" i="48"/>
  <c r="J16" i="48" s="1"/>
  <c r="J15" i="48" s="1"/>
  <c r="J10" i="48" s="1"/>
  <c r="K101" i="48"/>
  <c r="K93" i="48"/>
  <c r="K16" i="48" s="1"/>
  <c r="K15" i="48" s="1"/>
  <c r="K10" i="48" s="1"/>
  <c r="F80" i="48"/>
  <c r="G101" i="48"/>
  <c r="H101" i="48"/>
  <c r="H93" i="48"/>
  <c r="H16" i="48" s="1"/>
  <c r="H15" i="48" s="1"/>
  <c r="H10" i="48" s="1"/>
  <c r="L206" i="52"/>
  <c r="J195" i="52"/>
  <c r="L195" i="52"/>
  <c r="H206" i="52"/>
  <c r="G207" i="52"/>
  <c r="J204" i="52"/>
  <c r="N195" i="52"/>
  <c r="I204" i="52"/>
  <c r="L205" i="52"/>
  <c r="H197" i="52"/>
  <c r="N196" i="52"/>
  <c r="L196" i="52"/>
  <c r="M198" i="52"/>
  <c r="J207" i="52"/>
  <c r="G197" i="52"/>
  <c r="K199" i="52"/>
  <c r="M206" i="52"/>
  <c r="H196" i="52"/>
  <c r="N199" i="52"/>
  <c r="M199" i="52"/>
  <c r="L207" i="52"/>
  <c r="M203" i="52"/>
  <c r="K197" i="52"/>
  <c r="N204" i="52"/>
  <c r="L197" i="52"/>
  <c r="H204" i="52"/>
  <c r="H205" i="52"/>
  <c r="K203" i="52"/>
  <c r="K205" i="52"/>
  <c r="K195" i="52"/>
  <c r="K198" i="52"/>
  <c r="L204" i="52"/>
  <c r="M204" i="52"/>
  <c r="G203" i="52"/>
  <c r="H199" i="52"/>
  <c r="M197" i="52"/>
  <c r="J199" i="52"/>
  <c r="N207" i="52"/>
  <c r="I199" i="52"/>
  <c r="L203" i="52"/>
  <c r="G204" i="52"/>
  <c r="M207" i="52"/>
  <c r="I205" i="52"/>
  <c r="M196" i="52"/>
  <c r="J205" i="52"/>
  <c r="K207" i="52"/>
  <c r="J206" i="52"/>
  <c r="M205" i="52"/>
  <c r="I195" i="52"/>
  <c r="H207" i="52"/>
  <c r="G206" i="52"/>
  <c r="H203" i="52"/>
  <c r="I196" i="52"/>
  <c r="G196" i="52"/>
  <c r="I207" i="52"/>
  <c r="J196" i="52"/>
  <c r="G199" i="52"/>
  <c r="G195" i="52"/>
  <c r="N197" i="52"/>
  <c r="N205" i="52"/>
  <c r="H198" i="52"/>
  <c r="I203" i="52"/>
  <c r="N206" i="52"/>
  <c r="H195" i="52"/>
  <c r="K204" i="52"/>
  <c r="L199" i="52"/>
  <c r="N203" i="52"/>
  <c r="K206" i="52"/>
  <c r="K208" i="52" s="1"/>
  <c r="K118" i="52" s="1"/>
  <c r="L198" i="52"/>
  <c r="I198" i="52"/>
  <c r="J197" i="52"/>
  <c r="M195" i="52"/>
  <c r="I197" i="52"/>
  <c r="J203" i="52"/>
  <c r="J208" i="52" s="1"/>
  <c r="J118" i="52" s="1"/>
  <c r="I206" i="52"/>
  <c r="N198" i="52"/>
  <c r="N200" i="52" s="1"/>
  <c r="G198" i="52"/>
  <c r="G205" i="52"/>
  <c r="J198" i="52"/>
  <c r="J200" i="52" s="1"/>
  <c r="K196" i="52"/>
  <c r="K200" i="52"/>
  <c r="G103" i="48"/>
  <c r="F82" i="48"/>
  <c r="G20" i="48"/>
  <c r="G113" i="48"/>
  <c r="G74" i="48"/>
  <c r="N16" i="36"/>
  <c r="H200" i="52" l="1"/>
  <c r="M208" i="52"/>
  <c r="L208" i="52"/>
  <c r="M200" i="52"/>
  <c r="I200" i="52"/>
  <c r="I116" i="52" s="1"/>
  <c r="L200" i="52"/>
  <c r="G200" i="52"/>
  <c r="H208" i="52"/>
  <c r="H118" i="52" s="1"/>
  <c r="H119" i="52" s="1"/>
  <c r="N208" i="52"/>
  <c r="I208" i="52"/>
  <c r="I118" i="52" s="1"/>
  <c r="I119" i="52" s="1"/>
  <c r="G208" i="52"/>
  <c r="G118" i="52" s="1"/>
  <c r="G119" i="52" s="1"/>
  <c r="H121" i="52"/>
  <c r="K99" i="48"/>
  <c r="I15" i="51"/>
  <c r="H30" i="58"/>
  <c r="I30" i="58" s="1"/>
  <c r="I32" i="58" s="1"/>
  <c r="I47" i="58" s="1"/>
  <c r="I19" i="58" s="1"/>
  <c r="F93" i="51"/>
  <c r="I120" i="52"/>
  <c r="F120" i="52" s="1"/>
  <c r="I117" i="52"/>
  <c r="I99" i="48"/>
  <c r="H30" i="56"/>
  <c r="I30" i="56" s="1"/>
  <c r="I32" i="56" s="1"/>
  <c r="I47" i="56" s="1"/>
  <c r="I19" i="56" s="1"/>
  <c r="F16" i="51"/>
  <c r="G15" i="51"/>
  <c r="G92" i="48"/>
  <c r="G93" i="48" s="1"/>
  <c r="J99" i="48"/>
  <c r="M88" i="36"/>
  <c r="G88" i="36" s="1"/>
  <c r="G49" i="36"/>
  <c r="J121" i="52"/>
  <c r="J119" i="52"/>
  <c r="G12" i="48"/>
  <c r="G133" i="48"/>
  <c r="F103" i="48"/>
  <c r="K121" i="52"/>
  <c r="K119" i="52"/>
  <c r="H99" i="48"/>
  <c r="M17" i="48"/>
  <c r="H10" i="51"/>
  <c r="H99" i="51" s="1"/>
  <c r="O16" i="36"/>
  <c r="M16" i="36"/>
  <c r="I121" i="52" l="1"/>
  <c r="G121" i="52"/>
  <c r="G24" i="52" s="1"/>
  <c r="G16" i="36"/>
  <c r="J134" i="52"/>
  <c r="J135" i="52" s="1"/>
  <c r="J24" i="52"/>
  <c r="J23" i="52" s="1"/>
  <c r="J22" i="52" s="1"/>
  <c r="J131" i="48" s="1"/>
  <c r="F15" i="51"/>
  <c r="L17" i="48"/>
  <c r="G10" i="51"/>
  <c r="I10" i="51"/>
  <c r="I99" i="51" s="1"/>
  <c r="N17" i="48"/>
  <c r="N54" i="48" s="1"/>
  <c r="M54" i="48"/>
  <c r="M101" i="48" s="1"/>
  <c r="K134" i="52"/>
  <c r="K135" i="52" s="1"/>
  <c r="K24" i="52"/>
  <c r="K23" i="52" s="1"/>
  <c r="K22" i="52" s="1"/>
  <c r="K131" i="48" s="1"/>
  <c r="F119" i="52"/>
  <c r="G134" i="52"/>
  <c r="H24" i="52"/>
  <c r="H23" i="52" s="1"/>
  <c r="H22" i="52" s="1"/>
  <c r="H131" i="48" s="1"/>
  <c r="H134" i="52"/>
  <c r="H135" i="52" s="1"/>
  <c r="G16" i="48"/>
  <c r="I24" i="52"/>
  <c r="I23" i="52" s="1"/>
  <c r="I22" i="52" s="1"/>
  <c r="I131" i="48" s="1"/>
  <c r="I134" i="52"/>
  <c r="I135" i="52" s="1"/>
  <c r="F117" i="52"/>
  <c r="F121" i="52" l="1"/>
  <c r="G15" i="48"/>
  <c r="I167" i="52"/>
  <c r="I170" i="52" s="1"/>
  <c r="I140" i="52"/>
  <c r="I145" i="52" s="1"/>
  <c r="G23" i="52"/>
  <c r="F24" i="52"/>
  <c r="K140" i="52"/>
  <c r="K145" i="52" s="1"/>
  <c r="K167" i="52"/>
  <c r="K170" i="52" s="1"/>
  <c r="N101" i="48"/>
  <c r="N113" i="48"/>
  <c r="N74" i="48"/>
  <c r="N92" i="48" s="1"/>
  <c r="N93" i="48" s="1"/>
  <c r="N16" i="48" s="1"/>
  <c r="N15" i="48" s="1"/>
  <c r="N10" i="48" s="1"/>
  <c r="N20" i="48"/>
  <c r="M118" i="48"/>
  <c r="M121" i="48" s="1"/>
  <c r="J25" i="48"/>
  <c r="J26" i="48"/>
  <c r="F134" i="52"/>
  <c r="G135" i="52"/>
  <c r="H140" i="52"/>
  <c r="H145" i="52" s="1"/>
  <c r="H167" i="52"/>
  <c r="H170" i="52" s="1"/>
  <c r="M113" i="48"/>
  <c r="M20" i="48"/>
  <c r="M74" i="48"/>
  <c r="M92" i="48" s="1"/>
  <c r="M93" i="48" s="1"/>
  <c r="M16" i="48" s="1"/>
  <c r="M15" i="48" s="1"/>
  <c r="M10" i="48" s="1"/>
  <c r="F10" i="51"/>
  <c r="G99" i="51"/>
  <c r="F99" i="51" s="1"/>
  <c r="J167" i="52"/>
  <c r="J170" i="52" s="1"/>
  <c r="J140" i="52"/>
  <c r="J145" i="52" s="1"/>
  <c r="I26" i="48"/>
  <c r="I25" i="48"/>
  <c r="H25" i="48"/>
  <c r="H26" i="48"/>
  <c r="K25" i="48"/>
  <c r="K26" i="48"/>
  <c r="L54" i="48"/>
  <c r="F17" i="48"/>
  <c r="J146" i="52" l="1"/>
  <c r="J147" i="52"/>
  <c r="L101" i="48"/>
  <c r="L20" i="48"/>
  <c r="F20" i="48" s="1"/>
  <c r="L74" i="48"/>
  <c r="L113" i="48"/>
  <c r="F54" i="48"/>
  <c r="I147" i="52"/>
  <c r="I146" i="52"/>
  <c r="N99" i="48"/>
  <c r="K146" i="52"/>
  <c r="K147" i="52"/>
  <c r="M99" i="48"/>
  <c r="H147" i="52"/>
  <c r="H146" i="52"/>
  <c r="G140" i="52"/>
  <c r="G167" i="52"/>
  <c r="F135" i="52"/>
  <c r="M119" i="48"/>
  <c r="N12" i="48"/>
  <c r="N133" i="48"/>
  <c r="M197" i="51"/>
  <c r="I199" i="51"/>
  <c r="K204" i="51"/>
  <c r="N207" i="51"/>
  <c r="G207" i="51"/>
  <c r="H196" i="51"/>
  <c r="G206" i="51"/>
  <c r="G204" i="51"/>
  <c r="H205" i="51"/>
  <c r="M196" i="51"/>
  <c r="K207" i="51"/>
  <c r="L206" i="51"/>
  <c r="L208" i="51" s="1"/>
  <c r="I196" i="51"/>
  <c r="H203" i="51"/>
  <c r="H208" i="51" s="1"/>
  <c r="H118" i="51" s="1"/>
  <c r="M199" i="51"/>
  <c r="I204" i="51"/>
  <c r="M205" i="51"/>
  <c r="I205" i="51"/>
  <c r="J197" i="51"/>
  <c r="J203" i="51"/>
  <c r="L203" i="51"/>
  <c r="L197" i="51"/>
  <c r="H199" i="51"/>
  <c r="G205" i="51"/>
  <c r="N195" i="51"/>
  <c r="K203" i="51"/>
  <c r="I207" i="51"/>
  <c r="L196" i="51"/>
  <c r="K197" i="51"/>
  <c r="N204" i="51"/>
  <c r="J204" i="51"/>
  <c r="J195" i="51"/>
  <c r="N196" i="51"/>
  <c r="K205" i="51"/>
  <c r="G196" i="51"/>
  <c r="N197" i="51"/>
  <c r="J207" i="51"/>
  <c r="L195" i="51"/>
  <c r="N205" i="51"/>
  <c r="J196" i="51"/>
  <c r="L207" i="51"/>
  <c r="K198" i="51"/>
  <c r="G195" i="51"/>
  <c r="L204" i="51"/>
  <c r="H206" i="51"/>
  <c r="G199" i="51"/>
  <c r="K196" i="51"/>
  <c r="H204" i="51"/>
  <c r="L205" i="51"/>
  <c r="I203" i="51"/>
  <c r="L198" i="51"/>
  <c r="I198" i="51"/>
  <c r="J199" i="51"/>
  <c r="M206" i="51"/>
  <c r="J206" i="51"/>
  <c r="L199" i="51"/>
  <c r="M203" i="51"/>
  <c r="N199" i="51"/>
  <c r="M195" i="51"/>
  <c r="I197" i="51"/>
  <c r="M198" i="51"/>
  <c r="J198" i="51"/>
  <c r="J200" i="51" s="1"/>
  <c r="G197" i="51"/>
  <c r="I195" i="51"/>
  <c r="I200" i="51" s="1"/>
  <c r="K195" i="51"/>
  <c r="M204" i="51"/>
  <c r="H197" i="51"/>
  <c r="H195" i="51"/>
  <c r="K199" i="51"/>
  <c r="J205" i="51"/>
  <c r="N206" i="51"/>
  <c r="G203" i="51"/>
  <c r="H198" i="51"/>
  <c r="N198" i="51"/>
  <c r="N200" i="51" s="1"/>
  <c r="G198" i="51"/>
  <c r="H207" i="51"/>
  <c r="I206" i="51"/>
  <c r="M207" i="51"/>
  <c r="N203" i="51"/>
  <c r="K206" i="51"/>
  <c r="K200" i="51"/>
  <c r="M133" i="48"/>
  <c r="M12" i="48"/>
  <c r="N118" i="48"/>
  <c r="N121" i="48" s="1"/>
  <c r="G22" i="52"/>
  <c r="F23" i="52"/>
  <c r="G10" i="48"/>
  <c r="M208" i="51" l="1"/>
  <c r="M200" i="51"/>
  <c r="K208" i="51"/>
  <c r="N208" i="51"/>
  <c r="G208" i="51"/>
  <c r="G118" i="51" s="1"/>
  <c r="G119" i="51" s="1"/>
  <c r="L200" i="51"/>
  <c r="I208" i="51"/>
  <c r="I118" i="51" s="1"/>
  <c r="I119" i="51" s="1"/>
  <c r="N119" i="48"/>
  <c r="N24" i="48" s="1"/>
  <c r="G200" i="51"/>
  <c r="H200" i="51"/>
  <c r="I121" i="51"/>
  <c r="G131" i="48"/>
  <c r="F22" i="52"/>
  <c r="L118" i="48"/>
  <c r="L121" i="48" s="1"/>
  <c r="F101" i="48"/>
  <c r="J208" i="51"/>
  <c r="F167" i="52"/>
  <c r="G170" i="52"/>
  <c r="F170" i="52" s="1"/>
  <c r="L133" i="48"/>
  <c r="F133" i="48" s="1"/>
  <c r="L12" i="48"/>
  <c r="F113" i="48"/>
  <c r="H119" i="51"/>
  <c r="H121" i="51"/>
  <c r="G121" i="51"/>
  <c r="G145" i="52"/>
  <c r="F140" i="52"/>
  <c r="F142" i="52" s="1"/>
  <c r="L92" i="48"/>
  <c r="L93" i="48" s="1"/>
  <c r="F74" i="48"/>
  <c r="F92" i="48" s="1"/>
  <c r="G99" i="48"/>
  <c r="M24" i="48"/>
  <c r="F121" i="51" l="1"/>
  <c r="H24" i="51"/>
  <c r="H23" i="51" s="1"/>
  <c r="H22" i="51" s="1"/>
  <c r="M131" i="48" s="1"/>
  <c r="M134" i="48" s="1"/>
  <c r="M135" i="48" s="1"/>
  <c r="M140" i="48" s="1"/>
  <c r="M145" i="48" s="1"/>
  <c r="L16" i="48"/>
  <c r="F93" i="48"/>
  <c r="G146" i="52"/>
  <c r="F146" i="52" s="1"/>
  <c r="G147" i="52"/>
  <c r="F147" i="52" s="1"/>
  <c r="F157" i="52" s="1"/>
  <c r="F145" i="52"/>
  <c r="H134" i="51"/>
  <c r="H135" i="51" s="1"/>
  <c r="L119" i="48"/>
  <c r="F119" i="51"/>
  <c r="G24" i="51"/>
  <c r="G134" i="51"/>
  <c r="G26" i="48"/>
  <c r="G25" i="48"/>
  <c r="I24" i="51"/>
  <c r="I23" i="51" s="1"/>
  <c r="I22" i="51" s="1"/>
  <c r="N131" i="48" s="1"/>
  <c r="I134" i="51"/>
  <c r="I135" i="51" s="1"/>
  <c r="G211" i="52"/>
  <c r="G214" i="52" s="1"/>
  <c r="E145" i="52" s="1"/>
  <c r="G213" i="52"/>
  <c r="G212" i="52"/>
  <c r="M25" i="48" l="1"/>
  <c r="M167" i="48"/>
  <c r="M170" i="48" s="1"/>
  <c r="M26" i="48"/>
  <c r="M23" i="48" s="1"/>
  <c r="M22" i="48" s="1"/>
  <c r="N17" i="36" s="1"/>
  <c r="N26" i="48"/>
  <c r="N25" i="48"/>
  <c r="N134" i="48"/>
  <c r="N135" i="48" s="1"/>
  <c r="F134" i="51"/>
  <c r="G135" i="51"/>
  <c r="H140" i="51"/>
  <c r="H145" i="51" s="1"/>
  <c r="H167" i="51"/>
  <c r="H170" i="51" s="1"/>
  <c r="F24" i="51"/>
  <c r="G23" i="51"/>
  <c r="L15" i="48"/>
  <c r="F16" i="48"/>
  <c r="E146" i="52"/>
  <c r="E156" i="52" s="1"/>
  <c r="F156" i="52" s="1"/>
  <c r="E155" i="52"/>
  <c r="F155" i="52" s="1"/>
  <c r="J157" i="52"/>
  <c r="H157" i="52"/>
  <c r="K157" i="52"/>
  <c r="I157" i="52"/>
  <c r="I167" i="51"/>
  <c r="I170" i="51" s="1"/>
  <c r="I140" i="51"/>
  <c r="I145" i="51" s="1"/>
  <c r="L24" i="48"/>
  <c r="M146" i="48"/>
  <c r="M147" i="48"/>
  <c r="N23" i="48" l="1"/>
  <c r="N22" i="48" s="1"/>
  <c r="G157" i="52"/>
  <c r="L10" i="48"/>
  <c r="F15" i="48"/>
  <c r="I35" i="6" s="1"/>
  <c r="H146" i="51"/>
  <c r="H147" i="51"/>
  <c r="H155" i="52"/>
  <c r="J155" i="52"/>
  <c r="I155" i="52"/>
  <c r="K155" i="52"/>
  <c r="G22" i="51"/>
  <c r="F23" i="51"/>
  <c r="G140" i="51"/>
  <c r="F135" i="51"/>
  <c r="G167" i="51"/>
  <c r="O17" i="36"/>
  <c r="I147" i="51"/>
  <c r="I146" i="51"/>
  <c r="H156" i="52"/>
  <c r="H29" i="52" s="1"/>
  <c r="K156" i="52"/>
  <c r="K29" i="52" s="1"/>
  <c r="J156" i="52"/>
  <c r="J29" i="52" s="1"/>
  <c r="I156" i="52"/>
  <c r="I29" i="52" s="1"/>
  <c r="N167" i="48"/>
  <c r="N170" i="48" s="1"/>
  <c r="N140" i="48"/>
  <c r="N145" i="48" s="1"/>
  <c r="G155" i="52" l="1"/>
  <c r="N147" i="48"/>
  <c r="N146" i="48"/>
  <c r="K166" i="52"/>
  <c r="K168" i="52" s="1"/>
  <c r="G156" i="52"/>
  <c r="G29" i="52" s="1"/>
  <c r="F29" i="52" s="1"/>
  <c r="G145" i="51"/>
  <c r="F140" i="51"/>
  <c r="F142" i="51" s="1"/>
  <c r="I166" i="52"/>
  <c r="I168" i="52" s="1"/>
  <c r="J166" i="52"/>
  <c r="J168" i="52" s="1"/>
  <c r="L99" i="48"/>
  <c r="F99" i="48" s="1"/>
  <c r="F10" i="48"/>
  <c r="G170" i="51"/>
  <c r="F170" i="51" s="1"/>
  <c r="F167" i="51"/>
  <c r="F22" i="51"/>
  <c r="L131" i="48"/>
  <c r="H166" i="52"/>
  <c r="H168" i="52" s="1"/>
  <c r="L25" i="48" l="1"/>
  <c r="F25" i="48" s="1"/>
  <c r="L26" i="48"/>
  <c r="F131" i="48"/>
  <c r="L134" i="48"/>
  <c r="L135" i="48" s="1"/>
  <c r="J174" i="52"/>
  <c r="J169" i="52"/>
  <c r="I174" i="52"/>
  <c r="I169" i="52"/>
  <c r="H174" i="52"/>
  <c r="H169" i="52"/>
  <c r="G213" i="51"/>
  <c r="G212" i="51"/>
  <c r="G211" i="51"/>
  <c r="G214" i="51" s="1"/>
  <c r="E145" i="51" s="1"/>
  <c r="K169" i="52"/>
  <c r="K174" i="52"/>
  <c r="K195" i="48"/>
  <c r="L199" i="48"/>
  <c r="J205" i="48"/>
  <c r="I195" i="48"/>
  <c r="O196" i="48"/>
  <c r="N207" i="48"/>
  <c r="G196" i="48"/>
  <c r="M199" i="48"/>
  <c r="N197" i="48"/>
  <c r="H195" i="48"/>
  <c r="L206" i="48"/>
  <c r="O197" i="48"/>
  <c r="O206" i="48"/>
  <c r="M206" i="48"/>
  <c r="N204" i="48"/>
  <c r="P196" i="48"/>
  <c r="N205" i="48"/>
  <c r="I197" i="48"/>
  <c r="M196" i="48"/>
  <c r="O207" i="48"/>
  <c r="M195" i="48"/>
  <c r="M200" i="48" s="1"/>
  <c r="P203" i="48"/>
  <c r="I198" i="48"/>
  <c r="M205" i="48"/>
  <c r="H203" i="48"/>
  <c r="J199" i="48"/>
  <c r="N203" i="48"/>
  <c r="L196" i="48"/>
  <c r="J207" i="48"/>
  <c r="I204" i="48"/>
  <c r="P199" i="48"/>
  <c r="M197" i="48"/>
  <c r="H199" i="48"/>
  <c r="I199" i="48"/>
  <c r="J203" i="48"/>
  <c r="N196" i="48"/>
  <c r="K207" i="48"/>
  <c r="L203" i="48"/>
  <c r="M207" i="48"/>
  <c r="G207" i="48"/>
  <c r="G204" i="48"/>
  <c r="I205" i="48"/>
  <c r="G206" i="48"/>
  <c r="K204" i="48"/>
  <c r="K199" i="48"/>
  <c r="J195" i="48"/>
  <c r="J206" i="48"/>
  <c r="J197" i="48"/>
  <c r="O195" i="48"/>
  <c r="P206" i="48"/>
  <c r="P198" i="48"/>
  <c r="P204" i="48"/>
  <c r="I196" i="48"/>
  <c r="L195" i="48"/>
  <c r="L200" i="48" s="1"/>
  <c r="G197" i="48"/>
  <c r="G203" i="48"/>
  <c r="O204" i="48"/>
  <c r="O198" i="48"/>
  <c r="M204" i="48"/>
  <c r="J196" i="48"/>
  <c r="G199" i="48"/>
  <c r="H198" i="48"/>
  <c r="K196" i="48"/>
  <c r="K197" i="48"/>
  <c r="P207" i="48"/>
  <c r="L205" i="48"/>
  <c r="N206" i="48"/>
  <c r="N195" i="48"/>
  <c r="N200" i="48" s="1"/>
  <c r="H205" i="48"/>
  <c r="J204" i="48"/>
  <c r="G205" i="48"/>
  <c r="O199" i="48"/>
  <c r="P195" i="48"/>
  <c r="K205" i="48"/>
  <c r="H196" i="48"/>
  <c r="H200" i="48" s="1"/>
  <c r="G195" i="48"/>
  <c r="G200" i="48" s="1"/>
  <c r="N199" i="48"/>
  <c r="I207" i="48"/>
  <c r="L198" i="48"/>
  <c r="M203" i="48"/>
  <c r="P197" i="48"/>
  <c r="H197" i="48"/>
  <c r="J198" i="48"/>
  <c r="H207" i="48"/>
  <c r="I203" i="48"/>
  <c r="H204" i="48"/>
  <c r="L204" i="48"/>
  <c r="L207" i="48"/>
  <c r="K206" i="48"/>
  <c r="L197" i="48"/>
  <c r="H206" i="48"/>
  <c r="G198" i="48"/>
  <c r="P200" i="48"/>
  <c r="O203" i="48"/>
  <c r="N198" i="48"/>
  <c r="K198" i="48"/>
  <c r="M198" i="48"/>
  <c r="K203" i="48"/>
  <c r="K208" i="48" s="1"/>
  <c r="K118" i="48" s="1"/>
  <c r="O205" i="48"/>
  <c r="I206" i="48"/>
  <c r="P205" i="48"/>
  <c r="N208" i="48"/>
  <c r="G146" i="51"/>
  <c r="F146" i="51" s="1"/>
  <c r="F145" i="51"/>
  <c r="G147" i="51"/>
  <c r="F147" i="51" s="1"/>
  <c r="F157" i="51" s="1"/>
  <c r="G166" i="52"/>
  <c r="K200" i="48" l="1"/>
  <c r="G208" i="48"/>
  <c r="G118" i="48" s="1"/>
  <c r="P208" i="48"/>
  <c r="J200" i="48"/>
  <c r="L208" i="48"/>
  <c r="O208" i="48"/>
  <c r="I200" i="48"/>
  <c r="O200" i="48"/>
  <c r="I208" i="48"/>
  <c r="I118" i="48" s="1"/>
  <c r="I119" i="48" s="1"/>
  <c r="K121" i="48"/>
  <c r="K119" i="48"/>
  <c r="G119" i="48"/>
  <c r="G121" i="48"/>
  <c r="L167" i="48"/>
  <c r="L170" i="48" s="1"/>
  <c r="L140" i="48"/>
  <c r="L145" i="48" s="1"/>
  <c r="I157" i="51"/>
  <c r="H157" i="51"/>
  <c r="G168" i="52"/>
  <c r="F166" i="52"/>
  <c r="M208" i="48"/>
  <c r="J208" i="48"/>
  <c r="J118" i="48" s="1"/>
  <c r="H208" i="48"/>
  <c r="H118" i="48" s="1"/>
  <c r="E155" i="51"/>
  <c r="F155" i="51" s="1"/>
  <c r="E146" i="51"/>
  <c r="E156" i="51" s="1"/>
  <c r="F156" i="51" s="1"/>
  <c r="L23" i="48"/>
  <c r="L22" i="48" s="1"/>
  <c r="F26" i="48"/>
  <c r="I121" i="48" l="1"/>
  <c r="I134" i="48" s="1"/>
  <c r="I135" i="48" s="1"/>
  <c r="G157" i="51"/>
  <c r="M17" i="36"/>
  <c r="H121" i="48"/>
  <c r="H119" i="48"/>
  <c r="K24" i="48"/>
  <c r="K23" i="48" s="1"/>
  <c r="K22" i="48" s="1"/>
  <c r="K134" i="48"/>
  <c r="K135" i="48" s="1"/>
  <c r="J121" i="48"/>
  <c r="J119" i="48"/>
  <c r="H156" i="51"/>
  <c r="H29" i="51" s="1"/>
  <c r="I156" i="51"/>
  <c r="I29" i="51" s="1"/>
  <c r="I24" i="48"/>
  <c r="I23" i="48" s="1"/>
  <c r="I22" i="48" s="1"/>
  <c r="H155" i="51"/>
  <c r="I155" i="51"/>
  <c r="G169" i="52"/>
  <c r="G174" i="52"/>
  <c r="F168" i="52"/>
  <c r="L146" i="48"/>
  <c r="L147" i="48"/>
  <c r="F119" i="48"/>
  <c r="G24" i="48"/>
  <c r="G134" i="48"/>
  <c r="H166" i="51" l="1"/>
  <c r="H168" i="51" s="1"/>
  <c r="J134" i="48"/>
  <c r="J135" i="48" s="1"/>
  <c r="J140" i="48" s="1"/>
  <c r="J145" i="48" s="1"/>
  <c r="G155" i="51"/>
  <c r="G135" i="48"/>
  <c r="G23" i="48"/>
  <c r="H169" i="51"/>
  <c r="H174" i="51"/>
  <c r="F121" i="48"/>
  <c r="J24" i="48"/>
  <c r="J23" i="48" s="1"/>
  <c r="J22" i="48" s="1"/>
  <c r="H24" i="48"/>
  <c r="H23" i="48" s="1"/>
  <c r="H22" i="48" s="1"/>
  <c r="H134" i="48"/>
  <c r="H135" i="48" s="1"/>
  <c r="J167" i="48"/>
  <c r="J170" i="48" s="1"/>
  <c r="E172" i="52"/>
  <c r="J17" i="36"/>
  <c r="K167" i="48"/>
  <c r="K170" i="48" s="1"/>
  <c r="K140" i="48"/>
  <c r="K145" i="48" s="1"/>
  <c r="I166" i="51"/>
  <c r="I168" i="51" s="1"/>
  <c r="I167" i="48"/>
  <c r="I170" i="48" s="1"/>
  <c r="I140" i="48"/>
  <c r="I145" i="48" s="1"/>
  <c r="G156" i="51"/>
  <c r="G29" i="51" s="1"/>
  <c r="F29" i="51" s="1"/>
  <c r="L17" i="36"/>
  <c r="I174" i="51" l="1"/>
  <c r="I169" i="51"/>
  <c r="I147" i="48"/>
  <c r="I146" i="48"/>
  <c r="K17" i="36"/>
  <c r="G22" i="48"/>
  <c r="F23" i="48"/>
  <c r="K147" i="48"/>
  <c r="K146" i="48"/>
  <c r="G166" i="51"/>
  <c r="F24" i="48"/>
  <c r="E173" i="52"/>
  <c r="F173" i="52" s="1"/>
  <c r="H140" i="48"/>
  <c r="H145" i="48" s="1"/>
  <c r="H167" i="48"/>
  <c r="H170" i="48" s="1"/>
  <c r="G167" i="48"/>
  <c r="F135" i="48"/>
  <c r="G140" i="48"/>
  <c r="J147" i="48"/>
  <c r="J146" i="48"/>
  <c r="I17" i="36"/>
  <c r="F134" i="48"/>
  <c r="F140" i="48" l="1"/>
  <c r="F142" i="48" s="1"/>
  <c r="G145" i="48"/>
  <c r="E174" i="52"/>
  <c r="F22" i="48"/>
  <c r="I36" i="6" s="1"/>
  <c r="H17" i="36"/>
  <c r="F167" i="48"/>
  <c r="G170" i="48"/>
  <c r="F170" i="48" s="1"/>
  <c r="H147" i="48"/>
  <c r="H146" i="48"/>
  <c r="G168" i="51"/>
  <c r="F166" i="51"/>
  <c r="F168" i="51" l="1"/>
  <c r="G169" i="51"/>
  <c r="G174" i="51"/>
  <c r="N173" i="52"/>
  <c r="N171" i="52" s="1"/>
  <c r="N172" i="52" s="1"/>
  <c r="M173" i="52"/>
  <c r="M171" i="52" s="1"/>
  <c r="M172" i="52" s="1"/>
  <c r="L173" i="52"/>
  <c r="L171" i="52" s="1"/>
  <c r="L172" i="52" s="1"/>
  <c r="K173" i="52"/>
  <c r="K171" i="52" s="1"/>
  <c r="K172" i="52" s="1"/>
  <c r="K28" i="52" s="1"/>
  <c r="K27" i="52" s="1"/>
  <c r="K21" i="52" s="1"/>
  <c r="K32" i="52" s="1"/>
  <c r="J173" i="52"/>
  <c r="J171" i="52" s="1"/>
  <c r="J172" i="52" s="1"/>
  <c r="J28" i="52" s="1"/>
  <c r="J27" i="52" s="1"/>
  <c r="J21" i="52" s="1"/>
  <c r="J32" i="52" s="1"/>
  <c r="H173" i="52"/>
  <c r="H171" i="52" s="1"/>
  <c r="H172" i="52" s="1"/>
  <c r="H28" i="52" s="1"/>
  <c r="H27" i="52" s="1"/>
  <c r="H21" i="52" s="1"/>
  <c r="H32" i="52" s="1"/>
  <c r="I173" i="52"/>
  <c r="I171" i="52" s="1"/>
  <c r="I172" i="52" s="1"/>
  <c r="I28" i="52" s="1"/>
  <c r="I27" i="52" s="1"/>
  <c r="I21" i="52" s="1"/>
  <c r="I32" i="52" s="1"/>
  <c r="F174" i="52"/>
  <c r="G146" i="48"/>
  <c r="F146" i="48" s="1"/>
  <c r="F145" i="48"/>
  <c r="G147" i="48"/>
  <c r="F147" i="48" s="1"/>
  <c r="F157" i="48" s="1"/>
  <c r="G17" i="36"/>
  <c r="G213" i="48"/>
  <c r="G212" i="48"/>
  <c r="G211" i="48"/>
  <c r="G214" i="48" s="1"/>
  <c r="E145" i="48" s="1"/>
  <c r="G173" i="52" l="1"/>
  <c r="G171" i="52" s="1"/>
  <c r="F171" i="52" s="1"/>
  <c r="M157" i="48"/>
  <c r="N157" i="48"/>
  <c r="L157" i="48"/>
  <c r="I157" i="48"/>
  <c r="J157" i="48"/>
  <c r="K157" i="48"/>
  <c r="E172" i="51"/>
  <c r="E155" i="48"/>
  <c r="F155" i="48" s="1"/>
  <c r="E146" i="48"/>
  <c r="E156" i="48" s="1"/>
  <c r="F156" i="48" s="1"/>
  <c r="H157" i="48"/>
  <c r="G172" i="52" l="1"/>
  <c r="G28" i="52" s="1"/>
  <c r="G27" i="52" s="1"/>
  <c r="G157" i="48"/>
  <c r="M155" i="48"/>
  <c r="N155" i="48"/>
  <c r="L155" i="48"/>
  <c r="I155" i="48"/>
  <c r="K155" i="48"/>
  <c r="J155" i="48"/>
  <c r="H155" i="48"/>
  <c r="E173" i="51"/>
  <c r="F173" i="51" s="1"/>
  <c r="M156" i="48"/>
  <c r="M29" i="48" s="1"/>
  <c r="N156" i="48"/>
  <c r="N29" i="48" s="1"/>
  <c r="L156" i="48"/>
  <c r="L29" i="48" s="1"/>
  <c r="J156" i="48"/>
  <c r="J29" i="48" s="1"/>
  <c r="I156" i="48"/>
  <c r="I29" i="48" s="1"/>
  <c r="K156" i="48"/>
  <c r="K29" i="48" s="1"/>
  <c r="H156" i="48"/>
  <c r="H29" i="48" s="1"/>
  <c r="F28" i="52" l="1"/>
  <c r="H166" i="48"/>
  <c r="H168" i="48" s="1"/>
  <c r="L166" i="48"/>
  <c r="L168" i="48" s="1"/>
  <c r="F27" i="52"/>
  <c r="G21" i="52"/>
  <c r="J166" i="48"/>
  <c r="J168" i="48" s="1"/>
  <c r="N166" i="48"/>
  <c r="N168" i="48" s="1"/>
  <c r="E174" i="51"/>
  <c r="K166" i="48"/>
  <c r="K168" i="48" s="1"/>
  <c r="M166" i="48"/>
  <c r="M168" i="48" s="1"/>
  <c r="G156" i="48"/>
  <c r="G29" i="48" s="1"/>
  <c r="F29" i="48" s="1"/>
  <c r="I166" i="48"/>
  <c r="I168" i="48" s="1"/>
  <c r="G155" i="48"/>
  <c r="G166" i="48" s="1"/>
  <c r="F166" i="48" l="1"/>
  <c r="G168" i="48"/>
  <c r="K169" i="48"/>
  <c r="K174" i="48"/>
  <c r="F21" i="52"/>
  <c r="G32" i="52"/>
  <c r="F32" i="52" s="1"/>
  <c r="L173" i="51"/>
  <c r="L171" i="51" s="1"/>
  <c r="L172" i="51" s="1"/>
  <c r="K173" i="51"/>
  <c r="K171" i="51" s="1"/>
  <c r="K172" i="51" s="1"/>
  <c r="J173" i="51"/>
  <c r="J171" i="51" s="1"/>
  <c r="J172" i="51" s="1"/>
  <c r="N173" i="51"/>
  <c r="N171" i="51" s="1"/>
  <c r="N172" i="51" s="1"/>
  <c r="M173" i="51"/>
  <c r="M171" i="51" s="1"/>
  <c r="M172" i="51" s="1"/>
  <c r="H173" i="51"/>
  <c r="H171" i="51" s="1"/>
  <c r="H172" i="51" s="1"/>
  <c r="H28" i="51" s="1"/>
  <c r="H27" i="51" s="1"/>
  <c r="H21" i="51" s="1"/>
  <c r="H32" i="51" s="1"/>
  <c r="I173" i="51"/>
  <c r="I171" i="51" s="1"/>
  <c r="I172" i="51" s="1"/>
  <c r="I28" i="51" s="1"/>
  <c r="I27" i="51" s="1"/>
  <c r="I21" i="51" s="1"/>
  <c r="I32" i="51" s="1"/>
  <c r="F174" i="51"/>
  <c r="N174" i="48"/>
  <c r="N169" i="48"/>
  <c r="L169" i="48"/>
  <c r="L174" i="48"/>
  <c r="I174" i="48"/>
  <c r="I169" i="48"/>
  <c r="M169" i="48"/>
  <c r="M174" i="48"/>
  <c r="J174" i="48"/>
  <c r="J169" i="48"/>
  <c r="H169" i="48"/>
  <c r="H174" i="48"/>
  <c r="G173" i="51" l="1"/>
  <c r="G171" i="51" s="1"/>
  <c r="F171" i="51" s="1"/>
  <c r="F168" i="48"/>
  <c r="G174" i="48"/>
  <c r="G169" i="48"/>
  <c r="G172" i="51" l="1"/>
  <c r="G28" i="51" s="1"/>
  <c r="G27" i="51" s="1"/>
  <c r="E172" i="48"/>
  <c r="F28" i="51" l="1"/>
  <c r="E173" i="48"/>
  <c r="F173" i="48" s="1"/>
  <c r="F27" i="51"/>
  <c r="G21" i="51"/>
  <c r="F21" i="51" l="1"/>
  <c r="G32" i="51"/>
  <c r="F32" i="51" s="1"/>
  <c r="E174" i="48"/>
  <c r="P173" i="48" l="1"/>
  <c r="P171" i="48" s="1"/>
  <c r="P172" i="48" s="1"/>
  <c r="O173" i="48"/>
  <c r="O171" i="48" s="1"/>
  <c r="O172" i="48" s="1"/>
  <c r="J173" i="48"/>
  <c r="J171" i="48" s="1"/>
  <c r="J172" i="48" s="1"/>
  <c r="J28" i="48" s="1"/>
  <c r="J27" i="48" s="1"/>
  <c r="H173" i="48"/>
  <c r="H171" i="48" s="1"/>
  <c r="H172" i="48" s="1"/>
  <c r="H28" i="48" s="1"/>
  <c r="H27" i="48" s="1"/>
  <c r="M173" i="48"/>
  <c r="M171" i="48" s="1"/>
  <c r="M172" i="48" s="1"/>
  <c r="M28" i="48" s="1"/>
  <c r="M27" i="48" s="1"/>
  <c r="I173" i="48"/>
  <c r="I171" i="48" s="1"/>
  <c r="I172" i="48" s="1"/>
  <c r="I28" i="48" s="1"/>
  <c r="I27" i="48" s="1"/>
  <c r="N173" i="48"/>
  <c r="N171" i="48" s="1"/>
  <c r="N172" i="48" s="1"/>
  <c r="N28" i="48" s="1"/>
  <c r="N27" i="48" s="1"/>
  <c r="L173" i="48"/>
  <c r="L171" i="48" s="1"/>
  <c r="L172" i="48" s="1"/>
  <c r="L28" i="48" s="1"/>
  <c r="L27" i="48" s="1"/>
  <c r="K173" i="48"/>
  <c r="K171" i="48" s="1"/>
  <c r="K172" i="48" s="1"/>
  <c r="K28" i="48" s="1"/>
  <c r="K27" i="48" s="1"/>
  <c r="F174" i="48"/>
  <c r="G173" i="48" l="1"/>
  <c r="G171" i="48" s="1"/>
  <c r="G172" i="48" s="1"/>
  <c r="G28" i="48" s="1"/>
  <c r="M18" i="36"/>
  <c r="M15" i="36" s="1"/>
  <c r="L21" i="48"/>
  <c r="I18" i="36"/>
  <c r="I15" i="36" s="1"/>
  <c r="H21" i="48"/>
  <c r="O18" i="36"/>
  <c r="O15" i="36" s="1"/>
  <c r="N21" i="48"/>
  <c r="K18" i="36"/>
  <c r="K15" i="36" s="1"/>
  <c r="J21" i="48"/>
  <c r="J18" i="36"/>
  <c r="J15" i="36" s="1"/>
  <c r="I21" i="48"/>
  <c r="L18" i="36"/>
  <c r="L15" i="36" s="1"/>
  <c r="K21" i="48"/>
  <c r="N18" i="36"/>
  <c r="N15" i="36" s="1"/>
  <c r="M21" i="48"/>
  <c r="F171" i="48" l="1"/>
  <c r="L116" i="36"/>
  <c r="L315" i="36"/>
  <c r="L92" i="36"/>
  <c r="L318" i="36"/>
  <c r="L98" i="36"/>
  <c r="L321" i="36"/>
  <c r="L323" i="36" s="1"/>
  <c r="L102" i="36"/>
  <c r="L107" i="36"/>
  <c r="L314" i="36"/>
  <c r="L313" i="36"/>
  <c r="L319" i="36"/>
  <c r="L96" i="36"/>
  <c r="L94" i="36"/>
  <c r="L19" i="36"/>
  <c r="L110" i="36"/>
  <c r="L114" i="36"/>
  <c r="L113" i="36"/>
  <c r="L97" i="36"/>
  <c r="L93" i="36"/>
  <c r="L108" i="36"/>
  <c r="L99" i="36"/>
  <c r="L115" i="36"/>
  <c r="L311" i="36"/>
  <c r="L101" i="36"/>
  <c r="L100" i="36"/>
  <c r="L104" i="36"/>
  <c r="L312" i="36"/>
  <c r="L103" i="36"/>
  <c r="L112" i="36"/>
  <c r="L109" i="36"/>
  <c r="L95" i="36"/>
  <c r="L106" i="36"/>
  <c r="L111" i="36"/>
  <c r="L105" i="36"/>
  <c r="L117" i="36"/>
  <c r="I20" i="57"/>
  <c r="I22" i="57" s="1"/>
  <c r="I24" i="57" s="1"/>
  <c r="I87" i="6" s="1"/>
  <c r="M32" i="48"/>
  <c r="I20" i="53"/>
  <c r="I22" i="53" s="1"/>
  <c r="I24" i="53" s="1"/>
  <c r="I78" i="6" s="1"/>
  <c r="I32" i="48"/>
  <c r="I20" i="54"/>
  <c r="I22" i="54" s="1"/>
  <c r="I24" i="54" s="1"/>
  <c r="I79" i="6" s="1"/>
  <c r="J32" i="48"/>
  <c r="I20" i="47"/>
  <c r="I22" i="47" s="1"/>
  <c r="I24" i="47" s="1"/>
  <c r="I77" i="6" s="1"/>
  <c r="H32" i="48"/>
  <c r="N117" i="36"/>
  <c r="N112" i="36"/>
  <c r="N19" i="36"/>
  <c r="N321" i="36"/>
  <c r="N323" i="36" s="1"/>
  <c r="N319" i="36"/>
  <c r="N102" i="36"/>
  <c r="N96" i="36"/>
  <c r="N114" i="36"/>
  <c r="N109" i="36"/>
  <c r="N98" i="36"/>
  <c r="N106" i="36"/>
  <c r="N99" i="36"/>
  <c r="N97" i="36"/>
  <c r="N116" i="36"/>
  <c r="N105" i="36"/>
  <c r="N100" i="36"/>
  <c r="N92" i="36"/>
  <c r="N108" i="36"/>
  <c r="N101" i="36"/>
  <c r="N107" i="36"/>
  <c r="N318" i="36"/>
  <c r="N311" i="36"/>
  <c r="N95" i="36"/>
  <c r="N313" i="36"/>
  <c r="N314" i="36"/>
  <c r="N110" i="36"/>
  <c r="N111" i="36"/>
  <c r="N94" i="36"/>
  <c r="N312" i="36"/>
  <c r="N113" i="36"/>
  <c r="N93" i="36"/>
  <c r="N115" i="36"/>
  <c r="N104" i="36"/>
  <c r="N315" i="36"/>
  <c r="N103" i="36"/>
  <c r="K107" i="36"/>
  <c r="K312" i="36"/>
  <c r="H54" i="38" s="1"/>
  <c r="K111" i="36"/>
  <c r="K94" i="36"/>
  <c r="K92" i="36"/>
  <c r="K113" i="36"/>
  <c r="K313" i="36"/>
  <c r="K99" i="36"/>
  <c r="K97" i="36"/>
  <c r="K19" i="36"/>
  <c r="K104" i="36"/>
  <c r="K116" i="36"/>
  <c r="K110" i="36"/>
  <c r="K318" i="36"/>
  <c r="K314" i="36"/>
  <c r="K101" i="36"/>
  <c r="K115" i="36"/>
  <c r="K98" i="36"/>
  <c r="K117" i="36"/>
  <c r="K112" i="36"/>
  <c r="K102" i="36"/>
  <c r="K319" i="36"/>
  <c r="K315" i="36"/>
  <c r="K109" i="36"/>
  <c r="K108" i="36"/>
  <c r="K114" i="36"/>
  <c r="K93" i="36"/>
  <c r="K106" i="36"/>
  <c r="K103" i="36"/>
  <c r="K96" i="36"/>
  <c r="K311" i="36"/>
  <c r="K100" i="36"/>
  <c r="K105" i="36"/>
  <c r="K321" i="36"/>
  <c r="K323" i="36" s="1"/>
  <c r="K95" i="36"/>
  <c r="I114" i="36"/>
  <c r="I98" i="36"/>
  <c r="I104" i="36"/>
  <c r="I117" i="36"/>
  <c r="I318" i="36"/>
  <c r="I99" i="36"/>
  <c r="I115" i="36"/>
  <c r="I100" i="36"/>
  <c r="I313" i="36"/>
  <c r="I95" i="36"/>
  <c r="I102" i="36"/>
  <c r="I93" i="36"/>
  <c r="I116" i="36"/>
  <c r="I112" i="36"/>
  <c r="I101" i="36"/>
  <c r="I319" i="36"/>
  <c r="I113" i="36"/>
  <c r="I314" i="36"/>
  <c r="I106" i="36"/>
  <c r="I97" i="36"/>
  <c r="I312" i="36"/>
  <c r="I96" i="36"/>
  <c r="I108" i="36"/>
  <c r="I105" i="36"/>
  <c r="I107" i="36"/>
  <c r="I19" i="36"/>
  <c r="I311" i="36"/>
  <c r="I321" i="36"/>
  <c r="I323" i="36" s="1"/>
  <c r="I111" i="36"/>
  <c r="I109" i="36"/>
  <c r="I103" i="36"/>
  <c r="I94" i="36"/>
  <c r="I110" i="36"/>
  <c r="I315" i="36"/>
  <c r="I92" i="36"/>
  <c r="J318" i="36"/>
  <c r="J110" i="36"/>
  <c r="J314" i="36"/>
  <c r="J98" i="36"/>
  <c r="J116" i="36"/>
  <c r="J108" i="36"/>
  <c r="J112" i="36"/>
  <c r="J101" i="36"/>
  <c r="J319" i="36"/>
  <c r="J117" i="36"/>
  <c r="J312" i="36"/>
  <c r="H17" i="38" s="1"/>
  <c r="J100" i="36"/>
  <c r="J114" i="36"/>
  <c r="J96" i="36"/>
  <c r="J313" i="36"/>
  <c r="J97" i="36"/>
  <c r="J111" i="36"/>
  <c r="J315" i="36"/>
  <c r="J311" i="36"/>
  <c r="J107" i="36"/>
  <c r="J93" i="36"/>
  <c r="J92" i="36"/>
  <c r="J103" i="36"/>
  <c r="J19" i="36"/>
  <c r="J113" i="36"/>
  <c r="J321" i="36"/>
  <c r="J323" i="36" s="1"/>
  <c r="J102" i="36"/>
  <c r="J95" i="36"/>
  <c r="J99" i="36"/>
  <c r="J109" i="36"/>
  <c r="J115" i="36"/>
  <c r="J104" i="36"/>
  <c r="J105" i="36"/>
  <c r="J106" i="36"/>
  <c r="J94" i="36"/>
  <c r="I20" i="55"/>
  <c r="I22" i="55" s="1"/>
  <c r="I24" i="55" s="1"/>
  <c r="I80" i="6" s="1"/>
  <c r="K32" i="48"/>
  <c r="I20" i="58"/>
  <c r="I22" i="58" s="1"/>
  <c r="I24" i="58" s="1"/>
  <c r="I88" i="6" s="1"/>
  <c r="N32" i="48"/>
  <c r="I20" i="56"/>
  <c r="I22" i="56" s="1"/>
  <c r="I24" i="56" s="1"/>
  <c r="I86" i="6" s="1"/>
  <c r="L32" i="48"/>
  <c r="F28" i="48"/>
  <c r="G27" i="48"/>
  <c r="O108" i="36"/>
  <c r="O105" i="36"/>
  <c r="O321" i="36"/>
  <c r="O323" i="36" s="1"/>
  <c r="O319" i="36"/>
  <c r="O115" i="36"/>
  <c r="O313" i="36"/>
  <c r="O117" i="36"/>
  <c r="O106" i="36"/>
  <c r="O315" i="36"/>
  <c r="O98" i="36"/>
  <c r="O19" i="36"/>
  <c r="O314" i="36"/>
  <c r="O311" i="36"/>
  <c r="O104" i="36"/>
  <c r="O112" i="36"/>
  <c r="O97" i="36"/>
  <c r="O96" i="36"/>
  <c r="O99" i="36"/>
  <c r="O114" i="36"/>
  <c r="O94" i="36"/>
  <c r="O107" i="36"/>
  <c r="O103" i="36"/>
  <c r="O95" i="36"/>
  <c r="O93" i="36"/>
  <c r="O110" i="36"/>
  <c r="O318" i="36"/>
  <c r="O312" i="36"/>
  <c r="H60" i="38" s="1"/>
  <c r="O101" i="36"/>
  <c r="O109" i="36"/>
  <c r="O116" i="36"/>
  <c r="O102" i="36"/>
  <c r="O111" i="36"/>
  <c r="O92" i="36"/>
  <c r="O100" i="36"/>
  <c r="O113" i="36"/>
  <c r="M19" i="36"/>
  <c r="M103" i="36"/>
  <c r="M104" i="36"/>
  <c r="M106" i="36"/>
  <c r="M315" i="36"/>
  <c r="M95" i="36"/>
  <c r="M93" i="36"/>
  <c r="M108" i="36"/>
  <c r="M105" i="36"/>
  <c r="M312" i="36"/>
  <c r="H31" i="38" s="1"/>
  <c r="M96" i="36"/>
  <c r="M311" i="36"/>
  <c r="M116" i="36"/>
  <c r="M117" i="36"/>
  <c r="M100" i="36"/>
  <c r="M101" i="36"/>
  <c r="M321" i="36"/>
  <c r="M323" i="36" s="1"/>
  <c r="M109" i="36"/>
  <c r="M319" i="36"/>
  <c r="M97" i="36"/>
  <c r="M114" i="36"/>
  <c r="M107" i="36"/>
  <c r="M99" i="36"/>
  <c r="M102" i="36"/>
  <c r="M112" i="36"/>
  <c r="M94" i="36"/>
  <c r="M318" i="36"/>
  <c r="M113" i="36"/>
  <c r="M115" i="36"/>
  <c r="M313" i="36"/>
  <c r="M110" i="36"/>
  <c r="M314" i="36"/>
  <c r="M111" i="36"/>
  <c r="M98" i="36"/>
  <c r="M92" i="36"/>
  <c r="N320" i="36" l="1"/>
  <c r="H36" i="38" s="1"/>
  <c r="M320" i="36"/>
  <c r="H32" i="38" s="1"/>
  <c r="J317" i="36"/>
  <c r="I89" i="6"/>
  <c r="O317" i="36"/>
  <c r="I317" i="36"/>
  <c r="K317" i="36"/>
  <c r="O274" i="36"/>
  <c r="H59" i="38"/>
  <c r="I90" i="6"/>
  <c r="I91" i="6" s="1"/>
  <c r="I58" i="6"/>
  <c r="I59" i="6" s="1"/>
  <c r="I60" i="6" s="1"/>
  <c r="I274" i="36"/>
  <c r="H12" i="38"/>
  <c r="K320" i="36"/>
  <c r="H55" i="38" s="1"/>
  <c r="H35" i="38"/>
  <c r="H37" i="38" s="1"/>
  <c r="N274" i="36"/>
  <c r="L320" i="36"/>
  <c r="H18" i="36"/>
  <c r="F27" i="48"/>
  <c r="I37" i="6" s="1"/>
  <c r="I39" i="6" s="1"/>
  <c r="I43" i="6" s="1"/>
  <c r="I45" i="6" s="1"/>
  <c r="I47" i="6" s="1"/>
  <c r="G21" i="48"/>
  <c r="K274" i="36"/>
  <c r="H53" i="38"/>
  <c r="L317" i="36"/>
  <c r="H77" i="38" s="1"/>
  <c r="L274" i="36"/>
  <c r="H76" i="38"/>
  <c r="J274" i="36"/>
  <c r="H16" i="38"/>
  <c r="I320" i="36"/>
  <c r="H13" i="38" s="1"/>
  <c r="M317" i="36"/>
  <c r="H30" i="38"/>
  <c r="M274" i="36"/>
  <c r="O320" i="36"/>
  <c r="H61" i="38" s="1"/>
  <c r="J320" i="36"/>
  <c r="H18" i="38" s="1"/>
  <c r="N317" i="36"/>
  <c r="H56" i="38" l="1"/>
  <c r="H33" i="38"/>
  <c r="M324" i="36"/>
  <c r="M325" i="36" s="1"/>
  <c r="H78" i="38"/>
  <c r="K324" i="36"/>
  <c r="K20" i="36" s="1"/>
  <c r="L324" i="36"/>
  <c r="L325" i="36" s="1"/>
  <c r="H19" i="38"/>
  <c r="J324" i="36"/>
  <c r="J325" i="36" s="1"/>
  <c r="H14" i="38"/>
  <c r="I20" i="1"/>
  <c r="I22" i="1" s="1"/>
  <c r="I24" i="1" s="1"/>
  <c r="I76" i="6" s="1"/>
  <c r="I81" i="6" s="1"/>
  <c r="F21" i="48"/>
  <c r="G32" i="48"/>
  <c r="F32" i="48" s="1"/>
  <c r="I324" i="36"/>
  <c r="H62" i="38"/>
  <c r="G18" i="36"/>
  <c r="H15" i="36"/>
  <c r="N324" i="36"/>
  <c r="O324" i="36"/>
  <c r="M20" i="36" l="1"/>
  <c r="J20" i="36"/>
  <c r="K325" i="36"/>
  <c r="L20" i="36"/>
  <c r="N325" i="36"/>
  <c r="N20" i="36"/>
  <c r="I53" i="6"/>
  <c r="I54" i="6" s="1"/>
  <c r="I55" i="6" s="1"/>
  <c r="I70" i="6" s="1"/>
  <c r="I82" i="6"/>
  <c r="I83" i="6" s="1"/>
  <c r="I93" i="6" s="1"/>
  <c r="I325" i="36"/>
  <c r="I20" i="36"/>
  <c r="H19" i="36"/>
  <c r="G15" i="36"/>
  <c r="H97" i="36"/>
  <c r="G97" i="36" s="1"/>
  <c r="H312" i="36"/>
  <c r="H113" i="36"/>
  <c r="G113" i="36" s="1"/>
  <c r="H314" i="36"/>
  <c r="G314" i="36" s="1"/>
  <c r="H105" i="36"/>
  <c r="G105" i="36" s="1"/>
  <c r="H94" i="36"/>
  <c r="G94" i="36" s="1"/>
  <c r="H315" i="36"/>
  <c r="G315" i="36" s="1"/>
  <c r="H96" i="36"/>
  <c r="G96" i="36" s="1"/>
  <c r="H321" i="36"/>
  <c r="H100" i="36"/>
  <c r="G100" i="36" s="1"/>
  <c r="H95" i="36"/>
  <c r="G95" i="36" s="1"/>
  <c r="H111" i="36"/>
  <c r="G111" i="36" s="1"/>
  <c r="H115" i="36"/>
  <c r="G115" i="36" s="1"/>
  <c r="H109" i="36"/>
  <c r="G109" i="36" s="1"/>
  <c r="H318" i="36"/>
  <c r="H108" i="36"/>
  <c r="G108" i="36" s="1"/>
  <c r="H102" i="36"/>
  <c r="G102" i="36" s="1"/>
  <c r="H112" i="36"/>
  <c r="G112" i="36" s="1"/>
  <c r="H116" i="36"/>
  <c r="G116" i="36" s="1"/>
  <c r="H103" i="36"/>
  <c r="G103" i="36" s="1"/>
  <c r="H93" i="36"/>
  <c r="G93" i="36" s="1"/>
  <c r="H114" i="36"/>
  <c r="G114" i="36" s="1"/>
  <c r="H106" i="36"/>
  <c r="G106" i="36" s="1"/>
  <c r="H99" i="36"/>
  <c r="G99" i="36" s="1"/>
  <c r="H311" i="36"/>
  <c r="H319" i="36"/>
  <c r="G319" i="36" s="1"/>
  <c r="H98" i="36"/>
  <c r="G98" i="36" s="1"/>
  <c r="H110" i="36"/>
  <c r="G110" i="36" s="1"/>
  <c r="H101" i="36"/>
  <c r="G101" i="36" s="1"/>
  <c r="H107" i="36"/>
  <c r="G107" i="36" s="1"/>
  <c r="H313" i="36"/>
  <c r="G313" i="36" s="1"/>
  <c r="H104" i="36"/>
  <c r="G104" i="36" s="1"/>
  <c r="H117" i="36"/>
  <c r="G117" i="36" s="1"/>
  <c r="H92" i="36"/>
  <c r="O325" i="36"/>
  <c r="O20" i="36"/>
  <c r="H320" i="36" l="1"/>
  <c r="G318" i="36"/>
  <c r="G19" i="36"/>
  <c r="H274" i="36"/>
  <c r="G92" i="36"/>
  <c r="H7" i="38"/>
  <c r="H8" i="38"/>
  <c r="G312" i="36"/>
  <c r="G311" i="36"/>
  <c r="H317" i="36"/>
  <c r="G317" i="36" s="1"/>
  <c r="H323" i="36"/>
  <c r="G323" i="36" s="1"/>
  <c r="G321" i="36"/>
  <c r="H324" i="36" l="1"/>
  <c r="G274" i="36"/>
  <c r="H9" i="38"/>
  <c r="H10" i="38" s="1"/>
  <c r="H91" i="38" s="1"/>
  <c r="H92" i="38" s="1"/>
  <c r="H93" i="38" s="1"/>
  <c r="G320" i="36"/>
  <c r="G324" i="36" l="1"/>
  <c r="H325" i="36"/>
  <c r="H20" i="36"/>
  <c r="G325" i="36" l="1"/>
  <c r="G20"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裕孝</author>
  </authors>
  <commentList>
    <comment ref="K9" authorId="0" shapeId="0" xr:uid="{00000000-0006-0000-0100-000001000000}">
      <text>
        <r>
          <rPr>
            <sz val="9"/>
            <color indexed="81"/>
            <rFont val="MS P ゴシック"/>
            <family val="3"/>
            <charset val="128"/>
          </rPr>
          <t xml:space="preserve">設計書番号を入力
（2018-は自動で追記されるので入力不要）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P1" authorId="0" shapeId="0" xr:uid="{00000000-0006-0000-0300-000001000000}">
      <text>
        <r>
          <rPr>
            <b/>
            <sz val="14"/>
            <color indexed="10"/>
            <rFont val="MS P ゴシック"/>
            <family val="3"/>
            <charset val="128"/>
          </rPr>
          <t>Ｉ列は入力・削除等の操作を行わないでください。</t>
        </r>
      </text>
    </comment>
    <comment ref="P24" authorId="0" shapeId="0" xr:uid="{00000000-0006-0000-0300-00000200000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P43" authorId="0" shapeId="0" xr:uid="{00000000-0006-0000-0300-000003000000}">
      <text>
        <r>
          <rPr>
            <b/>
            <sz val="9"/>
            <color indexed="81"/>
            <rFont val="MS P ゴシック"/>
            <family val="3"/>
            <charset val="128"/>
          </rPr>
          <t>建物附属設備は、各工事シートで選択されたものが自動集計される。</t>
        </r>
      </text>
    </comment>
    <comment ref="P58" authorId="0" shapeId="0" xr:uid="{00000000-0006-0000-0300-00000400000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P75" authorId="0" shapeId="0" xr:uid="{00000000-0006-0000-0300-000005000000}">
      <text>
        <r>
          <rPr>
            <b/>
            <sz val="9"/>
            <color indexed="81"/>
            <rFont val="MS P ゴシック"/>
            <family val="3"/>
            <charset val="128"/>
          </rPr>
          <t>工具・器具・備品は、各工事シートで選択されたものが自動集計される。</t>
        </r>
        <r>
          <rPr>
            <sz val="9"/>
            <color indexed="81"/>
            <rFont val="MS P 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今井　得裕</author>
    <author>profile</author>
  </authors>
  <commentList>
    <comment ref="F141" authorId="0" shapeId="0" xr:uid="{00000000-0006-0000-0400-00000100000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141" authorId="0" shapeId="0" xr:uid="{00000000-0006-0000-0400-00000200000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163" authorId="1" shapeId="0" xr:uid="{00000000-0006-0000-0400-000003000000}">
      <text>
        <r>
          <rPr>
            <sz val="9"/>
            <color indexed="81"/>
            <rFont val="ＭＳ Ｐゴシック"/>
            <family val="3"/>
            <charset val="128"/>
          </rPr>
          <t xml:space="preserve">土木工事一括発注時（積算体系の異なる工事）に使用。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今井　得裕</author>
    <author>profile</author>
  </authors>
  <commentList>
    <comment ref="F141" authorId="0" shapeId="0" xr:uid="{00000000-0006-0000-0500-00000100000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141" authorId="0" shapeId="0" xr:uid="{00000000-0006-0000-0500-00000200000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163" authorId="1" shapeId="0" xr:uid="{00000000-0006-0000-0500-000003000000}">
      <text>
        <r>
          <rPr>
            <sz val="9"/>
            <color indexed="81"/>
            <rFont val="ＭＳ Ｐゴシック"/>
            <family val="3"/>
            <charset val="128"/>
          </rPr>
          <t xml:space="preserve">土木工事一括発注時（積算体系の異なる工事）に使用。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K16" authorId="0" shapeId="0" xr:uid="{00000000-0006-0000-0600-000001000000}">
      <text>
        <r>
          <rPr>
            <b/>
            <sz val="9"/>
            <color indexed="81"/>
            <rFont val="MS P ゴシック"/>
            <family val="3"/>
            <charset val="128"/>
          </rPr>
          <t>若島　SUMIF関数で自動算出</t>
        </r>
        <r>
          <rPr>
            <sz val="9"/>
            <color indexed="81"/>
            <rFont val="MS P 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今井　得裕</author>
    <author>profile</author>
  </authors>
  <commentList>
    <comment ref="F141" authorId="0" shapeId="0" xr:uid="{00000000-0006-0000-1000-00000100000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141" authorId="0" shapeId="0" xr:uid="{00000000-0006-0000-1000-00000200000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163" authorId="1" shapeId="0" xr:uid="{00000000-0006-0000-1000-000003000000}">
      <text>
        <r>
          <rPr>
            <sz val="9"/>
            <color indexed="81"/>
            <rFont val="ＭＳ Ｐゴシック"/>
            <family val="3"/>
            <charset val="128"/>
          </rPr>
          <t xml:space="preserve">土木工事一括発注時（積算体系の異なる工事）に使用。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profile</author>
    <author>今井　得裕</author>
  </authors>
  <commentList>
    <comment ref="G42" authorId="0" shapeId="0" xr:uid="{00000000-0006-0000-1C00-000001000000}">
      <text>
        <r>
          <rPr>
            <sz val="9"/>
            <color indexed="81"/>
            <rFont val="ＭＳ Ｐゴシック"/>
            <family val="3"/>
            <charset val="128"/>
          </rPr>
          <t>設備明細の直工金額を入力</t>
        </r>
      </text>
    </comment>
    <comment ref="G43" authorId="0" shapeId="0" xr:uid="{00000000-0006-0000-1C00-000002000000}">
      <text>
        <r>
          <rPr>
            <sz val="9"/>
            <color indexed="81"/>
            <rFont val="ＭＳ Ｐゴシック"/>
            <family val="3"/>
            <charset val="128"/>
          </rPr>
          <t>設備明細の共仮金額を入力</t>
        </r>
      </text>
    </comment>
    <comment ref="C104" authorId="0" shapeId="0" xr:uid="{00000000-0006-0000-1C00-000003000000}">
      <text>
        <r>
          <rPr>
            <sz val="9"/>
            <color indexed="81"/>
            <rFont val="ＭＳ Ｐゴシック"/>
            <family val="3"/>
            <charset val="128"/>
          </rPr>
          <t>設備と分けて欄を作った</t>
        </r>
      </text>
    </comment>
    <comment ref="G134" authorId="0" shapeId="0" xr:uid="{00000000-0006-0000-1C00-000004000000}">
      <text>
        <r>
          <rPr>
            <sz val="9"/>
            <color indexed="81"/>
            <rFont val="ＭＳ Ｐゴシック"/>
            <family val="3"/>
            <charset val="128"/>
          </rPr>
          <t>設備明細の直工金額を入力</t>
        </r>
      </text>
    </comment>
    <comment ref="G135" authorId="0" shapeId="0" xr:uid="{00000000-0006-0000-1C00-000005000000}">
      <text>
        <r>
          <rPr>
            <sz val="9"/>
            <color indexed="81"/>
            <rFont val="ＭＳ Ｐゴシック"/>
            <family val="3"/>
            <charset val="128"/>
          </rPr>
          <t>設備明細の共仮金額を入力</t>
        </r>
      </text>
    </comment>
    <comment ref="G212" authorId="0" shapeId="0" xr:uid="{00000000-0006-0000-1C00-000006000000}">
      <text>
        <r>
          <rPr>
            <sz val="9"/>
            <color indexed="81"/>
            <rFont val="ＭＳ Ｐゴシック"/>
            <family val="3"/>
            <charset val="128"/>
          </rPr>
          <t>H23）設備明細の現場管理費を入力する</t>
        </r>
      </text>
    </comment>
    <comment ref="F223" authorId="1" shapeId="0" xr:uid="{00000000-0006-0000-1C00-00000700000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223" authorId="1" shapeId="0" xr:uid="{00000000-0006-0000-1C00-00000800000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245" authorId="0" shapeId="0" xr:uid="{00000000-0006-0000-1C00-000009000000}">
      <text>
        <r>
          <rPr>
            <sz val="9"/>
            <color indexed="81"/>
            <rFont val="ＭＳ Ｐゴシック"/>
            <family val="3"/>
            <charset val="128"/>
          </rPr>
          <t xml:space="preserve">土木工事一括発注時（積算体系の異なる工事）に使用。
</t>
        </r>
      </text>
    </comment>
    <comment ref="C319" authorId="0" shapeId="0" xr:uid="{00000000-0006-0000-1C00-00000A000000}">
      <text>
        <r>
          <rPr>
            <sz val="9"/>
            <color indexed="81"/>
            <rFont val="ＭＳ Ｐゴシック"/>
            <family val="3"/>
            <charset val="128"/>
          </rPr>
          <t>設備と分けて欄を作った</t>
        </r>
      </text>
    </comment>
    <comment ref="G427" authorId="0" shapeId="0" xr:uid="{00000000-0006-0000-1C00-00000B000000}">
      <text>
        <r>
          <rPr>
            <sz val="9"/>
            <color indexed="81"/>
            <rFont val="ＭＳ Ｐゴシック"/>
            <family val="3"/>
            <charset val="128"/>
          </rPr>
          <t>H23）設備明細の現場管理費を入力する</t>
        </r>
      </text>
    </comment>
    <comment ref="G459" authorId="0" shapeId="0" xr:uid="{00000000-0006-0000-1C00-00000C000000}">
      <text>
        <r>
          <rPr>
            <sz val="9"/>
            <color indexed="81"/>
            <rFont val="ＭＳ Ｐゴシック"/>
            <family val="3"/>
            <charset val="128"/>
          </rPr>
          <t xml:space="preserve">土木工事一括発注時（積算体系の異なる工事）に使用。
</t>
        </r>
      </text>
    </comment>
  </commentList>
</comments>
</file>

<file path=xl/sharedStrings.xml><?xml version="1.0" encoding="utf-8"?>
<sst xmlns="http://schemas.openxmlformats.org/spreadsheetml/2006/main" count="13930" uniqueCount="4911">
  <si>
    <t>解体工事</t>
    <rPh sb="0" eb="2">
      <t>カイタイ</t>
    </rPh>
    <rPh sb="2" eb="4">
      <t>コウジ</t>
    </rPh>
    <phoneticPr fontId="2"/>
  </si>
  <si>
    <t>契約書に綴じ込まないこと</t>
    <rPh sb="0" eb="3">
      <t>ケイヤクショ</t>
    </rPh>
    <rPh sb="4" eb="5">
      <t>ト</t>
    </rPh>
    <rPh sb="6" eb="7">
      <t>コ</t>
    </rPh>
    <phoneticPr fontId="2"/>
  </si>
  <si>
    <t>※物品契約の種目を選択</t>
    <rPh sb="1" eb="3">
      <t>ブッピン</t>
    </rPh>
    <rPh sb="3" eb="5">
      <t>ケイヤク</t>
    </rPh>
    <rPh sb="6" eb="8">
      <t>シュモク</t>
    </rPh>
    <rPh sb="9" eb="11">
      <t>センタク</t>
    </rPh>
    <phoneticPr fontId="2"/>
  </si>
  <si>
    <t>看板</t>
    <rPh sb="0" eb="2">
      <t>カンバン</t>
    </rPh>
    <phoneticPr fontId="2"/>
  </si>
  <si>
    <t>※業務委託の種目を選択</t>
    <rPh sb="1" eb="3">
      <t>ギョウム</t>
    </rPh>
    <rPh sb="3" eb="5">
      <t>イタク</t>
    </rPh>
    <rPh sb="6" eb="8">
      <t>シュモク</t>
    </rPh>
    <rPh sb="9" eb="11">
      <t>センタク</t>
    </rPh>
    <phoneticPr fontId="2"/>
  </si>
  <si>
    <t>機械設備等保守点検</t>
    <rPh sb="0" eb="2">
      <t>キカイ</t>
    </rPh>
    <rPh sb="2" eb="4">
      <t>セツビ</t>
    </rPh>
    <rPh sb="4" eb="5">
      <t>トウ</t>
    </rPh>
    <rPh sb="5" eb="7">
      <t>ホシュ</t>
    </rPh>
    <rPh sb="7" eb="9">
      <t>テンケン</t>
    </rPh>
    <phoneticPr fontId="2"/>
  </si>
  <si>
    <t>数　量　内　訳　書　【参　考】</t>
    <rPh sb="0" eb="1">
      <t>スウリョウ</t>
    </rPh>
    <rPh sb="2" eb="3">
      <t>リョウ</t>
    </rPh>
    <rPh sb="4" eb="5">
      <t>ウチ</t>
    </rPh>
    <rPh sb="6" eb="7">
      <t>ヤク</t>
    </rPh>
    <rPh sb="8" eb="9">
      <t>ショ</t>
    </rPh>
    <rPh sb="10" eb="12">
      <t>サンコウ</t>
    </rPh>
    <phoneticPr fontId="2"/>
  </si>
  <si>
    <t>消防設備保守点検</t>
    <rPh sb="0" eb="2">
      <t>ショウボウ</t>
    </rPh>
    <rPh sb="2" eb="4">
      <t>セツビ</t>
    </rPh>
    <rPh sb="4" eb="6">
      <t>ホシュ</t>
    </rPh>
    <rPh sb="6" eb="8">
      <t>テンケン</t>
    </rPh>
    <phoneticPr fontId="2"/>
  </si>
  <si>
    <t>施設保守点検整備</t>
    <rPh sb="0" eb="2">
      <t>シセツ</t>
    </rPh>
    <rPh sb="2" eb="4">
      <t>ホシュ</t>
    </rPh>
    <rPh sb="4" eb="6">
      <t>テンケン</t>
    </rPh>
    <rPh sb="6" eb="8">
      <t>セイビ</t>
    </rPh>
    <phoneticPr fontId="2"/>
  </si>
  <si>
    <t>建物・構造物各種調査</t>
    <rPh sb="0" eb="2">
      <t>タテモノ</t>
    </rPh>
    <rPh sb="3" eb="6">
      <t>コウゾウブツ</t>
    </rPh>
    <rPh sb="6" eb="8">
      <t>カクシュ</t>
    </rPh>
    <rPh sb="8" eb="10">
      <t>チョウサ</t>
    </rPh>
    <phoneticPr fontId="2"/>
  </si>
  <si>
    <t>※測量・建設コンサル業務委託の種類を選択</t>
    <rPh sb="1" eb="3">
      <t>ソクリョウ</t>
    </rPh>
    <rPh sb="4" eb="6">
      <t>ケンセツ</t>
    </rPh>
    <rPh sb="10" eb="12">
      <t>ギョウム</t>
    </rPh>
    <rPh sb="12" eb="14">
      <t>イタク</t>
    </rPh>
    <rPh sb="15" eb="17">
      <t>シュルイ</t>
    </rPh>
    <rPh sb="18" eb="20">
      <t>センタク</t>
    </rPh>
    <phoneticPr fontId="2"/>
  </si>
  <si>
    <t>建築設計・監理（一級）</t>
    <rPh sb="0" eb="2">
      <t>ケンチク</t>
    </rPh>
    <rPh sb="2" eb="4">
      <t>セッケイ</t>
    </rPh>
    <rPh sb="5" eb="7">
      <t>カンリ</t>
    </rPh>
    <rPh sb="8" eb="9">
      <t>イチ</t>
    </rPh>
    <rPh sb="9" eb="10">
      <t>キュウ</t>
    </rPh>
    <phoneticPr fontId="2"/>
  </si>
  <si>
    <t>建築設計・監理（二級）</t>
    <rPh sb="0" eb="2">
      <t>ケンチク</t>
    </rPh>
    <rPh sb="2" eb="4">
      <t>セッケイ</t>
    </rPh>
    <rPh sb="5" eb="7">
      <t>カンリ</t>
    </rPh>
    <rPh sb="8" eb="9">
      <t>２</t>
    </rPh>
    <rPh sb="9" eb="10">
      <t>キュウ</t>
    </rPh>
    <phoneticPr fontId="2"/>
  </si>
  <si>
    <t>注記</t>
  </si>
  <si>
    <t>・数量内訳書には工事費内訳書の数量を記載しているが、この数量は参考数量であって、設計変更に伴う数量変更以外の契約変更は行わない。</t>
    <phoneticPr fontId="2"/>
  </si>
  <si>
    <t>・数量内訳書の内容に質疑のある場合は、「数量に関する質疑書」(以下「数量質疑書」という。）を作成し、提出すること。なお、数量質疑書には質疑内容に関する数量の根拠を参考資料として添付することとし、この参考資料の添付がない質疑は受け付けない。</t>
    <phoneticPr fontId="2"/>
  </si>
  <si>
    <t>・数量質疑書の質疑用紙・記入要領・提出方法及び回答方法は、設計図書等の質疑書に準ずる。
　ただし、設計図書等の質疑書と別冊とする。</t>
    <phoneticPr fontId="2"/>
  </si>
  <si>
    <t>・数量内訳書に関して、当初の質疑期限後の異議は一切受け付けない。</t>
    <phoneticPr fontId="2"/>
  </si>
  <si>
    <t>総page数</t>
    <rPh sb="0" eb="1">
      <t>ソウ</t>
    </rPh>
    <rPh sb="5" eb="6">
      <t>スウ</t>
    </rPh>
    <phoneticPr fontId="2"/>
  </si>
  <si>
    <t>明細情報</t>
    <rPh sb="0" eb="2">
      <t>メイサイ</t>
    </rPh>
    <rPh sb="2" eb="4">
      <t>ジョウホウ</t>
    </rPh>
    <phoneticPr fontId="2"/>
  </si>
  <si>
    <t>内訳書起案日</t>
    <rPh sb="0" eb="3">
      <t>ウチワケショ</t>
    </rPh>
    <rPh sb="3" eb="5">
      <t>キアン</t>
    </rPh>
    <rPh sb="5" eb="6">
      <t>ビ</t>
    </rPh>
    <phoneticPr fontId="2"/>
  </si>
  <si>
    <t>設計担当</t>
    <rPh sb="0" eb="2">
      <t>セッケイ</t>
    </rPh>
    <rPh sb="2" eb="4">
      <t>タントウ</t>
    </rPh>
    <phoneticPr fontId="2"/>
  </si>
  <si>
    <t>建築課（建築プロジェクト）</t>
    <rPh sb="0" eb="2">
      <t>ケンチク</t>
    </rPh>
    <rPh sb="2" eb="3">
      <t>カ</t>
    </rPh>
    <rPh sb="4" eb="6">
      <t>ケンチク</t>
    </rPh>
    <phoneticPr fontId="2"/>
  </si>
  <si>
    <t>内訳書決裁日</t>
    <rPh sb="0" eb="3">
      <t>ウチワケショ</t>
    </rPh>
    <rPh sb="3" eb="5">
      <t>ケッサイ</t>
    </rPh>
    <rPh sb="5" eb="6">
      <t>ヒ</t>
    </rPh>
    <phoneticPr fontId="2"/>
  </si>
  <si>
    <t>設計担当係長</t>
    <rPh sb="0" eb="2">
      <t>セッケイ</t>
    </rPh>
    <rPh sb="2" eb="4">
      <t>タントウ</t>
    </rPh>
    <rPh sb="4" eb="6">
      <t>カカリチョウ</t>
    </rPh>
    <phoneticPr fontId="2"/>
  </si>
  <si>
    <t>水田　広起</t>
    <rPh sb="0" eb="2">
      <t>ミズタ</t>
    </rPh>
    <rPh sb="3" eb="4">
      <t>ヒロ</t>
    </rPh>
    <rPh sb="4" eb="5">
      <t>キ</t>
    </rPh>
    <phoneticPr fontId="2"/>
  </si>
  <si>
    <t>工事公告日</t>
    <rPh sb="0" eb="2">
      <t>コウジ</t>
    </rPh>
    <rPh sb="2" eb="4">
      <t>コウコク</t>
    </rPh>
    <rPh sb="4" eb="5">
      <t>ヒ</t>
    </rPh>
    <phoneticPr fontId="2"/>
  </si>
  <si>
    <t>単価ファイルの設定（緑色のセルを必要に応じて書き換えてください。）</t>
    <rPh sb="0" eb="2">
      <t>タンカ</t>
    </rPh>
    <rPh sb="7" eb="9">
      <t>セッテイ</t>
    </rPh>
    <rPh sb="10" eb="12">
      <t>ミドリイロ</t>
    </rPh>
    <rPh sb="16" eb="18">
      <t>ヒツヨウ</t>
    </rPh>
    <rPh sb="19" eb="20">
      <t>オウ</t>
    </rPh>
    <rPh sb="22" eb="23">
      <t>カ</t>
    </rPh>
    <rPh sb="24" eb="25">
      <t>カ</t>
    </rPh>
    <phoneticPr fontId="2"/>
  </si>
  <si>
    <t>工事種目</t>
    <rPh sb="0" eb="2">
      <t>コウジ</t>
    </rPh>
    <rPh sb="2" eb="4">
      <t>シュモク</t>
    </rPh>
    <phoneticPr fontId="2"/>
  </si>
  <si>
    <t>所属</t>
    <rPh sb="0" eb="2">
      <t>ショゾク</t>
    </rPh>
    <phoneticPr fontId="2"/>
  </si>
  <si>
    <t>設計担当者</t>
    <rPh sb="0" eb="2">
      <t>セッケイ</t>
    </rPh>
    <rPh sb="2" eb="5">
      <t>タントウシャ</t>
    </rPh>
    <phoneticPr fontId="2"/>
  </si>
  <si>
    <t>清家　光</t>
    <rPh sb="0" eb="2">
      <t>セイケ</t>
    </rPh>
    <rPh sb="3" eb="4">
      <t>ヒカル</t>
    </rPh>
    <phoneticPr fontId="2"/>
  </si>
  <si>
    <t>落札決定日</t>
    <rPh sb="0" eb="2">
      <t>ラクサツ</t>
    </rPh>
    <rPh sb="2" eb="4">
      <t>ケッテイ</t>
    </rPh>
    <rPh sb="4" eb="5">
      <t>ヒ</t>
    </rPh>
    <phoneticPr fontId="2"/>
  </si>
  <si>
    <t>標準単価ファイル名</t>
    <rPh sb="0" eb="2">
      <t>ヒョウジュン</t>
    </rPh>
    <rPh sb="2" eb="4">
      <t>タンカ</t>
    </rPh>
    <rPh sb="8" eb="9">
      <t>メイ</t>
    </rPh>
    <phoneticPr fontId="2"/>
  </si>
  <si>
    <t>標準単価金額無2018.xls</t>
    <phoneticPr fontId="2"/>
  </si>
  <si>
    <t>金入用標準単価ファイル名</t>
    <rPh sb="0" eb="1">
      <t>キン</t>
    </rPh>
    <rPh sb="1" eb="2">
      <t>イ</t>
    </rPh>
    <rPh sb="2" eb="3">
      <t>ヨウ</t>
    </rPh>
    <rPh sb="3" eb="5">
      <t>ヒョウジュン</t>
    </rPh>
    <rPh sb="5" eb="7">
      <t>タンカ</t>
    </rPh>
    <rPh sb="11" eb="12">
      <t>メイ</t>
    </rPh>
    <phoneticPr fontId="2"/>
  </si>
  <si>
    <t>標準単価2018.xls</t>
    <phoneticPr fontId="2"/>
  </si>
  <si>
    <t>建築工事</t>
    <rPh sb="0" eb="2">
      <t>ケンチク</t>
    </rPh>
    <rPh sb="2" eb="4">
      <t>コウジ</t>
    </rPh>
    <phoneticPr fontId="2"/>
  </si>
  <si>
    <t>建築企画課（建築企画）</t>
    <rPh sb="0" eb="2">
      <t>ケンチク</t>
    </rPh>
    <rPh sb="2" eb="4">
      <t>キカク</t>
    </rPh>
    <rPh sb="4" eb="5">
      <t>カ</t>
    </rPh>
    <rPh sb="6" eb="8">
      <t>ケンチク</t>
    </rPh>
    <rPh sb="8" eb="10">
      <t>キカク</t>
    </rPh>
    <phoneticPr fontId="2"/>
  </si>
  <si>
    <t>補助金</t>
    <rPh sb="0" eb="3">
      <t>ホジョキン</t>
    </rPh>
    <phoneticPr fontId="2"/>
  </si>
  <si>
    <t>有り</t>
  </si>
  <si>
    <t>工事工期</t>
    <rPh sb="0" eb="2">
      <t>コウジ</t>
    </rPh>
    <rPh sb="2" eb="4">
      <t>コウキ</t>
    </rPh>
    <phoneticPr fontId="2"/>
  </si>
  <si>
    <t>標準単価ﾌｧｲﾙ保管場所</t>
    <rPh sb="0" eb="2">
      <t>ヒョウジュン</t>
    </rPh>
    <rPh sb="2" eb="4">
      <t>タンカ</t>
    </rPh>
    <rPh sb="8" eb="10">
      <t>ホカン</t>
    </rPh>
    <rPh sb="10" eb="12">
      <t>バショ</t>
    </rPh>
    <phoneticPr fontId="2"/>
  </si>
  <si>
    <t>c:\積算\</t>
    <rPh sb="3" eb="5">
      <t>セキサン</t>
    </rPh>
    <phoneticPr fontId="2"/>
  </si>
  <si>
    <t>土木工事</t>
    <rPh sb="0" eb="2">
      <t>ドボク</t>
    </rPh>
    <rPh sb="2" eb="4">
      <t>コウジ</t>
    </rPh>
    <phoneticPr fontId="2"/>
  </si>
  <si>
    <t>建築企画課（建築計画）</t>
    <rPh sb="0" eb="2">
      <t>ケンチク</t>
    </rPh>
    <rPh sb="2" eb="4">
      <t>キカク</t>
    </rPh>
    <rPh sb="4" eb="5">
      <t>カ</t>
    </rPh>
    <rPh sb="6" eb="8">
      <t>ケンチク</t>
    </rPh>
    <rPh sb="8" eb="10">
      <t>ケイカク</t>
    </rPh>
    <phoneticPr fontId="2"/>
  </si>
  <si>
    <t>発注形態</t>
    <phoneticPr fontId="2"/>
  </si>
  <si>
    <t>単価台帳ver</t>
    <rPh sb="0" eb="2">
      <t>タンカ</t>
    </rPh>
    <rPh sb="2" eb="4">
      <t>ダイチョウ</t>
    </rPh>
    <phoneticPr fontId="2"/>
  </si>
  <si>
    <t>2018年5月</t>
    <rPh sb="4" eb="5">
      <t>ネン</t>
    </rPh>
    <rPh sb="6" eb="7">
      <t>ツキ</t>
    </rPh>
    <phoneticPr fontId="2"/>
  </si>
  <si>
    <t>建築設備課付帯</t>
    <rPh sb="0" eb="2">
      <t>ケンチク</t>
    </rPh>
    <rPh sb="2" eb="4">
      <t>セツビ</t>
    </rPh>
    <rPh sb="4" eb="5">
      <t>カ</t>
    </rPh>
    <rPh sb="5" eb="7">
      <t>フタイ</t>
    </rPh>
    <phoneticPr fontId="2"/>
  </si>
  <si>
    <t>建築企画課（建築協議）</t>
    <rPh sb="0" eb="2">
      <t>ケンチク</t>
    </rPh>
    <rPh sb="2" eb="4">
      <t>キカク</t>
    </rPh>
    <rPh sb="4" eb="5">
      <t>カ</t>
    </rPh>
    <rPh sb="6" eb="8">
      <t>ケンチク</t>
    </rPh>
    <rPh sb="8" eb="10">
      <t>キョウギ</t>
    </rPh>
    <phoneticPr fontId="2"/>
  </si>
  <si>
    <t>入札方式</t>
    <rPh sb="0" eb="2">
      <t>ニュウサツ</t>
    </rPh>
    <rPh sb="2" eb="4">
      <t>ホウシキ</t>
    </rPh>
    <phoneticPr fontId="2"/>
  </si>
  <si>
    <t>指名競争</t>
  </si>
  <si>
    <t>工事稟議番号</t>
    <rPh sb="0" eb="2">
      <t>コウジ</t>
    </rPh>
    <rPh sb="2" eb="4">
      <t>リンギ</t>
    </rPh>
    <rPh sb="4" eb="6">
      <t>バンゴウ</t>
    </rPh>
    <phoneticPr fontId="2"/>
  </si>
  <si>
    <t>各シートのトップページを常に書き換えるか(Yes=1 No=0)</t>
    <rPh sb="0" eb="1">
      <t>カク</t>
    </rPh>
    <rPh sb="12" eb="13">
      <t>ツネ</t>
    </rPh>
    <rPh sb="14" eb="15">
      <t>カ</t>
    </rPh>
    <rPh sb="16" eb="17">
      <t>カ</t>
    </rPh>
    <phoneticPr fontId="2"/>
  </si>
  <si>
    <t>諸経費ファイル名</t>
    <rPh sb="0" eb="3">
      <t>ショケイヒ</t>
    </rPh>
    <rPh sb="7" eb="8">
      <t>メイ</t>
    </rPh>
    <phoneticPr fontId="2"/>
  </si>
  <si>
    <t>諸経費表2018.xlsx</t>
    <phoneticPr fontId="2"/>
  </si>
  <si>
    <t>電気設計課付帯</t>
    <rPh sb="0" eb="2">
      <t>デンキ</t>
    </rPh>
    <rPh sb="2" eb="4">
      <t>セッケイ</t>
    </rPh>
    <rPh sb="4" eb="5">
      <t>カ</t>
    </rPh>
    <rPh sb="5" eb="7">
      <t>フタイ</t>
    </rPh>
    <phoneticPr fontId="2"/>
  </si>
  <si>
    <t>建築企画課（安全推進）</t>
    <rPh sb="0" eb="2">
      <t>ケンチク</t>
    </rPh>
    <rPh sb="2" eb="4">
      <t>キカク</t>
    </rPh>
    <rPh sb="4" eb="5">
      <t>カ</t>
    </rPh>
    <rPh sb="6" eb="8">
      <t>アンゼン</t>
    </rPh>
    <rPh sb="8" eb="10">
      <t>スイシン</t>
    </rPh>
    <phoneticPr fontId="2"/>
  </si>
  <si>
    <t>建設ﾘｻｲｸﾙ法</t>
    <rPh sb="0" eb="2">
      <t>ケンセツ</t>
    </rPh>
    <rPh sb="7" eb="8">
      <t>ホウ</t>
    </rPh>
    <phoneticPr fontId="2"/>
  </si>
  <si>
    <t>適用</t>
  </si>
  <si>
    <t>明細コード</t>
    <rPh sb="0" eb="2">
      <t>メイサイ</t>
    </rPh>
    <phoneticPr fontId="2"/>
  </si>
  <si>
    <t>諸経費ﾌｧｲﾙ保管場所</t>
    <rPh sb="0" eb="3">
      <t>ショケイヒ</t>
    </rPh>
    <rPh sb="7" eb="9">
      <t>ホカン</t>
    </rPh>
    <rPh sb="9" eb="11">
      <t>バショ</t>
    </rPh>
    <phoneticPr fontId="2"/>
  </si>
  <si>
    <t>※専業工事の種目を選択</t>
    <rPh sb="1" eb="3">
      <t>センギョウ</t>
    </rPh>
    <rPh sb="3" eb="5">
      <t>コウジ</t>
    </rPh>
    <rPh sb="6" eb="8">
      <t>シュモク</t>
    </rPh>
    <rPh sb="9" eb="11">
      <t>センタク</t>
    </rPh>
    <phoneticPr fontId="2"/>
  </si>
  <si>
    <t>前払金</t>
    <rPh sb="0" eb="2">
      <t>マエバライ</t>
    </rPh>
    <rPh sb="2" eb="3">
      <t>キン</t>
    </rPh>
    <phoneticPr fontId="2"/>
  </si>
  <si>
    <t>無し</t>
  </si>
  <si>
    <t>○○工事</t>
    <rPh sb="2" eb="4">
      <t>コウジ</t>
    </rPh>
    <phoneticPr fontId="2"/>
  </si>
  <si>
    <t>プレハブ工事</t>
    <rPh sb="4" eb="6">
      <t>コウジ</t>
    </rPh>
    <phoneticPr fontId="2"/>
  </si>
  <si>
    <t>建築課（建築技術）</t>
    <rPh sb="0" eb="2">
      <t>ケンチク</t>
    </rPh>
    <rPh sb="2" eb="3">
      <t>カ</t>
    </rPh>
    <rPh sb="4" eb="6">
      <t>ケンチク</t>
    </rPh>
    <rPh sb="6" eb="8">
      <t>ギジュツ</t>
    </rPh>
    <phoneticPr fontId="2"/>
  </si>
  <si>
    <t>大工工事</t>
    <rPh sb="0" eb="2">
      <t>ダイク</t>
    </rPh>
    <rPh sb="2" eb="4">
      <t>コウジ</t>
    </rPh>
    <phoneticPr fontId="2"/>
  </si>
  <si>
    <t>建築課（建築検査）</t>
    <rPh sb="0" eb="2">
      <t>ケンチク</t>
    </rPh>
    <rPh sb="2" eb="3">
      <t>カ</t>
    </rPh>
    <rPh sb="4" eb="6">
      <t>ケンチク</t>
    </rPh>
    <rPh sb="6" eb="8">
      <t>ケンサ</t>
    </rPh>
    <phoneticPr fontId="2"/>
  </si>
  <si>
    <t>東梅田外１駅可動式ホーム柵設置に伴う建築その他工事</t>
    <rPh sb="0" eb="4">
      <t>ヒガシウメダホカ</t>
    </rPh>
    <rPh sb="5" eb="9">
      <t>エキカドウシキ</t>
    </rPh>
    <rPh sb="12" eb="15">
      <t>サクセッチ</t>
    </rPh>
    <rPh sb="16" eb="17">
      <t>トモナ</t>
    </rPh>
    <rPh sb="18" eb="20">
      <t>ケンチク</t>
    </rPh>
    <rPh sb="22" eb="23">
      <t>タ</t>
    </rPh>
    <rPh sb="23" eb="25">
      <t>コウジ</t>
    </rPh>
    <phoneticPr fontId="2"/>
  </si>
  <si>
    <t>左官工事</t>
    <rPh sb="0" eb="2">
      <t>サカン</t>
    </rPh>
    <rPh sb="2" eb="4">
      <t>コウジ</t>
    </rPh>
    <phoneticPr fontId="2"/>
  </si>
  <si>
    <t>建築課（建築資産管理）</t>
    <rPh sb="0" eb="2">
      <t>ケンチク</t>
    </rPh>
    <rPh sb="2" eb="3">
      <t>カ</t>
    </rPh>
    <rPh sb="4" eb="6">
      <t>ケンチク</t>
    </rPh>
    <rPh sb="6" eb="8">
      <t>シサン</t>
    </rPh>
    <rPh sb="8" eb="10">
      <t>カンリ</t>
    </rPh>
    <phoneticPr fontId="2"/>
  </si>
  <si>
    <t>防球ネットフェンス工事</t>
    <rPh sb="0" eb="2">
      <t>ボウキュウ</t>
    </rPh>
    <rPh sb="9" eb="11">
      <t>コウジ</t>
    </rPh>
    <phoneticPr fontId="2"/>
  </si>
  <si>
    <t>建築課（建築設計）</t>
    <rPh sb="0" eb="2">
      <t>ケンチク</t>
    </rPh>
    <rPh sb="2" eb="3">
      <t>カ</t>
    </rPh>
    <rPh sb="4" eb="6">
      <t>ケンチク</t>
    </rPh>
    <rPh sb="6" eb="8">
      <t>セッケイ</t>
    </rPh>
    <phoneticPr fontId="2"/>
  </si>
  <si>
    <t>工　事　費　内　訳　書</t>
    <rPh sb="0" eb="1">
      <t>タクミ</t>
    </rPh>
    <rPh sb="2" eb="3">
      <t>コト</t>
    </rPh>
    <rPh sb="4" eb="5">
      <t>ヒ</t>
    </rPh>
    <rPh sb="6" eb="7">
      <t>ウチ</t>
    </rPh>
    <rPh sb="8" eb="9">
      <t>ヤク</t>
    </rPh>
    <rPh sb="10" eb="11">
      <t>ショ</t>
    </rPh>
    <phoneticPr fontId="2"/>
  </si>
  <si>
    <t>サイン工事</t>
    <rPh sb="3" eb="5">
      <t>コウジ</t>
    </rPh>
    <phoneticPr fontId="2"/>
  </si>
  <si>
    <t>テント工事</t>
    <rPh sb="3" eb="5">
      <t>コウジ</t>
    </rPh>
    <phoneticPr fontId="2"/>
  </si>
  <si>
    <t>建築課(地上建築物）</t>
    <rPh sb="0" eb="2">
      <t>ケンチク</t>
    </rPh>
    <rPh sb="2" eb="3">
      <t>カ</t>
    </rPh>
    <rPh sb="4" eb="6">
      <t>チジョウ</t>
    </rPh>
    <rPh sb="6" eb="9">
      <t>ケンチクブツ</t>
    </rPh>
    <phoneticPr fontId="2"/>
  </si>
  <si>
    <t>内訳書決裁欄</t>
    <rPh sb="0" eb="3">
      <t>ウチワケショ</t>
    </rPh>
    <rPh sb="3" eb="5">
      <t>ケッサイ</t>
    </rPh>
    <rPh sb="5" eb="6">
      <t>ラン</t>
    </rPh>
    <phoneticPr fontId="2"/>
  </si>
  <si>
    <t>石工事</t>
    <rPh sb="0" eb="1">
      <t>イシ</t>
    </rPh>
    <rPh sb="1" eb="3">
      <t>コウジ</t>
    </rPh>
    <phoneticPr fontId="2"/>
  </si>
  <si>
    <t>建築資産管理担当</t>
    <rPh sb="0" eb="2">
      <t>ケンチク</t>
    </rPh>
    <rPh sb="2" eb="4">
      <t>シサン</t>
    </rPh>
    <rPh sb="4" eb="6">
      <t>カンリ</t>
    </rPh>
    <rPh sb="6" eb="8">
      <t>タントウ</t>
    </rPh>
    <phoneticPr fontId="2"/>
  </si>
  <si>
    <t>建築課長</t>
    <rPh sb="0" eb="2">
      <t>ケンチク</t>
    </rPh>
    <rPh sb="2" eb="4">
      <t>カチョウ</t>
    </rPh>
    <phoneticPr fontId="2"/>
  </si>
  <si>
    <t>屋根工事</t>
    <rPh sb="0" eb="2">
      <t>ヤネ</t>
    </rPh>
    <rPh sb="2" eb="4">
      <t>コウジ</t>
    </rPh>
    <phoneticPr fontId="2"/>
  </si>
  <si>
    <t>建築管理事務所（施設管理）</t>
    <rPh sb="0" eb="2">
      <t>ケンチク</t>
    </rPh>
    <rPh sb="2" eb="4">
      <t>カンリ</t>
    </rPh>
    <rPh sb="4" eb="6">
      <t>ジム</t>
    </rPh>
    <rPh sb="6" eb="7">
      <t>ショ</t>
    </rPh>
    <rPh sb="8" eb="10">
      <t>シセツ</t>
    </rPh>
    <rPh sb="10" eb="12">
      <t>カンリ</t>
    </rPh>
    <phoneticPr fontId="2"/>
  </si>
  <si>
    <t>係員</t>
    <rPh sb="0" eb="2">
      <t>カカリイン</t>
    </rPh>
    <phoneticPr fontId="2"/>
  </si>
  <si>
    <t>係長</t>
    <rPh sb="0" eb="2">
      <t>カカリチョウ</t>
    </rPh>
    <phoneticPr fontId="2"/>
  </si>
  <si>
    <t>タイル工事</t>
    <rPh sb="3" eb="5">
      <t>コウジ</t>
    </rPh>
    <phoneticPr fontId="2"/>
  </si>
  <si>
    <t>建築管理事務所（安全管理）</t>
    <rPh sb="0" eb="2">
      <t>ケンチク</t>
    </rPh>
    <rPh sb="2" eb="4">
      <t>カンリ</t>
    </rPh>
    <rPh sb="4" eb="6">
      <t>ジム</t>
    </rPh>
    <rPh sb="6" eb="7">
      <t>ショ</t>
    </rPh>
    <rPh sb="8" eb="10">
      <t>アンゼン</t>
    </rPh>
    <rPh sb="10" eb="12">
      <t>カンリ</t>
    </rPh>
    <phoneticPr fontId="2"/>
  </si>
  <si>
    <t>由肥</t>
    <rPh sb="0" eb="1">
      <t>ユ</t>
    </rPh>
    <rPh sb="1" eb="2">
      <t>ヒ</t>
    </rPh>
    <phoneticPr fontId="2"/>
  </si>
  <si>
    <t>鹿島</t>
    <rPh sb="0" eb="2">
      <t>カシマ</t>
    </rPh>
    <phoneticPr fontId="2"/>
  </si>
  <si>
    <t>梶浦</t>
    <rPh sb="0" eb="2">
      <t>カジウラ</t>
    </rPh>
    <phoneticPr fontId="2"/>
  </si>
  <si>
    <t>水門・門扉工事</t>
    <rPh sb="0" eb="2">
      <t>スイモン</t>
    </rPh>
    <rPh sb="3" eb="5">
      <t>モンピ</t>
    </rPh>
    <rPh sb="5" eb="7">
      <t>コウジ</t>
    </rPh>
    <phoneticPr fontId="2"/>
  </si>
  <si>
    <t>建築管理事務所（保守管理）</t>
    <rPh sb="0" eb="2">
      <t>ケンチク</t>
    </rPh>
    <rPh sb="2" eb="4">
      <t>カンリ</t>
    </rPh>
    <rPh sb="4" eb="6">
      <t>ジム</t>
    </rPh>
    <rPh sb="6" eb="7">
      <t>ショ</t>
    </rPh>
    <rPh sb="8" eb="10">
      <t>ホシュ</t>
    </rPh>
    <rPh sb="10" eb="12">
      <t>カンリ</t>
    </rPh>
    <phoneticPr fontId="2"/>
  </si>
  <si>
    <t>舗装工事</t>
    <rPh sb="0" eb="2">
      <t>ホソウ</t>
    </rPh>
    <rPh sb="2" eb="4">
      <t>コウジ</t>
    </rPh>
    <phoneticPr fontId="2"/>
  </si>
  <si>
    <t>建築管理事務所（駅施設改造）</t>
    <rPh sb="0" eb="2">
      <t>ケンチク</t>
    </rPh>
    <rPh sb="2" eb="4">
      <t>カンリ</t>
    </rPh>
    <rPh sb="4" eb="6">
      <t>ジム</t>
    </rPh>
    <rPh sb="6" eb="7">
      <t>ショ</t>
    </rPh>
    <rPh sb="8" eb="9">
      <t>エキ</t>
    </rPh>
    <rPh sb="9" eb="11">
      <t>シセツ</t>
    </rPh>
    <rPh sb="11" eb="13">
      <t>カイゾウ</t>
    </rPh>
    <phoneticPr fontId="2"/>
  </si>
  <si>
    <t>ガラス工事</t>
    <rPh sb="3" eb="5">
      <t>コウジ</t>
    </rPh>
    <phoneticPr fontId="2"/>
  </si>
  <si>
    <t>建築管理事務所（小規模補修）</t>
    <rPh sb="0" eb="2">
      <t>ケンチク</t>
    </rPh>
    <rPh sb="2" eb="4">
      <t>カンリ</t>
    </rPh>
    <rPh sb="4" eb="6">
      <t>ジム</t>
    </rPh>
    <rPh sb="6" eb="7">
      <t>ショ</t>
    </rPh>
    <rPh sb="8" eb="11">
      <t>ショウキボ</t>
    </rPh>
    <rPh sb="11" eb="13">
      <t>ホシュウ</t>
    </rPh>
    <phoneticPr fontId="2"/>
  </si>
  <si>
    <t>塗装工事</t>
    <rPh sb="0" eb="2">
      <t>トソウ</t>
    </rPh>
    <rPh sb="2" eb="4">
      <t>コウジ</t>
    </rPh>
    <phoneticPr fontId="2"/>
  </si>
  <si>
    <t>建築管理事務所（建築工事）</t>
    <rPh sb="0" eb="2">
      <t>ケンチク</t>
    </rPh>
    <rPh sb="2" eb="4">
      <t>カンリ</t>
    </rPh>
    <rPh sb="4" eb="6">
      <t>ジム</t>
    </rPh>
    <rPh sb="6" eb="7">
      <t>ショ</t>
    </rPh>
    <rPh sb="8" eb="10">
      <t>ケンチク</t>
    </rPh>
    <rPh sb="10" eb="12">
      <t>コウジ</t>
    </rPh>
    <phoneticPr fontId="2"/>
  </si>
  <si>
    <t>防水工事</t>
    <rPh sb="0" eb="2">
      <t>ボウスイ</t>
    </rPh>
    <rPh sb="2" eb="4">
      <t>コウジ</t>
    </rPh>
    <phoneticPr fontId="2"/>
  </si>
  <si>
    <t>建築管理事務所（北部建築保守）</t>
    <rPh sb="0" eb="2">
      <t>ケンチク</t>
    </rPh>
    <rPh sb="2" eb="4">
      <t>カンリ</t>
    </rPh>
    <rPh sb="4" eb="6">
      <t>ジム</t>
    </rPh>
    <rPh sb="6" eb="7">
      <t>ショ</t>
    </rPh>
    <rPh sb="8" eb="10">
      <t>ホクブ</t>
    </rPh>
    <rPh sb="10" eb="12">
      <t>ケンチク</t>
    </rPh>
    <rPh sb="12" eb="14">
      <t>ホシュ</t>
    </rPh>
    <phoneticPr fontId="2"/>
  </si>
  <si>
    <t>内装仕上げ工事</t>
    <rPh sb="0" eb="2">
      <t>ナイソウ</t>
    </rPh>
    <rPh sb="2" eb="4">
      <t>シア</t>
    </rPh>
    <rPh sb="5" eb="7">
      <t>コウジ</t>
    </rPh>
    <phoneticPr fontId="2"/>
  </si>
  <si>
    <t>建築管理事務所（南部建築保守）</t>
    <rPh sb="0" eb="2">
      <t>ケンチク</t>
    </rPh>
    <rPh sb="2" eb="4">
      <t>カンリ</t>
    </rPh>
    <rPh sb="4" eb="6">
      <t>ジム</t>
    </rPh>
    <rPh sb="6" eb="7">
      <t>ショ</t>
    </rPh>
    <rPh sb="8" eb="10">
      <t>ナンブ</t>
    </rPh>
    <rPh sb="10" eb="12">
      <t>ケンチク</t>
    </rPh>
    <rPh sb="12" eb="14">
      <t>ホシュ</t>
    </rPh>
    <phoneticPr fontId="2"/>
  </si>
  <si>
    <t>総内訳が２ﾍﾟｰｼﾞ以上になる場合、I２5ｾﾙに必要なﾍﾟｰｼﾞ数を記入。(3～15枚まで)</t>
    <rPh sb="0" eb="1">
      <t>ソウ</t>
    </rPh>
    <rPh sb="1" eb="3">
      <t>ウチワケショ</t>
    </rPh>
    <rPh sb="10" eb="12">
      <t>イジョウ</t>
    </rPh>
    <rPh sb="15" eb="17">
      <t>バアイ</t>
    </rPh>
    <rPh sb="24" eb="26">
      <t>ヒツヨウ</t>
    </rPh>
    <rPh sb="32" eb="33">
      <t>スウ</t>
    </rPh>
    <rPh sb="34" eb="36">
      <t>キニュウ</t>
    </rPh>
    <rPh sb="42" eb="43">
      <t>マイ</t>
    </rPh>
    <phoneticPr fontId="2"/>
  </si>
  <si>
    <t>建具工事</t>
    <rPh sb="0" eb="2">
      <t>タテグ</t>
    </rPh>
    <rPh sb="2" eb="4">
      <t>コウジ</t>
    </rPh>
    <phoneticPr fontId="2"/>
  </si>
  <si>
    <t>工　　事　　費　　内　　訳　　書</t>
    <rPh sb="6" eb="7">
      <t>ヒ</t>
    </rPh>
    <rPh sb="9" eb="10">
      <t>ウチ</t>
    </rPh>
    <rPh sb="12" eb="13">
      <t>ヤク</t>
    </rPh>
    <phoneticPr fontId="2"/>
  </si>
  <si>
    <t>作業時間</t>
    <phoneticPr fontId="2"/>
  </si>
  <si>
    <t>運搬時間</t>
  </si>
  <si>
    <t>名             称</t>
  </si>
  <si>
    <t>形   状   寸   法</t>
  </si>
  <si>
    <t>数   量</t>
  </si>
  <si>
    <t>単 位</t>
  </si>
  <si>
    <t>単   価</t>
  </si>
  <si>
    <t>金    額</t>
  </si>
  <si>
    <t>摘            要</t>
  </si>
  <si>
    <t>円</t>
    <rPh sb="0" eb="1">
      <t>エン</t>
    </rPh>
    <phoneticPr fontId="2"/>
  </si>
  <si>
    <t>直接工事費</t>
    <rPh sb="0" eb="2">
      <t>チョクセツ</t>
    </rPh>
    <rPh sb="2" eb="5">
      <t>コウジヒ</t>
    </rPh>
    <phoneticPr fontId="2"/>
  </si>
  <si>
    <t>式</t>
  </si>
  <si>
    <t>共通費</t>
    <rPh sb="0" eb="2">
      <t>キョウツウ</t>
    </rPh>
    <rPh sb="2" eb="3">
      <t>ヒ</t>
    </rPh>
    <phoneticPr fontId="2"/>
  </si>
  <si>
    <t>　共通仮設費</t>
    <rPh sb="1" eb="3">
      <t>キョウツウ</t>
    </rPh>
    <rPh sb="3" eb="5">
      <t>カセツ</t>
    </rPh>
    <rPh sb="5" eb="6">
      <t>ヒ</t>
    </rPh>
    <phoneticPr fontId="2"/>
  </si>
  <si>
    <t>式</t>
    <rPh sb="0" eb="1">
      <t>シキ</t>
    </rPh>
    <phoneticPr fontId="2"/>
  </si>
  <si>
    <t>　現場管理費</t>
    <rPh sb="1" eb="3">
      <t>ゲンバ</t>
    </rPh>
    <rPh sb="3" eb="6">
      <t>カンリヒ</t>
    </rPh>
    <phoneticPr fontId="2"/>
  </si>
  <si>
    <t>　一般管理費等</t>
    <rPh sb="1" eb="3">
      <t>イッパン</t>
    </rPh>
    <rPh sb="3" eb="6">
      <t>カンリヒ</t>
    </rPh>
    <rPh sb="6" eb="7">
      <t>ナド</t>
    </rPh>
    <phoneticPr fontId="2"/>
  </si>
  <si>
    <t>　小　　計</t>
    <rPh sb="1" eb="2">
      <t>ショウ</t>
    </rPh>
    <rPh sb="4" eb="5">
      <t>ケイ</t>
    </rPh>
    <phoneticPr fontId="2"/>
  </si>
  <si>
    <t>　計</t>
    <rPh sb="1" eb="2">
      <t>ケイ</t>
    </rPh>
    <phoneticPr fontId="2"/>
  </si>
  <si>
    <t>消費税及び地方消費税相当額</t>
    <rPh sb="0" eb="3">
      <t>ショウヒゼイ</t>
    </rPh>
    <rPh sb="3" eb="4">
      <t>オヨ</t>
    </rPh>
    <rPh sb="5" eb="7">
      <t>チホウ</t>
    </rPh>
    <rPh sb="7" eb="10">
      <t>ショウヒゼイ</t>
    </rPh>
    <rPh sb="10" eb="12">
      <t>ソウトウ</t>
    </rPh>
    <rPh sb="12" eb="13">
      <t>ガク</t>
    </rPh>
    <phoneticPr fontId="2"/>
  </si>
  <si>
    <t/>
  </si>
  <si>
    <t>合　　計</t>
    <phoneticPr fontId="2"/>
  </si>
  <si>
    <t>page</t>
    <phoneticPr fontId="2"/>
  </si>
  <si>
    <t>/</t>
    <phoneticPr fontId="2"/>
  </si>
  <si>
    <t>ア)東梅田駅の部</t>
    <rPh sb="2" eb="6">
      <t>ヒガシウメダエキ</t>
    </rPh>
    <rPh sb="7" eb="8">
      <t>ブ</t>
    </rPh>
    <phoneticPr fontId="2"/>
  </si>
  <si>
    <t>消費税及び地方消費税相当額</t>
  </si>
  <si>
    <t xml:space="preserve">  計</t>
    <phoneticPr fontId="2"/>
  </si>
  <si>
    <t>イ)6号線堺筋本町駅の部</t>
    <rPh sb="3" eb="5">
      <t>ゴウセン</t>
    </rPh>
    <rPh sb="5" eb="9">
      <t>サカイスジホンマチ</t>
    </rPh>
    <rPh sb="9" eb="10">
      <t>エキ</t>
    </rPh>
    <rPh sb="11" eb="12">
      <t>ブ</t>
    </rPh>
    <phoneticPr fontId="2"/>
  </si>
  <si>
    <t>可動式ホーム柵設置に伴う建築工事</t>
    <rPh sb="0" eb="3">
      <t>カドウシキ</t>
    </rPh>
    <rPh sb="6" eb="7">
      <t>サク</t>
    </rPh>
    <rPh sb="7" eb="9">
      <t>セッチ</t>
    </rPh>
    <rPh sb="10" eb="11">
      <t>トモナ</t>
    </rPh>
    <rPh sb="12" eb="14">
      <t>ケンチク</t>
    </rPh>
    <rPh sb="14" eb="16">
      <t>コウジ</t>
    </rPh>
    <phoneticPr fontId="2"/>
  </si>
  <si>
    <t>図面・仕様書どおり</t>
    <rPh sb="0" eb="2">
      <t>ズメン</t>
    </rPh>
    <rPh sb="3" eb="6">
      <t>シヨウショ</t>
    </rPh>
    <phoneticPr fontId="2"/>
  </si>
  <si>
    <t>共通費共</t>
    <rPh sb="0" eb="2">
      <t>キョウツウ</t>
    </rPh>
    <rPh sb="2" eb="3">
      <t>ヒ</t>
    </rPh>
    <rPh sb="3" eb="4">
      <t>トモ</t>
    </rPh>
    <phoneticPr fontId="2"/>
  </si>
  <si>
    <t>工事1</t>
    <rPh sb="0" eb="2">
      <t>コウジ</t>
    </rPh>
    <phoneticPr fontId="2"/>
  </si>
  <si>
    <t>隙間解消工事</t>
    <rPh sb="0" eb="2">
      <t>スキマ</t>
    </rPh>
    <rPh sb="2" eb="4">
      <t>カイショウ</t>
    </rPh>
    <rPh sb="4" eb="6">
      <t>コウジ</t>
    </rPh>
    <phoneticPr fontId="2"/>
  </si>
  <si>
    <t>工事2</t>
    <rPh sb="0" eb="2">
      <t>コウジ</t>
    </rPh>
    <phoneticPr fontId="2"/>
  </si>
  <si>
    <t>列車停止位置変更に伴う建築工事</t>
    <rPh sb="0" eb="2">
      <t>レッシャ</t>
    </rPh>
    <rPh sb="2" eb="4">
      <t>テイシ</t>
    </rPh>
    <rPh sb="4" eb="6">
      <t>イチ</t>
    </rPh>
    <rPh sb="6" eb="8">
      <t>ヘンコウ</t>
    </rPh>
    <rPh sb="9" eb="10">
      <t>トモナ</t>
    </rPh>
    <rPh sb="11" eb="13">
      <t>ケンチク</t>
    </rPh>
    <rPh sb="13" eb="15">
      <t>コウジ</t>
    </rPh>
    <phoneticPr fontId="2"/>
  </si>
  <si>
    <t>工事3</t>
    <rPh sb="0" eb="2">
      <t>コウジ</t>
    </rPh>
    <phoneticPr fontId="2"/>
  </si>
  <si>
    <t>床仕上改造その他工事</t>
    <rPh sb="0" eb="1">
      <t>ユカ</t>
    </rPh>
    <rPh sb="1" eb="3">
      <t>シア</t>
    </rPh>
    <rPh sb="3" eb="5">
      <t>カイゾウ</t>
    </rPh>
    <rPh sb="7" eb="8">
      <t>タ</t>
    </rPh>
    <rPh sb="8" eb="10">
      <t>コウジ</t>
    </rPh>
    <phoneticPr fontId="2"/>
  </si>
  <si>
    <t>工事4</t>
    <rPh sb="0" eb="2">
      <t>コウジ</t>
    </rPh>
    <phoneticPr fontId="2"/>
  </si>
  <si>
    <t>整列乗車対策工事</t>
    <rPh sb="0" eb="2">
      <t>セイレツ</t>
    </rPh>
    <rPh sb="2" eb="4">
      <t>ジョウシャ</t>
    </rPh>
    <rPh sb="4" eb="6">
      <t>タイサク</t>
    </rPh>
    <rPh sb="6" eb="8">
      <t>コウジ</t>
    </rPh>
    <phoneticPr fontId="2"/>
  </si>
  <si>
    <t>工事5</t>
    <rPh sb="0" eb="2">
      <t>コウジ</t>
    </rPh>
    <phoneticPr fontId="2"/>
  </si>
  <si>
    <t>小計</t>
    <rPh sb="0" eb="2">
      <t>ショウケイ</t>
    </rPh>
    <phoneticPr fontId="2"/>
  </si>
  <si>
    <t>工事6</t>
    <rPh sb="0" eb="2">
      <t>コウジ</t>
    </rPh>
    <phoneticPr fontId="2"/>
  </si>
  <si>
    <t>工事7</t>
    <rPh sb="0" eb="2">
      <t>コウジ</t>
    </rPh>
    <phoneticPr fontId="2"/>
  </si>
  <si>
    <t>工事8</t>
    <rPh sb="0" eb="2">
      <t>コウジ</t>
    </rPh>
    <phoneticPr fontId="2"/>
  </si>
  <si>
    <t>このシートのページ数を変更したい場合は、必要ページ数を入力↓</t>
    <rPh sb="9" eb="10">
      <t>スウ</t>
    </rPh>
    <rPh sb="11" eb="13">
      <t>ヘンコウ</t>
    </rPh>
    <rPh sb="16" eb="18">
      <t>バアイ</t>
    </rPh>
    <rPh sb="20" eb="22">
      <t>ヒツヨウ</t>
    </rPh>
    <rPh sb="25" eb="26">
      <t>スウ</t>
    </rPh>
    <rPh sb="27" eb="29">
      <t>ニュウリョク</t>
    </rPh>
    <phoneticPr fontId="2"/>
  </si>
  <si>
    <t>前シートのページ数</t>
    <rPh sb="0" eb="1">
      <t>ゼン</t>
    </rPh>
    <rPh sb="8" eb="9">
      <t>スウ</t>
    </rPh>
    <phoneticPr fontId="2"/>
  </si>
  <si>
    <t>全項数</t>
    <rPh sb="0" eb="1">
      <t>ゼン</t>
    </rPh>
    <rPh sb="1" eb="2">
      <t>コウ</t>
    </rPh>
    <rPh sb="2" eb="3">
      <t>スウ</t>
    </rPh>
    <phoneticPr fontId="2"/>
  </si>
  <si>
    <t>このシートの最終ページ数</t>
    <rPh sb="6" eb="8">
      <t>サイシュウ</t>
    </rPh>
    <rPh sb="11" eb="12">
      <t>スウ</t>
    </rPh>
    <phoneticPr fontId="2"/>
  </si>
  <si>
    <t>資産管理明細書</t>
    <rPh sb="0" eb="2">
      <t>シサン</t>
    </rPh>
    <rPh sb="2" eb="4">
      <t>カンリ</t>
    </rPh>
    <rPh sb="4" eb="7">
      <t>メイサイショ</t>
    </rPh>
    <phoneticPr fontId="2"/>
  </si>
  <si>
    <t>事業案
稟議番号</t>
    <rPh sb="0" eb="2">
      <t>ジギョウ</t>
    </rPh>
    <rPh sb="2" eb="3">
      <t>アン</t>
    </rPh>
    <rPh sb="4" eb="6">
      <t>リンギ</t>
    </rPh>
    <rPh sb="6" eb="8">
      <t>バンゴウ</t>
    </rPh>
    <phoneticPr fontId="2"/>
  </si>
  <si>
    <t>プロジェクトコード</t>
    <phoneticPr fontId="2"/>
  </si>
  <si>
    <t>B617009</t>
    <phoneticPr fontId="2"/>
  </si>
  <si>
    <t>番号</t>
    <rPh sb="0" eb="2">
      <t>バンゴウ</t>
    </rPh>
    <phoneticPr fontId="2"/>
  </si>
  <si>
    <t>費目名称
工事種別名称</t>
    <rPh sb="0" eb="2">
      <t>ヒモク</t>
    </rPh>
    <rPh sb="2" eb="4">
      <t>メイショウ</t>
    </rPh>
    <rPh sb="5" eb="7">
      <t>コウジ</t>
    </rPh>
    <rPh sb="7" eb="9">
      <t>シュベツ</t>
    </rPh>
    <rPh sb="9" eb="11">
      <t>メイショウ</t>
    </rPh>
    <phoneticPr fontId="2"/>
  </si>
  <si>
    <t>資産名称</t>
    <rPh sb="0" eb="2">
      <t>シサン</t>
    </rPh>
    <rPh sb="2" eb="4">
      <t>メイショウ</t>
    </rPh>
    <phoneticPr fontId="2"/>
  </si>
  <si>
    <t>財務分類</t>
    <rPh sb="0" eb="2">
      <t>ザイム</t>
    </rPh>
    <rPh sb="2" eb="4">
      <t>ブンルイ</t>
    </rPh>
    <phoneticPr fontId="2"/>
  </si>
  <si>
    <t>WBS
第２階層
コード</t>
    <rPh sb="4" eb="5">
      <t>ダイ</t>
    </rPh>
    <rPh sb="6" eb="8">
      <t>カイソウ</t>
    </rPh>
    <phoneticPr fontId="2"/>
  </si>
  <si>
    <t>予算掌理部</t>
    <rPh sb="0" eb="2">
      <t>ヨサン</t>
    </rPh>
    <rPh sb="2" eb="4">
      <t>ショウリ</t>
    </rPh>
    <rPh sb="4" eb="5">
      <t>ブ</t>
    </rPh>
    <phoneticPr fontId="2"/>
  </si>
  <si>
    <t>金額</t>
    <rPh sb="0" eb="2">
      <t>キンガク</t>
    </rPh>
    <phoneticPr fontId="2"/>
  </si>
  <si>
    <t>資産クラスコード</t>
    <rPh sb="0" eb="2">
      <t>シサン</t>
    </rPh>
    <phoneticPr fontId="2"/>
  </si>
  <si>
    <t>資産クラス名称</t>
    <rPh sb="0" eb="2">
      <t>シサン</t>
    </rPh>
    <rPh sb="5" eb="7">
      <t>メイショウ</t>
    </rPh>
    <phoneticPr fontId="2"/>
  </si>
  <si>
    <t>ア)東梅田駅の部</t>
  </si>
  <si>
    <t>1</t>
  </si>
  <si>
    <t>経営戦略・グループ戦略部</t>
    <rPh sb="0" eb="2">
      <t>ケイエイ</t>
    </rPh>
    <rPh sb="2" eb="4">
      <t>センリャク</t>
    </rPh>
    <rPh sb="9" eb="11">
      <t>センリャク</t>
    </rPh>
    <rPh sb="11" eb="12">
      <t>ブ</t>
    </rPh>
    <phoneticPr fontId="47"/>
  </si>
  <si>
    <t>工事1</t>
  </si>
  <si>
    <t>可動式ホーム柵設置に伴う建築工事</t>
    <phoneticPr fontId="2"/>
  </si>
  <si>
    <t>東梅田駅（R2建物</t>
    <rPh sb="0" eb="1">
      <t>ヒガシ</t>
    </rPh>
    <rPh sb="1" eb="3">
      <t>ウメダ</t>
    </rPh>
    <rPh sb="3" eb="4">
      <t>エキ</t>
    </rPh>
    <rPh sb="7" eb="9">
      <t>タテモノ</t>
    </rPh>
    <phoneticPr fontId="2"/>
  </si>
  <si>
    <t>１　資産【自己調達資金】</t>
  </si>
  <si>
    <t>２HH1</t>
    <phoneticPr fontId="2"/>
  </si>
  <si>
    <t>6　統括部</t>
  </si>
  <si>
    <t>3</t>
  </si>
  <si>
    <t>総務部</t>
  </si>
  <si>
    <t>東梅田駅（R2）サイン・広告-金属製以外</t>
    <rPh sb="0" eb="1">
      <t>ヒガシ</t>
    </rPh>
    <rPh sb="1" eb="3">
      <t>ウメダ</t>
    </rPh>
    <rPh sb="3" eb="4">
      <t>エキ</t>
    </rPh>
    <rPh sb="12" eb="14">
      <t>コウコク</t>
    </rPh>
    <rPh sb="15" eb="18">
      <t>キンゾクセイ</t>
    </rPh>
    <rPh sb="18" eb="20">
      <t>イガイ</t>
    </rPh>
    <phoneticPr fontId="2"/>
  </si>
  <si>
    <t>4</t>
  </si>
  <si>
    <t>財務部</t>
  </si>
  <si>
    <t>費用計上</t>
    <rPh sb="0" eb="2">
      <t>ヒヨウ</t>
    </rPh>
    <rPh sb="2" eb="4">
      <t>ケイジョウ</t>
    </rPh>
    <phoneticPr fontId="2"/>
  </si>
  <si>
    <t>２　費用（撤去費）【自己調達資金】</t>
  </si>
  <si>
    <t>5</t>
  </si>
  <si>
    <t>調達部</t>
  </si>
  <si>
    <t>工事2</t>
  </si>
  <si>
    <t>隙間解消工事</t>
  </si>
  <si>
    <t>東梅田駅（R2）建物</t>
    <rPh sb="0" eb="1">
      <t>ヒガシ</t>
    </rPh>
    <rPh sb="1" eb="3">
      <t>ウメダ</t>
    </rPh>
    <rPh sb="3" eb="4">
      <t>エキ</t>
    </rPh>
    <rPh sb="8" eb="10">
      <t>タテモノ</t>
    </rPh>
    <phoneticPr fontId="2"/>
  </si>
  <si>
    <t>Ｂ　資産【補助対象】</t>
  </si>
  <si>
    <t>6</t>
  </si>
  <si>
    <t>統括部</t>
    <rPh sb="0" eb="2">
      <t>トウカツ</t>
    </rPh>
    <rPh sb="2" eb="3">
      <t>ブ</t>
    </rPh>
    <phoneticPr fontId="47"/>
  </si>
  <si>
    <t>7</t>
  </si>
  <si>
    <t>駅務部</t>
    <rPh sb="0" eb="2">
      <t>エキム</t>
    </rPh>
    <rPh sb="2" eb="3">
      <t>ブ</t>
    </rPh>
    <phoneticPr fontId="47"/>
  </si>
  <si>
    <t>工事3</t>
  </si>
  <si>
    <t>列車停止位置変更に伴う建築工事</t>
  </si>
  <si>
    <t>8</t>
  </si>
  <si>
    <t>運転部</t>
  </si>
  <si>
    <t>9</t>
  </si>
  <si>
    <t>営業部</t>
  </si>
  <si>
    <t>A</t>
  </si>
  <si>
    <t>電気部</t>
    <rPh sb="0" eb="2">
      <t>デンキ</t>
    </rPh>
    <rPh sb="2" eb="3">
      <t>ブ</t>
    </rPh>
    <phoneticPr fontId="47"/>
  </si>
  <si>
    <t>B</t>
  </si>
  <si>
    <t>車両部</t>
    <rPh sb="0" eb="2">
      <t>シャリョウ</t>
    </rPh>
    <rPh sb="2" eb="3">
      <t>ブ</t>
    </rPh>
    <phoneticPr fontId="47"/>
  </si>
  <si>
    <t>C</t>
  </si>
  <si>
    <t>工務部</t>
    <rPh sb="0" eb="2">
      <t>コウム</t>
    </rPh>
    <rPh sb="2" eb="3">
      <t>ブ</t>
    </rPh>
    <phoneticPr fontId="47"/>
  </si>
  <si>
    <t>F</t>
  </si>
  <si>
    <t>監査室</t>
    <rPh sb="0" eb="2">
      <t>カンサ</t>
    </rPh>
    <rPh sb="2" eb="3">
      <t>シツ</t>
    </rPh>
    <phoneticPr fontId="47"/>
  </si>
  <si>
    <t>H</t>
  </si>
  <si>
    <t>監査役室</t>
  </si>
  <si>
    <t>イ)6号線堺筋本町駅の部</t>
  </si>
  <si>
    <t>工事6</t>
  </si>
  <si>
    <t>堺筋本町駅（R6）建物</t>
    <rPh sb="0" eb="4">
      <t>サカイスジホンマチ</t>
    </rPh>
    <rPh sb="4" eb="5">
      <t>エキ</t>
    </rPh>
    <rPh sb="9" eb="11">
      <t>タテモノ</t>
    </rPh>
    <phoneticPr fontId="2"/>
  </si>
  <si>
    <t>２HH2</t>
    <phoneticPr fontId="2"/>
  </si>
  <si>
    <t>堺筋本町駅（R6）サイン・広告-金属製以外</t>
    <rPh sb="0" eb="4">
      <t>サカイスジホンマチ</t>
    </rPh>
    <rPh sb="4" eb="5">
      <t>エキ</t>
    </rPh>
    <rPh sb="13" eb="15">
      <t>コウコク</t>
    </rPh>
    <rPh sb="16" eb="19">
      <t>キンゾクセイ</t>
    </rPh>
    <rPh sb="19" eb="21">
      <t>イガイ</t>
    </rPh>
    <phoneticPr fontId="2"/>
  </si>
  <si>
    <t>工事7</t>
  </si>
  <si>
    <t>E</t>
  </si>
  <si>
    <t>安全推進室</t>
    <rPh sb="0" eb="4">
      <t>アンゼンスイシン</t>
    </rPh>
    <rPh sb="4" eb="5">
      <t>シツ</t>
    </rPh>
    <phoneticPr fontId="50"/>
  </si>
  <si>
    <t>G</t>
  </si>
  <si>
    <t>人事部</t>
    <rPh sb="0" eb="2">
      <t>ジンジ</t>
    </rPh>
    <rPh sb="2" eb="3">
      <t>ブ</t>
    </rPh>
    <phoneticPr fontId="47"/>
  </si>
  <si>
    <t>D2185702</t>
    <phoneticPr fontId="2"/>
  </si>
  <si>
    <t>BD17007</t>
    <phoneticPr fontId="2"/>
  </si>
  <si>
    <t>工事4</t>
  </si>
  <si>
    <t>床仕上改造その他工事</t>
  </si>
  <si>
    <t>東梅田駅（Ｒ2）建物</t>
    <rPh sb="0" eb="1">
      <t>ヒガシ</t>
    </rPh>
    <rPh sb="1" eb="3">
      <t>ウメダ</t>
    </rPh>
    <rPh sb="3" eb="4">
      <t>エキ</t>
    </rPh>
    <rPh sb="8" eb="10">
      <t>タテモノ</t>
    </rPh>
    <phoneticPr fontId="2"/>
  </si>
  <si>
    <t>２BS1</t>
    <phoneticPr fontId="2"/>
  </si>
  <si>
    <t>D　建築部</t>
  </si>
  <si>
    <t>工事8</t>
  </si>
  <si>
    <t>B617006</t>
    <phoneticPr fontId="2"/>
  </si>
  <si>
    <t>2</t>
  </si>
  <si>
    <t>新規事業開発部</t>
    <rPh sb="0" eb="2">
      <t>シンキ</t>
    </rPh>
    <rPh sb="2" eb="4">
      <t>ジギョウ</t>
    </rPh>
    <rPh sb="4" eb="7">
      <t>カイハツブ</t>
    </rPh>
    <phoneticPr fontId="47"/>
  </si>
  <si>
    <t>工事5</t>
  </si>
  <si>
    <t>整列乗車対策工事</t>
  </si>
  <si>
    <t>AHR2</t>
    <phoneticPr fontId="2"/>
  </si>
  <si>
    <t>整列乗車対策工事</t>
    <phoneticPr fontId="2"/>
  </si>
  <si>
    <t>３　費用（修繕費）【自己調達資金】</t>
  </si>
  <si>
    <t>D</t>
  </si>
  <si>
    <t>建築部</t>
    <rPh sb="0" eb="2">
      <t>ケンチク</t>
    </rPh>
    <rPh sb="2" eb="3">
      <t>ブ</t>
    </rPh>
    <phoneticPr fontId="47"/>
  </si>
  <si>
    <t>計</t>
    <rPh sb="0" eb="1">
      <t>ケイ</t>
    </rPh>
    <phoneticPr fontId="2"/>
  </si>
  <si>
    <t>消費税及び地方消費税相当額</t>
    <phoneticPr fontId="2"/>
  </si>
  <si>
    <t>合計</t>
    <rPh sb="0" eb="2">
      <t>ゴウケイ</t>
    </rPh>
    <phoneticPr fontId="2"/>
  </si>
  <si>
    <t>工事名称：</t>
  </si>
  <si>
    <t>資　産　ク　ラ　ス　分　割　表</t>
    <rPh sb="0" eb="1">
      <t>シ</t>
    </rPh>
    <rPh sb="2" eb="3">
      <t>サン</t>
    </rPh>
    <rPh sb="10" eb="11">
      <t>ブン</t>
    </rPh>
    <rPh sb="12" eb="13">
      <t>ワリ</t>
    </rPh>
    <rPh sb="14" eb="15">
      <t>ヒョウ</t>
    </rPh>
    <phoneticPr fontId="2"/>
  </si>
  <si>
    <t>計上区分　資産or費用を選択⇒</t>
    <rPh sb="0" eb="2">
      <t>ケイジョウ</t>
    </rPh>
    <rPh sb="2" eb="4">
      <t>クブン</t>
    </rPh>
    <rPh sb="5" eb="7">
      <t>シサン</t>
    </rPh>
    <rPh sb="9" eb="11">
      <t>ヒヨウ</t>
    </rPh>
    <rPh sb="12" eb="14">
      <t>センタク</t>
    </rPh>
    <phoneticPr fontId="2"/>
  </si>
  <si>
    <t>資産</t>
  </si>
  <si>
    <t>直接仮設費</t>
    <rPh sb="0" eb="2">
      <t>チョクセツ</t>
    </rPh>
    <rPh sb="2" eb="4">
      <t>カセツ</t>
    </rPh>
    <rPh sb="4" eb="5">
      <t>ヒ</t>
    </rPh>
    <phoneticPr fontId="2"/>
  </si>
  <si>
    <t>部分撤去工事</t>
    <rPh sb="0" eb="2">
      <t>ブブン</t>
    </rPh>
    <rPh sb="2" eb="4">
      <t>テッキョ</t>
    </rPh>
    <rPh sb="4" eb="6">
      <t>コウジ</t>
    </rPh>
    <phoneticPr fontId="2"/>
  </si>
  <si>
    <t>直接仮設及び部分撤去工事を除く直接工事費</t>
    <rPh sb="0" eb="2">
      <t>チョクセツ</t>
    </rPh>
    <rPh sb="2" eb="4">
      <t>カセツ</t>
    </rPh>
    <rPh sb="4" eb="5">
      <t>オヨ</t>
    </rPh>
    <rPh sb="6" eb="8">
      <t>ブブン</t>
    </rPh>
    <rPh sb="8" eb="10">
      <t>テッキョ</t>
    </rPh>
    <rPh sb="10" eb="12">
      <t>コウジ</t>
    </rPh>
    <rPh sb="13" eb="14">
      <t>ノゾ</t>
    </rPh>
    <rPh sb="15" eb="17">
      <t>チョクセツ</t>
    </rPh>
    <rPh sb="17" eb="19">
      <t>コウジ</t>
    </rPh>
    <rPh sb="19" eb="20">
      <t>ヒ</t>
    </rPh>
    <phoneticPr fontId="2"/>
  </si>
  <si>
    <t>資産</t>
    <rPh sb="0" eb="2">
      <t>シサン</t>
    </rPh>
    <phoneticPr fontId="2"/>
  </si>
  <si>
    <t>うち部分撤去工事</t>
    <rPh sb="2" eb="4">
      <t>ブブン</t>
    </rPh>
    <rPh sb="4" eb="6">
      <t>テッキョ</t>
    </rPh>
    <rPh sb="6" eb="8">
      <t>コウジ</t>
    </rPh>
    <phoneticPr fontId="2"/>
  </si>
  <si>
    <t>費用</t>
    <rPh sb="0" eb="2">
      <t>ヒヨウ</t>
    </rPh>
    <phoneticPr fontId="2"/>
  </si>
  <si>
    <t>　　うち、共通仮設費 　</t>
    <rPh sb="5" eb="7">
      <t>キョウツウ</t>
    </rPh>
    <rPh sb="7" eb="9">
      <t>カセツ</t>
    </rPh>
    <rPh sb="9" eb="10">
      <t>ヒ</t>
    </rPh>
    <phoneticPr fontId="2"/>
  </si>
  <si>
    <t xml:space="preserve">　　うち、現場管理費　 </t>
    <rPh sb="5" eb="7">
      <t>ゲンバ</t>
    </rPh>
    <rPh sb="7" eb="10">
      <t>カンリヒ</t>
    </rPh>
    <phoneticPr fontId="2"/>
  </si>
  <si>
    <t>　　うち、一般管理費等</t>
    <rPh sb="5" eb="7">
      <t>イッパン</t>
    </rPh>
    <rPh sb="7" eb="10">
      <t>カンリヒ</t>
    </rPh>
    <rPh sb="10" eb="11">
      <t>トウ</t>
    </rPh>
    <phoneticPr fontId="2"/>
  </si>
  <si>
    <t>工事価格</t>
    <rPh sb="0" eb="2">
      <t>コウジ</t>
    </rPh>
    <rPh sb="2" eb="4">
      <t>カカク</t>
    </rPh>
    <phoneticPr fontId="2"/>
  </si>
  <si>
    <t>０５建物　直接工事費</t>
    <rPh sb="2" eb="4">
      <t>タテモノ</t>
    </rPh>
    <rPh sb="5" eb="7">
      <t>チョクセツ</t>
    </rPh>
    <rPh sb="7" eb="10">
      <t>コウジヒ</t>
    </rPh>
    <phoneticPr fontId="2"/>
  </si>
  <si>
    <t>耐用年数</t>
    <rPh sb="0" eb="2">
      <t>タイヨウ</t>
    </rPh>
    <rPh sb="2" eb="4">
      <t>ネンスウ</t>
    </rPh>
    <phoneticPr fontId="2"/>
  </si>
  <si>
    <t>勘定科目「項」--&gt;</t>
    <rPh sb="5" eb="6">
      <t>コウ</t>
    </rPh>
    <phoneticPr fontId="2"/>
  </si>
  <si>
    <t>05建物</t>
    <rPh sb="2" eb="4">
      <t>タテモノ</t>
    </rPh>
    <phoneticPr fontId="2"/>
  </si>
  <si>
    <t>（直接仮設・部分撤去・費用を除く）</t>
    <phoneticPr fontId="2"/>
  </si>
  <si>
    <t>勘定科目「目」を選択--&gt;</t>
    <rPh sb="5" eb="6">
      <t>モク</t>
    </rPh>
    <phoneticPr fontId="2"/>
  </si>
  <si>
    <t>007停車場建物</t>
  </si>
  <si>
    <t>01</t>
    <phoneticPr fontId="2"/>
  </si>
  <si>
    <t>建築仕上げ</t>
    <rPh sb="0" eb="2">
      <t>ケンチク</t>
    </rPh>
    <rPh sb="2" eb="4">
      <t>シア</t>
    </rPh>
    <phoneticPr fontId="2"/>
  </si>
  <si>
    <t>鉄コン造</t>
    <phoneticPr fontId="2"/>
  </si>
  <si>
    <t>02</t>
    <phoneticPr fontId="2"/>
  </si>
  <si>
    <t>れんが石ブロック造</t>
    <phoneticPr fontId="2"/>
  </si>
  <si>
    <t>03</t>
    <phoneticPr fontId="2"/>
  </si>
  <si>
    <t>金属造(4mm超)</t>
    <phoneticPr fontId="2"/>
  </si>
  <si>
    <t>04</t>
    <phoneticPr fontId="2"/>
  </si>
  <si>
    <t>金属造(3mm超4mm以下)</t>
    <phoneticPr fontId="2"/>
  </si>
  <si>
    <t>05</t>
    <phoneticPr fontId="2"/>
  </si>
  <si>
    <t>金属造(肉厚が3mm以下)</t>
    <phoneticPr fontId="2"/>
  </si>
  <si>
    <t>06</t>
    <phoneticPr fontId="2"/>
  </si>
  <si>
    <t>木造又は合成樹脂造</t>
    <phoneticPr fontId="2"/>
  </si>
  <si>
    <t>07</t>
    <phoneticPr fontId="2"/>
  </si>
  <si>
    <t>木骨モルタル造</t>
    <phoneticPr fontId="2"/>
  </si>
  <si>
    <t>08</t>
    <phoneticPr fontId="2"/>
  </si>
  <si>
    <t>簡易建物(木製主要柱10cm角以下)</t>
    <phoneticPr fontId="2"/>
  </si>
  <si>
    <t>09</t>
    <phoneticPr fontId="2"/>
  </si>
  <si>
    <t>簡易建物(掘立造　仮設のもの)</t>
    <phoneticPr fontId="2"/>
  </si>
  <si>
    <t>10</t>
    <phoneticPr fontId="2"/>
  </si>
  <si>
    <t>当該課確認</t>
    <rPh sb="0" eb="2">
      <t>トウガイ</t>
    </rPh>
    <rPh sb="2" eb="3">
      <t>カ</t>
    </rPh>
    <rPh sb="3" eb="5">
      <t>カクニン</t>
    </rPh>
    <phoneticPr fontId="2"/>
  </si>
  <si>
    <t>電気設備(照明設備を含む)-蓄電池電源設備</t>
    <phoneticPr fontId="2"/>
  </si>
  <si>
    <t>11</t>
    <phoneticPr fontId="2"/>
  </si>
  <si>
    <t>電気設備(照明設備を含む)-その他のもの</t>
    <phoneticPr fontId="2"/>
  </si>
  <si>
    <t>12</t>
    <phoneticPr fontId="2"/>
  </si>
  <si>
    <t>給排水又は衛生設備及びガス設備</t>
    <phoneticPr fontId="2"/>
  </si>
  <si>
    <t>13</t>
    <phoneticPr fontId="2"/>
  </si>
  <si>
    <t>冷暖房・通風・ボイラー設備-22kw以下</t>
    <phoneticPr fontId="2"/>
  </si>
  <si>
    <t>14</t>
    <phoneticPr fontId="2"/>
  </si>
  <si>
    <t>冷暖房・通風・ボイラー設備-その他のもの</t>
    <phoneticPr fontId="2"/>
  </si>
  <si>
    <t>15</t>
    <phoneticPr fontId="2"/>
  </si>
  <si>
    <t>昇降機設備-エレベーター</t>
    <phoneticPr fontId="2"/>
  </si>
  <si>
    <t>16</t>
    <phoneticPr fontId="2"/>
  </si>
  <si>
    <t>昇降機設備-エスカレーター</t>
    <phoneticPr fontId="2"/>
  </si>
  <si>
    <t>17</t>
    <phoneticPr fontId="2"/>
  </si>
  <si>
    <t>消火・排煙・災害報知設備及び格納式避難設備</t>
    <phoneticPr fontId="2"/>
  </si>
  <si>
    <t>18</t>
    <phoneticPr fontId="2"/>
  </si>
  <si>
    <t>建物附属設備</t>
    <rPh sb="0" eb="2">
      <t>タテモノ</t>
    </rPh>
    <rPh sb="2" eb="4">
      <t>フゾク</t>
    </rPh>
    <rPh sb="4" eb="6">
      <t>セツビ</t>
    </rPh>
    <phoneticPr fontId="2"/>
  </si>
  <si>
    <t>エヤーカーテン又はドアー自動開閉設備</t>
    <phoneticPr fontId="2"/>
  </si>
  <si>
    <t>19</t>
    <phoneticPr fontId="2"/>
  </si>
  <si>
    <t>アーケード又は日よけ設備-金属製</t>
    <phoneticPr fontId="2"/>
  </si>
  <si>
    <t>20</t>
    <phoneticPr fontId="2"/>
  </si>
  <si>
    <t>アーケード又は日よけ設備-その他のもの-停車場建物</t>
  </si>
  <si>
    <t>21</t>
    <phoneticPr fontId="2"/>
  </si>
  <si>
    <t>店用簡易設備-停車場建物</t>
  </si>
  <si>
    <t>22</t>
    <phoneticPr fontId="2"/>
  </si>
  <si>
    <t>可動簡易装備-簡易なもの</t>
    <phoneticPr fontId="2"/>
  </si>
  <si>
    <t>23</t>
    <phoneticPr fontId="2"/>
  </si>
  <si>
    <t>可動簡易装備-その他のもの</t>
    <phoneticPr fontId="2"/>
  </si>
  <si>
    <t>24</t>
    <phoneticPr fontId="2"/>
  </si>
  <si>
    <t>前掲以外・前掲区分外-主として金属製のもの</t>
    <phoneticPr fontId="2"/>
  </si>
  <si>
    <t>25</t>
    <phoneticPr fontId="2"/>
  </si>
  <si>
    <t>前掲以外・前掲区分外-その他のもの</t>
    <phoneticPr fontId="2"/>
  </si>
  <si>
    <t>資産計上建物　計</t>
    <rPh sb="0" eb="2">
      <t>シサン</t>
    </rPh>
    <rPh sb="2" eb="4">
      <t>ケイジョウ</t>
    </rPh>
    <rPh sb="4" eb="6">
      <t>タテモノ</t>
    </rPh>
    <rPh sb="7" eb="8">
      <t>ケイ</t>
    </rPh>
    <phoneticPr fontId="2"/>
  </si>
  <si>
    <t>１０構築物　直接工事費</t>
    <rPh sb="2" eb="5">
      <t>コウチクブツ</t>
    </rPh>
    <rPh sb="6" eb="8">
      <t>チョクセツ</t>
    </rPh>
    <rPh sb="8" eb="11">
      <t>コウジヒ</t>
    </rPh>
    <phoneticPr fontId="2"/>
  </si>
  <si>
    <t>10構築物</t>
    <rPh sb="2" eb="5">
      <t>コウチクブツ</t>
    </rPh>
    <phoneticPr fontId="2"/>
  </si>
  <si>
    <t>勘定科目「目」--&gt;</t>
    <rPh sb="5" eb="6">
      <t>モク</t>
    </rPh>
    <phoneticPr fontId="2"/>
  </si>
  <si>
    <t>024雑設備</t>
    <rPh sb="3" eb="4">
      <t>ザツ</t>
    </rPh>
    <rPh sb="4" eb="6">
      <t>セツビ</t>
    </rPh>
    <phoneticPr fontId="2"/>
  </si>
  <si>
    <t>（停車場設備）</t>
    <rPh sb="1" eb="4">
      <t>テイシャジョウ</t>
    </rPh>
    <rPh sb="4" eb="6">
      <t>セツビ</t>
    </rPh>
    <phoneticPr fontId="2"/>
  </si>
  <si>
    <t>舗装</t>
    <rPh sb="0" eb="2">
      <t>ホソウ</t>
    </rPh>
    <phoneticPr fontId="2"/>
  </si>
  <si>
    <t>駅前広場舗装等</t>
    <rPh sb="0" eb="1">
      <t>エキ</t>
    </rPh>
    <rPh sb="1" eb="2">
      <t>マエ</t>
    </rPh>
    <rPh sb="2" eb="4">
      <t>ヒロバ</t>
    </rPh>
    <rPh sb="4" eb="6">
      <t>ホソウ</t>
    </rPh>
    <rPh sb="6" eb="7">
      <t>トウ</t>
    </rPh>
    <phoneticPr fontId="2"/>
  </si>
  <si>
    <t>02</t>
  </si>
  <si>
    <t>その他</t>
    <phoneticPr fontId="2"/>
  </si>
  <si>
    <t>（諸構築物）</t>
    <phoneticPr fontId="2"/>
  </si>
  <si>
    <t>コンクリ・ブロック・レンガ・石敷</t>
    <rPh sb="14" eb="15">
      <t>イシ</t>
    </rPh>
    <rPh sb="15" eb="16">
      <t>シキ</t>
    </rPh>
    <phoneticPr fontId="2"/>
  </si>
  <si>
    <t>アスファルト・木れんか敷</t>
    <rPh sb="7" eb="8">
      <t>キ</t>
    </rPh>
    <rPh sb="11" eb="12">
      <t>シキ</t>
    </rPh>
    <phoneticPr fontId="2"/>
  </si>
  <si>
    <t>03</t>
  </si>
  <si>
    <t>ビチューマルス敷</t>
    <rPh sb="7" eb="8">
      <t>シキ</t>
    </rPh>
    <phoneticPr fontId="2"/>
  </si>
  <si>
    <t>04</t>
  </si>
  <si>
    <t>へい</t>
    <phoneticPr fontId="2"/>
  </si>
  <si>
    <t>鉄骨鉄筋コン造・鉄コン造</t>
    <rPh sb="0" eb="2">
      <t>テッコツ</t>
    </rPh>
    <rPh sb="2" eb="4">
      <t>テッキン</t>
    </rPh>
    <rPh sb="6" eb="7">
      <t>ゾウ</t>
    </rPh>
    <rPh sb="8" eb="9">
      <t>テツ</t>
    </rPh>
    <rPh sb="11" eb="12">
      <t>ゾウ</t>
    </rPh>
    <phoneticPr fontId="2"/>
  </si>
  <si>
    <t>05</t>
  </si>
  <si>
    <t>その他</t>
    <rPh sb="2" eb="3">
      <t>タ</t>
    </rPh>
    <phoneticPr fontId="2"/>
  </si>
  <si>
    <t>06</t>
  </si>
  <si>
    <t>コン造・コンクリートブロック造</t>
    <rPh sb="2" eb="3">
      <t>ゾウ</t>
    </rPh>
    <rPh sb="14" eb="15">
      <t>ゾウ</t>
    </rPh>
    <phoneticPr fontId="2"/>
  </si>
  <si>
    <t>07</t>
  </si>
  <si>
    <t>08</t>
  </si>
  <si>
    <t>金属造</t>
    <rPh sb="0" eb="2">
      <t>キンゾク</t>
    </rPh>
    <rPh sb="2" eb="3">
      <t>ゾウ</t>
    </rPh>
    <phoneticPr fontId="2"/>
  </si>
  <si>
    <t>09</t>
  </si>
  <si>
    <t>木造</t>
    <rPh sb="0" eb="1">
      <t>モク</t>
    </rPh>
    <rPh sb="1" eb="2">
      <t>ゾウ</t>
    </rPh>
    <phoneticPr fontId="2"/>
  </si>
  <si>
    <t>資産計上構築物　計</t>
    <rPh sb="0" eb="2">
      <t>シサン</t>
    </rPh>
    <rPh sb="2" eb="4">
      <t>ケイジョウ</t>
    </rPh>
    <rPh sb="4" eb="7">
      <t>コウチクブツ</t>
    </rPh>
    <rPh sb="8" eb="9">
      <t>ケイ</t>
    </rPh>
    <phoneticPr fontId="2"/>
  </si>
  <si>
    <t>２５工具・器具・備品　直接工事費</t>
    <rPh sb="2" eb="4">
      <t>コウグ</t>
    </rPh>
    <rPh sb="5" eb="7">
      <t>キグ</t>
    </rPh>
    <rPh sb="8" eb="10">
      <t>ビヒン</t>
    </rPh>
    <rPh sb="11" eb="13">
      <t>チョクセツ</t>
    </rPh>
    <rPh sb="13" eb="16">
      <t>コウジヒ</t>
    </rPh>
    <phoneticPr fontId="2"/>
  </si>
  <si>
    <t>25工具・器具・備品</t>
    <phoneticPr fontId="2"/>
  </si>
  <si>
    <t>059工具・器具・備品</t>
    <phoneticPr fontId="2"/>
  </si>
  <si>
    <t>12505958</t>
  </si>
  <si>
    <t>看板・広告機器-(主として金属製)</t>
    <phoneticPr fontId="2"/>
  </si>
  <si>
    <t>電照サイン</t>
    <rPh sb="0" eb="2">
      <t>デンショウ</t>
    </rPh>
    <phoneticPr fontId="2"/>
  </si>
  <si>
    <t>＊器具本体・金属枠・板面共</t>
    <rPh sb="1" eb="3">
      <t>キグ</t>
    </rPh>
    <rPh sb="3" eb="5">
      <t>ホンタイ</t>
    </rPh>
    <rPh sb="6" eb="8">
      <t>キンゾク</t>
    </rPh>
    <rPh sb="8" eb="9">
      <t>ワク</t>
    </rPh>
    <rPh sb="10" eb="12">
      <t>バンメン</t>
    </rPh>
    <rPh sb="12" eb="13">
      <t>トモ</t>
    </rPh>
    <phoneticPr fontId="2"/>
  </si>
  <si>
    <t>非電照サイン</t>
    <rPh sb="0" eb="1">
      <t>ヒ</t>
    </rPh>
    <rPh sb="1" eb="3">
      <t>デンショウ</t>
    </rPh>
    <phoneticPr fontId="2"/>
  </si>
  <si>
    <t>電照広告</t>
    <rPh sb="0" eb="2">
      <t>デンショウ</t>
    </rPh>
    <rPh sb="2" eb="4">
      <t>コウコク</t>
    </rPh>
    <phoneticPr fontId="2"/>
  </si>
  <si>
    <t>非電照広告</t>
    <rPh sb="0" eb="1">
      <t>ヒ</t>
    </rPh>
    <rPh sb="1" eb="2">
      <t>デン</t>
    </rPh>
    <rPh sb="2" eb="3">
      <t>テ</t>
    </rPh>
    <rPh sb="3" eb="5">
      <t>コウコク</t>
    </rPh>
    <phoneticPr fontId="2"/>
  </si>
  <si>
    <t>電気設備</t>
    <rPh sb="0" eb="2">
      <t>デンキ</t>
    </rPh>
    <rPh sb="2" eb="4">
      <t>セツビ</t>
    </rPh>
    <phoneticPr fontId="2"/>
  </si>
  <si>
    <t>12505959</t>
  </si>
  <si>
    <t>看板・広告機器-その他のもの</t>
    <phoneticPr fontId="2"/>
  </si>
  <si>
    <t>＊枠無し板面のみ</t>
    <rPh sb="1" eb="2">
      <t>ワク</t>
    </rPh>
    <rPh sb="2" eb="3">
      <t>ナ</t>
    </rPh>
    <rPh sb="4" eb="5">
      <t>イタ</t>
    </rPh>
    <rPh sb="5" eb="6">
      <t>メン</t>
    </rPh>
    <phoneticPr fontId="2"/>
  </si>
  <si>
    <t>非電照広告</t>
    <rPh sb="0" eb="1">
      <t>ヒ</t>
    </rPh>
    <rPh sb="1" eb="3">
      <t>デンショウ</t>
    </rPh>
    <rPh sb="3" eb="5">
      <t>コウコク</t>
    </rPh>
    <phoneticPr fontId="2"/>
  </si>
  <si>
    <t>12505988</t>
    <phoneticPr fontId="2"/>
  </si>
  <si>
    <t>無人駐車管理装置</t>
    <rPh sb="0" eb="2">
      <t>ムジン</t>
    </rPh>
    <rPh sb="2" eb="4">
      <t>チュウシャ</t>
    </rPh>
    <rPh sb="4" eb="6">
      <t>カンリ</t>
    </rPh>
    <rPh sb="6" eb="8">
      <t>ソウチ</t>
    </rPh>
    <phoneticPr fontId="2"/>
  </si>
  <si>
    <t>12505990</t>
    <phoneticPr fontId="2"/>
  </si>
  <si>
    <t>その他（金造製）</t>
    <rPh sb="2" eb="3">
      <t>タ</t>
    </rPh>
    <rPh sb="4" eb="5">
      <t>キン</t>
    </rPh>
    <rPh sb="6" eb="7">
      <t>セイ</t>
    </rPh>
    <phoneticPr fontId="2"/>
  </si>
  <si>
    <t>12505991</t>
    <phoneticPr fontId="2"/>
  </si>
  <si>
    <t>その他（その他）</t>
    <rPh sb="2" eb="3">
      <t>タ</t>
    </rPh>
    <rPh sb="6" eb="7">
      <t>タ</t>
    </rPh>
    <phoneticPr fontId="2"/>
  </si>
  <si>
    <t>資産計上工具・器具・備品計</t>
    <rPh sb="0" eb="2">
      <t>シサン</t>
    </rPh>
    <rPh sb="2" eb="4">
      <t>ケイジョウ</t>
    </rPh>
    <rPh sb="4" eb="6">
      <t>コウグ</t>
    </rPh>
    <rPh sb="7" eb="9">
      <t>キグ</t>
    </rPh>
    <rPh sb="10" eb="12">
      <t>ビヒン</t>
    </rPh>
    <rPh sb="12" eb="13">
      <t>ケイ</t>
    </rPh>
    <phoneticPr fontId="2"/>
  </si>
  <si>
    <t>資産　直接工事費（直接仮設・費用・部分撤去工事を除く）合計</t>
    <rPh sb="0" eb="2">
      <t>シサン</t>
    </rPh>
    <rPh sb="3" eb="5">
      <t>チョクセツ</t>
    </rPh>
    <rPh sb="5" eb="7">
      <t>コウジ</t>
    </rPh>
    <rPh sb="7" eb="8">
      <t>ヒ</t>
    </rPh>
    <rPh sb="9" eb="11">
      <t>チョクセツ</t>
    </rPh>
    <rPh sb="11" eb="13">
      <t>カセツ</t>
    </rPh>
    <rPh sb="14" eb="16">
      <t>ヒヨウ</t>
    </rPh>
    <rPh sb="17" eb="19">
      <t>ブブン</t>
    </rPh>
    <rPh sb="19" eb="21">
      <t>テッキョ</t>
    </rPh>
    <rPh sb="21" eb="23">
      <t>コウジ</t>
    </rPh>
    <rPh sb="24" eb="25">
      <t>ノゾ</t>
    </rPh>
    <rPh sb="27" eb="29">
      <t>ゴウケイ</t>
    </rPh>
    <phoneticPr fontId="2"/>
  </si>
  <si>
    <t>資　産　ク　ラ　ス　・　計　上　区　分</t>
    <rPh sb="0" eb="1">
      <t>シ</t>
    </rPh>
    <rPh sb="2" eb="3">
      <t>サン</t>
    </rPh>
    <rPh sb="12" eb="13">
      <t>ケイ</t>
    </rPh>
    <rPh sb="14" eb="15">
      <t>ウエ</t>
    </rPh>
    <rPh sb="16" eb="17">
      <t>ク</t>
    </rPh>
    <rPh sb="18" eb="19">
      <t>ブン</t>
    </rPh>
    <phoneticPr fontId="2"/>
  </si>
  <si>
    <t>鉄骨鉄筋コンクリート造又は鉄筋コンクリート造-停車場建物</t>
    <phoneticPr fontId="2"/>
  </si>
  <si>
    <t>れんが造、石造又はブロック造-停車場建物</t>
    <phoneticPr fontId="2"/>
  </si>
  <si>
    <t>金属造(骨格材の肉厚が4mm超)-停車場建物</t>
    <phoneticPr fontId="2"/>
  </si>
  <si>
    <t>金属造(骨格材の肉厚が3mm超4mm以下)-停車場建物</t>
    <phoneticPr fontId="2"/>
  </si>
  <si>
    <t>金属造(骨格材の肉厚が3mm以下)-停車場建物</t>
    <phoneticPr fontId="2"/>
  </si>
  <si>
    <t>木造又は合成樹脂造-停車場建物</t>
    <phoneticPr fontId="2"/>
  </si>
  <si>
    <t>木骨モルタル造-停車場建物</t>
    <phoneticPr fontId="2"/>
  </si>
  <si>
    <t>簡易建物(木製主要柱が10cm角以下で土居、杉皮ぶき等)-停車場建物</t>
    <phoneticPr fontId="2"/>
  </si>
  <si>
    <t>簡易建物(掘立造のもの及び仮設のもの)-停車場建物</t>
    <phoneticPr fontId="2"/>
  </si>
  <si>
    <t>電気設備(照明設備を含む)-蓄電池電源設備-停車場建物</t>
    <phoneticPr fontId="2"/>
  </si>
  <si>
    <t>電気設備(照明設備を含む)-その他のもの-停車場建物</t>
    <phoneticPr fontId="2"/>
  </si>
  <si>
    <t>給排水又は衛生設備及びガス設備-停車場建物</t>
    <phoneticPr fontId="2"/>
  </si>
  <si>
    <t>冷暖房・通風・ボイラー設備-22kw以下-停車場建物</t>
    <phoneticPr fontId="2"/>
  </si>
  <si>
    <t>冷暖房・通風・ボイラー設備-その他のもの-停車場建物</t>
    <phoneticPr fontId="2"/>
  </si>
  <si>
    <t>昇降機設備-エレベーター-停車場建物</t>
    <phoneticPr fontId="2"/>
  </si>
  <si>
    <t>昇降機設備-エスカレーター-停車場建物</t>
    <phoneticPr fontId="2"/>
  </si>
  <si>
    <t>消火・排煙・災害報知設備及び格納式避難設備-停車場建物</t>
    <phoneticPr fontId="2"/>
  </si>
  <si>
    <t>エヤーカーテン又はドアー自動開閉設備-停車場建物</t>
    <phoneticPr fontId="2"/>
  </si>
  <si>
    <t>アーケード又は日よけ設備-金属製-停車場建物</t>
    <phoneticPr fontId="2"/>
  </si>
  <si>
    <t>アーケード又は日よけ設備-その他のもの-停車場建物</t>
    <phoneticPr fontId="2"/>
  </si>
  <si>
    <t>店用簡易設備-停車場建物</t>
    <phoneticPr fontId="2"/>
  </si>
  <si>
    <t>可動簡易装備-簡易なもの-停車場建物</t>
    <phoneticPr fontId="2"/>
  </si>
  <si>
    <t>可動簡易装備-その他のもの-停車場建物</t>
    <phoneticPr fontId="2"/>
  </si>
  <si>
    <t>前掲以外・前掲区分外-主として金属製のもの-停車場建物</t>
    <phoneticPr fontId="2"/>
  </si>
  <si>
    <t>前掲以外・前掲区分外-その他のもの-停車場建物</t>
    <phoneticPr fontId="2"/>
  </si>
  <si>
    <t>鉄骨鉄筋コンクリート造又は鉄筋コンクリート造-変電所建物</t>
    <phoneticPr fontId="2"/>
  </si>
  <si>
    <t>れんが造、石造又はブロック造-変電所建物</t>
    <phoneticPr fontId="2"/>
  </si>
  <si>
    <t>金属造(骨格材の肉厚が4mm超)-変電所建物</t>
    <phoneticPr fontId="2"/>
  </si>
  <si>
    <t>金属造(骨格材の肉厚が3mm超4mm以下)-変電所建物</t>
    <phoneticPr fontId="2"/>
  </si>
  <si>
    <t>金属造(骨格材の肉厚が3mm以下)-変電所建物</t>
    <phoneticPr fontId="2"/>
  </si>
  <si>
    <t>木造又は合成樹脂造-変電所建物</t>
    <phoneticPr fontId="2"/>
  </si>
  <si>
    <t>木骨モルタル造-変電所建物</t>
    <phoneticPr fontId="2"/>
  </si>
  <si>
    <t>簡易建物(木製主要柱が10cm角以下で土居、杉皮ぶき等)-変電所建物</t>
    <phoneticPr fontId="2"/>
  </si>
  <si>
    <t>簡易建物(掘立造のもの及び仮設のもの)-変電所建物</t>
    <phoneticPr fontId="2"/>
  </si>
  <si>
    <t>電気設備(照明設備を含む)-蓄電池電源設備-変電所建物</t>
    <phoneticPr fontId="2"/>
  </si>
  <si>
    <t>電気設備(照明設備を含む)-その他のもの-変電所建物</t>
    <phoneticPr fontId="2"/>
  </si>
  <si>
    <t>給排水又は衛生設備及びガス設備-変電所建物</t>
    <phoneticPr fontId="2"/>
  </si>
  <si>
    <t>冷暖房・通風・ボイラー設備-22kw以下-変電所建物</t>
    <phoneticPr fontId="2"/>
  </si>
  <si>
    <t>冷暖房・通風・ボイラー設備-その他のもの-変電所建物</t>
    <phoneticPr fontId="2"/>
  </si>
  <si>
    <t>昇降機設備-エレベーター-変電所建物</t>
    <phoneticPr fontId="2"/>
  </si>
  <si>
    <t>昇降機設備-エスカレーター-変電所建物</t>
    <phoneticPr fontId="2"/>
  </si>
  <si>
    <t>消火・排煙・災害報知設備及び格納式避難設備-変電所建物</t>
    <phoneticPr fontId="2"/>
  </si>
  <si>
    <t>エヤーカーテン又はドアー自動開閉設備-変電所建物</t>
    <phoneticPr fontId="2"/>
  </si>
  <si>
    <t>アーケード又は日よけ設備-金属製-変電所建物</t>
    <phoneticPr fontId="2"/>
  </si>
  <si>
    <t>アーケード又は日よけ設備-その他のもの-変電所建物</t>
    <phoneticPr fontId="2"/>
  </si>
  <si>
    <t>店用簡易設備-変電所建物</t>
    <phoneticPr fontId="2"/>
  </si>
  <si>
    <t>可動簡易装備-簡易なもの-変電所建物</t>
    <phoneticPr fontId="2"/>
  </si>
  <si>
    <t>可動簡易装備-その他のもの-変電所建物</t>
    <phoneticPr fontId="2"/>
  </si>
  <si>
    <t>前掲以外・前掲区分外-主として金属製のもの-変電所建物</t>
    <phoneticPr fontId="2"/>
  </si>
  <si>
    <t>前掲以外・前掲区分外-その他のもの-変電所建物</t>
    <phoneticPr fontId="2"/>
  </si>
  <si>
    <t>鉄骨鉄筋コンクリート造又は鉄筋コンクリート造-車庫・工場</t>
    <phoneticPr fontId="2"/>
  </si>
  <si>
    <t>れんが造、石造又はブロック造-車庫・工場</t>
    <phoneticPr fontId="2"/>
  </si>
  <si>
    <t>金属造(骨格材の肉厚が4mm超)-車庫・工場</t>
    <phoneticPr fontId="2"/>
  </si>
  <si>
    <t>金属造(骨格材の肉厚が3mm超4mm以下)-車庫・工場</t>
    <phoneticPr fontId="2"/>
  </si>
  <si>
    <t>金属造(骨格材の肉厚が3mm以下)-車庫・工場</t>
    <phoneticPr fontId="2"/>
  </si>
  <si>
    <t>木造又は合成樹脂造-車庫・工場</t>
    <phoneticPr fontId="2"/>
  </si>
  <si>
    <t>木骨モルタル造-車庫・工場</t>
    <phoneticPr fontId="2"/>
  </si>
  <si>
    <t>簡易建物(木製主要柱が10cm角以下で土居、杉皮ぶき等)-車庫・工場</t>
    <phoneticPr fontId="2"/>
  </si>
  <si>
    <t>簡易建物(掘立造のもの及び仮設のもの)-車庫・工場</t>
    <phoneticPr fontId="2"/>
  </si>
  <si>
    <t>電気設備(照明設備を含む)-蓄電池電源設備-車庫・工場</t>
    <phoneticPr fontId="2"/>
  </si>
  <si>
    <t>電気設備(照明設備を含む)-その他のもの-車庫・工場</t>
    <phoneticPr fontId="2"/>
  </si>
  <si>
    <t>給排水又は衛生設備及びガス設備-車庫・工場</t>
    <phoneticPr fontId="2"/>
  </si>
  <si>
    <t>冷暖房・通風・ボイラー設備-22kw以下-車庫・工場</t>
    <phoneticPr fontId="2"/>
  </si>
  <si>
    <t>冷暖房・通風・ボイラー設備-その他のもの-車庫・工場</t>
    <phoneticPr fontId="2"/>
  </si>
  <si>
    <t>鉄有固-運送施設 建物付属設備-</t>
    <phoneticPr fontId="2"/>
  </si>
  <si>
    <t>昇降機設備-エスカレーター-車庫・工場</t>
    <phoneticPr fontId="2"/>
  </si>
  <si>
    <t>消火・排煙・災害報知設備及び格納式避難設備-車庫・工場</t>
    <phoneticPr fontId="2"/>
  </si>
  <si>
    <t>エヤーカーテン又はドアー自動開閉設備-車庫・工場</t>
    <phoneticPr fontId="2"/>
  </si>
  <si>
    <t>アーケード又は日よけ設備-金属製-車庫・工場</t>
    <phoneticPr fontId="2"/>
  </si>
  <si>
    <t>アーケード又は日よけ設備-その他のもの-車庫・工場</t>
    <phoneticPr fontId="2"/>
  </si>
  <si>
    <t>店用簡易設備-車庫・工場</t>
    <phoneticPr fontId="2"/>
  </si>
  <si>
    <t>可動簡易装備-簡易なもの-車庫・工場</t>
    <phoneticPr fontId="2"/>
  </si>
  <si>
    <t>可動簡易装備-その他のもの-車庫・工場</t>
    <phoneticPr fontId="2"/>
  </si>
  <si>
    <t>前掲以外・前掲区分外-主として金属製のもの-車庫・工場</t>
    <phoneticPr fontId="2"/>
  </si>
  <si>
    <t>前掲以外・前掲区分外-その他のもの-車庫・工場</t>
    <phoneticPr fontId="2"/>
  </si>
  <si>
    <t>鉄骨鉄筋コンクリート造又は鉄筋コンクリート造-倉庫建物</t>
    <phoneticPr fontId="2"/>
  </si>
  <si>
    <t>れんが造、石造又はブロック造-倉庫建物</t>
    <phoneticPr fontId="2"/>
  </si>
  <si>
    <t>金属造(骨格材の肉厚が4mm超)-倉庫建物</t>
    <phoneticPr fontId="2"/>
  </si>
  <si>
    <t>金属造(骨格材の肉厚が3mm超4mm以下)-倉庫建物</t>
    <phoneticPr fontId="2"/>
  </si>
  <si>
    <t>金属造(骨格材の肉厚が3mm以下)-倉庫建物</t>
    <phoneticPr fontId="2"/>
  </si>
  <si>
    <t>木造又は合成樹脂造-倉庫建物</t>
    <phoneticPr fontId="2"/>
  </si>
  <si>
    <t>木骨モルタル造-倉庫建物</t>
    <phoneticPr fontId="2"/>
  </si>
  <si>
    <t>簡易建物(木製主要柱が10cm角以下で土居、杉皮ぶき等)-倉庫建物</t>
    <phoneticPr fontId="2"/>
  </si>
  <si>
    <t>簡易建物(掘立造のもの及び仮設のもの)-倉庫建物</t>
    <phoneticPr fontId="2"/>
  </si>
  <si>
    <t>電気設備(照明設備を含む)-蓄電池電源設備-倉庫建物</t>
    <phoneticPr fontId="2"/>
  </si>
  <si>
    <t>電気設備(照明設備を含む)-その他のもの-倉庫建物</t>
    <phoneticPr fontId="2"/>
  </si>
  <si>
    <t>給排水又は衛生設備及びガス設備-倉庫建物</t>
    <phoneticPr fontId="2"/>
  </si>
  <si>
    <t>冷暖房・通風・ボイラー設備-22kw以下-倉庫建物</t>
    <phoneticPr fontId="2"/>
  </si>
  <si>
    <t>冷暖房・通風・ボイラー設備-その他のもの-倉庫建物</t>
    <phoneticPr fontId="2"/>
  </si>
  <si>
    <t>昇降機設備-エレベーター-倉庫建物</t>
    <phoneticPr fontId="2"/>
  </si>
  <si>
    <t>昇降機設備-エスカレーター-倉庫建物</t>
    <phoneticPr fontId="2"/>
  </si>
  <si>
    <t>消火・排煙・災害報知設備及び格納式避難設備-倉庫建物</t>
    <phoneticPr fontId="2"/>
  </si>
  <si>
    <t>エヤーカーテン又はドアー自動開閉設備-倉庫建物</t>
    <phoneticPr fontId="2"/>
  </si>
  <si>
    <t>アーケード又は日よけ設備-金属製-倉庫建物</t>
    <phoneticPr fontId="2"/>
  </si>
  <si>
    <t>アーケード又は日よけ設備-その他のもの-倉庫建物</t>
    <phoneticPr fontId="2"/>
  </si>
  <si>
    <t>店用簡易設備-倉庫建物</t>
    <phoneticPr fontId="2"/>
  </si>
  <si>
    <t>可動簡易装備-簡易なもの-倉庫建物</t>
    <phoneticPr fontId="2"/>
  </si>
  <si>
    <t>可動簡易装備-その他のもの-倉庫建物</t>
    <phoneticPr fontId="2"/>
  </si>
  <si>
    <t>前掲以外・前掲区分外-主として金属製のもの-倉庫建物</t>
    <phoneticPr fontId="2"/>
  </si>
  <si>
    <t>前掲以外・前掲区分外-その他のもの-倉庫建物</t>
    <phoneticPr fontId="2"/>
  </si>
  <si>
    <t>鉄骨鉄筋コンクリート造又は鉄筋コンクリート造-詰所建物</t>
    <phoneticPr fontId="2"/>
  </si>
  <si>
    <t>れんが造、石造又はブロック造-詰所建物</t>
    <phoneticPr fontId="2"/>
  </si>
  <si>
    <t>金属造(骨格材の肉厚が4mm超)-詰所建物</t>
    <phoneticPr fontId="2"/>
  </si>
  <si>
    <t>金属造(骨格材の肉厚が3mm超4mm以下)-詰所建物</t>
    <phoneticPr fontId="2"/>
  </si>
  <si>
    <t>金属造(骨格材の肉厚が3mm以下)-詰所建物</t>
    <phoneticPr fontId="2"/>
  </si>
  <si>
    <t>木造又は合成樹脂造-詰所建物</t>
    <phoneticPr fontId="2"/>
  </si>
  <si>
    <t>木骨モルタル造-詰所建物</t>
    <phoneticPr fontId="2"/>
  </si>
  <si>
    <t>簡易建物(木製主要柱が10cm角以下で土居、杉皮ぶき等)-詰所建物</t>
    <phoneticPr fontId="2"/>
  </si>
  <si>
    <t>簡易建物(掘立造のもの及び仮設のもの)-詰所建物</t>
    <phoneticPr fontId="2"/>
  </si>
  <si>
    <t>電気設備(照明設備を含む)-蓄電池電源設備-詰所建物</t>
    <phoneticPr fontId="2"/>
  </si>
  <si>
    <t>電気設備(照明設備を含む)-その他のもの-詰所建物</t>
    <phoneticPr fontId="2"/>
  </si>
  <si>
    <t>給排水又は衛生設備及びガス設備-詰所建物</t>
    <phoneticPr fontId="2"/>
  </si>
  <si>
    <t>冷暖房・通風・ボイラー設備-22kw以下-詰所建物</t>
    <phoneticPr fontId="2"/>
  </si>
  <si>
    <t>冷暖房・通風・ボイラー設備-その他のもの-詰所建物</t>
    <phoneticPr fontId="2"/>
  </si>
  <si>
    <t>昇降機設備-エレベーター-詰所建物</t>
    <phoneticPr fontId="2"/>
  </si>
  <si>
    <t>昇降機設備-エスカレーター-詰所建物</t>
    <phoneticPr fontId="2"/>
  </si>
  <si>
    <t>消火・排煙・災害報知設備及び格納式避難設備-詰所建物</t>
    <phoneticPr fontId="2"/>
  </si>
  <si>
    <t>エヤーカーテン又はドアー自動開閉設備-詰所建物</t>
    <phoneticPr fontId="2"/>
  </si>
  <si>
    <t>アーケード又は日よけ設備-金属製-詰所建物</t>
    <phoneticPr fontId="2"/>
  </si>
  <si>
    <t>アーケード又は日よけ設備-その他のもの-詰所建物</t>
    <phoneticPr fontId="2"/>
  </si>
  <si>
    <t>店用簡易設備-詰所建物</t>
    <phoneticPr fontId="2"/>
  </si>
  <si>
    <t>可動簡易装備-簡易なもの-詰所建物</t>
    <phoneticPr fontId="2"/>
  </si>
  <si>
    <t>可動簡易装備-その他のもの-詰所建物</t>
    <phoneticPr fontId="2"/>
  </si>
  <si>
    <t>前掲以外・前掲区分外-主として金属製のもの-詰所建物</t>
    <phoneticPr fontId="2"/>
  </si>
  <si>
    <t>前掲以外・前掲区分外-その他のもの-詰所建物</t>
    <phoneticPr fontId="2"/>
  </si>
  <si>
    <t>鉄骨鉄筋コンクリート造又は鉄筋コンクリート造-事務所建物</t>
    <phoneticPr fontId="2"/>
  </si>
  <si>
    <t>れんが造、石造又はブロック造-事務所建物</t>
    <phoneticPr fontId="2"/>
  </si>
  <si>
    <t>金属造(骨格材の肉厚が4mm超)-事務所建物</t>
    <phoneticPr fontId="2"/>
  </si>
  <si>
    <t>金属造(骨格材の肉厚が3mm超4mm以下)-事務所建物</t>
    <phoneticPr fontId="2"/>
  </si>
  <si>
    <t>金属造(骨格材の肉厚が3mm以下)-事務所建物</t>
    <phoneticPr fontId="2"/>
  </si>
  <si>
    <t>木造又は合成樹脂造-事務所建物</t>
    <phoneticPr fontId="2"/>
  </si>
  <si>
    <t>木骨モルタル造-事務所建物</t>
    <phoneticPr fontId="2"/>
  </si>
  <si>
    <t>簡易建物(木製主要柱が10cm角以下で土居、杉皮ぶき等)-事務所建物</t>
    <phoneticPr fontId="2"/>
  </si>
  <si>
    <t>簡易建物(掘立造のもの及び仮設のもの)-事務所建物</t>
    <phoneticPr fontId="2"/>
  </si>
  <si>
    <t>電気設備(照明設備を含む)-蓄電池電源設備-事務所建物</t>
    <phoneticPr fontId="2"/>
  </si>
  <si>
    <t>電気設備(照明設備を含む)-その他のもの-事務所建物</t>
    <phoneticPr fontId="2"/>
  </si>
  <si>
    <t>給排水又は衛生設備及びガス設備-事務所建物</t>
    <phoneticPr fontId="2"/>
  </si>
  <si>
    <t>冷暖房・通風・ボイラー設備-22kw以下-事務所建物</t>
    <phoneticPr fontId="2"/>
  </si>
  <si>
    <t>冷暖房・通風・ボイラー設備-その他のもの-事務所建物</t>
    <phoneticPr fontId="2"/>
  </si>
  <si>
    <t>昇降機設備-エレベーター-事務所建物</t>
    <phoneticPr fontId="2"/>
  </si>
  <si>
    <t>昇降機設備-エスカレーター-事務所建物</t>
    <phoneticPr fontId="2"/>
  </si>
  <si>
    <t>消火・排煙・災害報知設備及び格納式避難設備-事務所建物</t>
    <phoneticPr fontId="2"/>
  </si>
  <si>
    <t>エヤーカーテン又はドアー自動開閉設備-事務所建物</t>
    <phoneticPr fontId="2"/>
  </si>
  <si>
    <t>アーケード又は日よけ設備-金属製-事務所建物</t>
    <phoneticPr fontId="2"/>
  </si>
  <si>
    <t>アーケード又は日よけ設備-その他のもの-事務所建物</t>
    <phoneticPr fontId="2"/>
  </si>
  <si>
    <t>店用簡易設備-事務所建物</t>
    <phoneticPr fontId="2"/>
  </si>
  <si>
    <t>可動簡易装備-簡易なもの-事務所建物</t>
    <phoneticPr fontId="2"/>
  </si>
  <si>
    <t>可動簡易装備-その他のもの-事務所建物</t>
    <phoneticPr fontId="2"/>
  </si>
  <si>
    <t>前掲以外・前掲区分外-主として金属製のもの-事務所建物</t>
    <phoneticPr fontId="2"/>
  </si>
  <si>
    <t>前掲以外・前掲区分外-その他のもの-事務所建物</t>
    <phoneticPr fontId="2"/>
  </si>
  <si>
    <t>鉄骨鉄筋コンクリート造又は鉄筋コンクリート造-社宅・寮建物</t>
    <phoneticPr fontId="2"/>
  </si>
  <si>
    <t>れんが造、石造又はブロック造-社宅・寮建物</t>
    <phoneticPr fontId="2"/>
  </si>
  <si>
    <t>金属造(骨格材の肉厚が4mm超)-社宅・寮建物</t>
    <phoneticPr fontId="2"/>
  </si>
  <si>
    <t>金属造(骨格材の肉厚が3mm超4mm以下)-社宅・寮建物</t>
    <phoneticPr fontId="2"/>
  </si>
  <si>
    <t>金属造(骨格材の肉厚が3mm以下)-社宅・寮建物</t>
    <phoneticPr fontId="2"/>
  </si>
  <si>
    <t>木造又は合成樹脂造-社宅・寮建物</t>
    <phoneticPr fontId="2"/>
  </si>
  <si>
    <t>木骨モルタル造-社宅・寮建物</t>
    <phoneticPr fontId="2"/>
  </si>
  <si>
    <t>簡易建物(木製主要柱が10cm角以下で土居、杉皮ぶき等)-社宅・寮建物</t>
    <phoneticPr fontId="2"/>
  </si>
  <si>
    <t>簡易建物(掘立造のもの及び仮設のもの)-社宅・寮建物</t>
    <phoneticPr fontId="2"/>
  </si>
  <si>
    <t>電気設備(照明設備を含む)-蓄電池電源設備-社宅・寮建物</t>
    <phoneticPr fontId="2"/>
  </si>
  <si>
    <t>電気設備(照明設備を含む)-その他のもの-社宅・寮建物</t>
    <phoneticPr fontId="2"/>
  </si>
  <si>
    <t>給排水又は衛生設備及びガス設備-社宅・寮建物</t>
    <phoneticPr fontId="2"/>
  </si>
  <si>
    <t>冷暖房・通風・ボイラー設備-22kw以下-社宅・寮建物</t>
    <phoneticPr fontId="2"/>
  </si>
  <si>
    <t>冷暖房・通風・ボイラー設備-その他のもの-社宅・寮建物</t>
    <phoneticPr fontId="2"/>
  </si>
  <si>
    <t>昇降機設備-エレベーター-社宅・寮建物</t>
    <phoneticPr fontId="2"/>
  </si>
  <si>
    <t>昇降機設備-エスカレーター-社宅・寮建物</t>
    <phoneticPr fontId="2"/>
  </si>
  <si>
    <t>消火・排煙・災害報知設備及び格納式避難設備-社宅・寮建物</t>
    <phoneticPr fontId="2"/>
  </si>
  <si>
    <t>エヤーカーテン又はドアー自動開閉設備-社宅・寮建物</t>
    <phoneticPr fontId="2"/>
  </si>
  <si>
    <t>アーケード又は日よけ設備-金属製-社宅・寮建物</t>
    <phoneticPr fontId="2"/>
  </si>
  <si>
    <t>アーケード又は日よけ設備-その他のもの-社宅・寮建物</t>
    <phoneticPr fontId="2"/>
  </si>
  <si>
    <t>店用簡易設備-社宅・寮建物</t>
    <phoneticPr fontId="2"/>
  </si>
  <si>
    <t>可動簡易装備-簡易なもの-社宅・寮建物</t>
    <phoneticPr fontId="2"/>
  </si>
  <si>
    <t>可動簡易装備-その他のもの-社宅・寮建物</t>
    <phoneticPr fontId="2"/>
  </si>
  <si>
    <t>前掲以外・前掲区分外-主として金属製のもの-社宅・寮建物</t>
    <phoneticPr fontId="2"/>
  </si>
  <si>
    <t>前掲以外・前掲区分外-その他のもの-社宅・寮建物</t>
    <phoneticPr fontId="2"/>
  </si>
  <si>
    <t>建物　工事価格　計</t>
    <rPh sb="0" eb="2">
      <t>タテモノ</t>
    </rPh>
    <rPh sb="3" eb="5">
      <t>コウジ</t>
    </rPh>
    <rPh sb="5" eb="7">
      <t>カカク</t>
    </rPh>
    <rPh sb="8" eb="9">
      <t>ケイ</t>
    </rPh>
    <phoneticPr fontId="2"/>
  </si>
  <si>
    <t>雑設備-駅前広場舗装等</t>
    <rPh sb="4" eb="6">
      <t>エキマエ</t>
    </rPh>
    <rPh sb="6" eb="8">
      <t>ヒロバ</t>
    </rPh>
    <rPh sb="8" eb="10">
      <t>ホソウ</t>
    </rPh>
    <rPh sb="10" eb="11">
      <t>トウ</t>
    </rPh>
    <phoneticPr fontId="2"/>
  </si>
  <si>
    <t>雑設備-その他</t>
    <rPh sb="6" eb="7">
      <t>タ</t>
    </rPh>
    <phoneticPr fontId="2"/>
  </si>
  <si>
    <t>舗装道路・舗装路面-コンクリート敷、ブロック敷、煉瓦敷、石敷-車庫工場構築物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</si>
  <si>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舗装道路・舗装路面-アスファルト敷又は木れんが敷のもの-車庫工場構築物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</si>
  <si>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舗装道路・舗装路面-ビチューマルチ敷のもの-車庫工場構築物</t>
    <rPh sb="0" eb="2">
      <t>ホソウ</t>
    </rPh>
    <rPh sb="2" eb="4">
      <t>ドウロ</t>
    </rPh>
    <rPh sb="5" eb="7">
      <t>ホソウ</t>
    </rPh>
    <rPh sb="7" eb="9">
      <t>ロメン</t>
    </rPh>
    <rPh sb="17" eb="18">
      <t>シキ</t>
    </rPh>
    <phoneticPr fontId="2"/>
  </si>
  <si>
    <t>鉄骨鉄筋コン造・鉄コン造-へい-車庫工場構築物</t>
    <rPh sb="0" eb="2">
      <t>テッコツ</t>
    </rPh>
    <rPh sb="2" eb="4">
      <t>テッキン</t>
    </rPh>
    <rPh sb="6" eb="7">
      <t>ゾウ</t>
    </rPh>
    <rPh sb="8" eb="9">
      <t>テツ</t>
    </rPh>
    <rPh sb="11" eb="12">
      <t>ゾウ</t>
    </rPh>
    <phoneticPr fontId="2"/>
  </si>
  <si>
    <t>鉄骨鉄筋コン造・鉄コン造-その他-車庫工場構築物</t>
    <rPh sb="0" eb="2">
      <t>テッコツ</t>
    </rPh>
    <rPh sb="2" eb="4">
      <t>テッキン</t>
    </rPh>
    <rPh sb="6" eb="7">
      <t>ゾウ</t>
    </rPh>
    <rPh sb="8" eb="9">
      <t>テツ</t>
    </rPh>
    <rPh sb="11" eb="12">
      <t>ゾウ</t>
    </rPh>
    <rPh sb="15" eb="16">
      <t>タ</t>
    </rPh>
    <phoneticPr fontId="2"/>
  </si>
  <si>
    <t>コン造・コンクリートブロック造-へい-車庫工場構築物</t>
    <rPh sb="2" eb="3">
      <t>ゾウ</t>
    </rPh>
    <rPh sb="14" eb="15">
      <t>ゾウ</t>
    </rPh>
    <phoneticPr fontId="2"/>
  </si>
  <si>
    <t>コン造・コンクリートブロック造-その他-車庫工場構築物</t>
    <rPh sb="2" eb="3">
      <t>ゾウ</t>
    </rPh>
    <rPh sb="14" eb="15">
      <t>ゾウ</t>
    </rPh>
    <rPh sb="18" eb="19">
      <t>タ</t>
    </rPh>
    <phoneticPr fontId="2"/>
  </si>
  <si>
    <t>金属造-つり橋、煙突、焼却炉、打ち込み井戸、へい、街路及びガードレール-車庫工場構築物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</si>
  <si>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金属造-その他-車庫工場構築物</t>
    <rPh sb="0" eb="2">
      <t>キンゾク</t>
    </rPh>
    <rPh sb="2" eb="3">
      <t>ゾウ</t>
    </rPh>
    <rPh sb="6" eb="7">
      <t>タ</t>
    </rPh>
    <phoneticPr fontId="2"/>
  </si>
  <si>
    <t>木造-へい-車庫工場構築物</t>
    <rPh sb="0" eb="2">
      <t>モクゾウ</t>
    </rPh>
    <phoneticPr fontId="2"/>
  </si>
  <si>
    <t>木造-その他-車庫工場構築物</t>
    <rPh sb="0" eb="2">
      <t>モクゾウ</t>
    </rPh>
    <rPh sb="5" eb="6">
      <t>タ</t>
    </rPh>
    <phoneticPr fontId="2"/>
  </si>
  <si>
    <t>舗装道路・舗装路面-コンクリート敷、ブロック敷、煉瓦敷、石敷-変電所構築物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</si>
  <si>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舗装道路・舗装路面-アスファルト敷又は木れんが敷のもの-変電所構築物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</si>
  <si>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舗装道路・舗装路面-ビチューマルチ敷のもの-変電所構築物</t>
    <rPh sb="0" eb="2">
      <t>ホソウ</t>
    </rPh>
    <rPh sb="2" eb="4">
      <t>ドウロ</t>
    </rPh>
    <rPh sb="5" eb="7">
      <t>ホソウ</t>
    </rPh>
    <rPh sb="7" eb="9">
      <t>ロメン</t>
    </rPh>
    <rPh sb="17" eb="18">
      <t>シキ</t>
    </rPh>
    <phoneticPr fontId="2"/>
  </si>
  <si>
    <t>鉄骨鉄筋コン造・鉄コン造-へい-変電所構築物</t>
    <rPh sb="0" eb="2">
      <t>テッコツ</t>
    </rPh>
    <rPh sb="2" eb="4">
      <t>テッキン</t>
    </rPh>
    <rPh sb="6" eb="7">
      <t>ゾウ</t>
    </rPh>
    <rPh sb="8" eb="9">
      <t>テツ</t>
    </rPh>
    <rPh sb="11" eb="12">
      <t>ゾウ</t>
    </rPh>
    <phoneticPr fontId="2"/>
  </si>
  <si>
    <t>鉄骨鉄筋コン造・鉄コン造-その他-変電所構築物</t>
    <rPh sb="0" eb="2">
      <t>テッコツ</t>
    </rPh>
    <rPh sb="2" eb="4">
      <t>テッキン</t>
    </rPh>
    <rPh sb="6" eb="7">
      <t>ゾウ</t>
    </rPh>
    <rPh sb="8" eb="9">
      <t>テツ</t>
    </rPh>
    <rPh sb="11" eb="12">
      <t>ゾウ</t>
    </rPh>
    <rPh sb="15" eb="16">
      <t>タ</t>
    </rPh>
    <phoneticPr fontId="2"/>
  </si>
  <si>
    <t>コン造・コンクリートブロック造-へい-変電所構築物</t>
    <rPh sb="2" eb="3">
      <t>ゾウ</t>
    </rPh>
    <rPh sb="14" eb="15">
      <t>ゾウ</t>
    </rPh>
    <phoneticPr fontId="2"/>
  </si>
  <si>
    <t>コン造・コンクリートブロック造-その他-変電所構築物</t>
    <rPh sb="2" eb="3">
      <t>ゾウ</t>
    </rPh>
    <rPh sb="14" eb="15">
      <t>ゾウ</t>
    </rPh>
    <rPh sb="18" eb="19">
      <t>タ</t>
    </rPh>
    <phoneticPr fontId="2"/>
  </si>
  <si>
    <t>金属造-つり橋、煙突、焼却炉、打ち込み井戸、へい、街路及びガードレール-変電所構築物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</si>
  <si>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金属造-その他-変電所構築物</t>
    <rPh sb="0" eb="2">
      <t>キンゾク</t>
    </rPh>
    <rPh sb="2" eb="3">
      <t>ゾウ</t>
    </rPh>
    <rPh sb="6" eb="7">
      <t>タ</t>
    </rPh>
    <phoneticPr fontId="2"/>
  </si>
  <si>
    <t>木造-へい-変電所構築物</t>
    <rPh sb="0" eb="2">
      <t>モクゾウ</t>
    </rPh>
    <phoneticPr fontId="2"/>
  </si>
  <si>
    <t>木造-その他-変電所構築物</t>
    <rPh sb="0" eb="2">
      <t>モクゾウ</t>
    </rPh>
    <rPh sb="5" eb="6">
      <t>タ</t>
    </rPh>
    <phoneticPr fontId="2"/>
  </si>
  <si>
    <t>舗装道路・舗装路面-コンクリート敷、ブロック敷、煉瓦敷、石敷-雑構築物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</si>
  <si>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舗装道路・舗装路面-アスファルト敷又は木れんが敷のもの-雑構築物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</si>
  <si>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舗装道路・舗装路面-ビチューマルチ敷のもの-雑構築物</t>
    <rPh sb="0" eb="2">
      <t>ホソウ</t>
    </rPh>
    <rPh sb="2" eb="4">
      <t>ドウロ</t>
    </rPh>
    <rPh sb="5" eb="7">
      <t>ホソウ</t>
    </rPh>
    <rPh sb="7" eb="9">
      <t>ロメン</t>
    </rPh>
    <rPh sb="17" eb="18">
      <t>シキ</t>
    </rPh>
    <phoneticPr fontId="2"/>
  </si>
  <si>
    <t>鉄骨鉄筋コン造・鉄コン造-へい-雑構築物</t>
    <rPh sb="0" eb="2">
      <t>テッコツ</t>
    </rPh>
    <rPh sb="2" eb="4">
      <t>テッキン</t>
    </rPh>
    <rPh sb="6" eb="7">
      <t>ゾウ</t>
    </rPh>
    <rPh sb="8" eb="9">
      <t>テツ</t>
    </rPh>
    <rPh sb="11" eb="12">
      <t>ゾウ</t>
    </rPh>
    <phoneticPr fontId="2"/>
  </si>
  <si>
    <t>鉄骨鉄筋コン造・鉄コン造-その他-雑構築物</t>
    <rPh sb="0" eb="2">
      <t>テッコツ</t>
    </rPh>
    <rPh sb="2" eb="4">
      <t>テッキン</t>
    </rPh>
    <rPh sb="6" eb="7">
      <t>ゾウ</t>
    </rPh>
    <rPh sb="8" eb="9">
      <t>テツ</t>
    </rPh>
    <rPh sb="11" eb="12">
      <t>ゾウ</t>
    </rPh>
    <rPh sb="15" eb="16">
      <t>タ</t>
    </rPh>
    <phoneticPr fontId="2"/>
  </si>
  <si>
    <t>コン造・コンクリートブロック造-へい-雑構築物</t>
    <rPh sb="2" eb="3">
      <t>ゾウ</t>
    </rPh>
    <rPh sb="14" eb="15">
      <t>ゾウ</t>
    </rPh>
    <phoneticPr fontId="2"/>
  </si>
  <si>
    <t>コン造・コンクリートブロック造-その他-雑構築物</t>
    <rPh sb="2" eb="3">
      <t>ゾウ</t>
    </rPh>
    <rPh sb="14" eb="15">
      <t>ゾウ</t>
    </rPh>
    <rPh sb="18" eb="19">
      <t>タ</t>
    </rPh>
    <phoneticPr fontId="2"/>
  </si>
  <si>
    <t>金属造-つり橋、煙突、焼却炉、打ち込み井戸、へい、街路及びガードレール-雑構築物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</si>
  <si>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金属造-その他-雑構築物</t>
    <rPh sb="0" eb="2">
      <t>キンゾク</t>
    </rPh>
    <rPh sb="2" eb="3">
      <t>ゾウ</t>
    </rPh>
    <rPh sb="6" eb="7">
      <t>タ</t>
    </rPh>
    <phoneticPr fontId="2"/>
  </si>
  <si>
    <t>木造-へい-雑構築物</t>
    <rPh sb="0" eb="2">
      <t>モクゾウ</t>
    </rPh>
    <phoneticPr fontId="2"/>
  </si>
  <si>
    <t>木造-その他-雑構築物</t>
    <rPh sb="0" eb="2">
      <t>モクゾウ</t>
    </rPh>
    <rPh sb="5" eb="6">
      <t>タ</t>
    </rPh>
    <phoneticPr fontId="2"/>
  </si>
  <si>
    <t>構築物　工事価格　計</t>
    <rPh sb="0" eb="3">
      <t>コウチクブツ</t>
    </rPh>
    <rPh sb="4" eb="6">
      <t>コウジ</t>
    </rPh>
    <rPh sb="6" eb="8">
      <t>カカク</t>
    </rPh>
    <rPh sb="9" eb="10">
      <t>ケイ</t>
    </rPh>
    <phoneticPr fontId="2"/>
  </si>
  <si>
    <t>工具・器具・備品　工事価格　計</t>
    <rPh sb="0" eb="2">
      <t>コウグ</t>
    </rPh>
    <rPh sb="3" eb="5">
      <t>キグ</t>
    </rPh>
    <rPh sb="6" eb="8">
      <t>ビヒン</t>
    </rPh>
    <rPh sb="9" eb="11">
      <t>コウジ</t>
    </rPh>
    <rPh sb="11" eb="13">
      <t>カカク</t>
    </rPh>
    <rPh sb="14" eb="15">
      <t>ケイ</t>
    </rPh>
    <phoneticPr fontId="2"/>
  </si>
  <si>
    <t>－</t>
    <phoneticPr fontId="2"/>
  </si>
  <si>
    <t>部分撤去工事のうち、資産計上した工事価格</t>
    <rPh sb="10" eb="12">
      <t>シサン</t>
    </rPh>
    <rPh sb="12" eb="14">
      <t>ケイジョウ</t>
    </rPh>
    <rPh sb="16" eb="18">
      <t>コウジ</t>
    </rPh>
    <rPh sb="18" eb="20">
      <t>カカク</t>
    </rPh>
    <phoneticPr fontId="2"/>
  </si>
  <si>
    <t>部分撤去工事のうち、費用計上した工事価格</t>
    <rPh sb="10" eb="12">
      <t>ヒヨウ</t>
    </rPh>
    <rPh sb="12" eb="14">
      <t>ケイジョウ</t>
    </rPh>
    <rPh sb="16" eb="18">
      <t>コウジ</t>
    </rPh>
    <rPh sb="18" eb="20">
      <t>カカク</t>
    </rPh>
    <phoneticPr fontId="2"/>
  </si>
  <si>
    <t>部分撤去工事　工事価格　計</t>
    <rPh sb="0" eb="2">
      <t>ブブン</t>
    </rPh>
    <rPh sb="2" eb="4">
      <t>テッキョ</t>
    </rPh>
    <rPh sb="4" eb="6">
      <t>コウジ</t>
    </rPh>
    <rPh sb="7" eb="9">
      <t>コウジ</t>
    </rPh>
    <rPh sb="9" eb="11">
      <t>カカク</t>
    </rPh>
    <rPh sb="12" eb="13">
      <t>ケイ</t>
    </rPh>
    <phoneticPr fontId="2"/>
  </si>
  <si>
    <t>資産計上区分の中で、費用として計上した工事価格（部分撤去工事を除く）</t>
    <rPh sb="10" eb="12">
      <t>ヒヨウ</t>
    </rPh>
    <rPh sb="15" eb="17">
      <t>ケイジョウ</t>
    </rPh>
    <rPh sb="19" eb="21">
      <t>コウジ</t>
    </rPh>
    <rPh sb="21" eb="23">
      <t>カカク</t>
    </rPh>
    <rPh sb="24" eb="26">
      <t>ブブン</t>
    </rPh>
    <rPh sb="26" eb="28">
      <t>テッキョ</t>
    </rPh>
    <rPh sb="28" eb="30">
      <t>コウジ</t>
    </rPh>
    <rPh sb="31" eb="32">
      <t>ノゾ</t>
    </rPh>
    <phoneticPr fontId="2"/>
  </si>
  <si>
    <t>費用計上した工事価格</t>
    <rPh sb="0" eb="2">
      <t>ヒヨウ</t>
    </rPh>
    <rPh sb="2" eb="4">
      <t>ケイジョウ</t>
    </rPh>
    <rPh sb="6" eb="8">
      <t>コウジ</t>
    </rPh>
    <rPh sb="8" eb="10">
      <t>カカク</t>
    </rPh>
    <phoneticPr fontId="2"/>
  </si>
  <si>
    <t>費用計上（部分撤去工事を除く）　工事価格　計</t>
    <rPh sb="0" eb="2">
      <t>ヒヨウ</t>
    </rPh>
    <rPh sb="2" eb="4">
      <t>ケイジョウ</t>
    </rPh>
    <rPh sb="5" eb="7">
      <t>ブブン</t>
    </rPh>
    <rPh sb="7" eb="9">
      <t>テッキョ</t>
    </rPh>
    <rPh sb="9" eb="11">
      <t>コウジ</t>
    </rPh>
    <rPh sb="12" eb="13">
      <t>ノゾ</t>
    </rPh>
    <rPh sb="16" eb="18">
      <t>コウジ</t>
    </rPh>
    <rPh sb="18" eb="20">
      <t>カカク</t>
    </rPh>
    <rPh sb="21" eb="22">
      <t>ケイ</t>
    </rPh>
    <phoneticPr fontId="2"/>
  </si>
  <si>
    <t>工事価格合計</t>
    <rPh sb="0" eb="2">
      <t>コウジ</t>
    </rPh>
    <rPh sb="2" eb="4">
      <t>カカク</t>
    </rPh>
    <rPh sb="4" eb="6">
      <t>ゴウケイ</t>
    </rPh>
    <phoneticPr fontId="2"/>
  </si>
  <si>
    <t>鉄道事業有形固定資産</t>
    <rPh sb="0" eb="2">
      <t>テツドウ</t>
    </rPh>
    <rPh sb="2" eb="4">
      <t>ジギョウ</t>
    </rPh>
    <rPh sb="4" eb="6">
      <t>ユウケイ</t>
    </rPh>
    <rPh sb="6" eb="8">
      <t>コテイ</t>
    </rPh>
    <rPh sb="8" eb="10">
      <t>シサン</t>
    </rPh>
    <phoneticPr fontId="2"/>
  </si>
  <si>
    <t>広告事業有形固定資産</t>
    <rPh sb="0" eb="2">
      <t>コウコク</t>
    </rPh>
    <rPh sb="2" eb="4">
      <t>ジギョウ</t>
    </rPh>
    <rPh sb="4" eb="6">
      <t>ユウケイ</t>
    </rPh>
    <rPh sb="6" eb="8">
      <t>コテイ</t>
    </rPh>
    <rPh sb="8" eb="10">
      <t>シサン</t>
    </rPh>
    <phoneticPr fontId="2"/>
  </si>
  <si>
    <t>不動産事業有形固定資産</t>
    <rPh sb="0" eb="3">
      <t>フドウサン</t>
    </rPh>
    <rPh sb="3" eb="5">
      <t>ジギョウ</t>
    </rPh>
    <rPh sb="5" eb="7">
      <t>ユウケイ</t>
    </rPh>
    <rPh sb="7" eb="9">
      <t>コテイ</t>
    </rPh>
    <rPh sb="9" eb="11">
      <t>シサン</t>
    </rPh>
    <phoneticPr fontId="2"/>
  </si>
  <si>
    <t>土地</t>
  </si>
  <si>
    <t>建物</t>
  </si>
  <si>
    <t>構築物</t>
  </si>
  <si>
    <t>車両</t>
  </si>
  <si>
    <t>機械装置</t>
  </si>
  <si>
    <t>工具・器具・備品</t>
  </si>
  <si>
    <t>リース資産</t>
  </si>
  <si>
    <t>3　鉄道事業有形固定資産の勘定科目</t>
    <phoneticPr fontId="2"/>
  </si>
  <si>
    <t>項</t>
    <rPh sb="0" eb="1">
      <t>コウ</t>
    </rPh>
    <phoneticPr fontId="2"/>
  </si>
  <si>
    <t>目</t>
    <rPh sb="0" eb="1">
      <t>メ</t>
    </rPh>
    <phoneticPr fontId="2"/>
  </si>
  <si>
    <t>節</t>
    <rPh sb="0" eb="1">
      <t>セツ</t>
    </rPh>
    <phoneticPr fontId="2"/>
  </si>
  <si>
    <t>土　地</t>
  </si>
  <si>
    <t>(運送施設)</t>
  </si>
  <si>
    <t>線路、停車場用地</t>
  </si>
  <si>
    <t>変電所用地</t>
  </si>
  <si>
    <t>車庫、工場用地</t>
  </si>
  <si>
    <t>倉庫用地</t>
  </si>
  <si>
    <t>事務所用地</t>
  </si>
  <si>
    <t>社宅、寮用地</t>
  </si>
  <si>
    <t>雑用地</t>
  </si>
  <si>
    <t>建　物</t>
  </si>
  <si>
    <t>10構築物（抜粋）</t>
    <rPh sb="2" eb="5">
      <t>コウチクブツ</t>
    </rPh>
    <rPh sb="6" eb="8">
      <t>バッスイ</t>
    </rPh>
    <phoneticPr fontId="2"/>
  </si>
  <si>
    <t>007停車場建物</t>
    <phoneticPr fontId="2"/>
  </si>
  <si>
    <t>024雑設備</t>
  </si>
  <si>
    <t>008変電所建物</t>
    <phoneticPr fontId="2"/>
  </si>
  <si>
    <t>049車庫工場構築物</t>
  </si>
  <si>
    <t>009車庫、工場建物</t>
    <phoneticPr fontId="2"/>
  </si>
  <si>
    <t>050変電所構築物</t>
  </si>
  <si>
    <t>010倉庫建物</t>
    <phoneticPr fontId="2"/>
  </si>
  <si>
    <t>999雑構築物</t>
  </si>
  <si>
    <t>011詰所建物</t>
    <phoneticPr fontId="2"/>
  </si>
  <si>
    <t>012事務所建物</t>
    <phoneticPr fontId="2"/>
  </si>
  <si>
    <t>013社宅及び寮建物</t>
    <phoneticPr fontId="2"/>
  </si>
  <si>
    <t>雑建物</t>
  </si>
  <si>
    <t>(線路設備)</t>
  </si>
  <si>
    <t>軌道</t>
  </si>
  <si>
    <t>レール及び附属品</t>
  </si>
  <si>
    <t>分岐器</t>
  </si>
  <si>
    <t>まくら木</t>
  </si>
  <si>
    <t>道床</t>
  </si>
  <si>
    <t>舗装</t>
  </si>
  <si>
    <t>諸標・車止め</t>
  </si>
  <si>
    <t>土工</t>
  </si>
  <si>
    <t>線路切取</t>
  </si>
  <si>
    <t>線路築堤</t>
  </si>
  <si>
    <t>川道付替</t>
  </si>
  <si>
    <t>土留め</t>
  </si>
  <si>
    <t>橋りょう</t>
  </si>
  <si>
    <t>鉄筋コンクリート造り</t>
  </si>
  <si>
    <t>鉄骨造り</t>
  </si>
  <si>
    <t>その他</t>
  </si>
  <si>
    <t>高架橋</t>
  </si>
  <si>
    <t>トンネル</t>
  </si>
  <si>
    <t>排水設備</t>
  </si>
  <si>
    <t>機械保安設備</t>
  </si>
  <si>
    <t>機械信号機</t>
  </si>
  <si>
    <t>諸設備</t>
  </si>
  <si>
    <t>線路諸設備</t>
  </si>
  <si>
    <t>防護設備</t>
  </si>
  <si>
    <t>さくがき</t>
  </si>
  <si>
    <t>雑設備</t>
  </si>
  <si>
    <t>(停車場設備)</t>
  </si>
  <si>
    <t>プラットホーム及び</t>
  </si>
  <si>
    <t>積卸し場</t>
  </si>
  <si>
    <t>地下道</t>
  </si>
  <si>
    <t>024雑設備</t>
    <phoneticPr fontId="2"/>
  </si>
  <si>
    <t>(電路設備)</t>
  </si>
  <si>
    <t>通信線</t>
  </si>
  <si>
    <t>電話機</t>
  </si>
  <si>
    <t>電気時計</t>
  </si>
  <si>
    <t>拡声装置</t>
  </si>
  <si>
    <t>通信諸設備</t>
  </si>
  <si>
    <t>信号線</t>
  </si>
  <si>
    <t>閉そく装置</t>
  </si>
  <si>
    <t>電気信号機</t>
  </si>
  <si>
    <t>連動機</t>
  </si>
  <si>
    <t>転てつ器</t>
  </si>
  <si>
    <t>自動列車制御装置</t>
  </si>
  <si>
    <t>自動列車運転装置</t>
  </si>
  <si>
    <t>列車集中制御装置</t>
  </si>
  <si>
    <t>自動列車進路制御装置</t>
  </si>
  <si>
    <t>電気保安諸設備</t>
  </si>
  <si>
    <t>送電線</t>
  </si>
  <si>
    <t>配電線</t>
  </si>
  <si>
    <t>き電線</t>
  </si>
  <si>
    <t>電車線</t>
  </si>
  <si>
    <t>サードレール</t>
  </si>
  <si>
    <t>帰線ボンド</t>
  </si>
  <si>
    <t>電灯電力線</t>
  </si>
  <si>
    <t>電力線諸設備</t>
  </si>
  <si>
    <t>支持物</t>
  </si>
  <si>
    <t>鉄柱・コンクリート柱</t>
  </si>
  <si>
    <t>木柱</t>
  </si>
  <si>
    <t>その他の支持物</t>
  </si>
  <si>
    <t>(諸構築物)</t>
  </si>
  <si>
    <t>049車庫工場構築物</t>
    <phoneticPr fontId="2"/>
  </si>
  <si>
    <t>050変電所構築物</t>
    <phoneticPr fontId="2"/>
  </si>
  <si>
    <t>999雑構築物</t>
    <phoneticPr fontId="2"/>
  </si>
  <si>
    <t>車　両</t>
  </si>
  <si>
    <t>(なし)</t>
  </si>
  <si>
    <t>電動客車</t>
  </si>
  <si>
    <t>制御客車</t>
  </si>
  <si>
    <t>付随客車</t>
  </si>
  <si>
    <t>特殊車両</t>
  </si>
  <si>
    <t>変電所機械</t>
  </si>
  <si>
    <t>通信機械</t>
  </si>
  <si>
    <t>交換設備</t>
  </si>
  <si>
    <t>無線設備</t>
  </si>
  <si>
    <t>搬送設備</t>
  </si>
  <si>
    <t>停車場機械</t>
  </si>
  <si>
    <t>工場機械</t>
  </si>
  <si>
    <t>雑機械</t>
  </si>
  <si>
    <t>運搬具</t>
  </si>
  <si>
    <t>雑施設</t>
  </si>
  <si>
    <t>(案内宣伝施設)</t>
  </si>
  <si>
    <t>停車場建物</t>
  </si>
  <si>
    <t>変電所建物</t>
  </si>
  <si>
    <t>車庫、工場建物</t>
  </si>
  <si>
    <t>倉庫建物</t>
  </si>
  <si>
    <t>詰所建物</t>
  </si>
  <si>
    <t>事務所建物</t>
  </si>
  <si>
    <t>社宅及び寮建物</t>
  </si>
  <si>
    <t>10100101</t>
  </si>
  <si>
    <t>鉄有固-運送施設 土地-線路及び停車場用地</t>
  </si>
  <si>
    <t>10100201</t>
  </si>
  <si>
    <t>鉄有固-運送施設 土地-変電所用地</t>
  </si>
  <si>
    <t>10100301</t>
  </si>
  <si>
    <t>鉄有固-運送施設 土地-車庫及び工場用地</t>
  </si>
  <si>
    <t>10100401</t>
  </si>
  <si>
    <t>鉄有固-運送施設 土地-倉庫用地</t>
  </si>
  <si>
    <t>10100501</t>
  </si>
  <si>
    <t>鉄有固-運送施設 土地-事務所用地</t>
  </si>
  <si>
    <t>10100601</t>
  </si>
  <si>
    <t>鉄有固-運送施設 土地-社宅及び寮用地</t>
  </si>
  <si>
    <t>10199901</t>
  </si>
  <si>
    <t>鉄有固-運送施設 土地-雑用地</t>
  </si>
  <si>
    <t>停車場</t>
    <rPh sb="0" eb="3">
      <t>テイシャジョウ</t>
    </rPh>
    <phoneticPr fontId="2"/>
  </si>
  <si>
    <t>鉄有固-運送施設 建物-鉄骨鉄筋コンクリート造又は鉄筋コンクリート造-停車場建物</t>
  </si>
  <si>
    <t>10500702</t>
  </si>
  <si>
    <t>鉄有固-運送施設 建物-れんが造、石造又はブロック造-停車場建物</t>
  </si>
  <si>
    <t>10500703</t>
  </si>
  <si>
    <t>鉄有固-運送施設 建物-金属造(骨格材の肉厚が4mm超)-停車場建物</t>
  </si>
  <si>
    <t>10500704</t>
  </si>
  <si>
    <t>鉄有固-運送施設 建物-金属造(骨格材の肉厚が3mm超4mm以下)-停車場建物</t>
  </si>
  <si>
    <t>10500705</t>
  </si>
  <si>
    <t>鉄有固-運送施設 建物-金属造(骨格材の肉厚が3mm以下)-停車場建物</t>
  </si>
  <si>
    <t>10500706</t>
  </si>
  <si>
    <t>鉄有固-運送施設 建物-木造又は合成樹脂造-停車場建物</t>
  </si>
  <si>
    <t>10500707</t>
  </si>
  <si>
    <t>鉄有固-運送施設 建物-木骨モルタル造-停車場建物</t>
  </si>
  <si>
    <t>10500708</t>
  </si>
  <si>
    <t>鉄有固-運送施設 建物-簡易建物(木製主要柱が10cm角以下で土居、杉皮ぶき等)-停車場建物</t>
  </si>
  <si>
    <t>10500709</t>
  </si>
  <si>
    <t>鉄有固-運送施設 建物-簡易建物(掘立造のもの及び仮設のもの)-停車場建物</t>
  </si>
  <si>
    <t>10500710</t>
  </si>
  <si>
    <t>鉄有固-運送施設 建物付属設備-電気設備(照明設備を含む)-蓄電池電源設備-停車場建物</t>
  </si>
  <si>
    <t>10500711</t>
  </si>
  <si>
    <t>鉄有固-運送施設 建物付属設備-電気設備(照明設備を含む)-その他のもの-停車場建物</t>
  </si>
  <si>
    <t>10500712</t>
  </si>
  <si>
    <t>鉄有固-運送施設 建物付属設備-給排水又は衛生設備及びガス設備-停車場建物</t>
  </si>
  <si>
    <t>10500713</t>
  </si>
  <si>
    <t>鉄有固-運送施設 建物付属設備-冷暖房・通風・ボイラー設備-22kw以下-停車場建物</t>
  </si>
  <si>
    <t>10500714</t>
  </si>
  <si>
    <t>鉄有固-運送施設 建物付属設備-冷暖房・通風・ボイラー設備-その他のもの-停車場建物</t>
  </si>
  <si>
    <t>10500715</t>
  </si>
  <si>
    <t>鉄有固-運送施設 建物付属設備-昇降機設備-エレベーター-停車場建物</t>
  </si>
  <si>
    <t>10500716</t>
  </si>
  <si>
    <t>鉄有固-運送施設 建物付属設備-昇降機設備-エスカレーター-停車場建物</t>
  </si>
  <si>
    <t>10500717</t>
  </si>
  <si>
    <t>鉄有固-運送施設 建物付属設備-消火・排煙・災害報知設備及び格納式避難設備-停車場建物</t>
  </si>
  <si>
    <t>10500718</t>
  </si>
  <si>
    <t>鉄有固-運送施設 建物付属設備-エヤーカーテン又はドアー自動開閉設備-停車場建物</t>
  </si>
  <si>
    <t>10500719</t>
  </si>
  <si>
    <t>鉄有固-運送施設 建物付属設備-アーケード又は日よけ設備-金属製-停車場建物</t>
  </si>
  <si>
    <t>10500720</t>
  </si>
  <si>
    <t>鉄有固-運送施設 建物付属設備-アーケード又は日よけ設備-その他のもの-停車場建物</t>
  </si>
  <si>
    <t>10500721</t>
  </si>
  <si>
    <t>鉄有固-運送施設 建物付属設備-店用簡易設備-停車場建物</t>
  </si>
  <si>
    <t>10500722</t>
  </si>
  <si>
    <t>鉄有固-運送施設 建物付属設備-可動簡易装備-簡易なもの-停車場建物</t>
  </si>
  <si>
    <t>10500723</t>
  </si>
  <si>
    <t>鉄有固-運送施設 建物付属設備-可動簡易装備-その他のもの-停車場建物</t>
  </si>
  <si>
    <t>10500724</t>
  </si>
  <si>
    <t>鉄有固-運送施設 建物付属設備-前掲以外・前掲区分外-主として金属製のもの-停車場建物</t>
  </si>
  <si>
    <t>10500725</t>
  </si>
  <si>
    <t>鉄有固-運送施設 建物付属設備-前掲以外・前掲区分外-その他のもの-停車場建物</t>
  </si>
  <si>
    <t>変電所</t>
    <rPh sb="0" eb="3">
      <t>ヘンデンショ</t>
    </rPh>
    <phoneticPr fontId="2"/>
  </si>
  <si>
    <t>10500801</t>
  </si>
  <si>
    <t>鉄有固-運送施設 建物-鉄骨鉄筋コンクリート造又は鉄筋コンクリート造-変電所建物</t>
  </si>
  <si>
    <t>10500802</t>
  </si>
  <si>
    <t>鉄有固-運送施設 建物-れんが造、石造又はブロック造-変電所建物</t>
  </si>
  <si>
    <t>10500803</t>
  </si>
  <si>
    <t>鉄有固-運送施設 建物-金属造(骨格材の肉厚が4mm超)-変電所建物</t>
  </si>
  <si>
    <t>10500804</t>
  </si>
  <si>
    <t>鉄有固-運送施設 建物-金属造(骨格材の肉厚が3mm超4mm以下)-変電所建物</t>
  </si>
  <si>
    <t>10500805</t>
  </si>
  <si>
    <t>鉄有固-運送施設 建物-金属造(骨格材の肉厚が3mm以下)-変電所建物</t>
  </si>
  <si>
    <t>10500806</t>
  </si>
  <si>
    <t>鉄有固-運送施設 建物-木造又は合成樹脂造-変電所建物</t>
  </si>
  <si>
    <t>10500807</t>
  </si>
  <si>
    <t>鉄有固-運送施設 建物-木骨モルタル造-変電所建物</t>
  </si>
  <si>
    <t>10500808</t>
  </si>
  <si>
    <t>鉄有固-運送施設 建物-簡易建物(木製主要柱が10cm角以下で土居、杉皮ぶき等)-変電所建物</t>
  </si>
  <si>
    <t>10500809</t>
  </si>
  <si>
    <t>鉄有固-運送施設 建物-簡易建物(掘立造のもの及び仮設のもの)-変電所建物</t>
  </si>
  <si>
    <t>10500810</t>
  </si>
  <si>
    <t>鉄有固-運送施設 建物付属設備-電気設備(照明設備を含む)-蓄電池電源設備-変電所建物</t>
  </si>
  <si>
    <t>10500811</t>
  </si>
  <si>
    <t>鉄有固-運送施設 建物付属設備-電気設備(照明設備を含む)-その他のもの-変電所建物</t>
  </si>
  <si>
    <t>10500812</t>
  </si>
  <si>
    <t>鉄有固-運送施設 建物付属設備-給排水又は衛生設備及びガス設備-変電所建物</t>
  </si>
  <si>
    <t>10500813</t>
  </si>
  <si>
    <t>鉄有固-運送施設 建物付属設備-冷暖房・通風・ボイラー設備-22kw以下-変電所建物</t>
  </si>
  <si>
    <t>10500814</t>
  </si>
  <si>
    <t>鉄有固-運送施設 建物付属設備-冷暖房・通風・ボイラー設備-その他のもの-変電所建物</t>
  </si>
  <si>
    <t>10500815</t>
  </si>
  <si>
    <t>鉄有固-運送施設 建物付属設備-昇降機設備-エレベーター-変電所建物</t>
  </si>
  <si>
    <t>10500816</t>
  </si>
  <si>
    <t>鉄有固-運送施設 建物付属設備-昇降機設備-エスカレーター-変電所建物</t>
  </si>
  <si>
    <t>10500817</t>
  </si>
  <si>
    <t>鉄有固-運送施設 建物付属設備-消火・排煙・災害報知設備及び格納式避難設備-変電所建物</t>
  </si>
  <si>
    <t>10500818</t>
  </si>
  <si>
    <t>鉄有固-運送施設 建物付属設備-エヤーカーテン又はドアー自動開閉設備-変電所建物</t>
  </si>
  <si>
    <t>10500819</t>
  </si>
  <si>
    <t>鉄有固-運送施設 建物付属設備-アーケード又は日よけ設備-金属製-変電所建物</t>
  </si>
  <si>
    <t>10500820</t>
  </si>
  <si>
    <t>鉄有固-運送施設 建物付属設備-アーケード又は日よけ設備-その他のもの-変電所建物</t>
  </si>
  <si>
    <t>10500821</t>
  </si>
  <si>
    <t>鉄有固-運送施設 建物付属設備-店用簡易設備-変電所建物</t>
  </si>
  <si>
    <t>10500822</t>
  </si>
  <si>
    <t>鉄有固-運送施設 建物付属設備-可動簡易装備-簡易なもの-変電所建物</t>
  </si>
  <si>
    <t>10500823</t>
  </si>
  <si>
    <t>鉄有固-運送施設 建物付属設備-可動簡易装備-その他のもの-変電所建物</t>
  </si>
  <si>
    <t>10500824</t>
  </si>
  <si>
    <t>鉄有固-運送施設 建物付属設備-前掲以外・前掲区分外-主として金属製のもの-変電所建物</t>
  </si>
  <si>
    <t>10500825</t>
  </si>
  <si>
    <t>鉄有固-運送施設 建物付属設備-前掲以外・前掲区分外-その他のもの-変電所建物</t>
  </si>
  <si>
    <t>車庫</t>
    <rPh sb="0" eb="2">
      <t>シャコ</t>
    </rPh>
    <phoneticPr fontId="2"/>
  </si>
  <si>
    <t>10500901</t>
  </si>
  <si>
    <t>鉄有固-運送施設 建物-鉄骨鉄筋コンクリート造又は鉄筋コンクリート造-車庫・工場</t>
  </si>
  <si>
    <t>10500902</t>
  </si>
  <si>
    <t>鉄有固-運送施設 建物-れんが造、石造又はブロック造-車庫・工場</t>
  </si>
  <si>
    <t>10500903</t>
  </si>
  <si>
    <t>鉄有固-運送施設 建物-金属造(骨格材の肉厚が4mm超)-車庫・工場</t>
  </si>
  <si>
    <t>10500904</t>
  </si>
  <si>
    <t>鉄有固-運送施設 建物-金属造(骨格材の肉厚が3mm超4mm以下)-車庫・工場</t>
  </si>
  <si>
    <t>10500905</t>
  </si>
  <si>
    <t>鉄有固-運送施設 建物-金属造(骨格材の肉厚が3mm以下)-車庫・工場</t>
  </si>
  <si>
    <t>10500906</t>
  </si>
  <si>
    <t>鉄有固-運送施設 建物-木造又は合成樹脂造-車庫・工場</t>
  </si>
  <si>
    <t>10500907</t>
  </si>
  <si>
    <t>鉄有固-運送施設 建物-木骨モルタル造-車庫・工場</t>
  </si>
  <si>
    <t>10500908</t>
  </si>
  <si>
    <t>鉄有固-運送施設 建物-簡易建物(木製主要柱が10cm角以下で土居、杉皮ぶき等)-車庫・工場</t>
  </si>
  <si>
    <t>10500909</t>
  </si>
  <si>
    <t>鉄有固-運送施設 建物-簡易建物(掘立造のもの及び仮設のもの)-車庫・工場</t>
  </si>
  <si>
    <t>10500910</t>
  </si>
  <si>
    <t>鉄有固-運送施設 建物付属設備-電気設備(照明設備を含む)-蓄電池電源設備-車庫・工場</t>
  </si>
  <si>
    <t>10500911</t>
  </si>
  <si>
    <t>鉄有固-運送施設 建物付属設備-電気設備(照明設備を含む)-その他のもの-車庫・工場</t>
  </si>
  <si>
    <t>10500912</t>
  </si>
  <si>
    <t>鉄有固-運送施設 建物付属設備-給排水又は衛生設備及びガス設備-車庫・工場</t>
  </si>
  <si>
    <t>10500913</t>
  </si>
  <si>
    <t>鉄有固-運送施設 建物付属設備-冷暖房・通風・ボイラー設備-22kw以下-車庫・工場</t>
  </si>
  <si>
    <t>10500914</t>
  </si>
  <si>
    <t>鉄有固-運送施設 建物付属設備-冷暖房・通風・ボイラー設備-その他のもの-車庫・工場</t>
  </si>
  <si>
    <t>10500915</t>
  </si>
  <si>
    <t>鉄有固-運送施設 建物付属設備-昇降機設備-エレベーター-車庫・工場</t>
  </si>
  <si>
    <t>10500916</t>
  </si>
  <si>
    <t>鉄有固-運送施設 建物付属設備-昇降機設備-エスカレーター-車庫・工場</t>
  </si>
  <si>
    <t>10500917</t>
  </si>
  <si>
    <t>鉄有固-運送施設 建物付属設備-消火・排煙・災害報知設備及び格納式避難設備-車庫・工場</t>
  </si>
  <si>
    <t>10500918</t>
  </si>
  <si>
    <t>鉄有固-運送施設 建物付属設備-エヤーカーテン又はドアー自動開閉設備-車庫・工場</t>
  </si>
  <si>
    <t>10500919</t>
  </si>
  <si>
    <t>鉄有固-運送施設 建物付属設備-アーケード又は日よけ設備-金属製-車庫・工場</t>
  </si>
  <si>
    <t>10500920</t>
  </si>
  <si>
    <t>鉄有固-運送施設 建物付属設備-アーケード又は日よけ設備-その他のもの-車庫・工場</t>
  </si>
  <si>
    <t>10500921</t>
  </si>
  <si>
    <t>鉄有固-運送施設 建物付属設備-店用簡易設備-車庫・工場</t>
  </si>
  <si>
    <t>10500922</t>
  </si>
  <si>
    <t>鉄有固-運送施設 建物付属設備-可動簡易装備-簡易なもの-車庫・工場</t>
  </si>
  <si>
    <t>10500923</t>
  </si>
  <si>
    <t>鉄有固-運送施設 建物付属設備-可動簡易装備-その他のもの-車庫・工場</t>
  </si>
  <si>
    <t>10500924</t>
  </si>
  <si>
    <t>鉄有固-運送施設 建物付属設備-前掲以外・前掲区分外-主として金属製のもの-車庫・工場</t>
  </si>
  <si>
    <t>10500925</t>
  </si>
  <si>
    <t>鉄有固-運送施設 建物付属設備-前掲以外・前掲区分外-その他のもの-車庫・工場</t>
  </si>
  <si>
    <t>倉庫</t>
    <rPh sb="0" eb="2">
      <t>ソウコ</t>
    </rPh>
    <phoneticPr fontId="2"/>
  </si>
  <si>
    <t>10501001</t>
  </si>
  <si>
    <t>鉄有固-運送施設 建物-鉄骨鉄筋コンクリート造又は鉄筋コンクリート造-倉庫建物</t>
  </si>
  <si>
    <t>10501002</t>
  </si>
  <si>
    <t>鉄有固-運送施設 建物-れんが造、石造又はブロック造-倉庫建物</t>
  </si>
  <si>
    <t>10501003</t>
  </si>
  <si>
    <t>鉄有固-運送施設 建物-金属造(骨格材の肉厚が4mm超)-倉庫建物</t>
  </si>
  <si>
    <t>10501004</t>
  </si>
  <si>
    <t>鉄有固-運送施設 建物-金属造(骨格材の肉厚が3mm超4mm以下)-倉庫建物</t>
  </si>
  <si>
    <t>10501005</t>
  </si>
  <si>
    <t>鉄有固-運送施設 建物-金属造(骨格材の肉厚が3mm以下)-倉庫建物</t>
  </si>
  <si>
    <t>10501006</t>
  </si>
  <si>
    <t>鉄有固-運送施設 建物-木造又は合成樹脂造-倉庫建物</t>
  </si>
  <si>
    <t>10501007</t>
  </si>
  <si>
    <t>鉄有固-運送施設 建物-木骨モルタル造-倉庫建物</t>
  </si>
  <si>
    <t>10501008</t>
  </si>
  <si>
    <t>鉄有固-運送施設 建物-簡易建物(木製主要柱が10cm角以下で土居、杉皮ぶき等)-倉庫建物</t>
  </si>
  <si>
    <t>10501009</t>
  </si>
  <si>
    <t>鉄有固-運送施設 建物-簡易建物(掘立造のもの及び仮設のもの)-倉庫建物</t>
  </si>
  <si>
    <t>10501010</t>
  </si>
  <si>
    <t>鉄有固-運送施設 建物付属設備-電気設備(照明設備を含む)-蓄電池電源設備-倉庫建物</t>
  </si>
  <si>
    <t>10501011</t>
  </si>
  <si>
    <t>鉄有固-運送施設 建物付属設備-電気設備(照明設備を含む)-その他のもの-倉庫建物</t>
  </si>
  <si>
    <t>10501012</t>
  </si>
  <si>
    <t>鉄有固-運送施設 建物付属設備-給排水又は衛生設備及びガス設備-倉庫建物</t>
  </si>
  <si>
    <t>10501013</t>
  </si>
  <si>
    <t>鉄有固-運送施設 建物付属設備-冷暖房・通風・ボイラー設備-22kw以下-倉庫建物</t>
  </si>
  <si>
    <t>10501014</t>
  </si>
  <si>
    <t>鉄有固-運送施設 建物付属設備-冷暖房・通風・ボイラー設備-その他のもの-倉庫建物</t>
  </si>
  <si>
    <t>10501015</t>
  </si>
  <si>
    <t>鉄有固-運送施設 建物付属設備-昇降機設備-エレベーター-倉庫建物</t>
  </si>
  <si>
    <t>10501016</t>
  </si>
  <si>
    <t>鉄有固-運送施設 建物付属設備-昇降機設備-エスカレーター-倉庫建物</t>
  </si>
  <si>
    <t>10501017</t>
  </si>
  <si>
    <t>鉄有固-運送施設 建物付属設備-消火・排煙・災害報知設備及び格納式避難設備-倉庫建物</t>
  </si>
  <si>
    <t>10501018</t>
  </si>
  <si>
    <t>鉄有固-運送施設 建物付属設備-エヤーカーテン又はドアー自動開閉設備-倉庫建物</t>
  </si>
  <si>
    <t>10501019</t>
  </si>
  <si>
    <t>鉄有固-運送施設 建物付属設備-アーケード又は日よけ設備-金属製-倉庫建物</t>
  </si>
  <si>
    <t>10501020</t>
  </si>
  <si>
    <t>鉄有固-運送施設 建物付属設備-アーケード又は日よけ設備-その他のもの-倉庫建物</t>
  </si>
  <si>
    <t>10501021</t>
  </si>
  <si>
    <t>鉄有固-運送施設 建物付属設備-店用簡易設備-倉庫建物</t>
  </si>
  <si>
    <t>10501022</t>
  </si>
  <si>
    <t>鉄有固-運送施設 建物付属設備-可動簡易装備-簡易なもの-倉庫建物</t>
  </si>
  <si>
    <t>10501023</t>
  </si>
  <si>
    <t>鉄有固-運送施設 建物付属設備-可動簡易装備-その他のもの-倉庫建物</t>
  </si>
  <si>
    <t>10501024</t>
  </si>
  <si>
    <t>鉄有固-運送施設 建物付属設備-前掲以外・前掲区分外-主として金属製のもの-倉庫建物</t>
  </si>
  <si>
    <t>10501025</t>
  </si>
  <si>
    <t>鉄有固-運送施設 建物付属設備-前掲以外・前掲区分外-その他のもの-倉庫建物</t>
  </si>
  <si>
    <t>詰所</t>
    <rPh sb="0" eb="2">
      <t>ツメショ</t>
    </rPh>
    <phoneticPr fontId="2"/>
  </si>
  <si>
    <t>10501101</t>
  </si>
  <si>
    <t>鉄有固-運送施設 建物-鉄骨鉄筋コンクリート造又は鉄筋コンクリート造-詰所建物</t>
  </si>
  <si>
    <t>10501102</t>
  </si>
  <si>
    <t>鉄有固-運送施設 建物-れんが造、石造又はブロック造-詰所建物</t>
  </si>
  <si>
    <t>10501103</t>
  </si>
  <si>
    <t>鉄有固-運送施設 建物-金属造(骨格材の肉厚が4mm超)-詰所建物</t>
  </si>
  <si>
    <t>10501104</t>
  </si>
  <si>
    <t>鉄有固-運送施設 建物-金属造(骨格材の肉厚が3mm超4mm以下)-詰所建物</t>
  </si>
  <si>
    <t>10501105</t>
  </si>
  <si>
    <t>鉄有固-運送施設 建物-金属造(骨格材の肉厚が3mm以下)-詰所建物</t>
  </si>
  <si>
    <t>10501106</t>
  </si>
  <si>
    <t>鉄有固-運送施設 建物-木造又は合成樹脂造-詰所建物</t>
  </si>
  <si>
    <t>10501107</t>
  </si>
  <si>
    <t>鉄有固-運送施設 建物-木骨モルタル造-詰所建物</t>
  </si>
  <si>
    <t>10501108</t>
  </si>
  <si>
    <t>鉄有固-運送施設 建物-簡易建物(木製主要柱が10cm角以下で土居、杉皮ぶき等)-詰所建物</t>
  </si>
  <si>
    <t>10501109</t>
  </si>
  <si>
    <t>鉄有固-運送施設 建物-簡易建物(掘立造のもの及び仮設のもの)-詰所建物</t>
  </si>
  <si>
    <t>10501110</t>
  </si>
  <si>
    <t>鉄有固-運送施設 建物付属設備-電気設備(照明設備を含む)-蓄電池電源設備-詰所建物</t>
  </si>
  <si>
    <t>10501111</t>
  </si>
  <si>
    <t>鉄有固-運送施設 建物付属設備-電気設備(照明設備を含む)-その他のもの-詰所建物</t>
  </si>
  <si>
    <t>10501112</t>
  </si>
  <si>
    <t>鉄有固-運送施設 建物付属設備-給排水又は衛生設備及びガス設備-詰所建物</t>
  </si>
  <si>
    <t>10501113</t>
  </si>
  <si>
    <t>鉄有固-運送施設 建物付属設備-冷暖房・通風・ボイラー設備-22kw以下-詰所建物</t>
  </si>
  <si>
    <t>10501114</t>
  </si>
  <si>
    <t>鉄有固-運送施設 建物付属設備-冷暖房・通風・ボイラー設備-その他のもの-詰所建物</t>
  </si>
  <si>
    <t>10501115</t>
  </si>
  <si>
    <t>鉄有固-運送施設 建物付属設備-昇降機設備-エレベーター-詰所建物</t>
  </si>
  <si>
    <t>10501116</t>
  </si>
  <si>
    <t>鉄有固-運送施設 建物付属設備-昇降機設備-エスカレーター-詰所建物</t>
  </si>
  <si>
    <t>10501117</t>
  </si>
  <si>
    <t>鉄有固-運送施設 建物付属設備-消火・排煙・災害報知設備及び格納式避難設備-詰所建物</t>
  </si>
  <si>
    <t>10501118</t>
  </si>
  <si>
    <t>鉄有固-運送施設 建物付属設備-エヤーカーテン又はドアー自動開閉設備-詰所建物</t>
  </si>
  <si>
    <t>10501119</t>
  </si>
  <si>
    <t>鉄有固-運送施設 建物付属設備-アーケード又は日よけ設備-金属製-詰所建物</t>
  </si>
  <si>
    <t>10501120</t>
  </si>
  <si>
    <t>鉄有固-運送施設 建物付属設備-アーケード又は日よけ設備-その他のもの-詰所建物</t>
  </si>
  <si>
    <t>10501121</t>
  </si>
  <si>
    <t>鉄有固-運送施設 建物付属設備-店用簡易設備-詰所建物</t>
  </si>
  <si>
    <t>10501122</t>
  </si>
  <si>
    <t>鉄有固-運送施設 建物付属設備-可動簡易装備-簡易なもの-詰所建物</t>
  </si>
  <si>
    <t>10501123</t>
  </si>
  <si>
    <t>鉄有固-運送施設 建物付属設備-可動簡易装備-その他のもの-詰所建物</t>
  </si>
  <si>
    <t>10501124</t>
  </si>
  <si>
    <t>鉄有固-運送施設 建物付属設備-前掲以外・前掲区分外-主として金属製のもの-詰所建物</t>
  </si>
  <si>
    <t>10501125</t>
  </si>
  <si>
    <t>鉄有固-運送施設 建物付属設備-前掲以外・前掲区分外-その他のもの-詰所建物</t>
  </si>
  <si>
    <t>事務所</t>
    <rPh sb="0" eb="2">
      <t>ジム</t>
    </rPh>
    <rPh sb="2" eb="3">
      <t>ショ</t>
    </rPh>
    <phoneticPr fontId="2"/>
  </si>
  <si>
    <t>10501201</t>
  </si>
  <si>
    <t>鉄有固-運送施設 建物-鉄骨鉄筋コンクリート造又は鉄筋コンクリート造-事務所建物</t>
  </si>
  <si>
    <t>10501202</t>
  </si>
  <si>
    <t>鉄有固-運送施設 建物-れんが造、石造又はブロック造-事務所建物</t>
  </si>
  <si>
    <t>10501203</t>
  </si>
  <si>
    <t>鉄有固-運送施設 建物-金属造(骨格材の肉厚が4mm超)-事務所建物</t>
  </si>
  <si>
    <t>10501204</t>
  </si>
  <si>
    <t>鉄有固-運送施設 建物-金属造(骨格材の肉厚が3mm超4mm以下)-事務所建物</t>
  </si>
  <si>
    <t>10501205</t>
  </si>
  <si>
    <t>鉄有固-運送施設 建物-金属造(骨格材の肉厚が3mm以下)-事務所建物</t>
  </si>
  <si>
    <t>10501206</t>
  </si>
  <si>
    <t>鉄有固-運送施設 建物-木造又は合成樹脂造-事務所建物</t>
  </si>
  <si>
    <t>10501207</t>
  </si>
  <si>
    <t>鉄有固-運送施設 建物-木骨モルタル造-事務所建物</t>
  </si>
  <si>
    <t>10501208</t>
  </si>
  <si>
    <t>鉄有固-運送施設 建物-簡易建物(木製主要柱が10cm角以下で土居、杉皮ぶき等)-事務所建物</t>
  </si>
  <si>
    <t>10501209</t>
  </si>
  <si>
    <t>鉄有固-運送施設 建物-簡易建物(掘立造のもの及び仮設のもの)-事務所建物</t>
  </si>
  <si>
    <t>10501210</t>
  </si>
  <si>
    <t>鉄有固-運送施設 建物付属設備-電気設備(照明設備を含む)-蓄電池電源設備-事務所建物</t>
  </si>
  <si>
    <t>10501211</t>
  </si>
  <si>
    <t>鉄有固-運送施設 建物付属設備-電気設備(照明設備を含む)-その他のもの-事務所建物</t>
  </si>
  <si>
    <t>10501212</t>
  </si>
  <si>
    <t>鉄有固-運送施設 建物付属設備-給排水又は衛生設備及びガス設備-事務所建物</t>
  </si>
  <si>
    <t>10501213</t>
  </si>
  <si>
    <t>鉄有固-運送施設 建物付属設備-冷暖房・通風・ボイラー設備-22kw以下-事務所建物</t>
  </si>
  <si>
    <t>10501214</t>
  </si>
  <si>
    <t>鉄有固-運送施設 建物付属設備-冷暖房・通風・ボイラー設備-その他のもの-事務所建物</t>
  </si>
  <si>
    <t>10501215</t>
  </si>
  <si>
    <t>鉄有固-運送施設 建物付属設備-昇降機設備-エレベーター-事務所建物</t>
  </si>
  <si>
    <t>10501216</t>
  </si>
  <si>
    <t>鉄有固-運送施設 建物付属設備-昇降機設備-エスカレーター-事務所建物</t>
  </si>
  <si>
    <t>10501217</t>
  </si>
  <si>
    <t>鉄有固-運送施設 建物付属設備-消火・排煙・災害報知設備及び格納式避難設備-事務所建物</t>
  </si>
  <si>
    <t>10501218</t>
  </si>
  <si>
    <t>鉄有固-運送施設 建物付属設備-エヤーカーテン又はドアー自動開閉設備-事務所建物</t>
  </si>
  <si>
    <t>10501219</t>
  </si>
  <si>
    <t>鉄有固-運送施設 建物付属設備-アーケード又は日よけ設備-金属製-事務所建物</t>
  </si>
  <si>
    <t>10501220</t>
  </si>
  <si>
    <t>鉄有固-運送施設 建物付属設備-アーケード又は日よけ設備-その他のもの-事務所建物</t>
  </si>
  <si>
    <t>10501221</t>
  </si>
  <si>
    <t>鉄有固-運送施設 建物付属設備-店用簡易設備-事務所建物</t>
  </si>
  <si>
    <t>10501222</t>
  </si>
  <si>
    <t>鉄有固-運送施設 建物付属設備-可動簡易装備-簡易なもの-事務所建物</t>
  </si>
  <si>
    <t>10501223</t>
  </si>
  <si>
    <t>鉄有固-運送施設 建物付属設備-可動簡易装備-その他のもの-事務所建物</t>
  </si>
  <si>
    <t>10501224</t>
  </si>
  <si>
    <t>鉄有固-運送施設 建物付属設備-前掲以外・前掲区分外-主として金属製のもの-事務所建物</t>
  </si>
  <si>
    <t>10501225</t>
  </si>
  <si>
    <t>鉄有固-運送施設 建物付属設備-前掲以外・前掲区分外-その他のもの-事務所建物</t>
  </si>
  <si>
    <t>社宅</t>
    <rPh sb="0" eb="2">
      <t>シャタク</t>
    </rPh>
    <phoneticPr fontId="2"/>
  </si>
  <si>
    <t>10501301</t>
  </si>
  <si>
    <t>鉄有固-運送施設 建物-鉄骨鉄筋コンクリート造又は鉄筋コンクリート造-社宅・寮建物</t>
  </si>
  <si>
    <t>10501302</t>
  </si>
  <si>
    <t>鉄有固-運送施設 建物-れんが造、石造又はブロック造-社宅・寮建物</t>
  </si>
  <si>
    <t>10501303</t>
  </si>
  <si>
    <t>鉄有固-運送施設 建物-金属造(骨格材の肉厚が4mm超)-社宅・寮建物</t>
  </si>
  <si>
    <t>10501304</t>
  </si>
  <si>
    <t>鉄有固-運送施設 建物-金属造(骨格材の肉厚が3mm超4mm以下)-社宅・寮建物</t>
  </si>
  <si>
    <t>10501305</t>
  </si>
  <si>
    <t>鉄有固-運送施設 建物-金属造(骨格材の肉厚が3mm以下)-社宅・寮建物</t>
  </si>
  <si>
    <t>10501306</t>
  </si>
  <si>
    <t>鉄有固-運送施設 建物-木造又は合成樹脂造-社宅・寮建物</t>
  </si>
  <si>
    <t>10501307</t>
  </si>
  <si>
    <t>鉄有固-運送施設 建物-木骨モルタル造-社宅・寮建物</t>
  </si>
  <si>
    <t>10501308</t>
  </si>
  <si>
    <t>鉄有固-運送施設 建物-簡易建物(木製主要柱が10cm角以下で土居、杉皮ぶき等)-社宅・寮建物</t>
  </si>
  <si>
    <t>10501309</t>
  </si>
  <si>
    <t>鉄有固-運送施設 建物-簡易建物(掘立造のもの及び仮設のもの)-社宅・寮建物</t>
  </si>
  <si>
    <t>10501310</t>
  </si>
  <si>
    <t>鉄有固-運送施設 建物付属設備-電気設備(照明設備を含む)-蓄電池電源設備-社宅・寮建物</t>
  </si>
  <si>
    <t>10501311</t>
  </si>
  <si>
    <t>鉄有固-運送施設 建物付属設備-電気設備(照明設備を含む)-その他のもの-社宅・寮建物</t>
  </si>
  <si>
    <t>10501312</t>
  </si>
  <si>
    <t>鉄有固-運送施設 建物付属設備-給排水又は衛生設備及びガス設備-社宅・寮建物</t>
  </si>
  <si>
    <t>10501313</t>
  </si>
  <si>
    <t>鉄有固-運送施設 建物付属設備-冷暖房・通風・ボイラー設備-22kw以下-社宅・寮建物</t>
  </si>
  <si>
    <t>10501314</t>
  </si>
  <si>
    <t>鉄有固-運送施設 建物付属設備-冷暖房・通風・ボイラー設備-その他のもの-社宅・寮建物</t>
  </si>
  <si>
    <t>10501315</t>
  </si>
  <si>
    <t>鉄有固-運送施設 建物付属設備-昇降機設備-エレベーター-社宅・寮建物</t>
  </si>
  <si>
    <t>10501316</t>
  </si>
  <si>
    <t>鉄有固-運送施設 建物付属設備-昇降機設備-エスカレーター-社宅・寮建物</t>
  </si>
  <si>
    <t>10501317</t>
  </si>
  <si>
    <t>鉄有固-運送施設 建物付属設備-消火・排煙・災害報知設備及び格納式避難設備-社宅・寮建物</t>
  </si>
  <si>
    <t>10501318</t>
  </si>
  <si>
    <t>鉄有固-運送施設 建物付属設備-エヤーカーテン又はドアー自動開閉設備-社宅・寮建物</t>
  </si>
  <si>
    <t>10501319</t>
  </si>
  <si>
    <t>鉄有固-運送施設 建物付属設備-アーケード又は日よけ設備-金属製-社宅・寮建物</t>
  </si>
  <si>
    <t>10501320</t>
  </si>
  <si>
    <t>鉄有固-運送施設 建物付属設備-アーケード又は日よけ設備-その他のもの-社宅・寮建物</t>
  </si>
  <si>
    <t>10501321</t>
  </si>
  <si>
    <t>鉄有固-運送施設 建物付属設備-店用簡易設備-社宅・寮建物</t>
  </si>
  <si>
    <t>10501322</t>
  </si>
  <si>
    <t>鉄有固-運送施設 建物付属設備-可動簡易装備-簡易なもの-社宅・寮建物</t>
  </si>
  <si>
    <t>10501323</t>
  </si>
  <si>
    <t>鉄有固-運送施設 建物付属設備-可動簡易装備-その他のもの-社宅・寮建物</t>
  </si>
  <si>
    <t>10501324</t>
  </si>
  <si>
    <t>鉄有固-運送施設 建物付属設備-前掲以外・前掲区分外-主として金属製のもの-社宅・寮建物</t>
  </si>
  <si>
    <t>10501325</t>
  </si>
  <si>
    <t>鉄有固-運送施設 建物付属設備-前掲以外・前掲区分外-その他のもの-社宅・寮建物</t>
  </si>
  <si>
    <t>雑</t>
    <rPh sb="0" eb="1">
      <t>ザツ</t>
    </rPh>
    <phoneticPr fontId="2"/>
  </si>
  <si>
    <t>10599901</t>
  </si>
  <si>
    <t>鉄有固-運送施設 建物-雑建物-定額50年</t>
  </si>
  <si>
    <t>10599902</t>
  </si>
  <si>
    <t>鉄有固-運送施設 建物-雑建物-定額47年</t>
  </si>
  <si>
    <t>10599903</t>
  </si>
  <si>
    <t>鉄有固-運送施設 建物-雑建物-定額41年</t>
  </si>
  <si>
    <t>10599904</t>
  </si>
  <si>
    <t>鉄有固-運送施設 建物-雑建物-定額39年</t>
  </si>
  <si>
    <t>10599905</t>
  </si>
  <si>
    <t>鉄有固-運送施設 建物-雑建物-定額38年</t>
  </si>
  <si>
    <t>10599906</t>
  </si>
  <si>
    <t>鉄有固-運送施設 建物-雑建物-定額36年</t>
  </si>
  <si>
    <t>10599907</t>
  </si>
  <si>
    <t>鉄有固-運送施設 建物-雑建物-定額34年</t>
  </si>
  <si>
    <t>10599908</t>
  </si>
  <si>
    <t>鉄有固-運送施設 建物-雑建物-定額31年</t>
  </si>
  <si>
    <t>10599909</t>
  </si>
  <si>
    <t>鉄有固-運送施設 建物-雑建物-定額30年</t>
  </si>
  <si>
    <t>10599910</t>
  </si>
  <si>
    <t>鉄有固-運送施設 建物-雑建物-定額29年</t>
  </si>
  <si>
    <t>10599911</t>
  </si>
  <si>
    <t>鉄有固-運送施設 建物-雑建物-定額28年</t>
  </si>
  <si>
    <t>10599912</t>
  </si>
  <si>
    <t>鉄有固-運送施設 建物-雑建物-定額27年</t>
  </si>
  <si>
    <t>10599913</t>
  </si>
  <si>
    <t>鉄有固-運送施設 建物-雑建物-定額26年</t>
  </si>
  <si>
    <t>10599914</t>
  </si>
  <si>
    <t>鉄有固-運送施設 建物-雑建物-定額25年</t>
  </si>
  <si>
    <t>10599915</t>
  </si>
  <si>
    <t>鉄有固-運送施設 建物-雑建物-定額24年</t>
  </si>
  <si>
    <t>10599916</t>
  </si>
  <si>
    <t>鉄有固-運送施設 建物-雑建物-定額22年</t>
  </si>
  <si>
    <t>10599917</t>
  </si>
  <si>
    <t>鉄有固-運送施設 建物-雑建物-定額21年</t>
  </si>
  <si>
    <t>10599918</t>
  </si>
  <si>
    <t>鉄有固-運送施設 建物-雑建物-定額20年</t>
  </si>
  <si>
    <t>10599919</t>
  </si>
  <si>
    <t>鉄有固-運送施設 建物-雑建物-定額19年</t>
  </si>
  <si>
    <t>10599920</t>
  </si>
  <si>
    <t>鉄有固-運送施設 建物-雑建物-定額17年</t>
  </si>
  <si>
    <t>10599921</t>
  </si>
  <si>
    <t>鉄有固-運送施設 建物-雑建物-定額15年</t>
  </si>
  <si>
    <t>10599922</t>
  </si>
  <si>
    <t>鉄有固-運送施設 建物-雑建物-定額14年</t>
  </si>
  <si>
    <t>10599923</t>
  </si>
  <si>
    <t>鉄有固-運送施設 建物-雑建物-定額12年</t>
  </si>
  <si>
    <t>10599924</t>
  </si>
  <si>
    <t>鉄有固-運送施設 建物-雑建物-定額11年</t>
  </si>
  <si>
    <t>10599925</t>
  </si>
  <si>
    <t>鉄有固-運送施設 建物-雑建物-定額10年</t>
  </si>
  <si>
    <t>10599926</t>
  </si>
  <si>
    <t>鉄有固-運送施設 建物-雑建物-定額09年</t>
  </si>
  <si>
    <t>10599927</t>
  </si>
  <si>
    <t>鉄有固-運送施設 建物-雑建物-定額07年</t>
  </si>
  <si>
    <t>10599928</t>
  </si>
  <si>
    <t>鉄有固-運送施設 建物付属設備-電気設備(照明設備を含む)-蓄電池電源設備-雑建物</t>
  </si>
  <si>
    <t>10599929</t>
  </si>
  <si>
    <t>鉄有固-運送施設 建物付属設備-電気設備(照明設備を含む)-その他のもの-雑建物</t>
  </si>
  <si>
    <t>10599930</t>
  </si>
  <si>
    <t>鉄有固-運送施設 建物付属設備-給排水又は衛生設備及びガス設備-雑建物</t>
  </si>
  <si>
    <t>10599931</t>
  </si>
  <si>
    <t>鉄有固-運送施設 建物付属設備-冷暖房・通風・ボイラー設備-22kw以下-雑建物</t>
  </si>
  <si>
    <t>10599932</t>
  </si>
  <si>
    <t>鉄有固-運送施設 建物付属設備-冷暖房・通風・ボイラー設備-その他のもの-雑建物</t>
  </si>
  <si>
    <t>10599933</t>
  </si>
  <si>
    <t>鉄有固-運送施設 建物付属設備-昇降機設備-エレベーター-雑建物</t>
  </si>
  <si>
    <t>10599934</t>
  </si>
  <si>
    <t>鉄有固-運送施設 建物付属設備-昇降機設備-エスカレーター-雑建物</t>
  </si>
  <si>
    <t>10599935</t>
  </si>
  <si>
    <t>鉄有固-運送施設 建物付属設備-消火・排煙・災害報知設備及び格納式避難設備-雑建物</t>
  </si>
  <si>
    <t>10599936</t>
  </si>
  <si>
    <t>鉄有固-運送施設 建物付属設備-エヤーカーテン又はドアー自動開閉設備-雑建物</t>
  </si>
  <si>
    <t>10599937</t>
  </si>
  <si>
    <t>鉄有固-運送施設 建物付属設備-アーケード又は日よけ設備-金属製-雑建物</t>
  </si>
  <si>
    <t>10599938</t>
  </si>
  <si>
    <t>鉄有固-運送施設 建物付属設備-アーケード又は日よけ設備-その他のもの-雑建物</t>
  </si>
  <si>
    <t>10599939</t>
  </si>
  <si>
    <t>鉄有固-運送施設 建物付属設備-店用簡易設備-雑建物</t>
  </si>
  <si>
    <t>10599940</t>
  </si>
  <si>
    <t>鉄有固-運送施設 建物付属設備-可動簡易装備-簡易なもの-雑建物</t>
  </si>
  <si>
    <t>10599941</t>
  </si>
  <si>
    <t>鉄有固-運送施設 建物付属設備-可動簡易装備-その他のもの-雑建物</t>
  </si>
  <si>
    <t>10599942</t>
  </si>
  <si>
    <t>鉄有固-運送施設 建物付属設備-前掲以外・前掲区分外-主として金属製のもの-雑建物</t>
  </si>
  <si>
    <t>10599943</t>
  </si>
  <si>
    <t>鉄有固-運送施設 建物付属設備-前掲以外・前掲区分外-その他のもの-雑建物</t>
  </si>
  <si>
    <t>11001401</t>
  </si>
  <si>
    <t>鉄有固-構築物-軌道-レール及び附属品</t>
  </si>
  <si>
    <t>11001402</t>
  </si>
  <si>
    <t>鉄有固-構築物-軌道-分岐器</t>
  </si>
  <si>
    <t>11001403</t>
  </si>
  <si>
    <t>鉄有固-構築物-軌道-まくら木(木製)</t>
  </si>
  <si>
    <t>11001404</t>
  </si>
  <si>
    <t>鉄有固-構築物-軌道-まくら木(コンクリート製)</t>
  </si>
  <si>
    <t>11001405</t>
  </si>
  <si>
    <t>鉄有固-構築物-軌道-まくら木(金属製)</t>
  </si>
  <si>
    <t>11001406</t>
  </si>
  <si>
    <t>鉄有固-構築物-軌道-道床</t>
  </si>
  <si>
    <t>11001407</t>
  </si>
  <si>
    <t>鉄有固-構築物-軌道-舗装</t>
  </si>
  <si>
    <t>11001408</t>
  </si>
  <si>
    <t>鉄有固-構築物-軌道-諸標及び車止め</t>
  </si>
  <si>
    <t>11001501</t>
  </si>
  <si>
    <t>鉄有固-構築物-土工-線路切取</t>
  </si>
  <si>
    <t>11001502</t>
  </si>
  <si>
    <t>鉄有固-構築物-土工-線路築堤</t>
  </si>
  <si>
    <t>11001503</t>
  </si>
  <si>
    <t>鉄有固-構築物-土工-川道付替</t>
  </si>
  <si>
    <t>11001504</t>
  </si>
  <si>
    <t>鉄有固-構築物-土工-土留め</t>
  </si>
  <si>
    <t>11001601</t>
  </si>
  <si>
    <t>鉄有固-構築物-橋りょう-鉄筋コンクリート造り</t>
  </si>
  <si>
    <t>11001602</t>
  </si>
  <si>
    <t>鉄有固-構築物-橋りょう-鉄骨造り</t>
  </si>
  <si>
    <t>11001603</t>
  </si>
  <si>
    <t>鉄有固-構築物-橋りょう-その他のもの</t>
    <rPh sb="2" eb="3">
      <t>カタム</t>
    </rPh>
    <rPh sb="15" eb="16">
      <t>タ</t>
    </rPh>
    <phoneticPr fontId="3"/>
  </si>
  <si>
    <t>11001701</t>
  </si>
  <si>
    <t>鉄有固-構築物-高架橋-鉄筋コンクリート造り</t>
  </si>
  <si>
    <t>11001702</t>
  </si>
  <si>
    <t>鉄有固-構築物-高架橋-鉄骨造り</t>
    <rPh sb="12" eb="14">
      <t>テッコツ</t>
    </rPh>
    <phoneticPr fontId="3"/>
  </si>
  <si>
    <t>11001703</t>
  </si>
  <si>
    <t>鉄有固-構築物-高架橋-その他のもの</t>
    <rPh sb="8" eb="11">
      <t>コウカキョウ</t>
    </rPh>
    <rPh sb="14" eb="15">
      <t>タ</t>
    </rPh>
    <phoneticPr fontId="3"/>
  </si>
  <si>
    <t>11001801</t>
  </si>
  <si>
    <t>鉄有固-構築物-トンネル-鉄筋コンクリート造り</t>
  </si>
  <si>
    <t>11001802</t>
  </si>
  <si>
    <t>鉄有固-構築物-トンネル-その他のもの</t>
    <rPh sb="15" eb="16">
      <t>タ</t>
    </rPh>
    <phoneticPr fontId="3"/>
  </si>
  <si>
    <t>11001901</t>
  </si>
  <si>
    <t>鉄有固-構築物-排水設備</t>
  </si>
  <si>
    <t>11002001</t>
  </si>
  <si>
    <t>鉄有固-構築物-機械保安設備-機械信号機</t>
  </si>
  <si>
    <t>11002002</t>
  </si>
  <si>
    <t>鉄有固-構築物-機械保安設備-諸設備</t>
  </si>
  <si>
    <t>11002101</t>
  </si>
  <si>
    <t>鉄有固-構築物-線路諸設備-防護設備</t>
    <rPh sb="0" eb="1">
      <t>テツ</t>
    </rPh>
    <rPh sb="1" eb="2">
      <t>ユウ</t>
    </rPh>
    <rPh sb="2" eb="3">
      <t>カタム</t>
    </rPh>
    <rPh sb="14" eb="16">
      <t>ボウゴ</t>
    </rPh>
    <phoneticPr fontId="3"/>
  </si>
  <si>
    <t>11002102</t>
  </si>
  <si>
    <t>鉄有固-構築物-線路諸設備-さくがき</t>
    <rPh sb="0" eb="1">
      <t>テツ</t>
    </rPh>
    <rPh sb="1" eb="2">
      <t>ユウ</t>
    </rPh>
    <rPh sb="2" eb="3">
      <t>カタム</t>
    </rPh>
    <phoneticPr fontId="3"/>
  </si>
  <si>
    <t>11002103</t>
  </si>
  <si>
    <t>鉄有固-構築物-線路諸設備-雑設備</t>
    <rPh sb="0" eb="1">
      <t>テツ</t>
    </rPh>
    <phoneticPr fontId="3"/>
  </si>
  <si>
    <t>11002201</t>
  </si>
  <si>
    <t>鉄有固-構築物-プラットホーム及び積卸し場</t>
  </si>
  <si>
    <t>11002301</t>
  </si>
  <si>
    <t>鉄有固-構築物-地下道</t>
  </si>
  <si>
    <t>11002401</t>
  </si>
  <si>
    <t>鉄有固-構築物-雑設備</t>
    <phoneticPr fontId="2"/>
  </si>
  <si>
    <t>11002501</t>
  </si>
  <si>
    <t>鉄有固-構築物-通信線</t>
  </si>
  <si>
    <t>11002601</t>
  </si>
  <si>
    <t>鉄有固-構築物-電話機</t>
  </si>
  <si>
    <t>11002701</t>
  </si>
  <si>
    <t>鉄有固-構築物-電気時計</t>
  </si>
  <si>
    <t>11002801</t>
  </si>
  <si>
    <t>鉄有固-構築物-拡声装置</t>
  </si>
  <si>
    <t>11002901</t>
  </si>
  <si>
    <t>鉄有固-構築物-通信諸設備</t>
  </si>
  <si>
    <t>11003001</t>
  </si>
  <si>
    <t>鉄有固-構築物-信号線</t>
  </si>
  <si>
    <t>11003101</t>
  </si>
  <si>
    <t>鉄有固-構築物-閉そく装置</t>
  </si>
  <si>
    <t>11003201</t>
  </si>
  <si>
    <t>鉄有固-構築物-電気信号機</t>
  </si>
  <si>
    <t>11003301</t>
  </si>
  <si>
    <t>鉄有固-構築物-連動機</t>
  </si>
  <si>
    <t>11003401</t>
  </si>
  <si>
    <t>鉄有固-構築物-転てつ器</t>
  </si>
  <si>
    <t>11003501</t>
  </si>
  <si>
    <t>鉄有固-構築物-自動列車制御装置</t>
  </si>
  <si>
    <t>11003601</t>
  </si>
  <si>
    <t>鉄有固-構築物-自動列車運転装置</t>
  </si>
  <si>
    <t>11003701</t>
  </si>
  <si>
    <t>鉄有固-構築物-列車集中制御装置</t>
  </si>
  <si>
    <t>11003801</t>
  </si>
  <si>
    <t>鉄有固-構築物-自動列車進路制御装置</t>
  </si>
  <si>
    <t>11003901</t>
  </si>
  <si>
    <t>鉄有固-構築物-電気保安諸設備</t>
  </si>
  <si>
    <t>11004001</t>
  </si>
  <si>
    <t>鉄有固-構築物-送電線</t>
  </si>
  <si>
    <t>11004101</t>
  </si>
  <si>
    <t>鉄有固-構築物-配電線</t>
  </si>
  <si>
    <t>11004201</t>
  </si>
  <si>
    <t>鉄有固-構築物-き電線</t>
  </si>
  <si>
    <t>11004301</t>
  </si>
  <si>
    <t>鉄有固-構築物-電車線</t>
  </si>
  <si>
    <t>11004401</t>
  </si>
  <si>
    <t>鉄有固-構築物-サードレール</t>
  </si>
  <si>
    <t>11004501</t>
  </si>
  <si>
    <t>鉄有固-構築物-帰線ボンド</t>
  </si>
  <si>
    <t>11004601</t>
  </si>
  <si>
    <t>鉄有固-構築物-電灯電力線</t>
  </si>
  <si>
    <t>11004701</t>
  </si>
  <si>
    <t>鉄有固-構築物-電力線諸設備</t>
  </si>
  <si>
    <t>11004801</t>
  </si>
  <si>
    <t>鉄有固-構築物-支持物-鉄柱及びコンクリート柱</t>
  </si>
  <si>
    <t>11004802</t>
  </si>
  <si>
    <t>鉄有固-構築物-支持物-木柱</t>
  </si>
  <si>
    <t>11004803</t>
  </si>
  <si>
    <t>鉄有固-構築物-支持物-その他の支持物(電柱及び腕木を除く)</t>
  </si>
  <si>
    <t>11004804</t>
  </si>
  <si>
    <t>鉄有固-構築物-支持物-その他の支持物(腕木を含む)</t>
  </si>
  <si>
    <t>11004901</t>
  </si>
  <si>
    <t>鉄有固-構築物-車庫工場</t>
  </si>
  <si>
    <t>11005001</t>
  </si>
  <si>
    <t>鉄有固-構築物-変電所</t>
  </si>
  <si>
    <t>11007701</t>
  </si>
  <si>
    <t>鉄有固-構築物-転、遷車台</t>
  </si>
  <si>
    <t>11007801</t>
  </si>
  <si>
    <t>鉄有固-構築物-給油設備</t>
  </si>
  <si>
    <t>11007901</t>
  </si>
  <si>
    <t>鉄有固-構築物-検車洗浄設備</t>
  </si>
  <si>
    <t>11099901</t>
  </si>
  <si>
    <t>鉄有固-構築物-雑構築物</t>
  </si>
  <si>
    <t>11505101</t>
  </si>
  <si>
    <t>鉄有固-車両-電動客車</t>
  </si>
  <si>
    <t>11505201</t>
  </si>
  <si>
    <t>鉄有固-車両-制御客車</t>
  </si>
  <si>
    <t>11505301</t>
  </si>
  <si>
    <t>鉄有固-車両-付随客車</t>
  </si>
  <si>
    <t>11505401</t>
  </si>
  <si>
    <t>鉄有固-車両-特殊車両-線路建設保守用工作車</t>
  </si>
  <si>
    <t>12005501</t>
  </si>
  <si>
    <t>鉄有固-機械装置-変電所機械</t>
  </si>
  <si>
    <t>12005601</t>
  </si>
  <si>
    <t>鉄有固-機械装置-通信機械-交換設備</t>
  </si>
  <si>
    <t>12005602</t>
  </si>
  <si>
    <t>鉄有固-機械装置-通信機械-無線設備</t>
  </si>
  <si>
    <t>12005603</t>
  </si>
  <si>
    <t>鉄有固-機械装置-通信機械-搬送設備</t>
  </si>
  <si>
    <t>12005604</t>
  </si>
  <si>
    <t>鉄有固-機械装置-通信機械-諸設備</t>
  </si>
  <si>
    <t>12005701</t>
  </si>
  <si>
    <t>鉄有固-機械装置-停車場機械-その他の設備(主として金属製のもの)</t>
  </si>
  <si>
    <t>12005702</t>
  </si>
  <si>
    <t>鉄有固-機械装置-停車場機械-その他の設備(その他のもの)</t>
  </si>
  <si>
    <t>12005703</t>
  </si>
  <si>
    <t>鉄有固-機械装置-停車場機械-自動改札装置</t>
  </si>
  <si>
    <t>12005801</t>
  </si>
  <si>
    <t>鉄有固-機械装置-工場機械</t>
  </si>
  <si>
    <t>12099901</t>
  </si>
  <si>
    <t>鉄有固-機械装置-雑機械-その他の設備(主として金属製のもの)</t>
  </si>
  <si>
    <t>12099902</t>
  </si>
  <si>
    <t>鉄有固-機械装置-雑機械-その他の設備(その他のもの)</t>
  </si>
  <si>
    <t>12505901</t>
  </si>
  <si>
    <t>鉄有固-工具器具及び備品-工器備-測定工具・検査工具(電気・電子を利用するものを含む)</t>
  </si>
  <si>
    <t>12505902</t>
  </si>
  <si>
    <t>鉄有固-工具器具及び備品-工器備-治具及び取付工具</t>
  </si>
  <si>
    <t>12505903</t>
  </si>
  <si>
    <t>鉄有固-工具器具及び備品-工器備-ロール-金属圧延用のもの</t>
  </si>
  <si>
    <t>12505904</t>
  </si>
  <si>
    <t>鉄有固-工具器具及び備品-工器備-ロール-なつ染・粉砕・混錬ロールその他のもの</t>
  </si>
  <si>
    <t>12505905</t>
  </si>
  <si>
    <t>鉄有固-工具器具及び備品-工器備-型・鍛圧・打抜工具-ガラス成型用金型及び鋳造用型</t>
  </si>
  <si>
    <t>12505906</t>
  </si>
  <si>
    <t>鉄有固-工具器具及び備品-工器備-型・鍛圧・打抜工具-その他のもの</t>
  </si>
  <si>
    <t>12505907</t>
  </si>
  <si>
    <t>鉄有固-工具器具及び備品-工器備-切削工具</t>
  </si>
  <si>
    <t>12505908</t>
  </si>
  <si>
    <t>鉄有固-工具器具及び備品-工器備-金属製柱及びカッペ</t>
  </si>
  <si>
    <t>12505909</t>
  </si>
  <si>
    <t>鉄有固-工具器具及び備品-工器備-活字・活字に常用される金属-購入活字</t>
  </si>
  <si>
    <t>12505910</t>
  </si>
  <si>
    <t>鉄有固-工具器具及び備品-工器備-活字・活字に常用される金属-自製活字</t>
  </si>
  <si>
    <t>12505911</t>
  </si>
  <si>
    <t>鉄有固-工具器具及び備品-工器備-前掲以外-白金ノズル</t>
  </si>
  <si>
    <t>12505912</t>
  </si>
  <si>
    <t>鉄有固-工具器具及び備品-工器備-前掲以外-その他のもの</t>
  </si>
  <si>
    <t>12505913</t>
  </si>
  <si>
    <t>鉄有固-工具器具及び備品-工器備-前掲区分外-白金ノズル</t>
  </si>
  <si>
    <t>12505914</t>
  </si>
  <si>
    <t>鉄有固-工具器具及び備品-工器備-前掲区分外-その他の主として金属製のもの</t>
  </si>
  <si>
    <t>12505915</t>
  </si>
  <si>
    <t>鉄有固-工具器具及び備品-工器備-前掲区分外-その他のもの</t>
  </si>
  <si>
    <t>12505916</t>
  </si>
  <si>
    <t>鉄有固-工具器具及び備品-工器備-家具・電気・ガス・家庭用品-事務机・いす(金属)</t>
  </si>
  <si>
    <t>12505917</t>
  </si>
  <si>
    <t>鉄有固-工具器具及び備品-工器備-家具・電気・ガス・家庭用品-事務机・いす(その他)</t>
  </si>
  <si>
    <t>12505918</t>
  </si>
  <si>
    <t>鉄有固-工具器具及び備品-工器備-家具・電気・ガス・家庭用品-応接セット(接客業用)</t>
  </si>
  <si>
    <t>12505919</t>
  </si>
  <si>
    <t>鉄有固-工具器具及び備品-工器備-家具・電気・ガス・家庭用品-応接セット(その他)</t>
  </si>
  <si>
    <t>12505920</t>
  </si>
  <si>
    <t>鉄有固-工具器具及び備品-工器備-家具・電気・ガス・家庭用品-ベット</t>
  </si>
  <si>
    <t>12505921</t>
  </si>
  <si>
    <t>鉄有固-工具器具及び備品-工器備-家具・電気・ガス・家庭用品-児童用机及びいす</t>
  </si>
  <si>
    <t>12505922</t>
  </si>
  <si>
    <t>鉄有固-工具器具及び備品-工器備-家具・電気・ガス・家庭用品-陳列棚(冷凍・冷蔵機付)</t>
  </si>
  <si>
    <t>12505923</t>
  </si>
  <si>
    <t>鉄有固-工具器具及び備品-工器備-家具・電気・ガス・家庭用品-陳列棚(その他)</t>
  </si>
  <si>
    <t>12505924</t>
  </si>
  <si>
    <t>鉄有固-工具器具及び備品-工器備-家具・電気・ガス・家庭用品-その他の家具(接客業用)</t>
  </si>
  <si>
    <t>12505925</t>
  </si>
  <si>
    <t>鉄有固-工具器具及び備品-工器備-家具・電気・ガス・家庭用品-その他の家具(金属製)</t>
  </si>
  <si>
    <t>12505926</t>
  </si>
  <si>
    <t>鉄有固-工具器具及び備品-工器備-家具・電気・ガス・家庭用品-その他の家具(その他)</t>
  </si>
  <si>
    <t>12505927</t>
  </si>
  <si>
    <t>鉄有固-工具器具及び備品-工器備-家具・電気・ガス・家庭用品-その他の音響機器</t>
  </si>
  <si>
    <t>12505928</t>
  </si>
  <si>
    <t>鉄有固-工具器具及び備品-工器備-家具・電気・ガス・家庭用品-冷房用又は暖房用機器</t>
  </si>
  <si>
    <t>12505929</t>
  </si>
  <si>
    <t>鉄有固-工具器具及び備品-工器備-家具・電気・ガス・家庭用品-その他電気・ガス機器</t>
  </si>
  <si>
    <t>12505930</t>
  </si>
  <si>
    <t>鉄有固-工具器具及び備品-工器備-家具・電気・ガス・家庭用品-氷冷蔵庫・冷蔵ストッカー</t>
  </si>
  <si>
    <t>12505931</t>
  </si>
  <si>
    <t>鉄有固-工具器具及び備品-工器備-家具・電気・ガス・家庭用品-その他繊維製品</t>
  </si>
  <si>
    <t>12505932</t>
  </si>
  <si>
    <t>鉄有固-工具器具及び備品-工器備-家具・電気・ガス・家庭用品-床用敷物(業務用)</t>
  </si>
  <si>
    <t>12505933</t>
  </si>
  <si>
    <t>鉄有固-工具器具及び備品-工器備-家具・電気・ガス・家庭用品-床用敷物(その他)</t>
  </si>
  <si>
    <t>12505934</t>
  </si>
  <si>
    <t>鉄有固-工具器具及び備品-工器備-家具・電気・ガス・家庭用品-室内装飾品(金属製)</t>
  </si>
  <si>
    <t>12505935</t>
  </si>
  <si>
    <t>鉄有固-工具器具及び備品-工器備-家具・電気・ガス・家庭用品-室内装飾品(その他)</t>
  </si>
  <si>
    <t>12505936</t>
  </si>
  <si>
    <t>鉄有固-工具器具及び備品-工器備-家具・電気・ガス・家庭用品-食事・厨房用品(陶磁器)</t>
  </si>
  <si>
    <t>12505937</t>
  </si>
  <si>
    <t>鉄有固-工具器具及び備品-工器備-家具・電気・ガス・家庭用品-食事・厨房用品(その他)</t>
  </si>
  <si>
    <t>12505938</t>
  </si>
  <si>
    <t>鉄有固-工具器具及び備品-工器備-家具・電気・ガス・家庭用品-その他のもの(金属製)</t>
  </si>
  <si>
    <t>12505939</t>
  </si>
  <si>
    <t>鉄有固-工具器具及び備品-工器備-家具・電気・ガス・家庭用品-その他のもの(その他)</t>
  </si>
  <si>
    <t>12505940</t>
  </si>
  <si>
    <t>鉄有固-工具器具及び備品-工器備-事務・通信機器-謄写機器・タイプライター(印書業用)</t>
  </si>
  <si>
    <t>12505941</t>
  </si>
  <si>
    <t>鉄有固-工具器具及び備品-工器備-事務・通信機器-謄写機器・タイプライター(その他)</t>
  </si>
  <si>
    <t>12505942</t>
  </si>
  <si>
    <t>鉄有固-工具器具及び備品-工器備-事務・通信機器-電子計算機(PC(サーバ用を除く))</t>
  </si>
  <si>
    <t>12505943</t>
  </si>
  <si>
    <t>鉄有固-工具器具及び備品-工器備-事務・通信機器-電子計算機(その他)</t>
  </si>
  <si>
    <t>12505944</t>
  </si>
  <si>
    <t>鉄有固-工具器具及び備品-工器備-事務・通信機器-複写機・計算機・金銭登録機</t>
  </si>
  <si>
    <t>12505945</t>
  </si>
  <si>
    <t>鉄有固-工具器具及び備品-工器備-事務・通信機器-その他の事務機器</t>
  </si>
  <si>
    <t>12505946</t>
  </si>
  <si>
    <t>鉄有固-工具器具及び備品-工器備-事務・通信機器-テレタイプライター及びファクシミリ</t>
  </si>
  <si>
    <t>12505947</t>
  </si>
  <si>
    <t>鉄有固-工具器具及び備品-工器備-事務・通信機器-インターホーン及び放送用設備</t>
  </si>
  <si>
    <t>12505948</t>
  </si>
  <si>
    <t>鉄有固-工具器具及び備品-工器備-事務・通信機器-その他の通信機器(デジタル構内交換)</t>
  </si>
  <si>
    <t>12505949</t>
  </si>
  <si>
    <t>鉄有固-工具器具及び備品-工器備-事務・通信機器-その他の通信機器(その他のもの)</t>
  </si>
  <si>
    <t>12505950</t>
  </si>
  <si>
    <t>鉄有固-工具器具及び備品-工器備-時計、試験機器及び測定機器-時計</t>
  </si>
  <si>
    <t>12505951</t>
  </si>
  <si>
    <t>鉄有固-工具器具及び備品-工器備-時計、試験機器及び測定機器-度量衝器</t>
  </si>
  <si>
    <t>12505952</t>
  </si>
  <si>
    <t>鉄有固-工具器具及び備品-工器備-時計、試験機器及び測定機器-試験又は測定機器</t>
  </si>
  <si>
    <t>12505953</t>
  </si>
  <si>
    <t>鉄有固-工具器具及び備品-工器備-光学・写真製作機器-オペラグラス</t>
  </si>
  <si>
    <t>12505954</t>
  </si>
  <si>
    <t>鉄有固-工具器具及び備品-工器備-光学・写真製作機器-カメラ、映画撮影機、映写機</t>
  </si>
  <si>
    <t>12505955</t>
  </si>
  <si>
    <t>鉄有固-工具器具及び備品-工器備-光学・写真製作機器-その他の機器</t>
  </si>
  <si>
    <t>12505956</t>
  </si>
  <si>
    <t>鉄有固-工具器具及び備品-工器備-看板・広告機器-看板、ネオンサイン及び気球</t>
  </si>
  <si>
    <t>12505957</t>
  </si>
  <si>
    <t>鉄有固-工具器具及び備品-工器備-看板・広告機器-マネキン人形及び模型</t>
  </si>
  <si>
    <t>備品</t>
    <rPh sb="0" eb="2">
      <t>ビヒン</t>
    </rPh>
    <phoneticPr fontId="2"/>
  </si>
  <si>
    <t>鉄有固-工具器具及び備品-工器備-看板・広告機器-その他のもの(主として金属製のもの)</t>
  </si>
  <si>
    <t>鉄有固-工具器具及び備品-工器備-看板・広告機器-その他のもの(その他のもの)</t>
  </si>
  <si>
    <t>12505960</t>
  </si>
  <si>
    <t>鉄有固-工具器具及び備品-工器備-容器・金庫-ボンベ(溶接製のもの</t>
  </si>
  <si>
    <t>12505961</t>
  </si>
  <si>
    <t>鉄有固-工具器具及び備品-工器備-容器・金庫-ボンベ(鍛造製)(塩素用のもの)</t>
  </si>
  <si>
    <t>12505962</t>
  </si>
  <si>
    <t>鉄有固-工具器具及び備品-工器備-容器・金庫-ボンベ(鍛造製)(その他のもの)</t>
  </si>
  <si>
    <t>12505963</t>
  </si>
  <si>
    <t>鉄有固-工具器具及び備品-工器備-容器・金庫-その他容器(コンテナ(長さが6m以上))</t>
  </si>
  <si>
    <t>12505964</t>
  </si>
  <si>
    <t>鉄有固-工具器具及び備品-工器備-容器・金庫-その他の容器(金属製のもの)</t>
  </si>
  <si>
    <t>12505965</t>
  </si>
  <si>
    <t>鉄有固-工具器具及び備品-工器備-容器・金庫-その他の容器(その他のもの)</t>
  </si>
  <si>
    <t>12505966</t>
  </si>
  <si>
    <t>鉄有固-工具器具及び備品-工器備-容器・金庫-金庫(手さげ金庫)</t>
  </si>
  <si>
    <t>12505967</t>
  </si>
  <si>
    <t>鉄有固-工具器具及び備品-工器備-容器・金庫-金庫(その他のもの)</t>
  </si>
  <si>
    <t>12505968</t>
  </si>
  <si>
    <t>鉄有固-工具器具及び備品-工器備-医療機器-消毒殺菌用機器</t>
  </si>
  <si>
    <t>12505969</t>
  </si>
  <si>
    <t>鉄有固-工具器具及び備品-工器備-医療機器-手術機器</t>
  </si>
  <si>
    <t>12505970</t>
  </si>
  <si>
    <t>鉄有固-工具器具及び備品-工器備-医療機器-血液透析又は血しょう交換用機器</t>
  </si>
  <si>
    <t>12505971</t>
  </si>
  <si>
    <t>鉄有固-工具器具及び備品-工器備-医療機器-その他の作動部分を有する機能回復訓練機器</t>
  </si>
  <si>
    <t>12505972</t>
  </si>
  <si>
    <t>鉄有固-工具器具及び備品-工器備-医療機器-調剤機器</t>
  </si>
  <si>
    <t>12505973</t>
  </si>
  <si>
    <t>鉄有固-工具器具及び備品-工器備-医療機器-歯科診療用ユニット</t>
  </si>
  <si>
    <t>12505974</t>
  </si>
  <si>
    <t>鉄有固-工具器具及び備品-工器備-医療機器-光学検査機器(ファイバースコープ)</t>
  </si>
  <si>
    <t>12505975</t>
  </si>
  <si>
    <t>鉄有固-工具器具及び備品-工器備-医療機器-光学検査機器(その他のもの)</t>
  </si>
  <si>
    <t>12505976</t>
  </si>
  <si>
    <t>鉄有固-工具器具及び備品-工器備-医療機器-その他の電子装置を使用する機器(移動式)</t>
  </si>
  <si>
    <t>12505977</t>
  </si>
  <si>
    <t>鉄有固-工具器具及び備品-工器備-医療機器-その他の電子装置を使用する機器(その他)</t>
  </si>
  <si>
    <t>12505978</t>
  </si>
  <si>
    <t>鉄有固-工具器具及び備品-工器備-医療機器-その他のもの(陶磁器製又はガラス製のもの)</t>
  </si>
  <si>
    <t>12505979</t>
  </si>
  <si>
    <t>鉄有固-工具器具及び備品-工器備-医療機器-その他のもの(主として金属製のもの)</t>
  </si>
  <si>
    <t>12505980</t>
  </si>
  <si>
    <t>鉄有固-工具器具及び備品-工器備-医療機器-その他のもの(その他のもの)</t>
  </si>
  <si>
    <t>12505981</t>
  </si>
  <si>
    <t>鉄有固-工具器具及び備品-工器備-前掲以外-映画フイルム・磁気テープ・レコード</t>
  </si>
  <si>
    <t>12505982</t>
  </si>
  <si>
    <t>鉄有固-工具器具及び備品-工器備-前掲以外-シート及びロープ</t>
  </si>
  <si>
    <t>12505983</t>
  </si>
  <si>
    <t>鉄有固-工具器具及び備品-工器備-前掲以外-きのこ栽培用ほだ木</t>
  </si>
  <si>
    <t>12505984</t>
  </si>
  <si>
    <t>鉄有固-工具器具及び備品-工器備-前掲以外-漁具</t>
  </si>
  <si>
    <t>12505985</t>
  </si>
  <si>
    <t>鉄有固-工具器具及び備品-工器備-前掲以外-葬儀用具</t>
  </si>
  <si>
    <t>12505986</t>
  </si>
  <si>
    <t>鉄有固-工具器具及び備品-工器備-前掲以外-楽器</t>
  </si>
  <si>
    <t>12505987</t>
  </si>
  <si>
    <t>鉄有固-工具器具及び備品-工器備-前掲以外-自動販売機(手動のものを含む。)</t>
  </si>
  <si>
    <t>12505988</t>
  </si>
  <si>
    <t>鉄有固-工具器具及び備品-工器備-前掲以外-無人駐車管理装置</t>
  </si>
  <si>
    <t>12505989</t>
  </si>
  <si>
    <t>鉄有固-工具器具及び備品-工器備-前掲以外-焼却炉</t>
  </si>
  <si>
    <t>12505990</t>
  </si>
  <si>
    <t>鉄有固-工具器具及び備品-工器備-前掲以外-その他のもの(主として金属製のもの)</t>
  </si>
  <si>
    <t>12505991</t>
  </si>
  <si>
    <t>鉄有固-工具器具及び備品-工器備-前掲以外-その他のもの(その他のもの)</t>
  </si>
  <si>
    <t>12505992</t>
  </si>
  <si>
    <t>鉄有固-工具器具及び備品-工器備-美術品(非償却)</t>
    <rPh sb="17" eb="19">
      <t>ビジュツ</t>
    </rPh>
    <rPh sb="19" eb="20">
      <t>ヒン</t>
    </rPh>
    <rPh sb="21" eb="22">
      <t>ヒ</t>
    </rPh>
    <rPh sb="22" eb="24">
      <t>ショウキャク</t>
    </rPh>
    <phoneticPr fontId="3"/>
  </si>
  <si>
    <t>12505993</t>
  </si>
  <si>
    <t>鉄有固-工具器具及び備品-工器備-美術品-償却(主として金属製のもの)</t>
    <rPh sb="17" eb="19">
      <t>ビジュツ</t>
    </rPh>
    <rPh sb="19" eb="20">
      <t>ヒン</t>
    </rPh>
    <phoneticPr fontId="3"/>
  </si>
  <si>
    <t>12505994</t>
  </si>
  <si>
    <t>鉄有固-工具器具及び備品-工器備-美術品-償却(その他のもの)</t>
    <rPh sb="17" eb="19">
      <t>ビジュツ</t>
    </rPh>
    <rPh sb="19" eb="20">
      <t>ヒン</t>
    </rPh>
    <phoneticPr fontId="3"/>
  </si>
  <si>
    <t>12506001</t>
  </si>
  <si>
    <t>鉄有固-工具器具及び備品-運搬具-前掲以外-自動車-小型車(総排気量が0.66l以下)</t>
  </si>
  <si>
    <t>12506002</t>
  </si>
  <si>
    <t>鉄有固-工具器具及び備品-運搬具-前掲以外-自動車-その他-貨物自動車-ダンプ式のもの</t>
  </si>
  <si>
    <t>12506003</t>
  </si>
  <si>
    <t>鉄有固-工具器具及び備品-運搬具-前掲以外-自動車-その他-貨物自動車-その他のもの</t>
  </si>
  <si>
    <t>12506004</t>
  </si>
  <si>
    <t>鉄有固-工具器具及び備品-運搬具-前掲以外-自動車-その他-報道通信用のもの</t>
  </si>
  <si>
    <t>12506005</t>
  </si>
  <si>
    <t>鉄有固-工具器具及び備品-運搬具-前掲以外-自動車-その他-その他</t>
  </si>
  <si>
    <t>12506006</t>
  </si>
  <si>
    <t>鉄有固-工具器具及び備品-運搬具-前掲以外-２輪又は３輪自動車</t>
  </si>
  <si>
    <t>12506007</t>
  </si>
  <si>
    <t>鉄有固-工具器具及び備品-運搬具-前掲以外-自転車</t>
  </si>
  <si>
    <t>12506008</t>
  </si>
  <si>
    <t>鉄有固-工具器具及び備品-運搬具-前掲以外-鉱山用人車、炭車、鉱車及び台車-金属製</t>
  </si>
  <si>
    <t>12506009</t>
  </si>
  <si>
    <t>鉄有固-工具器具及び備品-運搬具-前掲以外-鉱山用人車、炭車、鉱車及び台車-その他</t>
  </si>
  <si>
    <t>12506010</t>
  </si>
  <si>
    <t>鉄有固-工具器具及び備品-運搬具-前掲以外-フォークリフト</t>
  </si>
  <si>
    <t>12506011</t>
  </si>
  <si>
    <t>鉄有固-工具器具及び備品-運搬具-前掲以外-トロッコ-金属製のもの</t>
  </si>
  <si>
    <t>12506012</t>
  </si>
  <si>
    <t>鉄有固-工具器具及び備品-運搬具-前掲以外-トロッコ-その他のもの</t>
  </si>
  <si>
    <t>12506013</t>
  </si>
  <si>
    <t>鉄有固-工具器具及び備品-運搬具-前掲以外-その他のもの-自走能力を有するもの</t>
  </si>
  <si>
    <t>12506014</t>
  </si>
  <si>
    <t>鉄有固-工具器具及び備品-運搬具-前掲以外-その他のもの-その他のもの</t>
  </si>
  <si>
    <t>13006101</t>
  </si>
  <si>
    <t>鉄有固-リース資産-土地</t>
  </si>
  <si>
    <t>13006102</t>
  </si>
  <si>
    <t>鉄有固-リース資産-建物</t>
  </si>
  <si>
    <t>13006103</t>
  </si>
  <si>
    <t>鉄有固-リース資産-構築物</t>
  </si>
  <si>
    <t>13006104</t>
  </si>
  <si>
    <t>鉄有固-リース資産-車両</t>
  </si>
  <si>
    <t>13006105</t>
  </si>
  <si>
    <t>鉄有固-リース資産-機械装置</t>
  </si>
  <si>
    <t>13006106</t>
  </si>
  <si>
    <t>鉄有固-リース資産-工具器具及び備品</t>
  </si>
  <si>
    <t>13506201</t>
  </si>
  <si>
    <t>鉄有固-運送施設 雑施設</t>
  </si>
  <si>
    <t>14006301</t>
  </si>
  <si>
    <t>鉄有固-案内宣伝施設 土地-線路及び停車場用地</t>
  </si>
  <si>
    <t>14006401</t>
  </si>
  <si>
    <t>鉄有固-案内宣伝施設 土地-変電所用地</t>
  </si>
  <si>
    <t>14006501</t>
  </si>
  <si>
    <t>鉄有固-案内宣伝施設 土地-車庫及び工場用地</t>
  </si>
  <si>
    <t>14006601</t>
  </si>
  <si>
    <t>鉄有固-案内宣伝施設 土地-倉庫用地</t>
  </si>
  <si>
    <t>14006701</t>
  </si>
  <si>
    <t>鉄有固-案内宣伝施設 土地-事務所用地</t>
  </si>
  <si>
    <t>14006801</t>
  </si>
  <si>
    <t>鉄有固-案内宣伝施設 土地-社宅及び寮用地</t>
  </si>
  <si>
    <t>14099901</t>
  </si>
  <si>
    <t>鉄有固-案内宣伝施設 土地-雑用地</t>
  </si>
  <si>
    <t>14506901</t>
  </si>
  <si>
    <t>鉄有固-案内宣伝施設 建物-鉄骨鉄筋コンクリート造又は鉄筋コンクリート造-停車場建物</t>
  </si>
  <si>
    <t>14506902</t>
  </si>
  <si>
    <t>鉄有固-案内宣伝施設 建物-れんが造、石造又はブロック造-停車場建物</t>
  </si>
  <si>
    <t>14506903</t>
  </si>
  <si>
    <t>鉄有固-案内宣伝施設 建物-金属造(骨格材の肉厚が4mm超)-停車場建物</t>
  </si>
  <si>
    <t>14506904</t>
  </si>
  <si>
    <t>鉄有固-案内宣伝施設 建物-金属造(骨格材の肉厚が3mm超4mm以下)-停車場建物</t>
  </si>
  <si>
    <t>14506905</t>
  </si>
  <si>
    <t>鉄有固-案内宣伝施設 建物-金属造(骨格材の肉厚が3mm以下)-停車場建物</t>
  </si>
  <si>
    <t>14506906</t>
  </si>
  <si>
    <t>鉄有固-案内宣伝施設 建物-木造又は合成樹脂造-停車場建物</t>
  </si>
  <si>
    <t>14506907</t>
  </si>
  <si>
    <t>鉄有固-案内宣伝施設 建物-木骨モルタル造-停車場建物</t>
  </si>
  <si>
    <t>14506908</t>
  </si>
  <si>
    <t>鉄有固-案内宣伝施設 建物-簡易建物(木製主要柱が10cm角以下で土居、杉皮ぶき等)-停車場建物</t>
  </si>
  <si>
    <t>14506909</t>
  </si>
  <si>
    <t>鉄有固-案内宣伝施設 建物-簡易建物(掘立造のもの及び仮設のもの)-停車場建物</t>
  </si>
  <si>
    <t>14506910</t>
  </si>
  <si>
    <t>鉄有固-案内宣伝施設 建物付属-電気設備(照明設備を含む)-蓄電池電源設備-停車場建物</t>
  </si>
  <si>
    <t>14506911</t>
  </si>
  <si>
    <t>鉄有固-案内宣伝施設 建物付属-電気設備(照明設備を含む)-その他のもの-停車場建物</t>
  </si>
  <si>
    <t>14506912</t>
  </si>
  <si>
    <t>鉄有固-案内宣伝施設 建物付属-給排水又は衛生設備及びガス設備-停車場建物</t>
  </si>
  <si>
    <t>14506913</t>
  </si>
  <si>
    <t>鉄有固-案内宣伝施設 建物付属-冷暖房・通風・ボイラー設備-22kw以下-停車場建物</t>
  </si>
  <si>
    <t>14506914</t>
  </si>
  <si>
    <t>鉄有固-案内宣伝施設 建物付属-冷暖房・通風・ボイラー設備-その他のもの-停車場建物</t>
  </si>
  <si>
    <t>14506915</t>
  </si>
  <si>
    <t>鉄有固-案内宣伝施設 建物付属-昇降機設備-エレベーター-停車場建物</t>
  </si>
  <si>
    <t>14506916</t>
  </si>
  <si>
    <t>鉄有固-案内宣伝施設 建物付属-昇降機設備-エスカレーター-停車場建物</t>
  </si>
  <si>
    <t>14506917</t>
  </si>
  <si>
    <t>鉄有固-案内宣伝施設 建物付属-消火・排煙・災害報知設備及び格納式避難設備-停車場建物</t>
  </si>
  <si>
    <t>14506918</t>
  </si>
  <si>
    <t>鉄有固-案内宣伝施設 建物付属-エヤーカーテン又はドアー自動開閉設備-停車場建物</t>
  </si>
  <si>
    <t>14506919</t>
  </si>
  <si>
    <t>鉄有固-案内宣伝施設 建物付属-アーケード又は日よけ設備-金属製-停車場建物</t>
  </si>
  <si>
    <t>14506920</t>
  </si>
  <si>
    <t>鉄有固-案内宣伝施設 建物付属-アーケード又は日よけ設備-その他のもの-停車場建物</t>
  </si>
  <si>
    <t>14506921</t>
  </si>
  <si>
    <t>鉄有固-案内宣伝施設 建物付属-店用簡易設備-停車場建物</t>
  </si>
  <si>
    <t>14506922</t>
  </si>
  <si>
    <t>鉄有固-案内宣伝施設 建物付属-可動簡易装備-簡易なもの-停車場建物</t>
  </si>
  <si>
    <t>14506923</t>
  </si>
  <si>
    <t>鉄有固-案内宣伝施設 建物付属-可動簡易装備-その他のもの-停車場建物</t>
  </si>
  <si>
    <t>14506924</t>
  </si>
  <si>
    <t>鉄有固-案内宣伝施設 建物付属-前掲以外・前掲区分外-主として金属製のもの-停車場建物</t>
  </si>
  <si>
    <t>14506925</t>
  </si>
  <si>
    <t>鉄有固-案内宣伝施設 建物付属-前掲以外・前掲区分外-その他のもの-停車場建物</t>
  </si>
  <si>
    <t>14507001</t>
  </si>
  <si>
    <t>鉄有固-案内宣伝施設 建物-鉄骨鉄筋コンクリート造又は鉄筋コンクリート造-変電所建物</t>
  </si>
  <si>
    <t>14507002</t>
  </si>
  <si>
    <t>鉄有固-案内宣伝施設 建物-れんが造、石造又はブロック造-変電所建物</t>
  </si>
  <si>
    <t>14507003</t>
  </si>
  <si>
    <t>鉄有固-案内宣伝施設 建物-金属造(骨格材の肉厚が4mm超)-変電所建物</t>
  </si>
  <si>
    <t>14507004</t>
  </si>
  <si>
    <t>鉄有固-案内宣伝施設 建物-金属造(骨格材の肉厚が3mm超4mm以下)-変電所建物</t>
  </si>
  <si>
    <t>14507005</t>
  </si>
  <si>
    <t>鉄有固-案内宣伝施設 建物-金属造(骨格材の肉厚が3mm以下)-変電所建物</t>
  </si>
  <si>
    <t>14507006</t>
  </si>
  <si>
    <t>鉄有固-案内宣伝施設 建物-木造又は合成樹脂造-変電所建物</t>
  </si>
  <si>
    <t>14507007</t>
  </si>
  <si>
    <t>鉄有固-案内宣伝施設 建物-木骨モルタル造-変電所建物</t>
  </si>
  <si>
    <t>14507008</t>
  </si>
  <si>
    <t>鉄有固-案内宣伝施設 建物-簡易建物(木製主要柱が10cm角以下で土居、杉皮ぶき等)-変電所建物</t>
  </si>
  <si>
    <t>14507009</t>
  </si>
  <si>
    <t>鉄有固-案内宣伝施設 建物-簡易建物(掘立造のもの及び仮設のもの)-変電所建物</t>
  </si>
  <si>
    <t>14507010</t>
  </si>
  <si>
    <t>鉄有固-案内宣伝施設 建物付属-電気設備(照明設備を含む)-蓄電池電源設備-変電所建物</t>
  </si>
  <si>
    <t>14507011</t>
  </si>
  <si>
    <t>鉄有固-案内宣伝施設 建物付属-電気設備(照明設備を含む)-その他のもの-変電所建物</t>
  </si>
  <si>
    <t>14507012</t>
  </si>
  <si>
    <t>鉄有固-案内宣伝施設 建物付属-給排水又は衛生設備及びガス設備-変電所建物</t>
  </si>
  <si>
    <t>14507013</t>
  </si>
  <si>
    <t>鉄有固-案内宣伝施設 建物付属-冷暖房・通風・ボイラー設備-22kw以下-変電所建物</t>
  </si>
  <si>
    <t>14507014</t>
  </si>
  <si>
    <t>鉄有固-案内宣伝施設 建物付属-冷暖房・通風・ボイラー設備-その他のもの-変電所建物</t>
  </si>
  <si>
    <t>14507015</t>
  </si>
  <si>
    <t>鉄有固-案内宣伝施設 建物付属-昇降機設備-エレベーター-変電所建物</t>
  </si>
  <si>
    <t>14507016</t>
  </si>
  <si>
    <t>鉄有固-案内宣伝施設 建物付属-昇降機設備-エスカレーター-変電所建物</t>
  </si>
  <si>
    <t>14507017</t>
  </si>
  <si>
    <t>鉄有固-案内宣伝施設 建物付属-消火・排煙・災害報知設備及び格納式避難設備-変電所建物</t>
  </si>
  <si>
    <t>14507018</t>
  </si>
  <si>
    <t>鉄有固-案内宣伝施設 建物付属-エヤーカーテン又はドアー自動開閉設備-変電所建物</t>
  </si>
  <si>
    <t>14507019</t>
  </si>
  <si>
    <t>鉄有固-案内宣伝施設 建物付属-アーケード又は日よけ設備-金属製-変電所建物</t>
  </si>
  <si>
    <t>14507020</t>
  </si>
  <si>
    <t>鉄有固-案内宣伝施設 建物付属-アーケード又は日よけ設備-その他のもの-変電所建物</t>
  </si>
  <si>
    <t>14507021</t>
  </si>
  <si>
    <t>鉄有固-案内宣伝施設 建物付属-店用簡易設備-変電所建物</t>
  </si>
  <si>
    <t>14507022</t>
  </si>
  <si>
    <t>鉄有固-案内宣伝施設 建物付属-可動簡易装備-簡易なもの-変電所建物</t>
  </si>
  <si>
    <t>14507023</t>
  </si>
  <si>
    <t>鉄有固-案内宣伝施設 建物付属-可動簡易装備-その他のもの-変電所建物</t>
  </si>
  <si>
    <t>14507024</t>
  </si>
  <si>
    <t>鉄有固-案内宣伝施設 建物付属-前掲以外・前掲区分外-主として金属製のもの-変電所建物</t>
  </si>
  <si>
    <t>14507025</t>
  </si>
  <si>
    <t>鉄有固-案内宣伝施設 建物付属-前掲以外・前掲区分外-その他のもの-変電所建物</t>
  </si>
  <si>
    <t>14507101</t>
  </si>
  <si>
    <t>鉄有固-案内宣伝施設 建物-鉄骨鉄筋コンクリート造又は鉄筋コンクリート造-車庫・工場</t>
  </si>
  <si>
    <t>14507102</t>
  </si>
  <si>
    <t>鉄有固-案内宣伝施設 建物-れんが造、石造又はブロック造-車庫・工場</t>
  </si>
  <si>
    <t>14507103</t>
  </si>
  <si>
    <t>鉄有固-案内宣伝施設 建物-金属造(骨格材の肉厚が4mm超)-車庫・工場</t>
  </si>
  <si>
    <t>14507104</t>
  </si>
  <si>
    <t>鉄有固-案内宣伝施設 建物-金属造(骨格材の肉厚が3mm超4mm以下)-車庫・工場</t>
  </si>
  <si>
    <t>14507105</t>
  </si>
  <si>
    <t>鉄有固-案内宣伝施設 建物-金属造(骨格材の肉厚が3mm以下)-車庫・工場</t>
  </si>
  <si>
    <t>14507106</t>
  </si>
  <si>
    <t>鉄有固-案内宣伝施設 建物-木造又は合成樹脂造-車庫・工場</t>
  </si>
  <si>
    <t>14507107</t>
  </si>
  <si>
    <t>鉄有固-案内宣伝施設 建物-木骨モルタル造-車庫・工場</t>
  </si>
  <si>
    <t>14507108</t>
  </si>
  <si>
    <t>鉄有固-案内宣伝施設 建物-簡易建物(木製主要柱が10cm角以下で土居、杉皮ぶき等)-車庫・工場</t>
  </si>
  <si>
    <t>14507109</t>
  </si>
  <si>
    <t>鉄有固-案内宣伝施設 建物-簡易建物(掘立造のもの及び仮設のもの)-車庫・工場</t>
  </si>
  <si>
    <t>14507110</t>
  </si>
  <si>
    <t>鉄有固-案内宣伝施設 建物付属-電気設備(照明設備を含む)-蓄電池電源設備-車庫・工場</t>
  </si>
  <si>
    <t>14507111</t>
  </si>
  <si>
    <t>鉄有固-案内宣伝施設 建物付属-電気設備(照明設備を含む)-その他のもの-車庫・工場</t>
  </si>
  <si>
    <t>14507112</t>
  </si>
  <si>
    <t>鉄有固-案内宣伝施設 建物付属-給排水又は衛生設備及びガス設備-車庫・工場</t>
  </si>
  <si>
    <t>14507113</t>
  </si>
  <si>
    <t>鉄有固-案内宣伝施設 建物付属-冷暖房・通風・ボイラー設備-22kw以下-車庫・工場</t>
  </si>
  <si>
    <t>14507114</t>
  </si>
  <si>
    <t>鉄有固-案内宣伝施設 建物付属-冷暖房・通風・ボイラー設備-その他のもの-車庫・工場</t>
  </si>
  <si>
    <t>14507115</t>
  </si>
  <si>
    <t>鉄有固-案内宣伝施設 建物付属-昇降機設備-エレベーター-車庫・工場</t>
  </si>
  <si>
    <t>14507116</t>
  </si>
  <si>
    <t>鉄有固-案内宣伝施設 建物付属-昇降機設備-エスカレーター-車庫・工場</t>
  </si>
  <si>
    <t>14507117</t>
  </si>
  <si>
    <t>鉄有固-案内宣伝施設 建物付属-消火・排煙・災害報知設備及び格納式避難設備-車庫・工場</t>
  </si>
  <si>
    <t>14507118</t>
  </si>
  <si>
    <t>鉄有固-案内宣伝施設 建物付属-エヤーカーテン又はドアー自動開閉設備-車庫・工場</t>
  </si>
  <si>
    <t>14507119</t>
  </si>
  <si>
    <t>鉄有固-案内宣伝施設 建物付属-アーケード又は日よけ設備-金属製-車庫・工場</t>
  </si>
  <si>
    <t>14507120</t>
  </si>
  <si>
    <t>鉄有固-案内宣伝施設 建物付属-アーケード又は日よけ設備-その他のもの-車庫・工場</t>
  </si>
  <si>
    <t>14507121</t>
  </si>
  <si>
    <t>鉄有固-案内宣伝施設 建物付属-店用簡易設備-車庫・工場</t>
  </si>
  <si>
    <t>14507122</t>
  </si>
  <si>
    <t>鉄有固-案内宣伝施設 建物付属-可動簡易装備-簡易なもの-車庫・工場</t>
  </si>
  <si>
    <t>14507123</t>
  </si>
  <si>
    <t>鉄有固-案内宣伝施設 建物付属-可動簡易装備-その他のもの-車庫・工場</t>
  </si>
  <si>
    <t>14507124</t>
  </si>
  <si>
    <t>鉄有固-案内宣伝施設 建物付属-前掲以外・前掲区分外-主として金属製のもの-車庫・工場</t>
  </si>
  <si>
    <t>14507125</t>
  </si>
  <si>
    <t>鉄有固-案内宣伝施設 建物付属-前掲以外・前掲区分外-その他のもの-車庫・工場</t>
  </si>
  <si>
    <t>14507201</t>
  </si>
  <si>
    <t>鉄有固-案内宣伝施設 建物-鉄骨鉄筋コンクリート造又は鉄筋コンクリート造-倉庫建物</t>
  </si>
  <si>
    <t>14507202</t>
  </si>
  <si>
    <t>鉄有固-案内宣伝施設 建物-れんが造、石造又はブロック造-倉庫建物</t>
  </si>
  <si>
    <t>14507203</t>
  </si>
  <si>
    <t>鉄有固-案内宣伝施設 建物-金属造(骨格材の肉厚が4mm超)-倉庫建物</t>
  </si>
  <si>
    <t>14507204</t>
  </si>
  <si>
    <t>鉄有固-案内宣伝施設 建物-金属造(骨格材の肉厚が3mm超4mm以下)-倉庫建物</t>
  </si>
  <si>
    <t>14507205</t>
  </si>
  <si>
    <t>鉄有固-案内宣伝施設 建物-金属造(骨格材の肉厚が3mm以下)-倉庫建物</t>
  </si>
  <si>
    <t>14507206</t>
  </si>
  <si>
    <t>鉄有固-案内宣伝施設 建物-木造又は合成樹脂造-倉庫建物</t>
  </si>
  <si>
    <t>14507207</t>
  </si>
  <si>
    <t>鉄有固-案内宣伝施設 建物-木骨モルタル造-倉庫建物</t>
  </si>
  <si>
    <t>14507208</t>
  </si>
  <si>
    <t>鉄有固-案内宣伝施設 建物-簡易建物(木製主要柱が10cm角以下で土居、杉皮ぶき等)-倉庫建物</t>
  </si>
  <si>
    <t>14507209</t>
  </si>
  <si>
    <t>鉄有固-案内宣伝施設 建物-簡易建物(掘立造のもの及び仮設のもの)-倉庫建物</t>
  </si>
  <si>
    <t>14507210</t>
  </si>
  <si>
    <t>鉄有固-案内宣伝施設 建物付属-電気設備(照明設備を含む)-蓄電池電源設備-倉庫建物</t>
  </si>
  <si>
    <t>14507211</t>
  </si>
  <si>
    <t>鉄有固-案内宣伝施設 建物付属-電気設備(照明設備を含む)-その他のもの-倉庫建物</t>
  </si>
  <si>
    <t>14507212</t>
  </si>
  <si>
    <t>鉄有固-案内宣伝施設 建物付属-給排水又は衛生設備及びガス設備-倉庫建物</t>
  </si>
  <si>
    <t>14507213</t>
  </si>
  <si>
    <t>鉄有固-案内宣伝施設 建物付属-冷暖房・通風・ボイラー設備-22kw以下-倉庫建物</t>
  </si>
  <si>
    <t>14507214</t>
  </si>
  <si>
    <t>鉄有固-案内宣伝施設 建物付属-冷暖房・通風・ボイラー設備-その他のもの-倉庫建物</t>
  </si>
  <si>
    <t>14507215</t>
  </si>
  <si>
    <t>鉄有固-案内宣伝施設 建物付属-昇降機設備-エレベーター-倉庫建物</t>
  </si>
  <si>
    <t>14507216</t>
  </si>
  <si>
    <t>鉄有固-案内宣伝施設 建物付属-昇降機設備-エスカレーター-倉庫建物</t>
  </si>
  <si>
    <t>14507217</t>
  </si>
  <si>
    <t>鉄有固-案内宣伝施設 建物付属-消火・排煙・災害報知設備及び格納式避難設備-倉庫建物</t>
  </si>
  <si>
    <t>14507218</t>
  </si>
  <si>
    <t>鉄有固-案内宣伝施設 建物付属-エヤーカーテン又はドアー自動開閉設備-倉庫建物</t>
  </si>
  <si>
    <t>14507219</t>
  </si>
  <si>
    <t>鉄有固-案内宣伝施設 建物付属-アーケード又は日よけ設備-金属製-倉庫建物</t>
  </si>
  <si>
    <t>14507220</t>
  </si>
  <si>
    <t>鉄有固-案内宣伝施設 建物付属-アーケード又は日よけ設備-その他のもの-倉庫建物</t>
  </si>
  <si>
    <t>14507221</t>
  </si>
  <si>
    <t>鉄有固-案内宣伝施設 建物付属-店用簡易設備-倉庫建物</t>
  </si>
  <si>
    <t>14507222</t>
  </si>
  <si>
    <t>鉄有固-案内宣伝施設 建物付属-可動簡易装備-簡易なもの-倉庫建物</t>
  </si>
  <si>
    <t>14507223</t>
  </si>
  <si>
    <t>鉄有固-案内宣伝施設 建物付属-可動簡易装備-その他のもの-倉庫建物</t>
  </si>
  <si>
    <t>14507224</t>
  </si>
  <si>
    <t>鉄有固-案内宣伝施設 建物付属-前掲以外・前掲区分外-主として金属製のもの-倉庫建物</t>
  </si>
  <si>
    <t>14507225</t>
  </si>
  <si>
    <t>鉄有固-案内宣伝施設 建物付属-前掲以外・前掲区分外-その他のもの-倉庫建物</t>
  </si>
  <si>
    <t>14507301</t>
  </si>
  <si>
    <t>鉄有固-案内宣伝施設 建物-鉄骨鉄筋コンクリート造又は鉄筋コンクリート造-詰所建物</t>
  </si>
  <si>
    <t>14507302</t>
  </si>
  <si>
    <t>鉄有固-案内宣伝施設 建物-れんが造、石造又はブロック造-詰所建物</t>
  </si>
  <si>
    <t>14507303</t>
  </si>
  <si>
    <t>鉄有固-案内宣伝施設 建物-金属造(骨格材の肉厚が4mm超)-詰所建物</t>
  </si>
  <si>
    <t>14507304</t>
  </si>
  <si>
    <t>鉄有固-案内宣伝施設 建物-金属造(骨格材の肉厚が3mm超4mm以下)-詰所建物</t>
  </si>
  <si>
    <t>14507305</t>
  </si>
  <si>
    <t>鉄有固-案内宣伝施設 建物-金属造(骨格材の肉厚が3mm以下)-詰所建物</t>
  </si>
  <si>
    <t>14507306</t>
  </si>
  <si>
    <t>鉄有固-案内宣伝施設 建物-木造又は合成樹脂造-詰所建物</t>
  </si>
  <si>
    <t>14507307</t>
  </si>
  <si>
    <t>鉄有固-案内宣伝施設 建物-木骨モルタル造-詰所建物</t>
  </si>
  <si>
    <t>14507308</t>
  </si>
  <si>
    <t>鉄有固-案内宣伝施設 建物-簡易建物(木製主要柱が10cm角以下で土居、杉皮ぶき等)-詰所建物</t>
  </si>
  <si>
    <t>14507309</t>
  </si>
  <si>
    <t>鉄有固-案内宣伝施設 建物-簡易建物(掘立造のもの及び仮設のもの)-詰所建物</t>
  </si>
  <si>
    <t>14507310</t>
  </si>
  <si>
    <t>鉄有固-案内宣伝施設 建物付属-電気設備(照明設備を含む)-蓄電池電源設備-詰所建物</t>
  </si>
  <si>
    <t>14507311</t>
  </si>
  <si>
    <t>鉄有固-案内宣伝施設 建物付属-電気設備(照明設備を含む)-その他のもの-詰所建物</t>
  </si>
  <si>
    <t>14507312</t>
  </si>
  <si>
    <t>鉄有固-案内宣伝施設 建物付属-給排水又は衛生設備及びガス設備-詰所建物</t>
  </si>
  <si>
    <t>14507313</t>
  </si>
  <si>
    <t>鉄有固-案内宣伝施設 建物付属-冷暖房・通風・ボイラー設備-22kw以下-詰所建物</t>
  </si>
  <si>
    <t>14507314</t>
  </si>
  <si>
    <t>鉄有固-案内宣伝施設 建物付属-冷暖房・通風・ボイラー設備-その他のもの-詰所建物</t>
  </si>
  <si>
    <t>14507315</t>
  </si>
  <si>
    <t>鉄有固-案内宣伝施設 建物付属-昇降機設備-エレベーター-詰所建物</t>
  </si>
  <si>
    <t>14507316</t>
  </si>
  <si>
    <t>鉄有固-案内宣伝施設 建物付属-昇降機設備-エスカレーター-詰所建物</t>
  </si>
  <si>
    <t>14507317</t>
  </si>
  <si>
    <t>鉄有固-案内宣伝施設 建物付属-消火・排煙・災害報知設備及び格納式避難設備-詰所建物</t>
  </si>
  <si>
    <t>14507318</t>
  </si>
  <si>
    <t>鉄有固-案内宣伝施設 建物付属-エヤーカーテン又はドアー自動開閉設備-詰所建物</t>
  </si>
  <si>
    <t>14507319</t>
  </si>
  <si>
    <t>鉄有固-案内宣伝施設 建物付属-アーケード又は日よけ設備-金属製-詰所建物</t>
  </si>
  <si>
    <t>14507320</t>
  </si>
  <si>
    <t>鉄有固-案内宣伝施設 建物付属-アーケード又は日よけ設備-その他のもの-詰所建物</t>
  </si>
  <si>
    <t>14507321</t>
  </si>
  <si>
    <t>鉄有固-案内宣伝施設 建物付属-店用簡易設備-詰所建物</t>
  </si>
  <si>
    <t>14507322</t>
  </si>
  <si>
    <t>鉄有固-案内宣伝施設 建物付属-可動簡易装備-簡易なもの-詰所建物</t>
  </si>
  <si>
    <t>14507323</t>
  </si>
  <si>
    <t>鉄有固-案内宣伝施設 建物付属-可動簡易装備-その他のもの-詰所建物</t>
  </si>
  <si>
    <t>14507324</t>
  </si>
  <si>
    <t>鉄有固-案内宣伝施設 建物付属-前掲以外・前掲区分外-主として金属製のもの-詰所建物</t>
  </si>
  <si>
    <t>14507325</t>
  </si>
  <si>
    <t>鉄有固-案内宣伝施設 建物付属-前掲以外・前掲区分外-その他のもの-詰所建物</t>
  </si>
  <si>
    <t>14507401</t>
  </si>
  <si>
    <t>鉄有固-案内宣伝施設 建物-鉄骨鉄筋コンクリート造又は鉄筋コンクリート造-事務所建物</t>
  </si>
  <si>
    <t>14507402</t>
  </si>
  <si>
    <t>鉄有固-案内宣伝施設 建物-れんが造、石造又はブロック造-事務所建物</t>
  </si>
  <si>
    <t>14507403</t>
  </si>
  <si>
    <t>鉄有固-案内宣伝施設 建物-金属造(骨格材の肉厚が4mm超)-事務所建物</t>
  </si>
  <si>
    <t>14507404</t>
  </si>
  <si>
    <t>鉄有固-案内宣伝施設 建物-金属造(骨格材の肉厚が3mm超4mm以下)-事務所建物</t>
  </si>
  <si>
    <t>14507405</t>
  </si>
  <si>
    <t>鉄有固-案内宣伝施設 建物-金属造(骨格材の肉厚が3mm以下)-事務所建物</t>
  </si>
  <si>
    <t>14507406</t>
  </si>
  <si>
    <t>鉄有固-案内宣伝施設 建物-木造又は合成樹脂造-事務所建物</t>
  </si>
  <si>
    <t>14507407</t>
  </si>
  <si>
    <t>鉄有固-案内宣伝施設 建物-木骨モルタル造-事務所建物</t>
  </si>
  <si>
    <t>14507408</t>
  </si>
  <si>
    <t>鉄有固-案内宣伝施設 建物-簡易建物(木製主要柱が10cm角以下で土居、杉皮ぶき等)-事務所建物</t>
  </si>
  <si>
    <t>14507409</t>
  </si>
  <si>
    <t>鉄有固-案内宣伝施設 建物-簡易建物(掘立造のもの及び仮設のもの)-事務所建物</t>
  </si>
  <si>
    <t>14507410</t>
  </si>
  <si>
    <t>鉄有固-案内宣伝施設 建物付属-電気設備(照明設備を含む)-蓄電池電源設備-事務所建物</t>
  </si>
  <si>
    <t>14507411</t>
  </si>
  <si>
    <t>鉄有固-案内宣伝施設 建物付属-電気設備(照明設備を含む)-その他のもの-事務所建物</t>
  </si>
  <si>
    <t>14507412</t>
  </si>
  <si>
    <t>鉄有固-案内宣伝施設 建物付属-給排水又は衛生設備及びガス設備-事務所建物</t>
  </si>
  <si>
    <t>14507413</t>
  </si>
  <si>
    <t>鉄有固-案内宣伝施設 建物付属-冷暖房・通風・ボイラー設備-22kw以下-事務所建物</t>
  </si>
  <si>
    <t>14507414</t>
  </si>
  <si>
    <t>鉄有固-案内宣伝施設 建物付属-冷暖房・通風・ボイラー設備-その他のもの-事務所建物</t>
  </si>
  <si>
    <t>14507415</t>
  </si>
  <si>
    <t>鉄有固-案内宣伝施設 建物付属-昇降機設備-エレベーター-事務所建物</t>
  </si>
  <si>
    <t>14507416</t>
  </si>
  <si>
    <t>鉄有固-案内宣伝施設 建物付属-昇降機設備-エスカレーター-事務所建物</t>
  </si>
  <si>
    <t>14507417</t>
  </si>
  <si>
    <t>鉄有固-案内宣伝施設 建物付属-消火・排煙・災害報知設備及び格納式避難設備-事務所建物</t>
  </si>
  <si>
    <t>14507418</t>
  </si>
  <si>
    <t>鉄有固-案内宣伝施設 建物付属-エヤーカーテン又はドアー自動開閉設備-事務所建物</t>
  </si>
  <si>
    <t>14507419</t>
  </si>
  <si>
    <t>鉄有固-案内宣伝施設 建物付属-アーケード又は日よけ設備-金属製-事務所建物</t>
  </si>
  <si>
    <t>14507420</t>
  </si>
  <si>
    <t>鉄有固-案内宣伝施設 建物付属-アーケード又は日よけ設備-その他のもの-事務所建物</t>
  </si>
  <si>
    <t>14507421</t>
  </si>
  <si>
    <t>鉄有固-案内宣伝施設 建物付属-店用簡易設備-事務所建物</t>
  </si>
  <si>
    <t>14507422</t>
  </si>
  <si>
    <t>鉄有固-案内宣伝施設 建物付属-可動簡易装備-簡易なもの-事務所建物</t>
  </si>
  <si>
    <t>14507423</t>
  </si>
  <si>
    <t>鉄有固-案内宣伝施設 建物付属-可動簡易装備-その他のもの-事務所建物</t>
  </si>
  <si>
    <t>14507424</t>
  </si>
  <si>
    <t>鉄有固-案内宣伝施設 建物付属-前掲以外・前掲区分外-主として金属製のもの-事務所建物</t>
  </si>
  <si>
    <t>14507425</t>
  </si>
  <si>
    <t>鉄有固-案内宣伝施設 建物付属-前掲以外・前掲区分外-その他のもの-事務所建物</t>
  </si>
  <si>
    <t>14507501</t>
  </si>
  <si>
    <t>鉄有固-案内宣伝施設 建物-鉄骨鉄筋コンクリート造又は鉄筋コンクリート造-社宅・寮建物</t>
  </si>
  <si>
    <t>14507502</t>
  </si>
  <si>
    <t>鉄有固-案内宣伝施設 建物-れんが造、石造又はブロック造-社宅・寮建物</t>
  </si>
  <si>
    <t>14507503</t>
  </si>
  <si>
    <t>鉄有固-案内宣伝施設 建物-金属造(骨格材の肉厚が4mm超)-社宅・寮建物</t>
  </si>
  <si>
    <t>14507504</t>
  </si>
  <si>
    <t>鉄有固-案内宣伝施設 建物-金属造(骨格材の肉厚が3mm超4mm以下)-社宅・寮建物</t>
  </si>
  <si>
    <t>14507505</t>
  </si>
  <si>
    <t>鉄有固-案内宣伝施設 建物-金属造(骨格材の肉厚が3mm以下)-社宅・寮建物</t>
  </si>
  <si>
    <t>14507506</t>
  </si>
  <si>
    <t>鉄有固-案内宣伝施設 建物-木造又は合成樹脂造-社宅・寮建物</t>
  </si>
  <si>
    <t>14507507</t>
  </si>
  <si>
    <t>鉄有固-案内宣伝施設 建物-木骨モルタル造-社宅・寮建物</t>
  </si>
  <si>
    <t>14507508</t>
  </si>
  <si>
    <t>鉄有固-案内宣伝施設 建物-簡易建物(木製主要柱が10cm角以下で土居、杉皮ぶき等)-社宅・寮建物</t>
    <rPh sb="47" eb="49">
      <t>タテモノ</t>
    </rPh>
    <phoneticPr fontId="3"/>
  </si>
  <si>
    <t>14507509</t>
  </si>
  <si>
    <t>鉄有固-案内宣伝施設 建物-簡易建物(掘立造のもの及び仮設のもの)-社宅・寮建物</t>
  </si>
  <si>
    <t>14507510</t>
  </si>
  <si>
    <t>鉄有固-案内宣伝施設 建物付属-電気設備(照明設備を含む)-蓄電池電源設備-社宅・寮建物</t>
  </si>
  <si>
    <t>14507511</t>
  </si>
  <si>
    <t>鉄有固-案内宣伝施設 建物付属-電気設備(照明設備を含む)-その他のもの-社宅・寮建物</t>
  </si>
  <si>
    <t>14507512</t>
  </si>
  <si>
    <t>鉄有固-案内宣伝施設 建物付属-給排水又は衛生設備及びガス設備-社宅・寮建物</t>
  </si>
  <si>
    <t>14507513</t>
  </si>
  <si>
    <t>鉄有固-案内宣伝施設 建物付属-冷暖房・通風・ボイラー設備-22kw以下-社宅・寮建物</t>
  </si>
  <si>
    <t>14507514</t>
  </si>
  <si>
    <t>鉄有固-案内宣伝施設 建物付属-冷暖房・通風・ボイラー設備-その他のもの-社宅・寮建物</t>
  </si>
  <si>
    <t>14507515</t>
  </si>
  <si>
    <t>鉄有固-案内宣伝施設 建物付属-昇降機設備-エレベーター-社宅・寮建物</t>
  </si>
  <si>
    <t>14507516</t>
  </si>
  <si>
    <t>鉄有固-案内宣伝施設 建物付属-昇降機設備-エスカレーター-社宅・寮建物</t>
  </si>
  <si>
    <t>14507517</t>
  </si>
  <si>
    <t>鉄有固-案内宣伝施設 建物付属-消火・排煙・災害報知設備及び格納式避難設備-社宅・寮建物</t>
  </si>
  <si>
    <t>14507518</t>
  </si>
  <si>
    <t>鉄有固-案内宣伝施設 建物付属-エヤーカーテン又はドアー自動開閉設備-社宅・寮建物</t>
  </si>
  <si>
    <t>14507519</t>
  </si>
  <si>
    <t>鉄有固-案内宣伝施設 建物付属-アーケード又は日よけ設備-金属製-社宅・寮建物</t>
  </si>
  <si>
    <t>14507520</t>
  </si>
  <si>
    <t>鉄有固-案内宣伝施設 建物付属-アーケード又は日よけ設備-その他のもの-社宅・寮建物</t>
  </si>
  <si>
    <t>14507521</t>
  </si>
  <si>
    <t>鉄有固-案内宣伝施設 建物付属-店用簡易設備-社宅・寮建物</t>
  </si>
  <si>
    <t>14507522</t>
  </si>
  <si>
    <t>鉄有固-案内宣伝施設 建物付属-可動簡易装備-簡易なもの-社宅・寮建物</t>
  </si>
  <si>
    <t>14507523</t>
  </si>
  <si>
    <t>鉄有固-案内宣伝施設 建物付属-可動簡易装備-その他のもの-社宅・寮建物</t>
  </si>
  <si>
    <t>14507524</t>
  </si>
  <si>
    <t>鉄有固-案内宣伝施設 建物付属-前掲以外・前掲区分外-主として金属製のもの-社宅・寮建物</t>
  </si>
  <si>
    <t>14507525</t>
  </si>
  <si>
    <t>鉄有固-案内宣伝施設 建物付属-前掲以外・前掲区分外-その他のもの-社宅・寮建物</t>
  </si>
  <si>
    <t>14599901</t>
  </si>
  <si>
    <t>鉄有固-案内宣伝施設 建物-雑建物-定額50年</t>
  </si>
  <si>
    <t>14599902</t>
  </si>
  <si>
    <t>鉄有固-案内宣伝施設 建物-雑建物-定額47年</t>
  </si>
  <si>
    <t>14599903</t>
  </si>
  <si>
    <t>鉄有固-案内宣伝施設 建物-雑建物-定額41年</t>
  </si>
  <si>
    <t>14599904</t>
  </si>
  <si>
    <t>鉄有固-案内宣伝施設 建物-雑建物-定額39年</t>
  </si>
  <si>
    <t>14599905</t>
  </si>
  <si>
    <t>鉄有固-案内宣伝施設 建物-雑建物-定額38年</t>
  </si>
  <si>
    <t>14599906</t>
  </si>
  <si>
    <t>鉄有固-案内宣伝施設 建物-雑建物-定額36年</t>
  </si>
  <si>
    <t>14599907</t>
  </si>
  <si>
    <t>鉄有固-案内宣伝施設 建物-雑建物-定額34年</t>
  </si>
  <si>
    <t>14599908</t>
  </si>
  <si>
    <t>鉄有固-案内宣伝施設 建物-雑建物-定額31年</t>
  </si>
  <si>
    <t>14599909</t>
  </si>
  <si>
    <t>鉄有固-案内宣伝施設 建物-雑建物-定額30年</t>
  </si>
  <si>
    <t>14599910</t>
  </si>
  <si>
    <t>鉄有固-案内宣伝施設 建物-雑建物-定額29年</t>
  </si>
  <si>
    <t>14599911</t>
  </si>
  <si>
    <t>鉄有固-案内宣伝施設 建物-雑建物-定額28年</t>
  </si>
  <si>
    <t>14599912</t>
  </si>
  <si>
    <t>鉄有固-案内宣伝施設 建物-雑建物-定額27年</t>
  </si>
  <si>
    <t>14599913</t>
  </si>
  <si>
    <t>鉄有固-案内宣伝施設 建物-雑建物-定額26年</t>
  </si>
  <si>
    <t>14599914</t>
  </si>
  <si>
    <t>鉄有固-案内宣伝施設 建物-雑建物-定額25年</t>
  </si>
  <si>
    <t>14599915</t>
  </si>
  <si>
    <t>鉄有固-案内宣伝施設 建物-雑建物-定額24年</t>
  </si>
  <si>
    <t>14599916</t>
  </si>
  <si>
    <t>鉄有固-案内宣伝施設 建物-雑建物-定額22年</t>
  </si>
  <si>
    <t>14599917</t>
  </si>
  <si>
    <t>鉄有固-案内宣伝施設 建物-雑建物-定額21年</t>
  </si>
  <si>
    <t>14599918</t>
  </si>
  <si>
    <t>鉄有固-案内宣伝施設 建物-雑建物-定額20年</t>
  </si>
  <si>
    <t>14599919</t>
  </si>
  <si>
    <t>鉄有固-案内宣伝施設 建物-雑建物-定額19年</t>
  </si>
  <si>
    <t>14599920</t>
  </si>
  <si>
    <t>鉄有固-案内宣伝施設 建物-雑建物-定額17年</t>
  </si>
  <si>
    <t>14599921</t>
  </si>
  <si>
    <t>鉄有固-案内宣伝施設 建物-雑建物-定額15年</t>
  </si>
  <si>
    <t>14599922</t>
  </si>
  <si>
    <t>鉄有固-案内宣伝施設 建物-雑建物-定額14年</t>
  </si>
  <si>
    <t>14599923</t>
  </si>
  <si>
    <t>鉄有固-案内宣伝施設 建物-雑建物-定額12年</t>
  </si>
  <si>
    <t>14599924</t>
  </si>
  <si>
    <t>鉄有固-案内宣伝施設 建物-雑建物-定額11年</t>
  </si>
  <si>
    <t>14599925</t>
  </si>
  <si>
    <t>鉄有固-案内宣伝施設 建物-雑建物-定額10年</t>
  </si>
  <si>
    <t>14599926</t>
  </si>
  <si>
    <t>鉄有固-案内宣伝施設 建物-雑建物-定額09年</t>
  </si>
  <si>
    <t>14599927</t>
  </si>
  <si>
    <t>鉄有固-案内宣伝施設 建物-雑建物-定額07年</t>
  </si>
  <si>
    <t>14599928</t>
  </si>
  <si>
    <t>鉄有固-案内宣伝施設 建物付属-電気設備(照明設備を含む)-蓄電池電源設備-雑建物</t>
  </si>
  <si>
    <t>14599929</t>
  </si>
  <si>
    <t>鉄有固-案内宣伝施設 建物付属-電気設備(照明設備を含む)-その他のもの-雑建物</t>
  </si>
  <si>
    <t>14599930</t>
  </si>
  <si>
    <t>鉄有固-案内宣伝施設 建物付属-給排水又は衛生設備及びガス設備-雑建物</t>
  </si>
  <si>
    <t>14599931</t>
  </si>
  <si>
    <t>鉄有固-案内宣伝施設 建物付属-冷暖房・通風・ボイラー設備-22kw以下-雑建物</t>
  </si>
  <si>
    <t>14599932</t>
  </si>
  <si>
    <t>鉄有固-案内宣伝施設 建物付属-冷暖房・通風・ボイラー設備-その他のもの-雑建物</t>
  </si>
  <si>
    <t>14599933</t>
  </si>
  <si>
    <t>鉄有固-案内宣伝施設 建物付属-昇降機設備-エレベーター-雑建物</t>
  </si>
  <si>
    <t>14599934</t>
  </si>
  <si>
    <t>鉄有固-案内宣伝施設 建物付属-昇降機設備-エスカレーター-雑建物</t>
  </si>
  <si>
    <t>14599935</t>
  </si>
  <si>
    <t>鉄有固-案内宣伝施設 建物付属-消火・排煙・災害報知設備及び格納式避難設備-雑建物</t>
  </si>
  <si>
    <t>14599936</t>
  </si>
  <si>
    <t>鉄有固-案内宣伝施設 建物付属-エヤーカーテン又はドアー自動開閉設備-雑建物</t>
  </si>
  <si>
    <t>14599937</t>
  </si>
  <si>
    <t>鉄有固-案内宣伝施設 建物付属-アーケード又は日よけ設備-金属製-雑建物</t>
  </si>
  <si>
    <t>14599938</t>
  </si>
  <si>
    <t>鉄有固-案内宣伝施設 建物付属-アーケード又は日よけ設備-その他のもの-雑建物</t>
  </si>
  <si>
    <t>14599939</t>
  </si>
  <si>
    <t>鉄有固-案内宣伝施設 建物付属-店用簡易設備-雑建物</t>
  </si>
  <si>
    <t>14599940</t>
  </si>
  <si>
    <t>鉄有固-案内宣伝施設 建物付属-可動簡易装備-簡易なもの-雑建物</t>
  </si>
  <si>
    <t>14599941</t>
  </si>
  <si>
    <t>鉄有固-案内宣伝施設 建物付属-可動簡易装備-その他のもの-雑建物</t>
  </si>
  <si>
    <t>14599942</t>
  </si>
  <si>
    <t>鉄有固-案内宣伝施設 建物付属-前掲以外・前掲区分外-主として金属製のもの-雑建物</t>
  </si>
  <si>
    <t>14599943</t>
  </si>
  <si>
    <t>鉄有固-案内宣伝施設 建物付属-前掲以外・前掲区分外-その他のもの-雑建物</t>
  </si>
  <si>
    <t>15007601</t>
  </si>
  <si>
    <t>鉄有固-案内宣伝施設 雑施設</t>
  </si>
  <si>
    <t>20100101</t>
  </si>
  <si>
    <t>広告有固-土地-事務所</t>
  </si>
  <si>
    <t>20100201</t>
  </si>
  <si>
    <t>広告有固-土地-店舗</t>
  </si>
  <si>
    <t>20199901</t>
  </si>
  <si>
    <t>広告有固-土地-その他</t>
  </si>
  <si>
    <t>20500301</t>
  </si>
  <si>
    <t>広告有固-建物-事務所-定額50年</t>
  </si>
  <si>
    <t>20500302</t>
  </si>
  <si>
    <t>広告有固-建物-事務所-定額41年</t>
  </si>
  <si>
    <t>20500303</t>
  </si>
  <si>
    <t>広告有固-建物-事務所-定額38年</t>
  </si>
  <si>
    <t>20500304</t>
  </si>
  <si>
    <t>広告有固-建物-事務所-定額30年</t>
  </si>
  <si>
    <t>20500305</t>
  </si>
  <si>
    <t>広告有固-建物-事務所-定額22年</t>
  </si>
  <si>
    <t>20500306</t>
  </si>
  <si>
    <t>広告有固-建物-事務所-定額24年</t>
  </si>
  <si>
    <t>20500307</t>
  </si>
  <si>
    <t>20500308</t>
  </si>
  <si>
    <t>広告有固-建物-事務所-定額10年</t>
  </si>
  <si>
    <t>20500309</t>
  </si>
  <si>
    <t>広告有固-建物-事務所-定額07年</t>
  </si>
  <si>
    <t>20500310</t>
  </si>
  <si>
    <t>広告有固-建物付属設備-事務所-定率18年</t>
  </si>
  <si>
    <t>20500311</t>
  </si>
  <si>
    <t>広告有固-建物付属設備-事務所-定率17年</t>
  </si>
  <si>
    <t>20500312</t>
  </si>
  <si>
    <t>広告有固-建物付属設備-事務所-定率15年</t>
  </si>
  <si>
    <t>20500313</t>
  </si>
  <si>
    <t>広告有固-建物付属設備-事務所-定率13年</t>
  </si>
  <si>
    <t>20500314</t>
  </si>
  <si>
    <t>広告有固-建物付属設備-事務所-定率12年</t>
  </si>
  <si>
    <t>20500315</t>
  </si>
  <si>
    <t>広告有固-建物付属設備-事務所-定率10年</t>
  </si>
  <si>
    <t>20500316</t>
  </si>
  <si>
    <t>広告有固-建物付属設備-事務所-定率08年</t>
  </si>
  <si>
    <t>20500317</t>
  </si>
  <si>
    <t>広告有固-建物付属設備-事務所-定率03年</t>
  </si>
  <si>
    <t>20500401</t>
  </si>
  <si>
    <t>広告有固-建物-店舗-定額39年</t>
  </si>
  <si>
    <t>20500402</t>
  </si>
  <si>
    <t>広告有固-建物-店舗-定額38年</t>
  </si>
  <si>
    <t>20500403</t>
  </si>
  <si>
    <t>広告有固-建物-店舗-定額34年</t>
  </si>
  <si>
    <t>20500404</t>
  </si>
  <si>
    <t>広告有固-建物-店舗-定額27年</t>
  </si>
  <si>
    <t>20500405</t>
  </si>
  <si>
    <t>広告有固-建物-店舗-定額19年</t>
  </si>
  <si>
    <t>20500406</t>
  </si>
  <si>
    <t>広告有固-建物-店舗-定額22年</t>
  </si>
  <si>
    <t>20500407</t>
  </si>
  <si>
    <t>広告有固-建物-店舗-定額20年</t>
  </si>
  <si>
    <t>20500408</t>
  </si>
  <si>
    <t>広告有固-建物-店舗-定額10年</t>
  </si>
  <si>
    <t>20500409</t>
  </si>
  <si>
    <t>広告有固-建物-店舗-定額07年</t>
  </si>
  <si>
    <t>20500410</t>
  </si>
  <si>
    <t>広告有固-建物付属設備-店舗-定率18年</t>
  </si>
  <si>
    <t>20500411</t>
  </si>
  <si>
    <t>広告有固-建物付属設備-店舗-定率17年</t>
  </si>
  <si>
    <t>20500412</t>
  </si>
  <si>
    <t>広告有固-建物付属設備-店舗-定率15年</t>
  </si>
  <si>
    <t>20500413</t>
  </si>
  <si>
    <t>広告有固-建物付属設備-店舗-定率13年</t>
  </si>
  <si>
    <t>20500414</t>
  </si>
  <si>
    <t>広告有固-建物付属設備-店舗-定率12年</t>
  </si>
  <si>
    <t>20500415</t>
  </si>
  <si>
    <t>広告有固-建物付属設備-店舗-定率10年</t>
  </si>
  <si>
    <t>20500416</t>
  </si>
  <si>
    <t>広告有固-建物付属設備-店舗-定率08年</t>
  </si>
  <si>
    <t>20500417</t>
  </si>
  <si>
    <t>広告有固-建物付属設備-店舗-定率03年</t>
  </si>
  <si>
    <t>20599901</t>
  </si>
  <si>
    <t>広告有固-建物-その他-定額50年</t>
  </si>
  <si>
    <t>20599902</t>
  </si>
  <si>
    <t>広告有固-建物-その他-定額47年</t>
  </si>
  <si>
    <t>20599903</t>
  </si>
  <si>
    <t>広告有固-建物-その他-定額41年</t>
  </si>
  <si>
    <t>20599904</t>
  </si>
  <si>
    <t>広告有固-建物-その他-定額39年</t>
  </si>
  <si>
    <t>20599905</t>
  </si>
  <si>
    <t>広告有固-建物-その他-定額38年</t>
  </si>
  <si>
    <t>20599906</t>
  </si>
  <si>
    <t>広告有固-建物-その他-定額36年</t>
  </si>
  <si>
    <t>20599907</t>
  </si>
  <si>
    <t>広告有固-建物-その他-定額34年</t>
  </si>
  <si>
    <t>20599908</t>
  </si>
  <si>
    <t>広告有固-建物-その他-定額31年</t>
  </si>
  <si>
    <t>20599909</t>
  </si>
  <si>
    <t>広告有固-建物-その他-定額30年</t>
  </si>
  <si>
    <t>20599910</t>
  </si>
  <si>
    <t>広告有固-建物-その他-定額29年</t>
  </si>
  <si>
    <t>20599911</t>
  </si>
  <si>
    <t>広告有固-建物-その他-定額28年</t>
  </si>
  <si>
    <t>20599912</t>
  </si>
  <si>
    <t>広告有固-建物-その他-定額27年</t>
  </si>
  <si>
    <t>20599913</t>
  </si>
  <si>
    <t>広告有固-建物-その他-定額26年</t>
  </si>
  <si>
    <t>20599914</t>
  </si>
  <si>
    <t>広告有固-建物-その他-定額25年</t>
  </si>
  <si>
    <t>20599915</t>
  </si>
  <si>
    <t>広告有固-建物-その他-定額24年</t>
  </si>
  <si>
    <t>20599916</t>
  </si>
  <si>
    <t>広告有固-建物-その他-定額22年</t>
  </si>
  <si>
    <t>20599917</t>
  </si>
  <si>
    <t>広告有固-建物-その他-定額21年</t>
  </si>
  <si>
    <t>20599918</t>
  </si>
  <si>
    <t>広告有固-建物-その他-定額20年</t>
  </si>
  <si>
    <t>20599919</t>
  </si>
  <si>
    <t>広告有固-建物-その他-定額19年</t>
  </si>
  <si>
    <t>20599920</t>
  </si>
  <si>
    <t>広告有固-建物-その他-定額17年</t>
  </si>
  <si>
    <t>20599921</t>
  </si>
  <si>
    <t>広告有固-建物-その他-定額15年</t>
  </si>
  <si>
    <t>20599922</t>
  </si>
  <si>
    <t>広告有固-建物-その他-定額14年</t>
  </si>
  <si>
    <t>20599923</t>
  </si>
  <si>
    <t>広告有固-建物-その他-定額12年</t>
  </si>
  <si>
    <t>20599924</t>
  </si>
  <si>
    <t>広告有固-建物-その他-定額11年</t>
  </si>
  <si>
    <t>20599925</t>
  </si>
  <si>
    <t>広告有固-建物-その他-定額10年</t>
  </si>
  <si>
    <t>20599926</t>
  </si>
  <si>
    <t>広告有固-建物-その他-定額09年</t>
  </si>
  <si>
    <t>20599927</t>
  </si>
  <si>
    <t>広告有固-建物-その他-定額07年</t>
  </si>
  <si>
    <t>20599928</t>
  </si>
  <si>
    <t>広告有固-建物付属設備-その他-定率18年</t>
  </si>
  <si>
    <t>20599929</t>
  </si>
  <si>
    <t>広告有固-建物付属設備-その他-定率17年</t>
  </si>
  <si>
    <t>20599930</t>
  </si>
  <si>
    <t>広告有固-建物付属設備-その他-定率15年</t>
  </si>
  <si>
    <t>20599931</t>
  </si>
  <si>
    <t>広告有固-建物付属設備-その他-定率13年</t>
  </si>
  <si>
    <t>20599932</t>
  </si>
  <si>
    <t>広告有固-建物付属設備-その他-定率12年</t>
  </si>
  <si>
    <t>20599933</t>
  </si>
  <si>
    <t>広告有固-建物付属設備-その他-定率10年</t>
  </si>
  <si>
    <t>20599934</t>
  </si>
  <si>
    <t>広告有固-建物付属設備-その他-定率08年</t>
  </si>
  <si>
    <t>20599935</t>
  </si>
  <si>
    <t>広告有固-建物付属設備-その他-定率03年</t>
  </si>
  <si>
    <t>21000501</t>
  </si>
  <si>
    <t>広告有固-構築物-定率80年</t>
  </si>
  <si>
    <t>21000502</t>
  </si>
  <si>
    <t>広告有固-構築物-定率75年</t>
  </si>
  <si>
    <t>21000503</t>
  </si>
  <si>
    <t>広告有固-構築物-定率60年</t>
  </si>
  <si>
    <t>21000504</t>
  </si>
  <si>
    <t>広告有固-構築物-定率57年</t>
  </si>
  <si>
    <t>21000505</t>
  </si>
  <si>
    <t>広告有固-構築物-定率50年</t>
  </si>
  <si>
    <t>21000506</t>
  </si>
  <si>
    <t>広告有固-構築物-定率45年</t>
  </si>
  <si>
    <t>21000507</t>
  </si>
  <si>
    <t>広告有固-構築物-定率42年</t>
  </si>
  <si>
    <t>21000508</t>
  </si>
  <si>
    <t>広告有固-構築物-定率41年</t>
  </si>
  <si>
    <t>21000509</t>
  </si>
  <si>
    <t>広告有固-構築物-定率40年</t>
  </si>
  <si>
    <t>21000510</t>
  </si>
  <si>
    <t>広告有固-構築物-定率36年</t>
  </si>
  <si>
    <t>21000511</t>
  </si>
  <si>
    <t>広告有固-構築物-定率35年</t>
  </si>
  <si>
    <t>21000512</t>
  </si>
  <si>
    <t>広告有固-構築物-定率34年</t>
  </si>
  <si>
    <t>21000513</t>
  </si>
  <si>
    <t>広告有固-構築物-定率32年</t>
  </si>
  <si>
    <t>21000514</t>
  </si>
  <si>
    <t>広告有固-構築物-定率30年</t>
  </si>
  <si>
    <t>21000515</t>
  </si>
  <si>
    <t>広告有固-構築物-定率27年</t>
  </si>
  <si>
    <t>21000516</t>
  </si>
  <si>
    <t>広告有固-構築物-定率25年</t>
  </si>
  <si>
    <t>21000517</t>
  </si>
  <si>
    <t>広告有固-構築物-定率24年</t>
  </si>
  <si>
    <t>21000518</t>
  </si>
  <si>
    <t>広告有固-構築物-定率22年</t>
  </si>
  <si>
    <t>21000519</t>
  </si>
  <si>
    <t>広告有固-構築物-定率21年</t>
  </si>
  <si>
    <t>21000520</t>
  </si>
  <si>
    <t>広告有固-構築物-定率20年</t>
  </si>
  <si>
    <t>21000521</t>
  </si>
  <si>
    <t>広告有固-構築物-定率19年</t>
  </si>
  <si>
    <t>21000522</t>
  </si>
  <si>
    <t>広告有固-構築物-定率17年</t>
  </si>
  <si>
    <t>21000523</t>
  </si>
  <si>
    <t>広告有固-構築物-定率16年</t>
  </si>
  <si>
    <t>21000524</t>
  </si>
  <si>
    <t>広告有固-構築物-定率15年</t>
  </si>
  <si>
    <t>21000525</t>
  </si>
  <si>
    <t>広告有固-構築物-定率14年</t>
  </si>
  <si>
    <t>21000526</t>
  </si>
  <si>
    <t>広告有固-構築物-定率13年</t>
  </si>
  <si>
    <t>21000527</t>
  </si>
  <si>
    <t>広告有固-構築物-定率12年</t>
  </si>
  <si>
    <t>21000528</t>
  </si>
  <si>
    <t>広告有固-構築物-定率10年</t>
  </si>
  <si>
    <t>21000529</t>
  </si>
  <si>
    <t>広告有固-構築物-定率08年</t>
  </si>
  <si>
    <t>21000530</t>
  </si>
  <si>
    <t>広告有固-構築物-定率07年</t>
  </si>
  <si>
    <t>21000531</t>
  </si>
  <si>
    <t>広告有固-構築物-定率05年</t>
  </si>
  <si>
    <t>21000532</t>
  </si>
  <si>
    <t>広告有固-構築物-定率03年</t>
  </si>
  <si>
    <t>22000601</t>
  </si>
  <si>
    <t>広告有固-機械装置-定率22年</t>
  </si>
  <si>
    <t>22000602</t>
  </si>
  <si>
    <t>広告有固-機械装置-定率20年</t>
  </si>
  <si>
    <t>22000603</t>
  </si>
  <si>
    <t>広告有固-機械装置-定率18年</t>
  </si>
  <si>
    <t>22000604</t>
  </si>
  <si>
    <t>広告有固-機械装置-定率17年</t>
  </si>
  <si>
    <t>22000605</t>
  </si>
  <si>
    <t>広告有固-機械装置-定率15年</t>
  </si>
  <si>
    <t>22000606</t>
  </si>
  <si>
    <t>広告有固-機械装置-定率14年</t>
  </si>
  <si>
    <t>22000607</t>
  </si>
  <si>
    <t>広告有固-機械装置-定率13年</t>
  </si>
  <si>
    <t>22000608</t>
  </si>
  <si>
    <t>広告有固-機械装置-定率12年</t>
  </si>
  <si>
    <t>22000609</t>
  </si>
  <si>
    <t>広告有固-機械装置-定率11年</t>
  </si>
  <si>
    <t>22000610</t>
  </si>
  <si>
    <t>広告有固-機械装置-定率10年</t>
  </si>
  <si>
    <t>22000611</t>
  </si>
  <si>
    <t>広告有固-機械装置-定率09年</t>
  </si>
  <si>
    <t>22000612</t>
  </si>
  <si>
    <t>広告有固-機械装置-定率08年</t>
  </si>
  <si>
    <t>22000613</t>
  </si>
  <si>
    <t>広告有固-機械装置-定率07年</t>
  </si>
  <si>
    <t>22000614</t>
  </si>
  <si>
    <t>広告有固-機械装置-定率06年</t>
  </si>
  <si>
    <t>22000615</t>
  </si>
  <si>
    <t>広告有固-機械装置-定率05年</t>
  </si>
  <si>
    <t>22000616</t>
  </si>
  <si>
    <t>広告有固-機械装置-定率04年</t>
  </si>
  <si>
    <t>22000617</t>
  </si>
  <si>
    <t>広告有固-機械装置-定率03年</t>
  </si>
  <si>
    <t>22500701</t>
  </si>
  <si>
    <t>広告有固-工具器具及び備品-工器備-定率13年</t>
  </si>
  <si>
    <t>22500702</t>
  </si>
  <si>
    <t>広告有固-工具器具及び備品-工器備-定率08年</t>
  </si>
  <si>
    <t>22500703</t>
  </si>
  <si>
    <t>広告有固-工具器具及び備品-工器備-定率05年</t>
  </si>
  <si>
    <t>22500704</t>
  </si>
  <si>
    <t>広告有固-工具器具及び備品-工器備-定率04年</t>
  </si>
  <si>
    <t>22500705</t>
  </si>
  <si>
    <t>広告有固-工具器具及び備品-工器備-定率03年</t>
  </si>
  <si>
    <t>22500706</t>
  </si>
  <si>
    <t>広告有固-工具器具及び備品-工器備-定率02年</t>
  </si>
  <si>
    <t>22500707</t>
  </si>
  <si>
    <t>広告有固-工具器具及び備品-工器備-定率20年</t>
  </si>
  <si>
    <t>22500708</t>
  </si>
  <si>
    <t>広告有固-工具器具及び備品-工器備-定率15年</t>
  </si>
  <si>
    <t>22500709</t>
  </si>
  <si>
    <t>広告有固-工具器具及び備品-工器備-定率10年</t>
  </si>
  <si>
    <t>22500710</t>
  </si>
  <si>
    <t>22500711</t>
  </si>
  <si>
    <t>広告有固-工具器具及び備品-工器備-定率07年</t>
  </si>
  <si>
    <t>22500712</t>
  </si>
  <si>
    <t>広告有固-工具器具及び備品-工器備-定率06年</t>
  </si>
  <si>
    <t>22500713</t>
  </si>
  <si>
    <t>22500714</t>
  </si>
  <si>
    <t>22500715</t>
  </si>
  <si>
    <t>22500716</t>
  </si>
  <si>
    <t>22500801</t>
  </si>
  <si>
    <t>広告有固-工具器具及び備品-運搬具-定率07年</t>
  </si>
  <si>
    <t>22500802</t>
  </si>
  <si>
    <t>広告有固-工具器具及び備品-運搬具-定率06年</t>
  </si>
  <si>
    <t>22500803</t>
  </si>
  <si>
    <t>広告有固-工具器具及び備品-運搬具-定率05年</t>
  </si>
  <si>
    <t>22500804</t>
  </si>
  <si>
    <t>広告有固-工具器具及び備品-運搬具-定率04年</t>
  </si>
  <si>
    <t>22500805</t>
  </si>
  <si>
    <t>広告有固-工具器具及び備品-運搬具-定率03年</t>
  </si>
  <si>
    <t>22500806</t>
  </si>
  <si>
    <t>広告有固-工具器具及び備品-運搬具-定率02年</t>
  </si>
  <si>
    <t>23000901</t>
  </si>
  <si>
    <t>広告有固-リース資産-土地</t>
  </si>
  <si>
    <t>23000902</t>
  </si>
  <si>
    <t>広告有固-リース資産-建物</t>
  </si>
  <si>
    <t>23000903</t>
  </si>
  <si>
    <t>広告有固-リース資産-構築物</t>
  </si>
  <si>
    <t>23000904</t>
  </si>
  <si>
    <t>広告有固-リース資産-車両</t>
  </si>
  <si>
    <t>23000905</t>
  </si>
  <si>
    <t>広告有固-リース資産-機械装置</t>
  </si>
  <si>
    <t>23000906</t>
  </si>
  <si>
    <t>広告有固-リース資産-工具器具及び備品</t>
  </si>
  <si>
    <t>29901001</t>
  </si>
  <si>
    <t>広告有固-雑施設</t>
  </si>
  <si>
    <t>30100101</t>
  </si>
  <si>
    <t>不動産有固-土地-事務所</t>
  </si>
  <si>
    <t>30100201</t>
  </si>
  <si>
    <t>不動産有固-土地-店舗</t>
  </si>
  <si>
    <t>30199901</t>
  </si>
  <si>
    <t>不動産有固-土地-その他</t>
  </si>
  <si>
    <t>30500301</t>
  </si>
  <si>
    <t>不動産有固-建物-事務所-定額50年</t>
  </si>
  <si>
    <t>30500302</t>
  </si>
  <si>
    <t>不動産有固-建物-事務所-定額41年</t>
  </si>
  <si>
    <t>30500303</t>
  </si>
  <si>
    <t>不動産有固-建物-事務所-定額38年</t>
  </si>
  <si>
    <t>30500304</t>
  </si>
  <si>
    <t>不動産有固-建物-事務所-定額30年</t>
  </si>
  <si>
    <t>30500305</t>
  </si>
  <si>
    <t>不動産有固-建物-事務所-定額22年</t>
  </si>
  <si>
    <t>30500306</t>
  </si>
  <si>
    <t>不動産有固-建物-事務所-定額24年</t>
  </si>
  <si>
    <t>30500307</t>
  </si>
  <si>
    <t>30500308</t>
  </si>
  <si>
    <t>不動産有固-建物-事務所-定額10年</t>
  </si>
  <si>
    <t>30500309</t>
  </si>
  <si>
    <t>不動産有固-建物-事務所-定額07年</t>
  </si>
  <si>
    <t>30500310</t>
  </si>
  <si>
    <t>不動産有固-建物付属設備-事務所-定率18年</t>
  </si>
  <si>
    <t>30500311</t>
  </si>
  <si>
    <t>不動産有固-建物付属設備-事務所-定率17年</t>
  </si>
  <si>
    <t>30500312</t>
  </si>
  <si>
    <t>不動産有固-建物付属設備-事務所-定率15年</t>
  </si>
  <si>
    <t>30500313</t>
  </si>
  <si>
    <t>不動産有固-建物付属設備-事務所-定率13年</t>
  </si>
  <si>
    <t>30500314</t>
  </si>
  <si>
    <t>不動産有固-建物付属設備-事務所-定率12年</t>
  </si>
  <si>
    <t>30500315</t>
  </si>
  <si>
    <t>不動産有固-建物付属設備-事務所-定率10年</t>
  </si>
  <si>
    <t>30500316</t>
  </si>
  <si>
    <t>不動産有固-建物付属設備-事務所-定率08年</t>
  </si>
  <si>
    <t>30500317</t>
  </si>
  <si>
    <t>不動産有固-建物付属設備-事務所-定率03年</t>
  </si>
  <si>
    <t>30500401</t>
  </si>
  <si>
    <t>不動産有固-建物-店舗-定額39年</t>
  </si>
  <si>
    <t>30500402</t>
  </si>
  <si>
    <t>不動産有固-建物-店舗-定額38年</t>
  </si>
  <si>
    <t>30500403</t>
  </si>
  <si>
    <t>不動産有固-建物-店舗-定額34年</t>
  </si>
  <si>
    <t>30500404</t>
  </si>
  <si>
    <t>不動産有固-建物-店舗-定額27年</t>
  </si>
  <si>
    <t>30500405</t>
  </si>
  <si>
    <t>不動産有固-建物-店舗-定額19年</t>
  </si>
  <si>
    <t>30500406</t>
  </si>
  <si>
    <t>不動産有固-建物-店舗-定額22年</t>
  </si>
  <si>
    <t>30500407</t>
  </si>
  <si>
    <t>不動産有固-建物-店舗-定額20年</t>
  </si>
  <si>
    <t>30500408</t>
  </si>
  <si>
    <t>不動産有固-建物-店舗-定額10年</t>
  </si>
  <si>
    <t>30500409</t>
  </si>
  <si>
    <t>不動産有固-建物-店舗-定額07年</t>
  </si>
  <si>
    <t>30500410</t>
  </si>
  <si>
    <t>不動産有固-建物付属設備-店舗-定率18年</t>
  </si>
  <si>
    <t>30500411</t>
  </si>
  <si>
    <t>不動産有固-建物付属設備-店舗-定率17年</t>
  </si>
  <si>
    <t>30500412</t>
  </si>
  <si>
    <t>不動産有固-建物付属設備-店舗-定率15年</t>
  </si>
  <si>
    <t>30500413</t>
  </si>
  <si>
    <t>不動産有固-建物付属設備-店舗-定率13年</t>
  </si>
  <si>
    <t>30500414</t>
  </si>
  <si>
    <t>不動産有固-建物付属設備-店舗-定率12年</t>
  </si>
  <si>
    <t>30500415</t>
  </si>
  <si>
    <t>不動産有固-建物付属設備-店舗-定率10年</t>
  </si>
  <si>
    <t>30500416</t>
  </si>
  <si>
    <t>不動産有固-建物付属設備-店舗-定率08年</t>
  </si>
  <si>
    <t>30500417</t>
  </si>
  <si>
    <t>不動産有固-建物付属設備-店舗-定率03年</t>
  </si>
  <si>
    <t>30599901</t>
  </si>
  <si>
    <t>不動産有固-建物-その他-定額50年</t>
  </si>
  <si>
    <t>30599902</t>
  </si>
  <si>
    <t>不動産有固-建物-その他-定額47年</t>
  </si>
  <si>
    <t>30599903</t>
  </si>
  <si>
    <t>不動産有固-建物-その他-定額41年</t>
  </si>
  <si>
    <t>30599904</t>
  </si>
  <si>
    <t>不動産有固-建物-その他-定額39年</t>
  </si>
  <si>
    <t>30599905</t>
  </si>
  <si>
    <t>不動産有固-建物-その他-定額38年</t>
  </si>
  <si>
    <t>30599906</t>
  </si>
  <si>
    <t>不動産有固-建物-その他-定額36年</t>
  </si>
  <si>
    <t>30599907</t>
  </si>
  <si>
    <t>不動産有固-建物-その他-定額34年</t>
  </si>
  <si>
    <t>30599908</t>
  </si>
  <si>
    <t>不動産有固-建物-その他-定額31年</t>
  </si>
  <si>
    <t>30599909</t>
  </si>
  <si>
    <t>不動産有固-建物-その他-定額30年</t>
  </si>
  <si>
    <t>30599910</t>
  </si>
  <si>
    <t>不動産有固-建物-その他-定額29年</t>
  </si>
  <si>
    <t>30599911</t>
  </si>
  <si>
    <t>不動産有固-建物-その他-定額28年</t>
  </si>
  <si>
    <t>30599912</t>
  </si>
  <si>
    <t>不動産有固-建物-その他-定額27年</t>
  </si>
  <si>
    <t>30599913</t>
  </si>
  <si>
    <t>不動産有固-建物-その他-定額26年</t>
  </si>
  <si>
    <t>30599914</t>
  </si>
  <si>
    <t>不動産有固-建物-その他-定額25年</t>
  </si>
  <si>
    <t>30599915</t>
  </si>
  <si>
    <t>不動産有固-建物-その他-定額24年</t>
  </si>
  <si>
    <t>30599916</t>
  </si>
  <si>
    <t>不動産有固-建物-その他-定額22年</t>
  </si>
  <si>
    <t>30599917</t>
  </si>
  <si>
    <t>不動産有固-建物-その他-定額21年</t>
  </si>
  <si>
    <t>30599918</t>
  </si>
  <si>
    <t>不動産有固-建物-その他-定額20年</t>
  </si>
  <si>
    <t>30599919</t>
  </si>
  <si>
    <t>不動産有固-建物-その他-定額19年</t>
  </si>
  <si>
    <t>30599920</t>
  </si>
  <si>
    <t>不動産有固-建物-その他-定額17年</t>
  </si>
  <si>
    <t>30599921</t>
  </si>
  <si>
    <t>不動産有固-建物-その他-定額15年</t>
  </si>
  <si>
    <t>30599922</t>
  </si>
  <si>
    <t>不動産有固-建物-その他-定額14年</t>
  </si>
  <si>
    <t>30599923</t>
  </si>
  <si>
    <t>不動産有固-建物-その他-定額12年</t>
  </si>
  <si>
    <t>30599924</t>
  </si>
  <si>
    <t>不動産有固-建物-その他-定額11年</t>
  </si>
  <si>
    <t>30599925</t>
  </si>
  <si>
    <t>不動産有固-建物-その他-定額10年</t>
  </si>
  <si>
    <t>30599926</t>
  </si>
  <si>
    <t>不動産有固-建物-その他-定額09年</t>
  </si>
  <si>
    <t>30599927</t>
  </si>
  <si>
    <t>不動産有固-建物-その他-定額07年</t>
  </si>
  <si>
    <t>30599928</t>
  </si>
  <si>
    <t>不動産有固-建物付属設備-その他-定率18年</t>
  </si>
  <si>
    <t>30599929</t>
  </si>
  <si>
    <t>不動産有固-建物付属設備-その他-定率17年</t>
  </si>
  <si>
    <t>30599930</t>
  </si>
  <si>
    <t>不動産有固-建物付属設備-その他-定率15年</t>
  </si>
  <si>
    <t>30599931</t>
  </si>
  <si>
    <t>不動産有固-建物付属設備-その他-定率13年</t>
  </si>
  <si>
    <t>30599932</t>
  </si>
  <si>
    <t>不動産有固-建物付属設備-その他-定率12年</t>
  </si>
  <si>
    <t>30599933</t>
  </si>
  <si>
    <t>不動産有固-建物付属設備-その他-定率10年</t>
  </si>
  <si>
    <t>30599934</t>
  </si>
  <si>
    <t>不動産有固-建物付属設備-その他-定率08年</t>
  </si>
  <si>
    <t>30599935</t>
  </si>
  <si>
    <t>不動産有固-建物付属設備-その他-定率03年</t>
  </si>
  <si>
    <t>31000501</t>
  </si>
  <si>
    <t>不動産有固-構築物-定率80年</t>
  </si>
  <si>
    <t>31000502</t>
  </si>
  <si>
    <t>不動産有固-構築物-定率75年</t>
  </si>
  <si>
    <t>31000503</t>
  </si>
  <si>
    <t>不動産有固-構築物-定率60年</t>
  </si>
  <si>
    <t>31000504</t>
  </si>
  <si>
    <t>不動産有固-構築物-定率57年</t>
  </si>
  <si>
    <t>31000505</t>
  </si>
  <si>
    <t>不動産有固-構築物-定率50年</t>
  </si>
  <si>
    <t>31000506</t>
  </si>
  <si>
    <t>不動産有固-構築物-定率45年</t>
  </si>
  <si>
    <t>31000507</t>
  </si>
  <si>
    <t>不動産有固-構築物-定率42年</t>
  </si>
  <si>
    <t>31000508</t>
  </si>
  <si>
    <t>不動産有固-構築物-定率41年</t>
  </si>
  <si>
    <t>31000509</t>
  </si>
  <si>
    <t>不動産有固-構築物-定率40年</t>
  </si>
  <si>
    <t>31000510</t>
  </si>
  <si>
    <t>不動産有固-構築物-定率36年</t>
  </si>
  <si>
    <t>31000511</t>
  </si>
  <si>
    <t>不動産有固-構築物-定率35年</t>
  </si>
  <si>
    <t>31000512</t>
  </si>
  <si>
    <t>不動産有固-構築物-定率34年</t>
  </si>
  <si>
    <t>31000513</t>
  </si>
  <si>
    <t>不動産有固-構築物-定率32年</t>
  </si>
  <si>
    <t>31000514</t>
  </si>
  <si>
    <t>不動産有固-構築物-定率30年</t>
  </si>
  <si>
    <t>31000515</t>
  </si>
  <si>
    <t>不動産有固-構築物-定率27年</t>
  </si>
  <si>
    <t>31000516</t>
  </si>
  <si>
    <t>不動産有固-構築物-定率25年</t>
  </si>
  <si>
    <t>31000517</t>
  </si>
  <si>
    <t>不動産有固-構築物-定率24年</t>
  </si>
  <si>
    <t>31000518</t>
  </si>
  <si>
    <t>不動産有固-構築物-定率22年</t>
  </si>
  <si>
    <t>31000519</t>
  </si>
  <si>
    <t>不動産有固-構築物-定率21年</t>
  </si>
  <si>
    <t>31000520</t>
  </si>
  <si>
    <t>不動産有固-構築物-定率20年</t>
  </si>
  <si>
    <t>31000521</t>
  </si>
  <si>
    <t>不動産有固-構築物-定率19年</t>
  </si>
  <si>
    <t>31000522</t>
  </si>
  <si>
    <t>不動産有固-構築物-定率17年</t>
  </si>
  <si>
    <t>31000523</t>
  </si>
  <si>
    <t>不動産有固-構築物-定率16年</t>
  </si>
  <si>
    <t>31000524</t>
  </si>
  <si>
    <t>不動産有固-構築物-定率15年</t>
  </si>
  <si>
    <t>31000525</t>
  </si>
  <si>
    <t>不動産有固-構築物-定率14年</t>
  </si>
  <si>
    <t>31000526</t>
  </si>
  <si>
    <t>不動産有固-構築物-定率13年</t>
  </si>
  <si>
    <t>31000527</t>
  </si>
  <si>
    <t>不動産有固-構築物-定率12年</t>
  </si>
  <si>
    <t>31000528</t>
  </si>
  <si>
    <t>不動産有固-構築物-定率10年</t>
  </si>
  <si>
    <t>31000529</t>
  </si>
  <si>
    <t>不動産有固-構築物-定率08年</t>
  </si>
  <si>
    <t>31000530</t>
  </si>
  <si>
    <t>不動産有固-構築物-定率07年</t>
  </si>
  <si>
    <t>31000531</t>
  </si>
  <si>
    <t>不動産有固-構築物-定率05年</t>
  </si>
  <si>
    <t>31000532</t>
  </si>
  <si>
    <t>不動産有固-構築物-定率03年</t>
  </si>
  <si>
    <t>32000601</t>
  </si>
  <si>
    <t>不動産有固-機械装置-定率22年</t>
  </si>
  <si>
    <t>32000602</t>
  </si>
  <si>
    <t>不動産有固-機械装置-定率20年</t>
  </si>
  <si>
    <t>32000603</t>
  </si>
  <si>
    <t>不動産有固-機械装置-定率18年</t>
  </si>
  <si>
    <t>32000604</t>
  </si>
  <si>
    <t>不動産有固-機械装置-定率17年</t>
  </si>
  <si>
    <t>32000605</t>
  </si>
  <si>
    <t>不動産有固-機械装置-定率15年</t>
  </si>
  <si>
    <t>32000606</t>
  </si>
  <si>
    <t>不動産有固-機械装置-定率14年</t>
  </si>
  <si>
    <t>32000607</t>
  </si>
  <si>
    <t>不動産有固-機械装置-定率13年</t>
  </si>
  <si>
    <t>32000608</t>
  </si>
  <si>
    <t>不動産有固-機械装置-定率12年</t>
  </si>
  <si>
    <t>32000609</t>
  </si>
  <si>
    <t>不動産有固-機械装置-定率11年</t>
  </si>
  <si>
    <t>32000610</t>
  </si>
  <si>
    <t>不動産有固-機械装置-定率10年</t>
  </si>
  <si>
    <t>32000611</t>
  </si>
  <si>
    <t>不動産有固-機械装置-定率09年</t>
  </si>
  <si>
    <t>32000612</t>
  </si>
  <si>
    <t>不動産有固-機械装置-定率08年</t>
  </si>
  <si>
    <t>32000613</t>
  </si>
  <si>
    <t>不動産有固-機械装置-定率07年</t>
  </si>
  <si>
    <t>32000614</t>
  </si>
  <si>
    <t>不動産有固-機械装置-定率06年</t>
  </si>
  <si>
    <t>32000615</t>
  </si>
  <si>
    <t>不動産有固-機械装置-定率05年</t>
  </si>
  <si>
    <t>32000616</t>
  </si>
  <si>
    <t>不動産有固-機械装置-定率04年</t>
  </si>
  <si>
    <t>32000617</t>
  </si>
  <si>
    <t>不動産有固-機械装置-定率03年</t>
  </si>
  <si>
    <t>32500701</t>
  </si>
  <si>
    <t>不動産有固-工具器具及び備品-工器備-定率13年</t>
  </si>
  <si>
    <t>32500702</t>
  </si>
  <si>
    <t>不動産有固-工具器具及び備品-工器備-定率08年</t>
  </si>
  <si>
    <t>32500703</t>
  </si>
  <si>
    <t>不動産有固-工具器具及び備品-工器備-定率05年</t>
  </si>
  <si>
    <t>32500704</t>
  </si>
  <si>
    <t>不動産有固-工具器具及び備品-工器備-定率04年</t>
  </si>
  <si>
    <t>32500705</t>
  </si>
  <si>
    <t>不動産有固-工具器具及び備品-工器備-定率03年</t>
  </si>
  <si>
    <t>32500706</t>
  </si>
  <si>
    <t>不動産有固-工具器具及び備品-工器備-定率02年</t>
  </si>
  <si>
    <t>32500707</t>
  </si>
  <si>
    <t>不動産有固-工具器具及び備品-工器備-定率20年</t>
  </si>
  <si>
    <t>32500708</t>
  </si>
  <si>
    <t>不動産有固-工具器具及び備品-工器備-定率15年</t>
  </si>
  <si>
    <t>32500709</t>
  </si>
  <si>
    <t>不動産有固-工具器具及び備品-工器備-定率10年</t>
  </si>
  <si>
    <t>32500710</t>
  </si>
  <si>
    <t>32500711</t>
  </si>
  <si>
    <t>不動産有固-工具器具及び備品-工器備-定率07年</t>
  </si>
  <si>
    <t>32500712</t>
  </si>
  <si>
    <t>不動産有固-工具器具及び備品-工器備-定率06年</t>
  </si>
  <si>
    <t>32500713</t>
  </si>
  <si>
    <t>32500714</t>
  </si>
  <si>
    <t>32500715</t>
  </si>
  <si>
    <t>32500716</t>
  </si>
  <si>
    <t>32500801</t>
  </si>
  <si>
    <t>不動産有固-工具器具及び備品-運搬具-定率07年</t>
  </si>
  <si>
    <t>32500802</t>
  </si>
  <si>
    <t>不動産有固-工具器具及び備品-運搬具-定率06年</t>
  </si>
  <si>
    <t>32500803</t>
  </si>
  <si>
    <t>不動産有固-工具器具及び備品-運搬具-定率05年</t>
  </si>
  <si>
    <t>32500804</t>
  </si>
  <si>
    <t>不動産有固-工具器具及び備品-運搬具-定率04年</t>
  </si>
  <si>
    <t>32500805</t>
  </si>
  <si>
    <t>不動産有固-工具器具及び備品-運搬具-定率03年</t>
  </si>
  <si>
    <t>32500806</t>
  </si>
  <si>
    <t>不動産有固-工具器具及び備品-運搬具-定率02年</t>
  </si>
  <si>
    <t>33000901</t>
  </si>
  <si>
    <t>不動産有固-リース資産-土地</t>
  </si>
  <si>
    <t>33000902</t>
  </si>
  <si>
    <t>不動産有固-リース資産-建物</t>
  </si>
  <si>
    <t>33000903</t>
  </si>
  <si>
    <t>不動産有固-リース資産-構築物</t>
  </si>
  <si>
    <t>33000904</t>
  </si>
  <si>
    <t>不動産有固-リース資産-車両</t>
  </si>
  <si>
    <t>33000905</t>
  </si>
  <si>
    <t>不動産有固-リース資産-機械装置</t>
  </si>
  <si>
    <t>33000906</t>
  </si>
  <si>
    <t>不動産有固-リース資産-工具器具及び備品</t>
  </si>
  <si>
    <t>39901001</t>
  </si>
  <si>
    <t>不動産有固-雑施設</t>
  </si>
  <si>
    <t>40100101</t>
  </si>
  <si>
    <t>流通有固-土地-事務所</t>
  </si>
  <si>
    <t>40100201</t>
  </si>
  <si>
    <t>流通有固-土地-店舗</t>
  </si>
  <si>
    <t>40199901</t>
  </si>
  <si>
    <t>流通有固-土地-その他</t>
  </si>
  <si>
    <t>40500301</t>
  </si>
  <si>
    <t>流通有固-建物-事務所-定額50年</t>
  </si>
  <si>
    <t>40500302</t>
  </si>
  <si>
    <t>流通有固-建物-事務所-定額41年</t>
  </si>
  <si>
    <t>40500303</t>
  </si>
  <si>
    <t>流通有固-建物-事務所-定額38年</t>
  </si>
  <si>
    <t>40500304</t>
  </si>
  <si>
    <t>流通有固-建物-事務所-定額30年</t>
  </si>
  <si>
    <t>40500305</t>
  </si>
  <si>
    <t>流通有固-建物-事務所-定額22年</t>
  </si>
  <si>
    <t>40500306</t>
  </si>
  <si>
    <t>流通有固-建物-事務所-定額24年</t>
  </si>
  <si>
    <t>40500307</t>
  </si>
  <si>
    <t>40500308</t>
  </si>
  <si>
    <t>流通有固-建物-事務所-定額10年</t>
  </si>
  <si>
    <t>40500309</t>
  </si>
  <si>
    <t>流通有固-建物-事務所-定額07年</t>
  </si>
  <si>
    <t>40500310</t>
  </si>
  <si>
    <t>流通有固-建物付属設備-事務所-定率18年</t>
  </si>
  <si>
    <t>40500311</t>
  </si>
  <si>
    <t>流通有固-建物付属設備-事務所-定率17年</t>
  </si>
  <si>
    <t>40500312</t>
  </si>
  <si>
    <t>流通有固-建物付属設備-事務所-定率15年</t>
  </si>
  <si>
    <t>40500313</t>
  </si>
  <si>
    <t>流通有固-建物付属設備-事務所-定率13年</t>
  </si>
  <si>
    <t>40500314</t>
  </si>
  <si>
    <t>流通有固-建物付属設備-事務所-定率12年</t>
  </si>
  <si>
    <t>40500315</t>
  </si>
  <si>
    <t>流通有固-建物付属設備-事務所-定率10年</t>
  </si>
  <si>
    <t>40500316</t>
  </si>
  <si>
    <t>流通有固-建物付属設備-事務所-定率08年</t>
  </si>
  <si>
    <t>40500317</t>
  </si>
  <si>
    <t>流通有固-建物付属設備-事務所-定率03年</t>
  </si>
  <si>
    <t>40500401</t>
  </si>
  <si>
    <t>流通有固-建物-店舗-定額39年</t>
  </si>
  <si>
    <t>40500402</t>
  </si>
  <si>
    <t>流通有固-建物-店舗-定額38年</t>
  </si>
  <si>
    <t>40500403</t>
  </si>
  <si>
    <t>流通有固-建物-店舗-定額34年</t>
  </si>
  <si>
    <t>40500404</t>
  </si>
  <si>
    <t>流通有固-建物-店舗-定額27年</t>
  </si>
  <si>
    <t>40500405</t>
  </si>
  <si>
    <t>流通有固-建物-店舗-定額19年</t>
  </si>
  <si>
    <t>40500406</t>
  </si>
  <si>
    <t>流通有固-建物-店舗-定額22年</t>
  </si>
  <si>
    <t>40500407</t>
  </si>
  <si>
    <t>流通有固-建物-店舗-定額20年</t>
  </si>
  <si>
    <t>40500408</t>
  </si>
  <si>
    <t>流通有固-建物-店舗-定額10年</t>
  </si>
  <si>
    <t>40500409</t>
  </si>
  <si>
    <t>流通有固-建物-店舗-定額07年</t>
  </si>
  <si>
    <t>40500410</t>
  </si>
  <si>
    <t>流通有固-建物付属設備-店舗-定率18年</t>
  </si>
  <si>
    <t>40500411</t>
  </si>
  <si>
    <t>流通有固-建物付属設備-店舗-定率17年</t>
  </si>
  <si>
    <t>40500412</t>
  </si>
  <si>
    <t>流通有固-建物付属設備-店舗-定率15年</t>
  </si>
  <si>
    <t>40500413</t>
  </si>
  <si>
    <t>流通有固-建物付属設備-店舗-定率13年</t>
  </si>
  <si>
    <t>40500414</t>
  </si>
  <si>
    <t>流通有固-建物付属設備-店舗-定率12年</t>
  </si>
  <si>
    <t>40500415</t>
  </si>
  <si>
    <t>流通有固-建物付属設備-店舗-定率10年</t>
  </si>
  <si>
    <t>40500416</t>
  </si>
  <si>
    <t>流通有固-建物付属設備-店舗-定率08年</t>
  </si>
  <si>
    <t>40500417</t>
  </si>
  <si>
    <t>流通有固-建物付属設備-店舗-定率03年</t>
  </si>
  <si>
    <t>40599901</t>
  </si>
  <si>
    <t>流通有固-建物-その他-定額50年</t>
  </si>
  <si>
    <t>40599902</t>
  </si>
  <si>
    <t>流通有固-建物-その他-定額47年</t>
  </si>
  <si>
    <t>40599903</t>
  </si>
  <si>
    <t>流通有固-建物-その他-定額41年</t>
  </si>
  <si>
    <t>40599904</t>
  </si>
  <si>
    <t>流通有固-建物-その他-定額39年</t>
  </si>
  <si>
    <t>40599905</t>
  </si>
  <si>
    <t>流通有固-建物-その他-定額38年</t>
  </si>
  <si>
    <t>40599906</t>
  </si>
  <si>
    <t>流通有固-建物-その他-定額36年</t>
  </si>
  <si>
    <t>40599907</t>
  </si>
  <si>
    <t>流通有固-建物-その他-定額34年</t>
  </si>
  <si>
    <t>40599908</t>
  </si>
  <si>
    <t>流通有固-建物-その他-定額31年</t>
  </si>
  <si>
    <t>40599909</t>
  </si>
  <si>
    <t>流通有固-建物-その他-定額30年</t>
  </si>
  <si>
    <t>40599910</t>
  </si>
  <si>
    <t>流通有固-建物-その他-定額29年</t>
  </si>
  <si>
    <t>40599911</t>
  </si>
  <si>
    <t>流通有固-建物-その他-定額28年</t>
  </si>
  <si>
    <t>40599912</t>
  </si>
  <si>
    <t>流通有固-建物-その他-定額27年</t>
  </si>
  <si>
    <t>40599913</t>
  </si>
  <si>
    <t>流通有固-建物-その他-定額26年</t>
  </si>
  <si>
    <t>40599914</t>
  </si>
  <si>
    <t>流通有固-建物-その他-定額25年</t>
  </si>
  <si>
    <t>40599915</t>
  </si>
  <si>
    <t>流通有固-建物-その他-定額24年</t>
  </si>
  <si>
    <t>40599916</t>
  </si>
  <si>
    <t>流通有固-建物-その他-定額22年</t>
  </si>
  <si>
    <t>40599917</t>
  </si>
  <si>
    <t>流通有固-建物-その他-定額21年</t>
  </si>
  <si>
    <t>40599918</t>
  </si>
  <si>
    <t>流通有固-建物-その他-定額20年</t>
  </si>
  <si>
    <t>40599919</t>
  </si>
  <si>
    <t>流通有固-建物-その他-定額19年</t>
  </si>
  <si>
    <t>40599920</t>
  </si>
  <si>
    <t>流通有固-建物-その他-定額17年</t>
  </si>
  <si>
    <t>40599921</t>
  </si>
  <si>
    <t>流通有固-建物-その他-定額15年</t>
  </si>
  <si>
    <t>40599922</t>
  </si>
  <si>
    <t>流通有固-建物-その他-定額14年</t>
  </si>
  <si>
    <t>40599923</t>
  </si>
  <si>
    <t>流通有固-建物-その他-定額12年</t>
  </si>
  <si>
    <t>40599924</t>
  </si>
  <si>
    <t>流通有固-建物-その他-定額11年</t>
  </si>
  <si>
    <t>40599925</t>
  </si>
  <si>
    <t>流通有固-建物-その他-定額10年</t>
  </si>
  <si>
    <t>40599926</t>
  </si>
  <si>
    <t>流通有固-建物-その他-定額09年</t>
  </si>
  <si>
    <t>40599927</t>
  </si>
  <si>
    <t>流通有固-建物-その他-定額07年</t>
  </si>
  <si>
    <t>40599928</t>
  </si>
  <si>
    <t>流通有固-建物付属設備-その他-定率18年</t>
  </si>
  <si>
    <t>40599929</t>
  </si>
  <si>
    <t>流通有固-建物付属設備-その他-定率17年</t>
  </si>
  <si>
    <t>40599930</t>
  </si>
  <si>
    <t>流通有固-建物付属設備-その他-定率15年</t>
  </si>
  <si>
    <t>40599931</t>
  </si>
  <si>
    <t>流通有固-建物付属設備-その他-定率13年</t>
  </si>
  <si>
    <t>40599932</t>
  </si>
  <si>
    <t>流通有固-建物付属設備-その他-定率12年</t>
  </si>
  <si>
    <t>40599933</t>
  </si>
  <si>
    <t>流通有固-建物付属設備-その他-定率10年</t>
  </si>
  <si>
    <t>40599934</t>
  </si>
  <si>
    <t>流通有固-建物付属設備-その他-定率08年</t>
  </si>
  <si>
    <t>40599935</t>
  </si>
  <si>
    <t>流通有固-建物付属設備-その他-定率03年</t>
  </si>
  <si>
    <t>41000501</t>
  </si>
  <si>
    <t>流通有固-構築物-定率80年</t>
  </si>
  <si>
    <t>41000502</t>
  </si>
  <si>
    <t>流通有固-構築物-定率75年</t>
  </si>
  <si>
    <t>41000503</t>
  </si>
  <si>
    <t>流通有固-構築物-定率60年</t>
  </si>
  <si>
    <t>41000504</t>
  </si>
  <si>
    <t>流通有固-構築物-定率57年</t>
  </si>
  <si>
    <t>41000505</t>
  </si>
  <si>
    <t>流通有固-構築物-定率50年</t>
  </si>
  <si>
    <t>41000506</t>
  </si>
  <si>
    <t>流通有固-構築物-定率45年</t>
  </si>
  <si>
    <t>41000507</t>
  </si>
  <si>
    <t>流通有固-構築物-定率42年</t>
  </si>
  <si>
    <t>41000508</t>
  </si>
  <si>
    <t>流通有固-構築物-定率41年</t>
  </si>
  <si>
    <t>41000509</t>
  </si>
  <si>
    <t>流通有固-構築物-定率40年</t>
  </si>
  <si>
    <t>41000510</t>
  </si>
  <si>
    <t>流通有固-構築物-定率36年</t>
  </si>
  <si>
    <t>41000511</t>
  </si>
  <si>
    <t>流通有固-構築物-定率35年</t>
  </si>
  <si>
    <t>41000512</t>
  </si>
  <si>
    <t>流通有固-構築物-定率34年</t>
  </si>
  <si>
    <t>41000513</t>
  </si>
  <si>
    <t>流通有固-構築物-定率32年</t>
  </si>
  <si>
    <t>41000514</t>
  </si>
  <si>
    <t>流通有固-構築物-定率30年</t>
  </si>
  <si>
    <t>41000515</t>
  </si>
  <si>
    <t>流通有固-構築物-定率27年</t>
  </si>
  <si>
    <t>41000516</t>
  </si>
  <si>
    <t>流通有固-構築物-定率25年</t>
  </si>
  <si>
    <t>41000517</t>
  </si>
  <si>
    <t>流通有固-構築物-定率24年</t>
  </si>
  <si>
    <t>41000518</t>
  </si>
  <si>
    <t>流通有固-構築物-定率22年</t>
  </si>
  <si>
    <t>41000519</t>
  </si>
  <si>
    <t>流通有固-構築物-定率21年</t>
  </si>
  <si>
    <t>41000520</t>
  </si>
  <si>
    <t>流通有固-構築物-定率20年</t>
  </si>
  <si>
    <t>41000521</t>
  </si>
  <si>
    <t>流通有固-構築物-定率19年</t>
  </si>
  <si>
    <t>41000522</t>
  </si>
  <si>
    <t>流通有固-構築物-定率17年</t>
  </si>
  <si>
    <t>41000523</t>
  </si>
  <si>
    <t>流通有固-構築物-定率16年</t>
  </si>
  <si>
    <t>41000524</t>
  </si>
  <si>
    <t>流通有固-構築物-定率15年</t>
  </si>
  <si>
    <t>41000525</t>
  </si>
  <si>
    <t>流通有固-構築物-定率14年</t>
  </si>
  <si>
    <t>41000526</t>
  </si>
  <si>
    <t>流通有固-構築物-定率13年</t>
  </si>
  <si>
    <t>41000527</t>
  </si>
  <si>
    <t>流通有固-構築物-定率12年</t>
  </si>
  <si>
    <t>41000528</t>
  </si>
  <si>
    <t>流通有固-構築物-定率10年</t>
  </si>
  <si>
    <t>41000529</t>
  </si>
  <si>
    <t>流通有固-構築物-定率08年</t>
  </si>
  <si>
    <t>41000530</t>
  </si>
  <si>
    <t>流通有固-構築物-定率07年</t>
  </si>
  <si>
    <t>41000531</t>
  </si>
  <si>
    <t>流通有固-構築物-定率05年</t>
  </si>
  <si>
    <t>41000532</t>
  </si>
  <si>
    <t>流通有固-構築物-定率03年</t>
  </si>
  <si>
    <t>42000601</t>
  </si>
  <si>
    <t>流通有固-機械装置-定率22年</t>
  </si>
  <si>
    <t>42000602</t>
  </si>
  <si>
    <t>流通有固-機械装置-定率20年</t>
  </si>
  <si>
    <t>42000603</t>
  </si>
  <si>
    <t>流通有固-機械装置-定率18年</t>
  </si>
  <si>
    <t>42000604</t>
  </si>
  <si>
    <t>流通有固-機械装置-定率17年</t>
  </si>
  <si>
    <t>42000605</t>
  </si>
  <si>
    <t>流通有固-機械装置-定率15年</t>
  </si>
  <si>
    <t>42000606</t>
  </si>
  <si>
    <t>流通有固-機械装置-定率14年</t>
  </si>
  <si>
    <t>42000607</t>
  </si>
  <si>
    <t>流通有固-機械装置-定率13年</t>
  </si>
  <si>
    <t>42000608</t>
  </si>
  <si>
    <t>流通有固-機械装置-定率12年</t>
  </si>
  <si>
    <t>42000609</t>
  </si>
  <si>
    <t>流通有固-機械装置-定率11年</t>
  </si>
  <si>
    <t>42000610</t>
  </si>
  <si>
    <t>流通有固-機械装置-定率10年</t>
  </si>
  <si>
    <t>42000611</t>
  </si>
  <si>
    <t>流通有固-機械装置-定率09年</t>
  </si>
  <si>
    <t>42000612</t>
  </si>
  <si>
    <t>流通有固-機械装置-定率08年</t>
  </si>
  <si>
    <t>42000613</t>
  </si>
  <si>
    <t>流通有固-機械装置-定率07年</t>
  </si>
  <si>
    <t>42000614</t>
  </si>
  <si>
    <t>流通有固-機械装置-定率06年</t>
  </si>
  <si>
    <t>42000615</t>
  </si>
  <si>
    <t>流通有固-機械装置-定率05年</t>
  </si>
  <si>
    <t>42000616</t>
  </si>
  <si>
    <t>流通有固-機械装置-定率04年</t>
  </si>
  <si>
    <t>42000617</t>
  </si>
  <si>
    <t>流通有固-機械装置-定率03年</t>
  </si>
  <si>
    <t>42500701</t>
  </si>
  <si>
    <t>流通有固-工具器具及び備品-工器備-定率13年</t>
  </si>
  <si>
    <t>42500702</t>
  </si>
  <si>
    <t>流通有固-工具器具及び備品-工器備-定率08年</t>
  </si>
  <si>
    <t>42500703</t>
  </si>
  <si>
    <t>流通有固-工具器具及び備品-工器備-定率05年</t>
  </si>
  <si>
    <t>42500704</t>
  </si>
  <si>
    <t>流通有固-工具器具及び備品-工器備-定率04年</t>
  </si>
  <si>
    <t>42500705</t>
  </si>
  <si>
    <t>流通有固-工具器具及び備品-工器備-定率03年</t>
  </si>
  <si>
    <t>42500706</t>
  </si>
  <si>
    <t>流通有固-工具器具及び備品-工器備-定率02年</t>
  </si>
  <si>
    <t>42500707</t>
  </si>
  <si>
    <t>流通有固-工具器具及び備品-工器備-定率20年</t>
  </si>
  <si>
    <t>42500708</t>
  </si>
  <si>
    <t>流通有固-工具器具及び備品-工器備-定率15年</t>
  </si>
  <si>
    <t>42500709</t>
  </si>
  <si>
    <t>流通有固-工具器具及び備品-工器備-定率10年</t>
  </si>
  <si>
    <t>42500710</t>
  </si>
  <si>
    <t>42500711</t>
  </si>
  <si>
    <t>流通有固-工具器具及び備品-工器備-定率07年</t>
  </si>
  <si>
    <t>42500712</t>
  </si>
  <si>
    <t>流通有固-工具器具及び備品-工器備-定率06年</t>
  </si>
  <si>
    <t>42500713</t>
  </si>
  <si>
    <t>42500714</t>
  </si>
  <si>
    <t>42500715</t>
  </si>
  <si>
    <t>42500716</t>
  </si>
  <si>
    <t>42500801</t>
  </si>
  <si>
    <t>流通有固-工具器具及び備品-運搬具-定率07年</t>
  </si>
  <si>
    <t>42500802</t>
  </si>
  <si>
    <t>流通有固-工具器具及び備品-運搬具-定率06年</t>
  </si>
  <si>
    <t>42500803</t>
  </si>
  <si>
    <t>流通有固-工具器具及び備品-運搬具-定率05年</t>
  </si>
  <si>
    <t>42500804</t>
  </si>
  <si>
    <t>流通有固-工具器具及び備品-運搬具-定率04年</t>
  </si>
  <si>
    <t>42500805</t>
  </si>
  <si>
    <t>流通有固-工具器具及び備品-運搬具-定率03年</t>
  </si>
  <si>
    <t>42500806</t>
  </si>
  <si>
    <t>流通有固-工具器具及び備品-運搬具-定率02年</t>
  </si>
  <si>
    <t>43000901</t>
  </si>
  <si>
    <t>流通有固-リース資産-土地</t>
  </si>
  <si>
    <t>43000902</t>
  </si>
  <si>
    <t>流通有固-リース資産-建物</t>
  </si>
  <si>
    <t>43000903</t>
  </si>
  <si>
    <t>流通有固-リース資産-構築物</t>
  </si>
  <si>
    <t>43000904</t>
  </si>
  <si>
    <t>流通有固-リース資産-車両</t>
  </si>
  <si>
    <t>43000905</t>
  </si>
  <si>
    <t>流通有固-リース資産-機械装置</t>
  </si>
  <si>
    <t>43000906</t>
  </si>
  <si>
    <t>流通有固-リース資産-工具器具及び備品</t>
  </si>
  <si>
    <t>49901001</t>
  </si>
  <si>
    <t>流通有固-雑施設</t>
  </si>
  <si>
    <t>50100101</t>
  </si>
  <si>
    <t>サービス有固-土地-事務所</t>
  </si>
  <si>
    <t>50100201</t>
  </si>
  <si>
    <t>サービス有固-土地-店舗</t>
  </si>
  <si>
    <t>50199901</t>
  </si>
  <si>
    <t>サービス有固-土地-その他</t>
  </si>
  <si>
    <t>50500301</t>
  </si>
  <si>
    <t>サービス有固-建物-事務所-定額50年</t>
  </si>
  <si>
    <t>50500302</t>
  </si>
  <si>
    <t>サービス有固-建物-事務所-定額41年</t>
  </si>
  <si>
    <t>50500303</t>
  </si>
  <si>
    <t>サービス有固-建物-事務所-定額38年</t>
  </si>
  <si>
    <t>50500304</t>
  </si>
  <si>
    <t>サービス有固-建物-事務所-定額30年</t>
  </si>
  <si>
    <t>50500305</t>
  </si>
  <si>
    <t>サービス有固-建物-事務所-定額22年</t>
  </si>
  <si>
    <t>50500306</t>
  </si>
  <si>
    <t>サービス有固-建物-事務所-定額24年</t>
  </si>
  <si>
    <t>50500307</t>
  </si>
  <si>
    <t>50500308</t>
  </si>
  <si>
    <t>サービス有固-建物-事務所-定額10年</t>
  </si>
  <si>
    <t>50500309</t>
  </si>
  <si>
    <t>サービス有固-建物-事務所-定額07年</t>
  </si>
  <si>
    <t>50500310</t>
  </si>
  <si>
    <t>サービス有固-建物付属設備-事務所-定率18年</t>
  </si>
  <si>
    <t>50500311</t>
  </si>
  <si>
    <t>サービス有固-建物付属設備-事務所-定率17年</t>
  </si>
  <si>
    <t>50500312</t>
  </si>
  <si>
    <t>サービス有固-事務所-定率15年</t>
  </si>
  <si>
    <t>50500313</t>
  </si>
  <si>
    <t>サービス有固-建物付属設備-事務所-定率13年</t>
  </si>
  <si>
    <t>50500314</t>
  </si>
  <si>
    <t>サービス有固-建物付属設備-事務所-定率12年</t>
  </si>
  <si>
    <t>50500315</t>
  </si>
  <si>
    <t>サービス有固-建物付属設備-事務所-定率10年</t>
  </si>
  <si>
    <t>50500316</t>
  </si>
  <si>
    <t>サービス有固-建物付属設備-事務所-定率08年</t>
  </si>
  <si>
    <t>50500317</t>
  </si>
  <si>
    <t>サービス有固-建物付属設備-事務所-定率03年</t>
  </si>
  <si>
    <t>50500401</t>
  </si>
  <si>
    <t>サービス有固-建物-店舗-定額39年</t>
  </si>
  <si>
    <t>50500402</t>
  </si>
  <si>
    <t>サービス有固-建物-店舗-定額38年</t>
  </si>
  <si>
    <t>50500403</t>
  </si>
  <si>
    <t>サービス有固-建物-店舗-定額34年</t>
  </si>
  <si>
    <t>50500404</t>
  </si>
  <si>
    <t>サービス有固-建物-店舗-定額27年</t>
  </si>
  <si>
    <t>50500405</t>
  </si>
  <si>
    <t>サービス有固-建物-店舗-定額19年</t>
  </si>
  <si>
    <t>50500406</t>
  </si>
  <si>
    <t>サービス有固-建物-店舗-定額22年</t>
  </si>
  <si>
    <t>50500407</t>
  </si>
  <si>
    <t>サービス有固-建物-店舗-定額20年</t>
  </si>
  <si>
    <t>50500408</t>
  </si>
  <si>
    <t>サービス有固-建物-店舗-定額10年</t>
  </si>
  <si>
    <t>50500409</t>
  </si>
  <si>
    <t>サービス有固-建物-店舗-定額07年</t>
  </si>
  <si>
    <t>50500410</t>
  </si>
  <si>
    <t>サービス有固-建物付属設備-店舗-定率18年</t>
  </si>
  <si>
    <t>50500411</t>
  </si>
  <si>
    <t>サービス有固-建物付属設備-店舗-定率17年</t>
  </si>
  <si>
    <t>50500412</t>
  </si>
  <si>
    <t>サービス有固-建物付属設備-店舗-定率15年</t>
  </si>
  <si>
    <t>50500413</t>
  </si>
  <si>
    <t>サービス有固-建物付属設備-店舗-定率13年</t>
  </si>
  <si>
    <t>50500414</t>
  </si>
  <si>
    <t>サービス有固-建物付属設備-店舗-定率12年</t>
  </si>
  <si>
    <t>50500415</t>
  </si>
  <si>
    <t>サービス有固-建物付属設備-店舗-定率10年</t>
  </si>
  <si>
    <t>50500416</t>
  </si>
  <si>
    <t>サービス有固-建物付属設備-店舗-定率08年</t>
  </si>
  <si>
    <t>50500417</t>
  </si>
  <si>
    <t>サービス有固-建物付属設備-店舗-定率03年</t>
  </si>
  <si>
    <t>50599901</t>
  </si>
  <si>
    <t>サービス有固-建物-その他-定額50年</t>
  </si>
  <si>
    <t>50599902</t>
  </si>
  <si>
    <t>サービス有固-建物-その他-定額47年</t>
  </si>
  <si>
    <t>50599903</t>
  </si>
  <si>
    <t>サービス有固-建物-その他-定額41年</t>
  </si>
  <si>
    <t>50599904</t>
  </si>
  <si>
    <t>サービス有固-建物-その他-定額39年</t>
  </si>
  <si>
    <t>50599905</t>
  </si>
  <si>
    <t>サービス有固-建物-その他-定額38年</t>
  </si>
  <si>
    <t>50599906</t>
  </si>
  <si>
    <t>サービス有固-建物-その他-定額36年</t>
  </si>
  <si>
    <t>50599907</t>
  </si>
  <si>
    <t>サービス有固-建物-その他-定額34年</t>
  </si>
  <si>
    <t>50599908</t>
  </si>
  <si>
    <t>サービス有固-建物-その他-定額31年</t>
  </si>
  <si>
    <t>50599909</t>
  </si>
  <si>
    <t>サービス有固-建物-その他-定額30年</t>
  </si>
  <si>
    <t>50599910</t>
  </si>
  <si>
    <t>サービス有固-建物-その他-定額29年</t>
  </si>
  <si>
    <t>50599911</t>
  </si>
  <si>
    <t>サービス有固-建物-その他-定額28年</t>
  </si>
  <si>
    <t>50599912</t>
  </si>
  <si>
    <t>サービス有固-建物-その他-定額27年</t>
  </si>
  <si>
    <t>50599913</t>
  </si>
  <si>
    <t>サービス有固-建物-その他-定額26年</t>
  </si>
  <si>
    <t>50599914</t>
  </si>
  <si>
    <t>サービス有固-建物-その他-定額25年</t>
  </si>
  <si>
    <t>50599915</t>
  </si>
  <si>
    <t>サービス有固-建物-その他-定額24年</t>
  </si>
  <si>
    <t>50599916</t>
  </si>
  <si>
    <t>サービス有固-建物-その他-定額22年</t>
  </si>
  <si>
    <t>50599917</t>
  </si>
  <si>
    <t>サービス有固-建物-その他-定額21年</t>
  </si>
  <si>
    <t>50599918</t>
  </si>
  <si>
    <t>サービス有固-建物-その他-定額20年</t>
  </si>
  <si>
    <t>50599919</t>
  </si>
  <si>
    <t>サービス有固-建物-その他-定額19年</t>
  </si>
  <si>
    <t>50599920</t>
  </si>
  <si>
    <t>サービス有固-建物-その他-定額17年</t>
  </si>
  <si>
    <t>50599921</t>
  </si>
  <si>
    <t>サービス有固-建物-その他-定額15年</t>
  </si>
  <si>
    <t>50599922</t>
  </si>
  <si>
    <t>サービス有固-建物-その他-定額14年</t>
  </si>
  <si>
    <t>50599923</t>
  </si>
  <si>
    <t>サービス有固-建物-その他-定額12年</t>
  </si>
  <si>
    <t>50599924</t>
  </si>
  <si>
    <t>サービス有固-建物-その他-定額11年</t>
  </si>
  <si>
    <t>50599925</t>
  </si>
  <si>
    <t>サービス有固-建物-その他-定額10年</t>
  </si>
  <si>
    <t>50599926</t>
  </si>
  <si>
    <t>サービス有固-建物-その他-定額09年</t>
  </si>
  <si>
    <t>50599927</t>
  </si>
  <si>
    <t>サービス有固-建物-その他-定額07年</t>
  </si>
  <si>
    <t>50599928</t>
  </si>
  <si>
    <t>サービス有固-建物付属設備-その他-定率18年</t>
  </si>
  <si>
    <t>50599929</t>
  </si>
  <si>
    <t>サービス有固-建物付属設備-その他-定率17年</t>
  </si>
  <si>
    <t>50599930</t>
  </si>
  <si>
    <t>サービス有固-建物付属設備-その他-定率15年</t>
  </si>
  <si>
    <t>50599931</t>
  </si>
  <si>
    <t>サービス有固-建物付属設備-その他-定率13年</t>
  </si>
  <si>
    <t>50599932</t>
  </si>
  <si>
    <t>サービス有固-建物付属設備-その他-定率12年</t>
  </si>
  <si>
    <t>50599933</t>
  </si>
  <si>
    <t>サービス有固-建物付属設備-その他-定率10年</t>
  </si>
  <si>
    <t>50599934</t>
  </si>
  <si>
    <t>サービス有固-建物付属設備-その他-定率08年</t>
  </si>
  <si>
    <t>50599935</t>
  </si>
  <si>
    <t>サービス有固-建物付属設備-その他-定率03年</t>
  </si>
  <si>
    <t>51000501</t>
  </si>
  <si>
    <t>サービス有固-構築物-定率80年</t>
  </si>
  <si>
    <t>51000502</t>
  </si>
  <si>
    <t>サービス有固-構築物-定率75年</t>
  </si>
  <si>
    <t>51000503</t>
  </si>
  <si>
    <t>サービス有固-構築物-定率60年</t>
  </si>
  <si>
    <t>51000504</t>
  </si>
  <si>
    <t>サービス有固-構築物-定率57年</t>
  </si>
  <si>
    <t>51000505</t>
  </si>
  <si>
    <t>サービス有固-構築物-定率50年</t>
  </si>
  <si>
    <t>51000506</t>
  </si>
  <si>
    <t>サービス有固-構築物-定率45年</t>
  </si>
  <si>
    <t>51000507</t>
  </si>
  <si>
    <t>サービス有固-構築物-定率42年</t>
  </si>
  <si>
    <t>51000508</t>
  </si>
  <si>
    <t>サービス有固-構築物-定率41年</t>
  </si>
  <si>
    <t>51000509</t>
  </si>
  <si>
    <t>サービス有固-構築物-定率40年</t>
  </si>
  <si>
    <t>51000510</t>
  </si>
  <si>
    <t>サービス有固-構築物-定率36年</t>
  </si>
  <si>
    <t>51000511</t>
  </si>
  <si>
    <t>サービス有固-構築物-定率35年</t>
  </si>
  <si>
    <t>51000512</t>
  </si>
  <si>
    <t>サービス有固-構築物-定率34年</t>
  </si>
  <si>
    <t>51000513</t>
  </si>
  <si>
    <t>サービス有固-構築物-定率32年</t>
  </si>
  <si>
    <t>51000514</t>
  </si>
  <si>
    <t>サービス有固-構築物-定率30年</t>
  </si>
  <si>
    <t>51000515</t>
  </si>
  <si>
    <t>サービス有固-構築物-定率27年</t>
  </si>
  <si>
    <t>51000516</t>
  </si>
  <si>
    <t>サービス有固-構築物-定率25年</t>
  </si>
  <si>
    <t>51000517</t>
  </si>
  <si>
    <t>サービス有固-構築物-定率24年</t>
  </si>
  <si>
    <t>51000518</t>
  </si>
  <si>
    <t>サービス有固-構築物-定率22年</t>
  </si>
  <si>
    <t>51000519</t>
  </si>
  <si>
    <t>サービス有固-構築物-定率21年</t>
  </si>
  <si>
    <t>51000520</t>
  </si>
  <si>
    <t>サービス有固-構築物-定率20年</t>
  </si>
  <si>
    <t>51000521</t>
  </si>
  <si>
    <t>サービス有固-構築物-定率19年</t>
  </si>
  <si>
    <t>51000522</t>
  </si>
  <si>
    <t>サービス有固-構築物-定率17年</t>
  </si>
  <si>
    <t>51000523</t>
  </si>
  <si>
    <t>サービス有固-構築物-定率16年</t>
  </si>
  <si>
    <t>51000524</t>
  </si>
  <si>
    <t>サービス有固-構築物-定率15年</t>
  </si>
  <si>
    <t>51000525</t>
  </si>
  <si>
    <t>サービス有固-構築物-定率14年</t>
  </si>
  <si>
    <t>51000526</t>
  </si>
  <si>
    <t>サービス有固-構築物-定率13年</t>
  </si>
  <si>
    <t>51000527</t>
  </si>
  <si>
    <t>サービス有固-構築物-定率12年</t>
  </si>
  <si>
    <t>51000528</t>
  </si>
  <si>
    <t>サービス有固-構築物-定率10年</t>
  </si>
  <si>
    <t>51000529</t>
  </si>
  <si>
    <t>サービス有固-構築物-定率08年</t>
  </si>
  <si>
    <t>51000530</t>
  </si>
  <si>
    <t>サービス有固-構築物-定率07年</t>
  </si>
  <si>
    <t>51000531</t>
  </si>
  <si>
    <t>サービス有固-構築物-定率05年</t>
  </si>
  <si>
    <t>51000532</t>
  </si>
  <si>
    <t>サービス有固-構築物-定率03年</t>
  </si>
  <si>
    <t>52000601</t>
  </si>
  <si>
    <t>サービス有固-機械装置-定率22年</t>
  </si>
  <si>
    <t>52000602</t>
  </si>
  <si>
    <t>サービス有固-機械装置-定率20年</t>
  </si>
  <si>
    <t>52000603</t>
  </si>
  <si>
    <t>サービス有固-機械装置-定率18年</t>
  </si>
  <si>
    <t>52000604</t>
  </si>
  <si>
    <t>サービス有固-機械装置-定率17年</t>
  </si>
  <si>
    <t>52000605</t>
  </si>
  <si>
    <t>サービス有固-機械装置-定率15年</t>
  </si>
  <si>
    <t>52000606</t>
  </si>
  <si>
    <t>サービス有固-機械装置-定率14年</t>
  </si>
  <si>
    <t>52000607</t>
  </si>
  <si>
    <t>サービス有固-機械装置-定率13年</t>
  </si>
  <si>
    <t>52000608</t>
  </si>
  <si>
    <t>サービス有固-機械装置-定率12年</t>
  </si>
  <si>
    <t>52000609</t>
  </si>
  <si>
    <t>サービス有固-機械装置-定率11年</t>
  </si>
  <si>
    <t>52000610</t>
  </si>
  <si>
    <t>サービス有固-機械装置-定率10年</t>
  </si>
  <si>
    <t>52000611</t>
  </si>
  <si>
    <t>サービス有固-機械装置-定率09年</t>
  </si>
  <si>
    <t>52000612</t>
  </si>
  <si>
    <t>サービス有固-機械装置-定率08年</t>
  </si>
  <si>
    <t>52000613</t>
  </si>
  <si>
    <t>サービス有固-機械装置-定率07年</t>
  </si>
  <si>
    <t>52000614</t>
  </si>
  <si>
    <t>サービス有固-機械装置-定率06年</t>
  </si>
  <si>
    <t>52000615</t>
  </si>
  <si>
    <t>サービス有固-機械装置-定率05年</t>
  </si>
  <si>
    <t>52000616</t>
  </si>
  <si>
    <t>サービス有固-機械装置-定率04年</t>
  </si>
  <si>
    <t>52000617</t>
  </si>
  <si>
    <t>サービス有固-機械装置-定率03年</t>
  </si>
  <si>
    <t>52500701</t>
  </si>
  <si>
    <t>サービス有固-工具器具及び備品-工器備-定率13年</t>
  </si>
  <si>
    <t>52500702</t>
  </si>
  <si>
    <t>サービス有固-工具器具及び備品-工器備-定率08年</t>
  </si>
  <si>
    <t>52500703</t>
  </si>
  <si>
    <t>サービス有固-工具器具及び備品-工器備-定率05年</t>
  </si>
  <si>
    <t>52500704</t>
  </si>
  <si>
    <t>サービス有固-工具器具及び備品-工器備-定率04年</t>
  </si>
  <si>
    <t>52500705</t>
  </si>
  <si>
    <t>サービス有固-工具器具及び備品-工器備-定率03年</t>
  </si>
  <si>
    <t>52500706</t>
  </si>
  <si>
    <t>サービス有固-工具器具及び備品-工器備-定率02年</t>
  </si>
  <si>
    <t>52500707</t>
  </si>
  <si>
    <t>サービス有固-工具器具及び備品-工器備-定率20年</t>
  </si>
  <si>
    <t>52500708</t>
  </si>
  <si>
    <t>サービス有固-工具器具及び備品-工器備-定率15年</t>
  </si>
  <si>
    <t>52500709</t>
  </si>
  <si>
    <t>サービス有固-工具器具及び備品-工器備-定率10年</t>
  </si>
  <si>
    <t>52500710</t>
  </si>
  <si>
    <t>52500711</t>
  </si>
  <si>
    <t>サービス有固-工具器具及び備品-工器備-定率07年</t>
  </si>
  <si>
    <t>52500712</t>
  </si>
  <si>
    <t>サービス有固-工具器具及び備品-工器備-定率06年</t>
  </si>
  <si>
    <t>52500713</t>
  </si>
  <si>
    <t>52500714</t>
  </si>
  <si>
    <t>52500715</t>
  </si>
  <si>
    <t>52500716</t>
  </si>
  <si>
    <t>52500801</t>
  </si>
  <si>
    <t>サービス有固-工具器具及び備品-運搬具-定率07年</t>
  </si>
  <si>
    <t>52500802</t>
  </si>
  <si>
    <t>サービス有固-工具器具及び備品-運搬具-定率06年</t>
  </si>
  <si>
    <t>52500803</t>
  </si>
  <si>
    <t>サービス有固-工具器具及び備品-運搬具-定率05年</t>
  </si>
  <si>
    <t>52500804</t>
  </si>
  <si>
    <t>サービス有固-工具器具及び備品-運搬具-定率04年</t>
  </si>
  <si>
    <t>52500805</t>
  </si>
  <si>
    <t>サービス有固-工具器具及び備品-運搬具-定率03年</t>
  </si>
  <si>
    <t>52500806</t>
  </si>
  <si>
    <t>サービス有固-工具器具及び備品-運搬具-定率02年</t>
  </si>
  <si>
    <t>53000901</t>
  </si>
  <si>
    <t>サービス有固-リース資産-土地</t>
  </si>
  <si>
    <t>53000902</t>
  </si>
  <si>
    <t>サービス有固-リース資産-建物</t>
  </si>
  <si>
    <t>53000903</t>
  </si>
  <si>
    <t>サービス有固-リース資産-構築物</t>
  </si>
  <si>
    <t>53000904</t>
  </si>
  <si>
    <t>サービス有固-リース資産-車両</t>
  </si>
  <si>
    <t>53000905</t>
  </si>
  <si>
    <t>サービス有固-リース資産-機械装置</t>
  </si>
  <si>
    <t>53000906</t>
  </si>
  <si>
    <t>サービス有固-リース資産-工具器具及び備品</t>
  </si>
  <si>
    <t>59901001</t>
  </si>
  <si>
    <t>サービス有固-雑施設</t>
  </si>
  <si>
    <t>60000001</t>
  </si>
  <si>
    <t>その他の固定資産</t>
  </si>
  <si>
    <t>70100101</t>
  </si>
  <si>
    <t>建設仮勘定-鉄道事業-直接費</t>
  </si>
  <si>
    <t>70100201</t>
  </si>
  <si>
    <t>建設仮勘定-鉄道事業-間接費</t>
  </si>
  <si>
    <t>70100301</t>
  </si>
  <si>
    <t>建設仮勘定-鉄道事業-ソフトウェア</t>
  </si>
  <si>
    <t>70500101</t>
  </si>
  <si>
    <t>建設仮勘定-広告事業-直接費</t>
  </si>
  <si>
    <t>70500201</t>
  </si>
  <si>
    <t>建設仮勘定-広告事業-間接費</t>
  </si>
  <si>
    <t>70500301</t>
  </si>
  <si>
    <t>建設仮勘定-広告事業-ソフトウェア</t>
    <rPh sb="6" eb="8">
      <t>コウコク</t>
    </rPh>
    <phoneticPr fontId="3"/>
  </si>
  <si>
    <t>71000101</t>
  </si>
  <si>
    <t>建設仮勘定-不動産事業-直接費</t>
  </si>
  <si>
    <t>71000201</t>
  </si>
  <si>
    <t>建設仮勘定-不動産事業-間接費</t>
  </si>
  <si>
    <t>71000301</t>
  </si>
  <si>
    <t>建設仮勘定-不動産事業-ソフトウェア</t>
  </si>
  <si>
    <t>71500101</t>
  </si>
  <si>
    <t>建設仮勘定-流通事業-直接費</t>
  </si>
  <si>
    <t>71500201</t>
  </si>
  <si>
    <t>建設仮勘定-流通事業-間接費</t>
  </si>
  <si>
    <t>71500301</t>
  </si>
  <si>
    <t>建設仮勘定-流通事業-ソフトウェア</t>
  </si>
  <si>
    <t>72000101</t>
  </si>
  <si>
    <t>建設仮勘定-サービス事業-直接費</t>
  </si>
  <si>
    <t>72000201</t>
  </si>
  <si>
    <t>建設仮勘定-サービス事業-間接費</t>
  </si>
  <si>
    <t>72000301</t>
  </si>
  <si>
    <t>建設仮勘定-サービス事業-ソフトウェア</t>
  </si>
  <si>
    <t>72500101</t>
  </si>
  <si>
    <t>建設仮勘定-各事業関連-直接費</t>
    <rPh sb="6" eb="9">
      <t>カクジギョウ</t>
    </rPh>
    <rPh sb="9" eb="11">
      <t>カンレン</t>
    </rPh>
    <rPh sb="12" eb="14">
      <t>チョクセツ</t>
    </rPh>
    <rPh sb="14" eb="15">
      <t>ヒ</t>
    </rPh>
    <phoneticPr fontId="3"/>
  </si>
  <si>
    <t>72500201</t>
  </si>
  <si>
    <t>建設仮勘定-各事業関連-間接費</t>
    <rPh sb="6" eb="9">
      <t>カクジギョウ</t>
    </rPh>
    <rPh sb="9" eb="11">
      <t>カンレン</t>
    </rPh>
    <rPh sb="12" eb="14">
      <t>カンセツ</t>
    </rPh>
    <rPh sb="14" eb="15">
      <t>ヒ</t>
    </rPh>
    <phoneticPr fontId="3"/>
  </si>
  <si>
    <t>72500301</t>
  </si>
  <si>
    <t>建設仮勘定-各事業関連-ソフトウェア</t>
  </si>
  <si>
    <t>90100401</t>
  </si>
  <si>
    <t>各事業有固-土地-倉庫用地</t>
  </si>
  <si>
    <t>90100501</t>
  </si>
  <si>
    <t>各事業有固-土地-事務所用地</t>
  </si>
  <si>
    <t>90100601</t>
  </si>
  <si>
    <t>各事業有固-土地-社宅及び寮用地</t>
  </si>
  <si>
    <t>90199901</t>
  </si>
  <si>
    <t>各事業有固-土地-雑用地</t>
  </si>
  <si>
    <t>90501001</t>
  </si>
  <si>
    <t>各事業有固-建物-鉄骨鉄筋コンクリート造又は鉄筋コンクリート造のもの(その他)-倉庫建物</t>
  </si>
  <si>
    <t>90501002</t>
  </si>
  <si>
    <t>各事業有固-建物-れんが造、石造又はブロック造のもの(その他)-倉庫建物</t>
  </si>
  <si>
    <t>90501003</t>
  </si>
  <si>
    <t>各事業有固-建物-金属造のもの(骨格材の肉厚が4mm超)(その他)-倉庫建物</t>
  </si>
  <si>
    <t>90501004</t>
  </si>
  <si>
    <t>各事業有固-建物-金属造のもの(骨格材の肉厚が3mm超4mm以下)(その他)-倉庫建物</t>
  </si>
  <si>
    <t>90501005</t>
  </si>
  <si>
    <t>各事業有固-建物-金属造のもの(骨格材の肉厚が3mm以下)(その他)-倉庫建物</t>
  </si>
  <si>
    <t>90501006</t>
  </si>
  <si>
    <t>各事業有固-建物-木造又は合成樹脂造のもの(その他)-倉庫建物</t>
  </si>
  <si>
    <t>90501007</t>
  </si>
  <si>
    <t>各事業有固-建物-木骨モルタル造のもの(その他)-倉庫建物</t>
  </si>
  <si>
    <t>90501008</t>
  </si>
  <si>
    <t>各事業有固-建物-簡易建物(木製主要柱10cm角以下で土居、杉皮ぶき等)-倉庫建物</t>
  </si>
  <si>
    <t>90501009</t>
  </si>
  <si>
    <t>各事業有固-建物-簡易建物(掘立造のもの及び仮設のもの)-倉庫建物</t>
  </si>
  <si>
    <t>90501010</t>
  </si>
  <si>
    <t>各事業有固-建物付属設備-電気設備(照明設備を含む。)-蓄電池電源設備</t>
  </si>
  <si>
    <t>90501011</t>
  </si>
  <si>
    <t>各事業有固-建物付属設備-電気設備(照明設備を含む。)-その他のもの</t>
  </si>
  <si>
    <t>90501012</t>
  </si>
  <si>
    <t>各事業有固-建物付属設備-給排水又は衛生設備及びガス設備</t>
  </si>
  <si>
    <t>90501013</t>
  </si>
  <si>
    <t>各事業有固-建物付属設備-冷房、暖房、通風又はボイラー設備-冷凍機の出力が22kw以下</t>
  </si>
  <si>
    <t>90501014</t>
  </si>
  <si>
    <t>各事業有固-建物付属設備-冷房、暖房、通風又はボイラー設備-その他のもの</t>
  </si>
  <si>
    <t>90501015</t>
  </si>
  <si>
    <t>各事業有固-建物付属設備-昇降機設備-エレベーター</t>
  </si>
  <si>
    <t>90501016</t>
  </si>
  <si>
    <t>各事業有固-建物付属設備-昇降機設備-エスカレーター</t>
  </si>
  <si>
    <t>90501017</t>
  </si>
  <si>
    <t>各事業有固-建物付属設備-消火、排煙又は災害報知設備及び格納式避難設備</t>
  </si>
  <si>
    <t>90501018</t>
  </si>
  <si>
    <t>各事業有固-建物付属設備-エヤーカーテン又はドアー自動開閉設備</t>
  </si>
  <si>
    <t>90501019</t>
  </si>
  <si>
    <t>各事業有固-建物付属設備-アーケード又は日よけ設備-金属製</t>
  </si>
  <si>
    <t>90501020</t>
  </si>
  <si>
    <t>各事業有固-建物付属設備-アーケード又は日よけ設備-その他のもの</t>
  </si>
  <si>
    <t>90501021</t>
  </si>
  <si>
    <t>各事業有固-建物付属設備-店用簡易設備</t>
  </si>
  <si>
    <t>90501022</t>
  </si>
  <si>
    <t>各事業有固-建物付属設備-可動簡易装備-簡易なもの</t>
  </si>
  <si>
    <t>90501023</t>
  </si>
  <si>
    <t>各事業有固-建物付属設備-可動簡易装備-その他のもの</t>
  </si>
  <si>
    <t>90501024</t>
  </si>
  <si>
    <t>各事業有固-建物付属設備-前掲のもの以外のもの及び前掲の区分によらないもの-主として金属製のもの</t>
  </si>
  <si>
    <t>90501025</t>
  </si>
  <si>
    <t>各事業有固-建物付属設備-前掲のもの以外のもの及び前掲の区分によらないもの-その他のもの</t>
  </si>
  <si>
    <t>90501101</t>
  </si>
  <si>
    <t>各事業有固-建物-鉄骨鉄筋コンクリート造又は鉄筋コンクリート造のもの-詰所建物</t>
  </si>
  <si>
    <t>90501102</t>
  </si>
  <si>
    <t>各事業有固-建物-れんが造、石造又はブロック造のもの-詰所建物</t>
  </si>
  <si>
    <t>90501103</t>
  </si>
  <si>
    <t>各事業有固-建物-金属造のもの(骨格材の肉厚が4mm超)-詰所建物</t>
  </si>
  <si>
    <t>90501104</t>
  </si>
  <si>
    <t>各事業有固-建物-金属造のもの(骨格材の肉厚が3mm超4mm以下)-詰所建物</t>
  </si>
  <si>
    <t>90501105</t>
  </si>
  <si>
    <t>各事業有固-建物-金属造のもの(骨格材の肉厚が3mm以下)-詰所建物</t>
  </si>
  <si>
    <t>90501106</t>
  </si>
  <si>
    <t>各事業有固-建物-木造又は合成樹脂造のもの-詰所建物</t>
  </si>
  <si>
    <t>90501107</t>
  </si>
  <si>
    <t>各事業有固-建物-木骨モルタル造のもの-詰所建物</t>
  </si>
  <si>
    <t>90501108</t>
  </si>
  <si>
    <t>各事業有固-建物-簡易建物(木製主要柱10cm角以下で土居、杉皮ぶき等)-詰所建物</t>
  </si>
  <si>
    <t>90501109</t>
  </si>
  <si>
    <t>各事業有固-建物-簡易建物(掘立造のもの及び仮設のもの)-詰所建物</t>
  </si>
  <si>
    <t>90501110</t>
  </si>
  <si>
    <t>90501111</t>
  </si>
  <si>
    <t>90501112</t>
  </si>
  <si>
    <t>90501113</t>
  </si>
  <si>
    <t>各事業有固-建物付属設備-冷房、暖房、通風又はボイラー設備-冷凍機の出力が22kw以下のもの</t>
  </si>
  <si>
    <t>90501114</t>
  </si>
  <si>
    <t>90501115</t>
  </si>
  <si>
    <t>90501116</t>
  </si>
  <si>
    <t>90501117</t>
  </si>
  <si>
    <t>90501118</t>
  </si>
  <si>
    <t>90501119</t>
  </si>
  <si>
    <t>90501120</t>
  </si>
  <si>
    <t>90501121</t>
  </si>
  <si>
    <t>90501122</t>
  </si>
  <si>
    <t>90501123</t>
  </si>
  <si>
    <t>90501124</t>
  </si>
  <si>
    <t>90501125</t>
  </si>
  <si>
    <t>90501201</t>
  </si>
  <si>
    <t>各事業有固-建物-鉄骨鉄筋コンクリート造又は鉄筋コンクリート造のもの-事務所建物</t>
  </si>
  <si>
    <t>90501202</t>
  </si>
  <si>
    <t>各事業有固-建物-れんが造、石造又はブロック造のもの-事務所建物</t>
  </si>
  <si>
    <t>90501203</t>
  </si>
  <si>
    <t>各事業有固-建物-金属造のもの(骨格材の肉厚が4mm超)-事務所建物</t>
  </si>
  <si>
    <t>90501204</t>
  </si>
  <si>
    <t>各事業有固-建物-金属造のもの(骨格材の肉厚が3mm超4mm以下)-事務所建物</t>
  </si>
  <si>
    <t>90501205</t>
  </si>
  <si>
    <t>各事業有固-建物-金属造のもの(骨格材の肉厚が3mm以下)-事務所建物</t>
  </si>
  <si>
    <t>90501206</t>
  </si>
  <si>
    <t>各事業有固-建物-木造又は合成樹脂造のもの-事務所建物</t>
  </si>
  <si>
    <t>90501207</t>
  </si>
  <si>
    <t>各事業有固-建物-木骨モルタル造のもの-事務所建物</t>
  </si>
  <si>
    <t>90501208</t>
  </si>
  <si>
    <t>各事業有固-建物-簡易建物(木製主要柱10cm角以下で土居、杉皮ぶき等)-事務所建物</t>
  </si>
  <si>
    <t>90501209</t>
  </si>
  <si>
    <t>各事業有固-建物-簡易建物(掘立造のもの及び仮設のもの)-事務所建物</t>
  </si>
  <si>
    <t>90501210</t>
  </si>
  <si>
    <t>90501211</t>
  </si>
  <si>
    <t>90501212</t>
  </si>
  <si>
    <t>90501213</t>
  </si>
  <si>
    <t>90501214</t>
  </si>
  <si>
    <t>90501215</t>
  </si>
  <si>
    <t>90501216</t>
  </si>
  <si>
    <t>90501217</t>
  </si>
  <si>
    <t>90501218</t>
  </si>
  <si>
    <t>90501219</t>
  </si>
  <si>
    <t>90501220</t>
  </si>
  <si>
    <t>90501221</t>
  </si>
  <si>
    <t>90501222</t>
  </si>
  <si>
    <t>90501223</t>
  </si>
  <si>
    <t>90501224</t>
  </si>
  <si>
    <t>90501225</t>
  </si>
  <si>
    <t>90501301</t>
  </si>
  <si>
    <t>各事業有固-建物-鉄骨鉄筋コンクリート造又は鉄筋コンクリート造のもの-社宅及び寮建物</t>
  </si>
  <si>
    <t>90501302</t>
  </si>
  <si>
    <t>各事業有固-建物-れんが造、石造又はブロック造のもの-社宅及び寮建物</t>
  </si>
  <si>
    <t>90501303</t>
  </si>
  <si>
    <t>各事業有固-建物-金属造のもの(骨格材の肉厚が4mm超)-社宅及び寮建物</t>
  </si>
  <si>
    <t>90501304</t>
  </si>
  <si>
    <t>各事業有固-建物-金属造のもの(骨格材の肉厚が3mm超4mm以下)-社宅及び寮建物</t>
  </si>
  <si>
    <t>90501305</t>
  </si>
  <si>
    <t>各事業有固-建物-金属造のもの(骨格材の肉厚が3mm以下)-社宅及び寮建物</t>
  </si>
  <si>
    <t>90501306</t>
  </si>
  <si>
    <t>各事業有固-建物-木造又は合成樹脂造のもの-社宅及び寮建物</t>
  </si>
  <si>
    <t>90501307</t>
  </si>
  <si>
    <t>各事業有固-建物-木骨モルタル造のもの-社宅及び寮建物</t>
  </si>
  <si>
    <t>90501308</t>
  </si>
  <si>
    <t>各事業有固-建物-簡易建物(木製主要柱10cm角以下で土居、杉皮ぶき等)-社宅及び寮建物</t>
  </si>
  <si>
    <t>90501309</t>
  </si>
  <si>
    <t>各事業有固産-建物-簡易建物(掘立造のもの及び仮設のもの)-社宅及び寮建物</t>
  </si>
  <si>
    <t>90501310</t>
  </si>
  <si>
    <t>90501311</t>
  </si>
  <si>
    <t>90501312</t>
  </si>
  <si>
    <t>90501313</t>
  </si>
  <si>
    <t>各事業有固-建物付属設備-冷房、暖房、通風又はボイラー設備-冷凍機の出力が22キロワット以下のもの</t>
  </si>
  <si>
    <t>90501314</t>
  </si>
  <si>
    <t>90501315</t>
  </si>
  <si>
    <t>90501316</t>
  </si>
  <si>
    <t>90501317</t>
  </si>
  <si>
    <t>90501318</t>
  </si>
  <si>
    <t>90501319</t>
  </si>
  <si>
    <t>90501320</t>
  </si>
  <si>
    <t>90501321</t>
  </si>
  <si>
    <t>90501322</t>
  </si>
  <si>
    <t>90501323</t>
  </si>
  <si>
    <t>90501324</t>
  </si>
  <si>
    <t>90501325</t>
  </si>
  <si>
    <t>90599901</t>
  </si>
  <si>
    <t>各事業有固-建物-雑建物-定額50年</t>
  </si>
  <si>
    <t>90599902</t>
  </si>
  <si>
    <t>各事業有固-建物-雑建物-定額47年</t>
  </si>
  <si>
    <t>90599903</t>
  </si>
  <si>
    <t>各事業有固-建物-雑建物-定額41年</t>
  </si>
  <si>
    <t>90599904</t>
  </si>
  <si>
    <t>各事業有固-建物-雑建物-定額39年</t>
  </si>
  <si>
    <t>90599905</t>
  </si>
  <si>
    <t>各事業有固-建物-雑建物-定額38年</t>
  </si>
  <si>
    <t>90599906</t>
  </si>
  <si>
    <t>各事業有固-建物-雑建物-定額36年</t>
  </si>
  <si>
    <t>90599907</t>
  </si>
  <si>
    <t>各事業有固-建物-雑建物-定額34年</t>
  </si>
  <si>
    <t>90599908</t>
  </si>
  <si>
    <t>各事業有固-建物-雑建物-定額31年</t>
  </si>
  <si>
    <t>90599909</t>
  </si>
  <si>
    <t>各事業有固-建物-雑建物-定額30年</t>
  </si>
  <si>
    <t>90599910</t>
  </si>
  <si>
    <t>各事業有固-建物-雑建物-定額29年</t>
  </si>
  <si>
    <t>90599911</t>
  </si>
  <si>
    <t>各事業有固-建物-雑建物-定額28年</t>
  </si>
  <si>
    <t>90599912</t>
  </si>
  <si>
    <t>各事業有固-建物-雑建物-定額27年</t>
  </si>
  <si>
    <t>90599913</t>
  </si>
  <si>
    <t>各事業有固-建物-雑建物-定額26年</t>
  </si>
  <si>
    <t>90599914</t>
  </si>
  <si>
    <t>各事業有固-建物-雑建物-定額25年</t>
  </si>
  <si>
    <t>90599915</t>
  </si>
  <si>
    <t>各事業有固-建物-雑建物-定額24年</t>
  </si>
  <si>
    <t>90599916</t>
  </si>
  <si>
    <t>各事業有固-建物-雑建物-定額22年</t>
  </si>
  <si>
    <t>90599917</t>
  </si>
  <si>
    <t>各事業有固-建物-雑建物-定額21年</t>
  </si>
  <si>
    <t>90599918</t>
  </si>
  <si>
    <t>各事業有固-建物-雑建物-定額20年</t>
  </si>
  <si>
    <t>90599919</t>
  </si>
  <si>
    <t>各事業有固-建物-雑建物-定額19年</t>
  </si>
  <si>
    <t>90599920</t>
  </si>
  <si>
    <t>各事業有固-建物-雑建物-定額17年</t>
  </si>
  <si>
    <t>90599921</t>
  </si>
  <si>
    <t>各事業有固-建物-雑建物-定額15年</t>
  </si>
  <si>
    <t>90599922</t>
  </si>
  <si>
    <t>各事業有固-建物-雑建物-定額14年</t>
  </si>
  <si>
    <t>90599923</t>
  </si>
  <si>
    <t>各事業有固-建物-雑建物-定額12年</t>
  </si>
  <si>
    <t>90599924</t>
  </si>
  <si>
    <t>各事業有固-建物-雑建物-定額11年</t>
  </si>
  <si>
    <t>90599925</t>
  </si>
  <si>
    <t>各事業有固-建物-雑建物-定額10年</t>
  </si>
  <si>
    <t>90599926</t>
  </si>
  <si>
    <t>各事業有固-建物-雑建物-定額09年</t>
  </si>
  <si>
    <t>90599927</t>
  </si>
  <si>
    <t>各事業有固-建物-雑建物-定額07年</t>
  </si>
  <si>
    <t>90599928</t>
  </si>
  <si>
    <t>各事業有固-建物付属設備-電気設備(照明設備を含む。)-蓄電池電源設備-雑建物</t>
    <rPh sb="36" eb="37">
      <t>ザツ</t>
    </rPh>
    <rPh sb="37" eb="39">
      <t>タテモノ</t>
    </rPh>
    <phoneticPr fontId="3"/>
  </si>
  <si>
    <t>90599929</t>
  </si>
  <si>
    <t>各事業有固-建物付属設備-電気設備(照明設備を含む。)-その他のもの-雑建物</t>
  </si>
  <si>
    <t>90599930</t>
  </si>
  <si>
    <t>各事業有固-建物付属設備-給排水又は衛生設備及びガス設備-雑建物</t>
  </si>
  <si>
    <t>90599931</t>
  </si>
  <si>
    <t>各事業有固-建物付属設備-冷房、暖房、通風又はボイラー設備-冷凍機の出力が22kw以下のもの-雑建物</t>
  </si>
  <si>
    <t>90599932</t>
  </si>
  <si>
    <t>各事業有固-建物付属設備-冷房、暖房、通風又はボイラー設備-その他のもの-雑建物</t>
  </si>
  <si>
    <t>90599933</t>
  </si>
  <si>
    <t>各事業有固-建物付属設備-昇降機設備-エレベーター-雑建物</t>
  </si>
  <si>
    <t>90599934</t>
  </si>
  <si>
    <t>各事業有固-建物付属設備-昇降機設備-エスカレーター-雑建物</t>
  </si>
  <si>
    <t>90599935</t>
  </si>
  <si>
    <t>各事業有固-建物付属設備-消火、排煙又は災害報知設備及び格納式避難設備-雑建物</t>
  </si>
  <si>
    <t>90599936</t>
  </si>
  <si>
    <t>各事業有固-建物付属設備-エヤーカーテン又はドアー自動開閉設備-雑建物</t>
  </si>
  <si>
    <t>90599937</t>
  </si>
  <si>
    <t>各事業有固-建物付属設備-アーケード又は日よけ設備-金属製-雑建物</t>
  </si>
  <si>
    <t>90599938</t>
  </si>
  <si>
    <t>各事業有固-建物付属設備-アーケード又は日よけ設備-その他のもの-雑建物</t>
  </si>
  <si>
    <t>90599939</t>
  </si>
  <si>
    <t>各事業有固-建物付属設備-店用簡易設備-雑建物</t>
  </si>
  <si>
    <t>90599940</t>
  </si>
  <si>
    <t>各事業有固-建物付属設備-可動簡易装備-簡易なもの-雑建物</t>
  </si>
  <si>
    <t>90599941</t>
  </si>
  <si>
    <t>各事業有固-建物付属設備-可動簡易装備-その他のもの-雑建物</t>
  </si>
  <si>
    <t>90599942</t>
  </si>
  <si>
    <t>各事業有固-建物付属設備-前掲以外-主として金属製のもの-雑建物</t>
  </si>
  <si>
    <t>90599943</t>
  </si>
  <si>
    <t>各事業有固-建物付属設備-前掲のもの以外のもの及び前掲の区分によらないもの-その他のもの-雑建物</t>
  </si>
  <si>
    <t>91002501</t>
  </si>
  <si>
    <t>各事業有固-構築物-通信線</t>
  </si>
  <si>
    <t>91002601</t>
  </si>
  <si>
    <t>各事業有固-構築物-電話機</t>
  </si>
  <si>
    <t>91002701</t>
  </si>
  <si>
    <t>各事業有固-構築物-電気時計</t>
  </si>
  <si>
    <t>91002801</t>
  </si>
  <si>
    <t>各事業有固-構築物-拡声装置</t>
  </si>
  <si>
    <t>91002901</t>
  </si>
  <si>
    <t>各事業有固-構築物-通信諸設備</t>
  </si>
  <si>
    <t>91004101</t>
  </si>
  <si>
    <t>各事業有固-構築物-配電線</t>
  </si>
  <si>
    <t>91004601</t>
  </si>
  <si>
    <t>各事業有固-構築物-電灯電力線</t>
  </si>
  <si>
    <t>91004803</t>
  </si>
  <si>
    <t>各事業有固-構築物-支持物-その他の支持物(電柱及び腕木を除く)</t>
  </si>
  <si>
    <t>91004804</t>
  </si>
  <si>
    <t>各事業有固-構築物-支持物-その他の支持物(腕木を含む)</t>
  </si>
  <si>
    <t>92005601</t>
  </si>
  <si>
    <t>各事業有固-機械装置-通信機械-交換設備</t>
  </si>
  <si>
    <t>92099901</t>
  </si>
  <si>
    <t>各事業有固-機械装置-雑機械-その他の設備(主として金属製のもの)</t>
  </si>
  <si>
    <t>92099902</t>
  </si>
  <si>
    <t>各事業有固-機械装置-雑機械-その他の設備(その他のもの)</t>
  </si>
  <si>
    <t>92505901</t>
  </si>
  <si>
    <t>各事業有固-工具器具及び備品-工器備-測定工具・検査工具(電気・電子を利用するものを含む)</t>
  </si>
  <si>
    <t>92505902</t>
  </si>
  <si>
    <t>各事業有固-工具器具及び備品-工器備-治具及び取付工具</t>
  </si>
  <si>
    <t>92505903</t>
  </si>
  <si>
    <t>各事業有固-工具器具及び備品-工器備-ロール-金属圧延用のもの</t>
  </si>
  <si>
    <t>92505904</t>
  </si>
  <si>
    <t>各事業有固-工具器具及び備品-工器備-ロール-なつ染・粉砕・混錬ロールその他のもの</t>
  </si>
  <si>
    <t>92505905</t>
  </si>
  <si>
    <t>各事業有固-工具器具及び備品-工器備-型・鍛圧・打抜工具-ガラス成型用金型及び鋳造用型</t>
  </si>
  <si>
    <t>92505906</t>
  </si>
  <si>
    <t>各事業有固-工具器具及び備品-工器備-型・鍛圧・打抜工具-その他のもの</t>
  </si>
  <si>
    <t>92505907</t>
  </si>
  <si>
    <t>各事業有固-工具器具及び備品-工器備-切削工具</t>
  </si>
  <si>
    <t>92505908</t>
  </si>
  <si>
    <t>各事業有固-工具器具及び備品-工器備-金属製柱及びカッペ</t>
  </si>
  <si>
    <t>92505909</t>
  </si>
  <si>
    <t>各事業有固-工具器具及び備品-工器備-活字・活字に常用される金属-購入活字</t>
  </si>
  <si>
    <t>92505910</t>
  </si>
  <si>
    <t>各事業有固-工具器具及び備品-工器備-活字・活字に常用される金属-自製活字</t>
  </si>
  <si>
    <t>92505911</t>
  </si>
  <si>
    <t>各事業有固-工具器具及び備品-工器備-前掲以外-白金ノズル</t>
  </si>
  <si>
    <t>92505912</t>
  </si>
  <si>
    <t>各事業有固-工具器具及び備品-工器備-前掲以外-その他のもの</t>
  </si>
  <si>
    <t>92505913</t>
  </si>
  <si>
    <t>各事業有固-工具器具及び備品-工器備-前掲区分外-白金ノズル</t>
  </si>
  <si>
    <t>92505914</t>
  </si>
  <si>
    <t>各事業有固-工具器具及び備品-工器備-前掲区分外-その他の主として金属製のもの</t>
  </si>
  <si>
    <t>92505915</t>
  </si>
  <si>
    <t>各事業有固-工具器具及び備品-工器備-前掲区分外-その他のもの</t>
  </si>
  <si>
    <t>92505916</t>
  </si>
  <si>
    <t>各事業有固-工具器具及び備品-工器備-家具・電気・ガス・家庭用品-事務机・いす(金属)</t>
  </si>
  <si>
    <t>92505917</t>
  </si>
  <si>
    <t>各事業有固-工具器具及び備品-工器備-家具・電気・ガス・家庭用品-事務机・いす(その他)</t>
  </si>
  <si>
    <t>92505918</t>
  </si>
  <si>
    <t>各事業有固-工具器具及び備品-工器備-家具・電気・ガス・家庭用品-応接セット(接客業用)</t>
  </si>
  <si>
    <t>92505919</t>
  </si>
  <si>
    <t>各事業有固-工具器具及び備品-工器備-家具・電気・ガス・家庭用品-応接セット(その他)</t>
  </si>
  <si>
    <t>92505920</t>
  </si>
  <si>
    <t>各事業有固-工具器具及び備品-工器備-家具・電気・ガス・家庭用品-ベット</t>
  </si>
  <si>
    <t>92505921</t>
  </si>
  <si>
    <t>各事業有固-工具器具及び備品-工器備-家具・電気・ガス・家庭用品-児童用机及びいす</t>
  </si>
  <si>
    <t>92505922</t>
  </si>
  <si>
    <t>各事業有固-工具器具及び備品-工器備-家具・電気・ガス・家庭用品-陳列棚(冷凍・冷蔵機付)</t>
  </si>
  <si>
    <t>92505923</t>
  </si>
  <si>
    <t>各事業有固-工具器具及び備品-工器備-家具・電気・ガス・家庭用品-陳列棚(その他)</t>
  </si>
  <si>
    <t>92505924</t>
  </si>
  <si>
    <t>各事業有固-工具器具及び備品-工器備-家具・電気・ガス・家庭用品-その他の家具(接客業用)</t>
  </si>
  <si>
    <t>92505925</t>
  </si>
  <si>
    <t>各事業有固-工具器具及び備品-工器備-家具・電気・ガス・家庭用品-その他の家具(金属製)</t>
  </si>
  <si>
    <t>92505926</t>
  </si>
  <si>
    <t>各事業有固-工具器具及び備品-工器備-家具・電気・ガス・家庭用品-その他の家具(その他)</t>
  </si>
  <si>
    <t>92505927</t>
  </si>
  <si>
    <t>各事業有固-工具器具及び備品-工器備-家具・電気・ガス・家庭用品-その他の音響機器</t>
  </si>
  <si>
    <t>92505928</t>
  </si>
  <si>
    <t>各事業有固-工具器具及び備品-工器備-家具・電気・ガス・家庭用品-冷房用又は暖房用機器</t>
  </si>
  <si>
    <t>92505929</t>
  </si>
  <si>
    <t>各事業有固-工具器具及び備品-工器備-家具・電気・ガス・家庭用品-その他電気・ガス機器</t>
  </si>
  <si>
    <t>92505930</t>
  </si>
  <si>
    <t>各事業有固-工具器具及び備品-工器備-家具・電気・ガス・家庭用品-氷冷蔵庫・冷蔵ストッカー</t>
  </si>
  <si>
    <t>92505931</t>
  </si>
  <si>
    <t>各事業有固-工具器具及び備品-工器備-家具・電気・ガス・家庭用品-その他繊維製品</t>
  </si>
  <si>
    <t>92505932</t>
  </si>
  <si>
    <t>各事業有固-工具器具及び備品-工器備-家具・電気・ガス・家庭用品-床用敷物(業務用)</t>
  </si>
  <si>
    <t>92505933</t>
  </si>
  <si>
    <t>各事業有固-工具器具及び備品-工器備-家具・電気・ガス・家庭用品-床用敷物(その他)</t>
  </si>
  <si>
    <t>92505934</t>
  </si>
  <si>
    <t>各事業有固-工具器具及び備品-工器備-家具・電気・ガス・家庭用品-室内装飾品(金属製)</t>
  </si>
  <si>
    <t>92505935</t>
  </si>
  <si>
    <t>各事業有固-工具器具及び備品-工器備-家具・電気・ガス・家庭用品-室内装飾品(その他)</t>
  </si>
  <si>
    <t>92505936</t>
  </si>
  <si>
    <t>各事業有固-工具器具及び備品-工器備-家具・電気・ガス・家庭用品-食事・厨房用品(陶磁器)</t>
  </si>
  <si>
    <t>92505937</t>
  </si>
  <si>
    <t>各事業有固-工具器具及び備品-工器備-家具・電気・ガス・家庭用品-食事・厨房用品(その他)</t>
  </si>
  <si>
    <t>92505938</t>
  </si>
  <si>
    <t>各事業有固-工具器具及び備品-工器備-家具・電気・ガス・家庭用品-その他のもの(金属製)</t>
  </si>
  <si>
    <t>92505939</t>
  </si>
  <si>
    <t>各事業有固-工具器具及び備品-工器備-家具・電気・ガス・家庭用品-その他のもの(その他)</t>
  </si>
  <si>
    <t>92505940</t>
  </si>
  <si>
    <t>各事業有固-工具器具及び備品-工器備-事務・通信機器-謄写機器・タイプライター(印書業用)</t>
  </si>
  <si>
    <t>92505941</t>
  </si>
  <si>
    <t>各事業有固-工具器具及び備品-工器備-事務・通信機器-謄写機器・タイプライター(その他)</t>
  </si>
  <si>
    <t>92505942</t>
  </si>
  <si>
    <t>各事業有固-工具器具及び備品-工器備-事務・通信機器-電子計算機(PC(サーバ用を除く))</t>
  </si>
  <si>
    <t>92505943</t>
  </si>
  <si>
    <t>各事業有固-工具器具及び備品-工器備-事務・通信機器-電子計算機(その他)</t>
  </si>
  <si>
    <t>92505944</t>
  </si>
  <si>
    <t>各事業有固-工具器具及び備品-工器備-事務・通信機器-複写機・計算機・金銭登録機</t>
  </si>
  <si>
    <t>92505945</t>
  </si>
  <si>
    <t>各事業有固-工具器具及び備品-工器備-事務・通信機器-その他の事務機器</t>
  </si>
  <si>
    <t>92505946</t>
  </si>
  <si>
    <t>各事業有固-工具器具及び備品-工器備-事務・通信機器-テレタイプライター及びファクシミリ</t>
  </si>
  <si>
    <t>92505947</t>
  </si>
  <si>
    <t>各事業有固-工具器具及び備品-工器備-事務・通信機器-インターホーン及び放送用設備</t>
  </si>
  <si>
    <t>92505948</t>
  </si>
  <si>
    <t>各事業有固-工具器具及び備品-工器備-事務・通信機器-その他の通信機器(デジタル構内交換)</t>
  </si>
  <si>
    <t>92505949</t>
  </si>
  <si>
    <t>各事業有固-工具器具及び備品-工器備-事務・通信機器-その他の通信機器(その他のもの)</t>
  </si>
  <si>
    <t>92505950</t>
  </si>
  <si>
    <t>各事業有固-工具器具及び備品-工器備-時計、試験機器及び測定機器-時計</t>
  </si>
  <si>
    <t>92505951</t>
  </si>
  <si>
    <t>各事業有固-工具器具及び備品-工器備-時計、試験機器及び測定機器-度量衝器</t>
  </si>
  <si>
    <t>92505952</t>
  </si>
  <si>
    <t>各事業有固-工具器具及び備品-工器備-時計、試験機器及び測定機器-試験又は測定機器</t>
  </si>
  <si>
    <t>92505953</t>
  </si>
  <si>
    <t>各事業有固-工具器具及び備品-工器備-光学・写真製作機器-オペラグラス</t>
  </si>
  <si>
    <t>92505954</t>
  </si>
  <si>
    <t>各事業有固-工具器具及び備品-工器備-光学・写真製作機器-カメラ、映画撮影機、映写機</t>
  </si>
  <si>
    <t>92505955</t>
  </si>
  <si>
    <t>各事業有固-工具器具及び備品-工器備-光学・写真製作機器-その他の機器</t>
  </si>
  <si>
    <t>92505956</t>
  </si>
  <si>
    <t>各事業有固-工具器具及び備品-工器備-看板・広告機器-看板、ネオンサイン及び気球</t>
  </si>
  <si>
    <t>92505957</t>
  </si>
  <si>
    <t>各事業有固-工具器具及び備品-工器備-看板・広告機器-マネキン人形及び模型</t>
  </si>
  <si>
    <t>92505958</t>
  </si>
  <si>
    <t>各事業有固-工具器具及び備品-工器備-看板・広告機器-その他のもの(主として金属製のもの)</t>
  </si>
  <si>
    <t>92505959</t>
  </si>
  <si>
    <t>各事業有固-工具器具及び備品-工器備-看板・広告機器-その他のもの(その他のもの)</t>
  </si>
  <si>
    <t>92505960</t>
  </si>
  <si>
    <t>各事業有固-工具器具及び備品-工器備-容器・金庫-ボンベ(溶接製のもの</t>
  </si>
  <si>
    <t>92505961</t>
  </si>
  <si>
    <t>各事業有固-工具器具及び備品-工器備-容器・金庫-ボンベ(鍛造製)(塩素用のもの)</t>
  </si>
  <si>
    <t>92505962</t>
  </si>
  <si>
    <t>各事業有固-工具器具及び備品-工器備-容器・金庫-ボンベ(鍛造製)(その他のもの)</t>
  </si>
  <si>
    <t>92505963</t>
  </si>
  <si>
    <t>各事業有固-工具器具及び備品-工器備-容器・金庫-その他容器(コンテナ(長さが6m以上))</t>
  </si>
  <si>
    <t>92505964</t>
  </si>
  <si>
    <t>各事業有固-工具器具及び備品-工器備-容器・金庫-その他の容器(金属製のもの)</t>
  </si>
  <si>
    <t>92505965</t>
  </si>
  <si>
    <t>各事業有固-工具器具及び備品-工器備-容器・金庫-その他の容器(その他のもの)</t>
  </si>
  <si>
    <t>92505966</t>
  </si>
  <si>
    <t>各事業有固-工具器具及び備品-工器備-容器・金庫-金庫(手さげ金庫)</t>
  </si>
  <si>
    <t>92505967</t>
  </si>
  <si>
    <t>各事業有固-工具器具及び備品-工器備-容器・金庫-金庫(その他のもの)</t>
  </si>
  <si>
    <t>92505968</t>
  </si>
  <si>
    <t>各事業有固-工具器具及び備品-工器備-医療機器-消毒殺菌用機器</t>
  </si>
  <si>
    <t>92505969</t>
  </si>
  <si>
    <t>各事業有固-工具器具及び備品-工器備-医療機器-手術機器</t>
  </si>
  <si>
    <t>92505970</t>
  </si>
  <si>
    <t>各事業有固-工具器具及び備品-工器備-医療機器-血液透析又は血しょう交換用機器</t>
  </si>
  <si>
    <t>92505971</t>
  </si>
  <si>
    <t>各事業有固-工具器具及び備品-工器備-医療機器-その他の作動部分を有する機能回復訓練機器</t>
  </si>
  <si>
    <t>92505972</t>
  </si>
  <si>
    <t>各事業有固-工具器具及び備品-工器備-医療機器-調剤機器</t>
  </si>
  <si>
    <t>92505973</t>
  </si>
  <si>
    <t>各事業有固-工具器具及び備品-工器備-医療機器-歯科診療用ユニット</t>
  </si>
  <si>
    <t>92505974</t>
  </si>
  <si>
    <t>各事業有固-工具器具及び備品-工器備-医療機器-光学検査機器(ファイバースコープ)</t>
  </si>
  <si>
    <t>92505975</t>
  </si>
  <si>
    <t>各事業有固-工具器具及び備品-工器備-医療機器-光学検査機器(その他のもの)</t>
  </si>
  <si>
    <t>92505976</t>
  </si>
  <si>
    <t>各事業有固-工具器具及び備品-工器備-医療機器-その他の電子装置を使用する機器(移動式)</t>
  </si>
  <si>
    <t>92505977</t>
  </si>
  <si>
    <t>各事業有固-工具器具及び備品-工器備-医療機器-その他の電子装置を使用する機器(その他)</t>
  </si>
  <si>
    <t>92505978</t>
  </si>
  <si>
    <t>各事業有固-工具器具及び備品-工器備-医療機器-その他のもの(陶磁器製又はガラス製のもの)</t>
  </si>
  <si>
    <t>92505979</t>
  </si>
  <si>
    <t>各事業有固-工具器具及び備品-工器備-医療機器-その他のもの(主として金属製のもの)</t>
  </si>
  <si>
    <t>92505980</t>
  </si>
  <si>
    <t>各事業有固-工具器具及び備品-工器備-医療機器-その他のもの(その他のもの)</t>
  </si>
  <si>
    <t>92505981</t>
  </si>
  <si>
    <t>各事業有固-工具器具及び備品-工器備-前掲以外-映画フイルム・磁気テープ・レコード</t>
  </si>
  <si>
    <t>92505982</t>
  </si>
  <si>
    <t>各事業有固-工具器具及び備品-工器備-前掲以外-シート及びロープ</t>
  </si>
  <si>
    <t>92505983</t>
  </si>
  <si>
    <t>各事業有固-工具器具及び備品-工器備-前掲以外-きのこ栽培用ほだ木</t>
  </si>
  <si>
    <t>92505984</t>
  </si>
  <si>
    <t>各事業有固-工具器具及び備品-工器備-前掲以外-漁具</t>
  </si>
  <si>
    <t>92505985</t>
  </si>
  <si>
    <t>各事業有固-工具器具及び備品-工器備-前掲以外-葬儀用具</t>
  </si>
  <si>
    <t>92505986</t>
  </si>
  <si>
    <t>各事業有固-工具器具及び備品-工器備-前掲以外-楽器</t>
  </si>
  <si>
    <t>92505987</t>
  </si>
  <si>
    <t>各事業有固-工具器具及び備品-工器備-前掲以外-自動販売機(手動のものを含む。)</t>
  </si>
  <si>
    <t>92505988</t>
  </si>
  <si>
    <t>各事業有固-工具器具及び備品-工器備-前掲以外-無人駐車管理装置</t>
  </si>
  <si>
    <t>92505989</t>
  </si>
  <si>
    <t>各事業有固-工具器具及び備品-工器備-前掲以外-焼却炉</t>
  </si>
  <si>
    <t>92505990</t>
  </si>
  <si>
    <t>各事業有固-工具器具及び備品-工器備-前掲以外-その他のもの(主として金属製のもの)</t>
  </si>
  <si>
    <t>92505991</t>
  </si>
  <si>
    <t>各事業有固-工具器具及び備品-工器備-前掲以外-その他のもの(その他のもの)</t>
  </si>
  <si>
    <t>92505992</t>
  </si>
  <si>
    <t>各事業有固-工具器具及び備品-工器備-美術品(非償却)</t>
    <rPh sb="19" eb="21">
      <t>ビジュツ</t>
    </rPh>
    <rPh sb="21" eb="22">
      <t>ヒン</t>
    </rPh>
    <rPh sb="23" eb="24">
      <t>ヒ</t>
    </rPh>
    <rPh sb="24" eb="26">
      <t>ショウキャク</t>
    </rPh>
    <phoneticPr fontId="3"/>
  </si>
  <si>
    <t>92505993</t>
  </si>
  <si>
    <t>各事業有固-工具器具及び備品-工器備-美術品-償却(主として金属製のもの)</t>
    <rPh sb="19" eb="21">
      <t>ビジュツ</t>
    </rPh>
    <rPh sb="21" eb="22">
      <t>ヒン</t>
    </rPh>
    <phoneticPr fontId="3"/>
  </si>
  <si>
    <t>92505994</t>
  </si>
  <si>
    <t>各事業有固-工具器具及び備品-工器備-美術品-償却(その他のもの)</t>
    <rPh sb="19" eb="21">
      <t>ビジュツ</t>
    </rPh>
    <rPh sb="21" eb="22">
      <t>ヒン</t>
    </rPh>
    <phoneticPr fontId="3"/>
  </si>
  <si>
    <t>92506001</t>
  </si>
  <si>
    <t>各事業有固-工具器具及び備品-運搬具-前掲以外-自動車-小型車(総排気量が0.66l以下)</t>
  </si>
  <si>
    <t>92506002</t>
  </si>
  <si>
    <t>各事業有固-工具器具及び備品-運搬具-前掲以外-自動車-その他-貨物自動車-ダンプ式のもの</t>
  </si>
  <si>
    <t>92506003</t>
  </si>
  <si>
    <t>各事業有固-工具器具及び備品-運搬具-前掲以外-自動車-その他-貨物自動車-その他のもの</t>
  </si>
  <si>
    <t>92506004</t>
  </si>
  <si>
    <t>各事業有固-工具器具及び備品-運搬具-前掲以外-自動車-その他-報道通信用のもの</t>
  </si>
  <si>
    <t>92506005</t>
  </si>
  <si>
    <t>各事業有固-工具器具及び備品-運搬具-前掲以外-自動車-その他-その他</t>
  </si>
  <si>
    <t>92506006</t>
  </si>
  <si>
    <t>各事業有固-工具器具及び備品-運搬具-前掲以外-２輪又は３輪自動車</t>
  </si>
  <si>
    <t>92506007</t>
  </si>
  <si>
    <t>各事業有固-工具器具及び備品-運搬具-前掲以外-自転車</t>
  </si>
  <si>
    <t>92506008</t>
  </si>
  <si>
    <t>各事業有固-工具器具及び備品-運搬具-前掲以外-鉱山用人車、炭車、鉱車及び台車-金属製</t>
  </si>
  <si>
    <t>92506009</t>
  </si>
  <si>
    <t>各事業有固-工具器具及び備品-運搬具-前掲以外-鉱山用人車、炭車、鉱車及び台車-その他</t>
  </si>
  <si>
    <t>92506010</t>
  </si>
  <si>
    <t>各事業有固-工具器具及び備品-運搬具-前掲以外-フォークリフト</t>
  </si>
  <si>
    <t>92506011</t>
  </si>
  <si>
    <t>各事業有固-工具器具及び備品-運搬具-前掲以外-トロッコ-金属製のもの</t>
  </si>
  <si>
    <t>92506012</t>
  </si>
  <si>
    <t>各事業有固-工具器具及び備品-運搬具-前掲以外-トロッコ-その他のもの</t>
  </si>
  <si>
    <t>92506013</t>
  </si>
  <si>
    <t>各事業有固-工具器具及び備品-運搬具-前掲以外-その他のもの-自走能力を有するもの</t>
  </si>
  <si>
    <t>92506014</t>
  </si>
  <si>
    <t>各事業有固-工具器具及び備品-運搬具-前掲以外-その他のもの-その他のもの</t>
  </si>
  <si>
    <t>93006101</t>
  </si>
  <si>
    <t>各事業有固-リース資産-土地</t>
  </si>
  <si>
    <t>93006102</t>
  </si>
  <si>
    <t>各事業有固-リース資産-建物</t>
  </si>
  <si>
    <t>93006103</t>
  </si>
  <si>
    <t>各事業有固-リース資産-構築物</t>
  </si>
  <si>
    <t>93006104</t>
  </si>
  <si>
    <t>各事業有固-リース資産-車両</t>
  </si>
  <si>
    <t>93006105</t>
  </si>
  <si>
    <t>各事業有固-リース資産-機械装置</t>
  </si>
  <si>
    <t>93006106</t>
  </si>
  <si>
    <t>各事業有固-リース資産-工具器具及び備品</t>
  </si>
  <si>
    <t>99906201</t>
  </si>
  <si>
    <t>各事業有固-雑施設</t>
  </si>
  <si>
    <t>A0100001</t>
  </si>
  <si>
    <t>鉄道無固-のれん</t>
  </si>
  <si>
    <t>A0500001</t>
  </si>
  <si>
    <t>鉄道無固-借地権</t>
  </si>
  <si>
    <t>A1000001</t>
  </si>
  <si>
    <t>鉄道無固-地上権</t>
  </si>
  <si>
    <t>A1500001</t>
  </si>
  <si>
    <t>鉄道無固-商標権</t>
  </si>
  <si>
    <t>A2000001</t>
  </si>
  <si>
    <t>鉄道無固-電話加入権</t>
  </si>
  <si>
    <t>A2500001</t>
  </si>
  <si>
    <t>鉄道無固-特許権</t>
  </si>
  <si>
    <t>A3000001</t>
  </si>
  <si>
    <t>鉄道無固-連絡通行施設利用権</t>
  </si>
  <si>
    <t>A3500001</t>
  </si>
  <si>
    <t>鉄道無固-電話施設利用権</t>
  </si>
  <si>
    <t>A4000001</t>
  </si>
  <si>
    <t>鉄道無固-電気供給施設利用権</t>
  </si>
  <si>
    <t>A4500001</t>
  </si>
  <si>
    <t>鉄道無固-ガス供給施設利用権</t>
  </si>
  <si>
    <t>A5000001</t>
  </si>
  <si>
    <t>鉄道無固-熱供給施設利用権</t>
  </si>
  <si>
    <t>A5500001</t>
  </si>
  <si>
    <t>鉄道無固-水道施設利用権</t>
  </si>
  <si>
    <t>A6000001</t>
  </si>
  <si>
    <t>鉄道無固-温泉利用権</t>
  </si>
  <si>
    <t>A6500001</t>
  </si>
  <si>
    <t>鉄道無固-水利権</t>
  </si>
  <si>
    <t>A7000001</t>
  </si>
  <si>
    <t>鉄道無固-ソフトウェア-販売目的</t>
  </si>
  <si>
    <t>A7000002</t>
  </si>
  <si>
    <t>鉄道無固-ソフトウェア-その他</t>
  </si>
  <si>
    <t>A7500001</t>
  </si>
  <si>
    <t>鉄道無固-リース資産</t>
  </si>
  <si>
    <t>A9900001</t>
  </si>
  <si>
    <t>鉄道無固-その他の施設利用権</t>
  </si>
  <si>
    <t>B0100001</t>
  </si>
  <si>
    <t>広告無固-のれん</t>
  </si>
  <si>
    <t>B0500001</t>
  </si>
  <si>
    <t>広告無固-借地権</t>
  </si>
  <si>
    <t>B1000001</t>
  </si>
  <si>
    <t>広告無固-地上権</t>
  </si>
  <si>
    <t>B1500001</t>
  </si>
  <si>
    <t>広告無固-商標権</t>
  </si>
  <si>
    <t>B2000001</t>
  </si>
  <si>
    <t>広告無固-電話加入権</t>
  </si>
  <si>
    <t>B2500001</t>
  </si>
  <si>
    <t>広告無固-特許権</t>
  </si>
  <si>
    <t>B3000001</t>
  </si>
  <si>
    <t>広告無固-連絡通行施設利用権</t>
  </si>
  <si>
    <t>B3500001</t>
  </si>
  <si>
    <t>広告無固-電話施設利用権</t>
  </si>
  <si>
    <t>B4000001</t>
  </si>
  <si>
    <t>広告無固-電気供給施設利用権</t>
  </si>
  <si>
    <t>B4500001</t>
  </si>
  <si>
    <t>広告無固-ガス供給施設利用権</t>
  </si>
  <si>
    <t>B5000001</t>
  </si>
  <si>
    <t>広告無固-熱供給施設利用権</t>
  </si>
  <si>
    <t>B5500001</t>
  </si>
  <si>
    <t>広告無固-水道施設利用権</t>
  </si>
  <si>
    <t>B6000001</t>
  </si>
  <si>
    <t>広告無固-温泉利用権</t>
  </si>
  <si>
    <t>B6500001</t>
  </si>
  <si>
    <t>広告無固-水利権</t>
  </si>
  <si>
    <t>B7000001</t>
  </si>
  <si>
    <t>広告無固-ソフトウェア-販売目的</t>
  </si>
  <si>
    <t>B7000002</t>
  </si>
  <si>
    <t>広告無固-ソフトウェア-その他</t>
  </si>
  <si>
    <t>B7500001</t>
  </si>
  <si>
    <t>広告無固-リース資産</t>
  </si>
  <si>
    <t>B9900001</t>
  </si>
  <si>
    <t>広告無固-その他の施設利用権</t>
  </si>
  <si>
    <t>C0100001</t>
  </si>
  <si>
    <t>不動産無固-のれん</t>
  </si>
  <si>
    <t>C0500001</t>
  </si>
  <si>
    <t>不動産無固-借地権</t>
  </si>
  <si>
    <t>C1000001</t>
  </si>
  <si>
    <t>不動産無固-地上権</t>
  </si>
  <si>
    <t>C1500001</t>
  </si>
  <si>
    <t>不動産無固-商標権</t>
  </si>
  <si>
    <t>C2000001</t>
  </si>
  <si>
    <t>不動産無固-電話加入権</t>
  </si>
  <si>
    <t>C2500001</t>
  </si>
  <si>
    <t>不動産無固-特許権</t>
  </si>
  <si>
    <t>C3000001</t>
  </si>
  <si>
    <t>不動産無固-連絡通行施設利用権</t>
  </si>
  <si>
    <t>C3500001</t>
  </si>
  <si>
    <t>不動産無固-電話施設利用権</t>
  </si>
  <si>
    <t>C4000001</t>
  </si>
  <si>
    <t>不動産無固-電気供給施設利用権</t>
  </si>
  <si>
    <t>C4500001</t>
  </si>
  <si>
    <t>不動産無固-ガス供給施設利用権</t>
  </si>
  <si>
    <t>C5000001</t>
  </si>
  <si>
    <t>不動産無固-熱供給施設利用権</t>
  </si>
  <si>
    <t>C5500001</t>
  </si>
  <si>
    <t>不動産無固-水道施設利用権</t>
  </si>
  <si>
    <t>C6000001</t>
  </si>
  <si>
    <t>不動産無固-温泉利用権</t>
  </si>
  <si>
    <t>C6500001</t>
  </si>
  <si>
    <t>不動産無固-水利権</t>
  </si>
  <si>
    <t>C7000001</t>
  </si>
  <si>
    <t>不動産無固-ソフトウェア-販売目的</t>
  </si>
  <si>
    <t>C7000002</t>
  </si>
  <si>
    <t>不動産無固-ソフトウェア-その他</t>
  </si>
  <si>
    <t>C7500001</t>
  </si>
  <si>
    <t>不動産無固-リース資産</t>
  </si>
  <si>
    <t>C9900001</t>
  </si>
  <si>
    <t>不動産無固-その他の施設利用権</t>
  </si>
  <si>
    <t>D0100001</t>
  </si>
  <si>
    <t>流通無固-のれん</t>
  </si>
  <si>
    <t>D0500001</t>
  </si>
  <si>
    <t>流通無固-借地権</t>
  </si>
  <si>
    <t>D1000001</t>
  </si>
  <si>
    <t>流通無固-地上権</t>
  </si>
  <si>
    <t>D1500001</t>
  </si>
  <si>
    <t>流通無固-商標権</t>
  </si>
  <si>
    <t>D2000001</t>
  </si>
  <si>
    <t>流通無固-電話加入権</t>
  </si>
  <si>
    <t>D2500001</t>
  </si>
  <si>
    <t>流通無固-特許権</t>
  </si>
  <si>
    <t>D3000001</t>
  </si>
  <si>
    <t>流通無固-連絡通行施設利用権</t>
  </si>
  <si>
    <t>D3500001</t>
  </si>
  <si>
    <t>流通無固-電話施設利用権</t>
  </si>
  <si>
    <t>D4000001</t>
  </si>
  <si>
    <t>流通無固-電気供給施設利用権</t>
  </si>
  <si>
    <t>D4500001</t>
  </si>
  <si>
    <t>流通無固-ガス供給施設利用権</t>
  </si>
  <si>
    <t>D5000001</t>
  </si>
  <si>
    <t>流通無固-熱供給施設利用権</t>
  </si>
  <si>
    <t>D5500001</t>
  </si>
  <si>
    <t>流通無固-水道施設利用権</t>
  </si>
  <si>
    <t>D6000001</t>
  </si>
  <si>
    <t>流通無固-温泉利用権</t>
  </si>
  <si>
    <t>D6500001</t>
  </si>
  <si>
    <t>流通無固-水利権</t>
  </si>
  <si>
    <t>D7000001</t>
  </si>
  <si>
    <t>流通無固-ソフトウェア-販売目的</t>
  </si>
  <si>
    <t>D7000002</t>
  </si>
  <si>
    <t>流通無固-ソフトウェア-その他</t>
  </si>
  <si>
    <t>D7500001</t>
  </si>
  <si>
    <t>流通無固-リース資産</t>
  </si>
  <si>
    <t>D9900001</t>
  </si>
  <si>
    <t>流通無固-その他の施設利用権</t>
  </si>
  <si>
    <t>E0100001</t>
  </si>
  <si>
    <t>サービス無固-のれん</t>
  </si>
  <si>
    <t>E0500001</t>
  </si>
  <si>
    <t>サービス無固-借地権</t>
  </si>
  <si>
    <t>E1000001</t>
  </si>
  <si>
    <t>サービス無固-地上権</t>
  </si>
  <si>
    <t>E1500001</t>
  </si>
  <si>
    <t>サービス無固-商標権</t>
  </si>
  <si>
    <t>E2000001</t>
  </si>
  <si>
    <t>サービス無固-電話加入権</t>
  </si>
  <si>
    <t>E2500001</t>
  </si>
  <si>
    <t>サービス無固-特許権</t>
  </si>
  <si>
    <t>E3000001</t>
  </si>
  <si>
    <t>サービス無固-連絡通行施設利用権</t>
  </si>
  <si>
    <t>E3500001</t>
  </si>
  <si>
    <t>サービス無固-電話施設利用権</t>
  </si>
  <si>
    <t>E4000001</t>
  </si>
  <si>
    <t>サービス無固-電気供給施設利用権</t>
  </si>
  <si>
    <t>E4500001</t>
  </si>
  <si>
    <t>サービス無固-ガス供給施設利用権</t>
  </si>
  <si>
    <t>E5000001</t>
  </si>
  <si>
    <t>サービス無固-熱供給施設利用権</t>
  </si>
  <si>
    <t>E5500001</t>
  </si>
  <si>
    <t>サービス無固-水道施設利用権</t>
  </si>
  <si>
    <t>E6000001</t>
  </si>
  <si>
    <t>サービス無固-温泉利用権</t>
  </si>
  <si>
    <t>E6500001</t>
  </si>
  <si>
    <t>サービス無固-水利権</t>
  </si>
  <si>
    <t>E7000001</t>
  </si>
  <si>
    <t>サービス無固-ソフトウェア-販売目的</t>
  </si>
  <si>
    <t>E7000002</t>
  </si>
  <si>
    <t>サービス無固-ソフトウェア-その他</t>
  </si>
  <si>
    <t>E7500001</t>
  </si>
  <si>
    <t>サービス無固-リース資産</t>
  </si>
  <si>
    <t>E9900001</t>
  </si>
  <si>
    <t>サービス無固-その他の施設利用権</t>
  </si>
  <si>
    <t>F0100001</t>
  </si>
  <si>
    <t>各事業無固-のれん</t>
  </si>
  <si>
    <t>F0500001</t>
  </si>
  <si>
    <t>各事業無固-借地権</t>
    <rPh sb="6" eb="8">
      <t>シャクチ</t>
    </rPh>
    <rPh sb="8" eb="9">
      <t>ケン</t>
    </rPh>
    <phoneticPr fontId="3"/>
  </si>
  <si>
    <t>F1000001</t>
  </si>
  <si>
    <t>各事業無固-地上権</t>
    <rPh sb="6" eb="9">
      <t>チジョウケン</t>
    </rPh>
    <phoneticPr fontId="3"/>
  </si>
  <si>
    <t>F1500001</t>
  </si>
  <si>
    <t>各事業無固-商標権</t>
    <rPh sb="6" eb="9">
      <t>ショウヒョウケン</t>
    </rPh>
    <phoneticPr fontId="3"/>
  </si>
  <si>
    <t>F2000001</t>
  </si>
  <si>
    <t>各事業無固-電話加入権</t>
  </si>
  <si>
    <t>F2500001</t>
  </si>
  <si>
    <t>各事業無固-特許権</t>
  </si>
  <si>
    <t>F3000001</t>
  </si>
  <si>
    <t>各事業無固-連絡通行施設利用権</t>
  </si>
  <si>
    <t>F3500001</t>
  </si>
  <si>
    <t>各事業無固-電話施設利用権</t>
  </si>
  <si>
    <t>F4000001</t>
  </si>
  <si>
    <t>各事業無固-電気供給施設利用権</t>
  </si>
  <si>
    <t>F4500001</t>
  </si>
  <si>
    <t>各事業無固-ガス供給施設利用権</t>
  </si>
  <si>
    <t>F5000001</t>
  </si>
  <si>
    <t>各事業無固-熱供給施設利用権</t>
  </si>
  <si>
    <t>F5500001</t>
  </si>
  <si>
    <t>各事業無固-水道施設利用権</t>
  </si>
  <si>
    <t>F6000001</t>
  </si>
  <si>
    <t>各事業無固-温泉利用権</t>
  </si>
  <si>
    <t>F6500001</t>
  </si>
  <si>
    <t>各事業無固-水利権</t>
  </si>
  <si>
    <t>F7000001</t>
  </si>
  <si>
    <t>各事業無固-ソフトウェア-販売目的</t>
  </si>
  <si>
    <t>F7000002</t>
  </si>
  <si>
    <t>各事業無固-ソフトウェア-その他</t>
  </si>
  <si>
    <t>F7500001</t>
  </si>
  <si>
    <t>各事業無固-リース資産</t>
  </si>
  <si>
    <t>F9900001</t>
  </si>
  <si>
    <t>各事業無固-その他の施設利用権</t>
  </si>
  <si>
    <t>ｼｰﾄ更新日20180417</t>
    <rPh sb="3" eb="5">
      <t>コウシン</t>
    </rPh>
    <rPh sb="5" eb="6">
      <t>ヒ</t>
    </rPh>
    <phoneticPr fontId="2"/>
  </si>
  <si>
    <t>P-1</t>
  </si>
  <si>
    <t>共通費集計表</t>
  </si>
  <si>
    <t>工期（Ｔ）か月--&gt;</t>
    <rPh sb="0" eb="2">
      <t>コウキ</t>
    </rPh>
    <rPh sb="6" eb="7">
      <t>ゲツ</t>
    </rPh>
    <phoneticPr fontId="2"/>
  </si>
  <si>
    <t>小数点以下1桁---&gt;</t>
    <rPh sb="0" eb="3">
      <t>ショウスウテン</t>
    </rPh>
    <rPh sb="3" eb="5">
      <t>イカ</t>
    </rPh>
    <rPh sb="6" eb="7">
      <t>ケタ</t>
    </rPh>
    <phoneticPr fontId="2"/>
  </si>
  <si>
    <t>諸経費率--&gt;</t>
    <rPh sb="0" eb="3">
      <t>ショケイヒ</t>
    </rPh>
    <rPh sb="3" eb="4">
      <t>リツ</t>
    </rPh>
    <phoneticPr fontId="2"/>
  </si>
  <si>
    <t>改修・新営を選択--&gt;</t>
    <phoneticPr fontId="2"/>
  </si>
  <si>
    <t>改修</t>
    <rPh sb="0" eb="2">
      <t>カイシュウ</t>
    </rPh>
    <phoneticPr fontId="2"/>
  </si>
  <si>
    <t>前　払 い 有り・無し--&gt;</t>
    <phoneticPr fontId="2"/>
  </si>
  <si>
    <t>リンクする工事シート番号→</t>
    <rPh sb="5" eb="7">
      <t>コウジ</t>
    </rPh>
    <rPh sb="10" eb="12">
      <t>バンゴウ</t>
    </rPh>
    <phoneticPr fontId="2"/>
  </si>
  <si>
    <t>契約保証費 有り・無し--&gt;</t>
  </si>
  <si>
    <t>&lt;工期は2ヶ月以内&gt;</t>
    <rPh sb="1" eb="3">
      <t>コウキ</t>
    </rPh>
    <rPh sb="6" eb="7">
      <t>ゲツ</t>
    </rPh>
    <rPh sb="7" eb="9">
      <t>イナイ</t>
    </rPh>
    <phoneticPr fontId="2"/>
  </si>
  <si>
    <t>共通仮設費　算出方法--&gt;</t>
    <rPh sb="0" eb="2">
      <t>キョウツウ</t>
    </rPh>
    <rPh sb="2" eb="4">
      <t>カセツ</t>
    </rPh>
    <rPh sb="4" eb="5">
      <t>ヒ</t>
    </rPh>
    <rPh sb="6" eb="8">
      <t>サンシュツ</t>
    </rPh>
    <rPh sb="8" eb="10">
      <t>ホウホウ</t>
    </rPh>
    <phoneticPr fontId="2"/>
  </si>
  <si>
    <t>積上げ・率処理併用</t>
  </si>
  <si>
    <t>建物種別補正（"駅施設"又は"地上建物"を選択）--&gt;
※駅施設工事の場合は仮設建物費・動力用水光熱費分を補正</t>
    <rPh sb="0" eb="2">
      <t>タテモノ</t>
    </rPh>
    <rPh sb="2" eb="4">
      <t>シュベツ</t>
    </rPh>
    <rPh sb="3" eb="4">
      <t>コウシュ</t>
    </rPh>
    <rPh sb="4" eb="6">
      <t>ホセイ</t>
    </rPh>
    <rPh sb="8" eb="9">
      <t>エキ</t>
    </rPh>
    <rPh sb="9" eb="11">
      <t>シセツ</t>
    </rPh>
    <rPh sb="12" eb="13">
      <t>マタ</t>
    </rPh>
    <rPh sb="15" eb="17">
      <t>チジョウ</t>
    </rPh>
    <rPh sb="17" eb="19">
      <t>タテモノ</t>
    </rPh>
    <rPh sb="21" eb="23">
      <t>センタク</t>
    </rPh>
    <rPh sb="29" eb="30">
      <t>エキ</t>
    </rPh>
    <rPh sb="30" eb="32">
      <t>シセツ</t>
    </rPh>
    <rPh sb="32" eb="34">
      <t>コウジ</t>
    </rPh>
    <rPh sb="35" eb="37">
      <t>バアイ</t>
    </rPh>
    <rPh sb="38" eb="40">
      <t>カセツ</t>
    </rPh>
    <rPh sb="40" eb="42">
      <t>タテモノ</t>
    </rPh>
    <rPh sb="42" eb="43">
      <t>ヒ</t>
    </rPh>
    <rPh sb="44" eb="46">
      <t>ドウリョク</t>
    </rPh>
    <rPh sb="46" eb="48">
      <t>ヨウスイ</t>
    </rPh>
    <rPh sb="48" eb="51">
      <t>コウネツヒ</t>
    </rPh>
    <rPh sb="51" eb="52">
      <t>ブン</t>
    </rPh>
    <rPh sb="53" eb="55">
      <t>ホセイ</t>
    </rPh>
    <phoneticPr fontId="2"/>
  </si>
  <si>
    <t>駅施設</t>
  </si>
  <si>
    <t>監督員事務所の有無--&gt;
駅施設の場合は"無し"地上建物で監督員事務所を設ける場合は"有り"</t>
    <rPh sb="0" eb="3">
      <t>カントクイン</t>
    </rPh>
    <rPh sb="3" eb="5">
      <t>ジム</t>
    </rPh>
    <rPh sb="5" eb="6">
      <t>ショ</t>
    </rPh>
    <rPh sb="7" eb="9">
      <t>ウム</t>
    </rPh>
    <rPh sb="13" eb="14">
      <t>エキ</t>
    </rPh>
    <rPh sb="14" eb="16">
      <t>シセツ</t>
    </rPh>
    <rPh sb="17" eb="19">
      <t>バアイ</t>
    </rPh>
    <rPh sb="21" eb="22">
      <t>ナ</t>
    </rPh>
    <rPh sb="24" eb="26">
      <t>チジョウ</t>
    </rPh>
    <rPh sb="26" eb="28">
      <t>タテモノ</t>
    </rPh>
    <rPh sb="29" eb="32">
      <t>カントクイン</t>
    </rPh>
    <rPh sb="32" eb="34">
      <t>ジム</t>
    </rPh>
    <rPh sb="34" eb="35">
      <t>ショ</t>
    </rPh>
    <rPh sb="36" eb="37">
      <t>モウ</t>
    </rPh>
    <rPh sb="39" eb="41">
      <t>バアイ</t>
    </rPh>
    <rPh sb="43" eb="44">
      <t>アリ</t>
    </rPh>
    <phoneticPr fontId="2"/>
  </si>
  <si>
    <t>　純　　工　　事　　費　　　　合　　計</t>
    <phoneticPr fontId="2"/>
  </si>
  <si>
    <t>(直接工事費 直接仮設・別途算定を含む)</t>
    <rPh sb="12" eb="14">
      <t>ベット</t>
    </rPh>
    <rPh sb="14" eb="16">
      <t>サンテイ</t>
    </rPh>
    <phoneticPr fontId="2"/>
  </si>
  <si>
    <t>現場管理費より控除する専門・除外の工事費---&gt;</t>
    <phoneticPr fontId="2"/>
  </si>
  <si>
    <t>一般管理費等より控除する専門・除外の工事費---&gt;</t>
  </si>
  <si>
    <t>別途算定の現場管理費にかかる工事費--&gt;</t>
    <rPh sb="0" eb="2">
      <t>ベット</t>
    </rPh>
    <rPh sb="2" eb="4">
      <t>サンテイ</t>
    </rPh>
    <phoneticPr fontId="2"/>
  </si>
  <si>
    <t>(共通仮設費) 総計</t>
    <rPh sb="8" eb="10">
      <t>ソウケイ</t>
    </rPh>
    <phoneticPr fontId="2"/>
  </si>
  <si>
    <t>内、率算出による総額</t>
    <rPh sb="8" eb="9">
      <t>ソウ</t>
    </rPh>
    <phoneticPr fontId="2"/>
  </si>
  <si>
    <t>内、積上げによる総額</t>
    <rPh sb="0" eb="1">
      <t>ウチ</t>
    </rPh>
    <rPh sb="2" eb="3">
      <t>ツ</t>
    </rPh>
    <rPh sb="3" eb="4">
      <t>ア</t>
    </rPh>
    <rPh sb="8" eb="9">
      <t>ソウ</t>
    </rPh>
    <rPh sb="9" eb="10">
      <t>ガク</t>
    </rPh>
    <phoneticPr fontId="2"/>
  </si>
  <si>
    <t>　　　　内ﾘｰｽ料、借地借家料</t>
    <rPh sb="4" eb="5">
      <t>ウチ</t>
    </rPh>
    <rPh sb="8" eb="9">
      <t>リョウ</t>
    </rPh>
    <rPh sb="10" eb="12">
      <t>シャクチ</t>
    </rPh>
    <rPh sb="12" eb="14">
      <t>シャクヤ</t>
    </rPh>
    <rPh sb="14" eb="15">
      <t>リョウ</t>
    </rPh>
    <phoneticPr fontId="2"/>
  </si>
  <si>
    <t>内、残材処分費</t>
    <rPh sb="2" eb="3">
      <t>ザン</t>
    </rPh>
    <rPh sb="3" eb="4">
      <t>ザイ</t>
    </rPh>
    <rPh sb="4" eb="6">
      <t>ショブン</t>
    </rPh>
    <rPh sb="6" eb="7">
      <t>ヒ</t>
    </rPh>
    <phoneticPr fontId="2"/>
  </si>
  <si>
    <t>内、別途算定による共仮費</t>
    <rPh sb="0" eb="1">
      <t>ウチ</t>
    </rPh>
    <rPh sb="2" eb="4">
      <t>ベット</t>
    </rPh>
    <rPh sb="4" eb="6">
      <t>サンテイ</t>
    </rPh>
    <rPh sb="9" eb="10">
      <t>トモ</t>
    </rPh>
    <rPh sb="10" eb="11">
      <t>カリ</t>
    </rPh>
    <rPh sb="11" eb="12">
      <t>ヒ</t>
    </rPh>
    <phoneticPr fontId="2"/>
  </si>
  <si>
    <t>　現場管理費・一般管理費等　　合　　計</t>
    <rPh sb="1" eb="3">
      <t>ゲンバ</t>
    </rPh>
    <rPh sb="3" eb="5">
      <t>カンリ</t>
    </rPh>
    <rPh sb="5" eb="6">
      <t>ヒ</t>
    </rPh>
    <rPh sb="7" eb="9">
      <t>イッパン</t>
    </rPh>
    <rPh sb="9" eb="11">
      <t>カンリ</t>
    </rPh>
    <rPh sb="11" eb="12">
      <t>ヒ</t>
    </rPh>
    <rPh sb="12" eb="13">
      <t>トウ</t>
    </rPh>
    <phoneticPr fontId="2"/>
  </si>
  <si>
    <t>(現 場 管 理 費)</t>
  </si>
  <si>
    <t>　　内、建築工事によるもの</t>
    <rPh sb="2" eb="3">
      <t>ウチ</t>
    </rPh>
    <rPh sb="4" eb="6">
      <t>ケンチク</t>
    </rPh>
    <rPh sb="6" eb="8">
      <t>コウジ</t>
    </rPh>
    <phoneticPr fontId="2"/>
  </si>
  <si>
    <t>[内率算出による標準額]</t>
  </si>
  <si>
    <t>[内固定率・除外（設備含む）の額]</t>
    <rPh sb="9" eb="11">
      <t>セツビ</t>
    </rPh>
    <rPh sb="11" eb="12">
      <t>フク</t>
    </rPh>
    <phoneticPr fontId="2"/>
  </si>
  <si>
    <t>内、別途算定によるもの</t>
    <rPh sb="0" eb="1">
      <t>ウチ</t>
    </rPh>
    <rPh sb="2" eb="4">
      <t>ベット</t>
    </rPh>
    <rPh sb="4" eb="6">
      <t>サンテイ</t>
    </rPh>
    <phoneticPr fontId="2"/>
  </si>
  <si>
    <t>(一 般 管 理 費 等)</t>
  </si>
  <si>
    <t>[内保証費等による補正額]</t>
  </si>
  <si>
    <t>[内固定率・除外の額]</t>
  </si>
  <si>
    <t>内、別途算定によるもの（補正額含む）</t>
    <rPh sb="0" eb="1">
      <t>ウチ</t>
    </rPh>
    <rPh sb="2" eb="4">
      <t>ベット</t>
    </rPh>
    <rPh sb="4" eb="6">
      <t>サンテイ</t>
    </rPh>
    <rPh sb="12" eb="14">
      <t>ホセイ</t>
    </rPh>
    <rPh sb="14" eb="15">
      <t>ガク</t>
    </rPh>
    <rPh sb="15" eb="16">
      <t>フク</t>
    </rPh>
    <phoneticPr fontId="2"/>
  </si>
  <si>
    <t>　工 　事 　価 　格</t>
    <phoneticPr fontId="2"/>
  </si>
  <si>
    <t>共 通 費 算 定 用 入 力 欄</t>
    <rPh sb="0" eb="1">
      <t>トモ</t>
    </rPh>
    <rPh sb="2" eb="3">
      <t>ツウ</t>
    </rPh>
    <phoneticPr fontId="2"/>
  </si>
  <si>
    <t>（緑色部分に入力）</t>
  </si>
  <si>
    <t>合 計</t>
  </si>
  <si>
    <t>一般・その他等  直接工事費</t>
    <rPh sb="9" eb="11">
      <t>チョクセツ</t>
    </rPh>
    <rPh sb="11" eb="13">
      <t>コウジ</t>
    </rPh>
    <rPh sb="13" eb="14">
      <t>ヒ</t>
    </rPh>
    <phoneticPr fontId="2"/>
  </si>
  <si>
    <t>標準</t>
    <phoneticPr fontId="2"/>
  </si>
  <si>
    <t>(1)新築一般建築工事</t>
  </si>
  <si>
    <t>(2)改修一般建築工事</t>
  </si>
  <si>
    <t>(3)新築主体工事の鉄骨工事(機械費含む)</t>
    <phoneticPr fontId="2"/>
  </si>
  <si>
    <t>(4)改修主体工事の鉄骨工事(機械費含む)</t>
    <rPh sb="15" eb="17">
      <t>キカイ</t>
    </rPh>
    <rPh sb="17" eb="18">
      <t>ヒ</t>
    </rPh>
    <rPh sb="18" eb="19">
      <t>フク</t>
    </rPh>
    <phoneticPr fontId="2"/>
  </si>
  <si>
    <t>そ　の　他　工　事</t>
    <rPh sb="4" eb="5">
      <t>タ</t>
    </rPh>
    <rPh sb="6" eb="9">
      <t>コウジ</t>
    </rPh>
    <phoneticPr fontId="2"/>
  </si>
  <si>
    <t>(5)造園工事、舗装工事(排水除く)</t>
    <phoneticPr fontId="2"/>
  </si>
  <si>
    <t>(6)とりこわし工事(部分撤去、処分費除く)</t>
    <rPh sb="11" eb="13">
      <t>ブブン</t>
    </rPh>
    <rPh sb="13" eb="15">
      <t>テッキョ</t>
    </rPh>
    <phoneticPr fontId="2"/>
  </si>
  <si>
    <t>(7)特殊な室内装備品工事</t>
  </si>
  <si>
    <t>　家具・流し・実験台</t>
    <phoneticPr fontId="2"/>
  </si>
  <si>
    <t>　黒板・書架・ｶｳﾝﾀｰ・ﾛｰﾊﾟｰﾃｨｯｼｮﾝ等</t>
  </si>
  <si>
    <t>(8)プレハブ工事</t>
  </si>
  <si>
    <t>(9)</t>
    <phoneticPr fontId="2"/>
  </si>
  <si>
    <t>(10)</t>
    <phoneticPr fontId="2"/>
  </si>
  <si>
    <t>(11)近隣家屋調査及び地質調査</t>
  </si>
  <si>
    <t>除　外</t>
    <rPh sb="0" eb="1">
      <t>ジョ</t>
    </rPh>
    <rPh sb="2" eb="3">
      <t>ガイ</t>
    </rPh>
    <phoneticPr fontId="2"/>
  </si>
  <si>
    <t>(12)残材処分費及び残土処分費(直工費のみ)</t>
    <rPh sb="17" eb="18">
      <t>チョク</t>
    </rPh>
    <rPh sb="18" eb="19">
      <t>コウ</t>
    </rPh>
    <rPh sb="19" eb="20">
      <t>ヒ</t>
    </rPh>
    <phoneticPr fontId="2"/>
  </si>
  <si>
    <t>(12)残材処分費及び残土処分費(共通仮設)</t>
    <rPh sb="17" eb="19">
      <t>キョウツウ</t>
    </rPh>
    <rPh sb="19" eb="21">
      <t>カセツ</t>
    </rPh>
    <phoneticPr fontId="2"/>
  </si>
  <si>
    <t>(14)リース料,借地借家料（共通仮設）</t>
    <rPh sb="15" eb="17">
      <t>キョウツウ</t>
    </rPh>
    <rPh sb="17" eb="19">
      <t>カセツ</t>
    </rPh>
    <phoneticPr fontId="2"/>
  </si>
  <si>
    <t>(14)リース料,借地借家料（直工費のみ）</t>
    <rPh sb="15" eb="16">
      <t>チョク</t>
    </rPh>
    <rPh sb="16" eb="17">
      <t>コウ</t>
    </rPh>
    <rPh sb="17" eb="18">
      <t>ヒ</t>
    </rPh>
    <phoneticPr fontId="2"/>
  </si>
  <si>
    <t>(15)別途算定（直工費）</t>
    <rPh sb="4" eb="6">
      <t>ベット</t>
    </rPh>
    <rPh sb="6" eb="8">
      <t>サンテイ</t>
    </rPh>
    <rPh sb="9" eb="10">
      <t>チョク</t>
    </rPh>
    <rPh sb="10" eb="11">
      <t>コウ</t>
    </rPh>
    <rPh sb="11" eb="12">
      <t>ヒ</t>
    </rPh>
    <phoneticPr fontId="2"/>
  </si>
  <si>
    <t>(16）別途算定（共通仮設）</t>
    <rPh sb="4" eb="6">
      <t>ベット</t>
    </rPh>
    <rPh sb="6" eb="8">
      <t>サンテイ</t>
    </rPh>
    <rPh sb="9" eb="11">
      <t>キョウツウ</t>
    </rPh>
    <rPh sb="11" eb="13">
      <t>カセツ</t>
    </rPh>
    <phoneticPr fontId="2"/>
  </si>
  <si>
    <t>(17)下水道使用料、各種負担金（共通仮設）</t>
    <rPh sb="11" eb="13">
      <t>カクシュ</t>
    </rPh>
    <rPh sb="13" eb="16">
      <t>フタンキン</t>
    </rPh>
    <rPh sb="17" eb="19">
      <t>キョウツウ</t>
    </rPh>
    <rPh sb="19" eb="21">
      <t>カセツ</t>
    </rPh>
    <phoneticPr fontId="2"/>
  </si>
  <si>
    <t>共 通 費 算 定 表 (0)</t>
    <rPh sb="0" eb="1">
      <t>トモ</t>
    </rPh>
    <rPh sb="2" eb="3">
      <t>ツウ</t>
    </rPh>
    <phoneticPr fontId="2"/>
  </si>
  <si>
    <t>P-1-2</t>
    <phoneticPr fontId="2"/>
  </si>
  <si>
    <t>※(0）及び(1)並びに(2) ---&gt; 新築・改修工事が一括発注の場合は、合計額に対する各々の率</t>
    <rPh sb="4" eb="5">
      <t>オヨ</t>
    </rPh>
    <rPh sb="9" eb="10">
      <t>ナラ</t>
    </rPh>
    <phoneticPr fontId="2"/>
  </si>
  <si>
    <t>補正率</t>
  </si>
  <si>
    <t>当該率</t>
    <phoneticPr fontId="2"/>
  </si>
  <si>
    <t>共通仮設費対象直接工事費</t>
    <rPh sb="0" eb="2">
      <t>キョウツウ</t>
    </rPh>
    <rPh sb="2" eb="4">
      <t>カセツ</t>
    </rPh>
    <rPh sb="4" eb="5">
      <t>ヒ</t>
    </rPh>
    <rPh sb="7" eb="9">
      <t>チョクセツ</t>
    </rPh>
    <phoneticPr fontId="2"/>
  </si>
  <si>
    <r>
      <t>対象直接工事費（</t>
    </r>
    <r>
      <rPr>
        <sz val="10"/>
        <color indexed="10"/>
        <rFont val="ＭＳ Ｐ明朝"/>
        <family val="1"/>
        <charset val="128"/>
      </rPr>
      <t>（12）、(15)～(17)除く</t>
    </r>
    <r>
      <rPr>
        <sz val="10"/>
        <color indexed="17"/>
        <rFont val="ＭＳ Ｐ明朝"/>
        <family val="1"/>
        <charset val="128"/>
      </rPr>
      <t>）</t>
    </r>
    <rPh sb="2" eb="4">
      <t>チョクセツ</t>
    </rPh>
    <rPh sb="22" eb="23">
      <t>ノゾ</t>
    </rPh>
    <phoneticPr fontId="2"/>
  </si>
  <si>
    <t>-</t>
    <phoneticPr fontId="2"/>
  </si>
  <si>
    <t>(3)新築主体工事の鉄骨工事(機械費含む)</t>
  </si>
  <si>
    <t>(4)改修主体工事の鉄骨工事(機械費含む)</t>
  </si>
  <si>
    <t>(5)造園工事、舗装工事(排水除く)</t>
  </si>
  <si>
    <t>(6)とりこわし工事</t>
    <phoneticPr fontId="2"/>
  </si>
  <si>
    <t>除外</t>
  </si>
  <si>
    <t>（12）～(17) （但し(14)は率算出対象）</t>
    <rPh sb="11" eb="12">
      <t>タダ</t>
    </rPh>
    <rPh sb="18" eb="19">
      <t>リツ</t>
    </rPh>
    <rPh sb="19" eb="21">
      <t>サンシュツ</t>
    </rPh>
    <rPh sb="21" eb="23">
      <t>タイショウ</t>
    </rPh>
    <phoneticPr fontId="2"/>
  </si>
  <si>
    <t>共通仮設費 [内率算出による標準額]</t>
    <rPh sb="0" eb="2">
      <t>キョウツウ</t>
    </rPh>
    <rPh sb="2" eb="4">
      <t>カセツ</t>
    </rPh>
    <rPh sb="4" eb="5">
      <t>ヒ</t>
    </rPh>
    <rPh sb="7" eb="8">
      <t>ウチ</t>
    </rPh>
    <rPh sb="8" eb="9">
      <t>リツ</t>
    </rPh>
    <rPh sb="9" eb="11">
      <t>サンシュツ</t>
    </rPh>
    <rPh sb="14" eb="16">
      <t>ヒョウジュン</t>
    </rPh>
    <rPh sb="16" eb="17">
      <t>ガク</t>
    </rPh>
    <phoneticPr fontId="2"/>
  </si>
  <si>
    <t>当該率---&gt;</t>
    <phoneticPr fontId="2"/>
  </si>
  <si>
    <t>(3)新築主体工事の鉄骨工事</t>
  </si>
  <si>
    <t>(4)改修主体工事の鉄骨工事</t>
  </si>
  <si>
    <t>(6)とりこわし工事</t>
  </si>
  <si>
    <t>　家具・流し・実験台</t>
  </si>
  <si>
    <t>(9)</t>
  </si>
  <si>
    <t>(10)</t>
  </si>
  <si>
    <t>（12）～(17)</t>
  </si>
  <si>
    <t>共通仮設費 [内率算出による標準額]</t>
    <rPh sb="0" eb="2">
      <t>キョウツウ</t>
    </rPh>
    <rPh sb="2" eb="4">
      <t>カセツ</t>
    </rPh>
    <rPh sb="4" eb="5">
      <t>ヒ</t>
    </rPh>
    <phoneticPr fontId="2"/>
  </si>
  <si>
    <t>共 通 費 算 定 表 (1)</t>
    <rPh sb="0" eb="1">
      <t>トモ</t>
    </rPh>
    <rPh sb="2" eb="3">
      <t>ツウ</t>
    </rPh>
    <phoneticPr fontId="2"/>
  </si>
  <si>
    <t>P-2</t>
  </si>
  <si>
    <t>※(1)及び(2) ---&gt; 新築・改修工事が一括発注の場合は、合計額に対する各々の率</t>
    <phoneticPr fontId="2"/>
  </si>
  <si>
    <t>現場管理費対象純工事費</t>
  </si>
  <si>
    <t>対象純工事費（（12）(15）(16））除く</t>
    <rPh sb="20" eb="21">
      <t>ノゾ</t>
    </rPh>
    <phoneticPr fontId="2"/>
  </si>
  <si>
    <t>(12)～（17）</t>
    <phoneticPr fontId="2"/>
  </si>
  <si>
    <t>現場管理費</t>
    <phoneticPr fontId="2"/>
  </si>
  <si>
    <t>(11)近隣家屋調査及び地質調査</t>
    <phoneticPr fontId="2"/>
  </si>
  <si>
    <t>別途算定</t>
    <rPh sb="0" eb="2">
      <t>ベット</t>
    </rPh>
    <rPh sb="2" eb="4">
      <t>サンテイ</t>
    </rPh>
    <phoneticPr fontId="2"/>
  </si>
  <si>
    <t>（18）別途算定　現場管理費</t>
    <rPh sb="4" eb="6">
      <t>ベット</t>
    </rPh>
    <rPh sb="6" eb="8">
      <t>サンテイ</t>
    </rPh>
    <rPh sb="9" eb="11">
      <t>ゲンバ</t>
    </rPh>
    <rPh sb="11" eb="14">
      <t>カンリヒ</t>
    </rPh>
    <phoneticPr fontId="2"/>
  </si>
  <si>
    <t>　※各別途工事により算定</t>
    <rPh sb="2" eb="3">
      <t>カク</t>
    </rPh>
    <rPh sb="3" eb="5">
      <t>ベット</t>
    </rPh>
    <rPh sb="5" eb="7">
      <t>コウジ</t>
    </rPh>
    <rPh sb="10" eb="12">
      <t>サンテイ</t>
    </rPh>
    <phoneticPr fontId="2"/>
  </si>
  <si>
    <t>現場管理費 合 計</t>
  </si>
  <si>
    <t>工事原価</t>
  </si>
  <si>
    <t>共 通 費 算 定 表 (2)</t>
    <rPh sb="0" eb="1">
      <t>トモ</t>
    </rPh>
    <rPh sb="2" eb="3">
      <t>ツウ</t>
    </rPh>
    <phoneticPr fontId="2"/>
  </si>
  <si>
    <t>P-3</t>
  </si>
  <si>
    <t>当該率</t>
  </si>
  <si>
    <t>建築工事原価</t>
  </si>
  <si>
    <t>土木工事原価（一括発注時）</t>
    <rPh sb="0" eb="2">
      <t>ドボク</t>
    </rPh>
    <rPh sb="2" eb="4">
      <t>コウジ</t>
    </rPh>
    <rPh sb="4" eb="6">
      <t>ゲンカ</t>
    </rPh>
    <rPh sb="7" eb="9">
      <t>イッカツ</t>
    </rPh>
    <rPh sb="9" eb="11">
      <t>ハッチュウ</t>
    </rPh>
    <rPh sb="11" eb="12">
      <t>ジ</t>
    </rPh>
    <phoneticPr fontId="2"/>
  </si>
  <si>
    <t>対象工事原価（下水道使用料・各種負担金を除く）</t>
    <rPh sb="14" eb="16">
      <t>カクシュ</t>
    </rPh>
    <rPh sb="16" eb="19">
      <t>フタンキン</t>
    </rPh>
    <phoneticPr fontId="2"/>
  </si>
  <si>
    <t>&lt;--前　払　い 有り・無し</t>
  </si>
  <si>
    <t>一般管理費等対象工事原価</t>
  </si>
  <si>
    <t>&lt;--契約保証費 有り・無し</t>
  </si>
  <si>
    <t>標準</t>
  </si>
  <si>
    <t>(1)建築工事～(14)借地借家料</t>
    <phoneticPr fontId="2"/>
  </si>
  <si>
    <t>補正</t>
    <rPh sb="1" eb="2">
      <t>セイ</t>
    </rPh>
    <phoneticPr fontId="2"/>
  </si>
  <si>
    <t>前　払　い無し時の補正</t>
  </si>
  <si>
    <t>契約保証費有り時の補正</t>
  </si>
  <si>
    <t>除外</t>
    <rPh sb="1" eb="2">
      <t>ガイ</t>
    </rPh>
    <phoneticPr fontId="2"/>
  </si>
  <si>
    <t>一般管理費等</t>
  </si>
  <si>
    <t>別途算定　一般管理費等</t>
    <rPh sb="0" eb="2">
      <t>ベット</t>
    </rPh>
    <rPh sb="2" eb="4">
      <t>サンテイ</t>
    </rPh>
    <rPh sb="5" eb="7">
      <t>イッパン</t>
    </rPh>
    <rPh sb="7" eb="10">
      <t>カンリヒ</t>
    </rPh>
    <rPh sb="10" eb="11">
      <t>トウ</t>
    </rPh>
    <phoneticPr fontId="2"/>
  </si>
  <si>
    <t>　※土木工事により算定(補正額含む）</t>
    <rPh sb="2" eb="4">
      <t>ドボク</t>
    </rPh>
    <rPh sb="4" eb="6">
      <t>コウジ</t>
    </rPh>
    <rPh sb="9" eb="11">
      <t>サンテイ</t>
    </rPh>
    <rPh sb="12" eb="14">
      <t>ホセイ</t>
    </rPh>
    <rPh sb="14" eb="15">
      <t>ガク</t>
    </rPh>
    <rPh sb="15" eb="16">
      <t>フク</t>
    </rPh>
    <phoneticPr fontId="2"/>
  </si>
  <si>
    <t>一般管理費等 合 計</t>
  </si>
  <si>
    <t>工事価格</t>
  </si>
  <si>
    <t>調整 一般管理費等</t>
  </si>
  <si>
    <t>ﾏｲﾅｽ表示はERR-&gt;</t>
  </si>
  <si>
    <t>工事価格    改  計</t>
  </si>
  <si>
    <t>共通仮設費率  算定欄</t>
    <rPh sb="0" eb="2">
      <t>キョウツウ</t>
    </rPh>
    <rPh sb="2" eb="4">
      <t>カセツ</t>
    </rPh>
    <rPh sb="4" eb="5">
      <t>ヒ</t>
    </rPh>
    <rPh sb="5" eb="6">
      <t>リツ</t>
    </rPh>
    <rPh sb="8" eb="10">
      <t>サンテイ</t>
    </rPh>
    <rPh sb="10" eb="11">
      <t>ラン</t>
    </rPh>
    <phoneticPr fontId="2"/>
  </si>
  <si>
    <t>Ｔ（か月）</t>
    <rPh sb="3" eb="4">
      <t>ツキ</t>
    </rPh>
    <phoneticPr fontId="2"/>
  </si>
  <si>
    <t>新営建築工事</t>
    <rPh sb="0" eb="2">
      <t>シンエイ</t>
    </rPh>
    <rPh sb="2" eb="4">
      <t>ケンチク</t>
    </rPh>
    <rPh sb="4" eb="6">
      <t>コウジ</t>
    </rPh>
    <phoneticPr fontId="2"/>
  </si>
  <si>
    <t>共通仮設費率 算定式により算定される率</t>
    <rPh sb="0" eb="2">
      <t>キョウツウ</t>
    </rPh>
    <rPh sb="2" eb="4">
      <t>カセツ</t>
    </rPh>
    <rPh sb="5" eb="6">
      <t>リツ</t>
    </rPh>
    <rPh sb="7" eb="9">
      <t>サンテイ</t>
    </rPh>
    <rPh sb="9" eb="10">
      <t>シキ</t>
    </rPh>
    <rPh sb="13" eb="15">
      <t>サンテイ</t>
    </rPh>
    <rPh sb="18" eb="19">
      <t>リツ</t>
    </rPh>
    <phoneticPr fontId="2"/>
  </si>
  <si>
    <t>Ｋｒ</t>
    <phoneticPr fontId="2"/>
  </si>
  <si>
    <t>直接工事費が１千万円以下</t>
    <rPh sb="0" eb="2">
      <t>チョクセツ</t>
    </rPh>
    <rPh sb="2" eb="4">
      <t>コウジ</t>
    </rPh>
    <rPh sb="4" eb="5">
      <t>ヒ</t>
    </rPh>
    <rPh sb="7" eb="8">
      <t>セン</t>
    </rPh>
    <rPh sb="9" eb="10">
      <t>エン</t>
    </rPh>
    <rPh sb="10" eb="12">
      <t>イカ</t>
    </rPh>
    <phoneticPr fontId="2"/>
  </si>
  <si>
    <t>上限</t>
    <rPh sb="0" eb="2">
      <t>ジョウゲン</t>
    </rPh>
    <phoneticPr fontId="2"/>
  </si>
  <si>
    <t>下限</t>
    <rPh sb="0" eb="1">
      <t>シタ</t>
    </rPh>
    <rPh sb="1" eb="2">
      <t>カギ</t>
    </rPh>
    <phoneticPr fontId="2"/>
  </si>
  <si>
    <t>直接工事費が１千万円超える</t>
    <rPh sb="0" eb="2">
      <t>チョクセツ</t>
    </rPh>
    <rPh sb="2" eb="4">
      <t>コウジ</t>
    </rPh>
    <rPh sb="4" eb="5">
      <t>ヒ</t>
    </rPh>
    <rPh sb="7" eb="8">
      <t>セン</t>
    </rPh>
    <rPh sb="9" eb="10">
      <t>エン</t>
    </rPh>
    <rPh sb="10" eb="11">
      <t>コ</t>
    </rPh>
    <phoneticPr fontId="2"/>
  </si>
  <si>
    <t>今回工事の共通仮設費率</t>
    <rPh sb="0" eb="2">
      <t>コンカイ</t>
    </rPh>
    <rPh sb="2" eb="4">
      <t>コウジ</t>
    </rPh>
    <rPh sb="5" eb="7">
      <t>キョウツウ</t>
    </rPh>
    <rPh sb="7" eb="9">
      <t>カセツ</t>
    </rPh>
    <rPh sb="9" eb="10">
      <t>ヒ</t>
    </rPh>
    <rPh sb="10" eb="11">
      <t>リツ</t>
    </rPh>
    <phoneticPr fontId="2"/>
  </si>
  <si>
    <t>今回工事の共通仮設費率補正</t>
    <rPh sb="0" eb="2">
      <t>コンカイ</t>
    </rPh>
    <rPh sb="2" eb="4">
      <t>コウジ</t>
    </rPh>
    <rPh sb="5" eb="7">
      <t>キョウツウ</t>
    </rPh>
    <rPh sb="7" eb="9">
      <t>カセツ</t>
    </rPh>
    <rPh sb="9" eb="10">
      <t>ヒ</t>
    </rPh>
    <rPh sb="10" eb="11">
      <t>リツ</t>
    </rPh>
    <rPh sb="11" eb="13">
      <t>ホセイ</t>
    </rPh>
    <phoneticPr fontId="2"/>
  </si>
  <si>
    <t>改修建築工事</t>
    <rPh sb="0" eb="2">
      <t>カイシュウ</t>
    </rPh>
    <rPh sb="2" eb="4">
      <t>ケンチク</t>
    </rPh>
    <rPh sb="4" eb="6">
      <t>コウジ</t>
    </rPh>
    <phoneticPr fontId="2"/>
  </si>
  <si>
    <t>Ｋｒ</t>
  </si>
  <si>
    <t>直接工事費が5百万円以下</t>
    <rPh sb="0" eb="2">
      <t>チョクセツ</t>
    </rPh>
    <rPh sb="2" eb="4">
      <t>コウジ</t>
    </rPh>
    <rPh sb="4" eb="5">
      <t>ヒ</t>
    </rPh>
    <rPh sb="7" eb="8">
      <t>ヒャク</t>
    </rPh>
    <rPh sb="9" eb="10">
      <t>エン</t>
    </rPh>
    <rPh sb="10" eb="12">
      <t>イカ</t>
    </rPh>
    <phoneticPr fontId="2"/>
  </si>
  <si>
    <t>直接工事費が5百万円超える</t>
    <rPh sb="0" eb="2">
      <t>チョクセツ</t>
    </rPh>
    <rPh sb="2" eb="4">
      <t>コウジ</t>
    </rPh>
    <rPh sb="4" eb="5">
      <t>ヒ</t>
    </rPh>
    <rPh sb="7" eb="8">
      <t>ヒャク</t>
    </rPh>
    <rPh sb="9" eb="10">
      <t>エン</t>
    </rPh>
    <rPh sb="10" eb="11">
      <t>コ</t>
    </rPh>
    <phoneticPr fontId="2"/>
  </si>
  <si>
    <t>現場管理費率  算定欄</t>
    <rPh sb="5" eb="6">
      <t>リツ</t>
    </rPh>
    <rPh sb="8" eb="10">
      <t>サンテイ</t>
    </rPh>
    <rPh sb="10" eb="11">
      <t>ラン</t>
    </rPh>
    <phoneticPr fontId="2"/>
  </si>
  <si>
    <t>現場管理費率 算定式により算定される率</t>
    <rPh sb="5" eb="6">
      <t>リツ</t>
    </rPh>
    <rPh sb="7" eb="9">
      <t>サンテイ</t>
    </rPh>
    <rPh sb="9" eb="10">
      <t>シキ</t>
    </rPh>
    <rPh sb="13" eb="15">
      <t>サンテイ</t>
    </rPh>
    <rPh sb="18" eb="19">
      <t>リツ</t>
    </rPh>
    <phoneticPr fontId="2"/>
  </si>
  <si>
    <t>Jo</t>
    <phoneticPr fontId="2"/>
  </si>
  <si>
    <t>純工事費が１千万円以下</t>
    <rPh sb="0" eb="1">
      <t>ジュン</t>
    </rPh>
    <rPh sb="1" eb="3">
      <t>コウジ</t>
    </rPh>
    <rPh sb="3" eb="4">
      <t>ヒ</t>
    </rPh>
    <rPh sb="6" eb="7">
      <t>セン</t>
    </rPh>
    <rPh sb="8" eb="9">
      <t>エン</t>
    </rPh>
    <rPh sb="9" eb="11">
      <t>イカ</t>
    </rPh>
    <phoneticPr fontId="2"/>
  </si>
  <si>
    <t>純工事費が１千万円超える</t>
    <rPh sb="0" eb="1">
      <t>ジュン</t>
    </rPh>
    <rPh sb="1" eb="3">
      <t>コウジ</t>
    </rPh>
    <rPh sb="3" eb="4">
      <t>ヒ</t>
    </rPh>
    <rPh sb="6" eb="7">
      <t>セン</t>
    </rPh>
    <rPh sb="8" eb="9">
      <t>エン</t>
    </rPh>
    <rPh sb="9" eb="10">
      <t>コ</t>
    </rPh>
    <phoneticPr fontId="2"/>
  </si>
  <si>
    <t>今回工事の現場管理費率</t>
    <rPh sb="0" eb="2">
      <t>コンカイ</t>
    </rPh>
    <rPh sb="2" eb="4">
      <t>コウジ</t>
    </rPh>
    <rPh sb="5" eb="7">
      <t>ゲンバ</t>
    </rPh>
    <rPh sb="7" eb="10">
      <t>カンリヒ</t>
    </rPh>
    <rPh sb="10" eb="11">
      <t>リツ</t>
    </rPh>
    <phoneticPr fontId="2"/>
  </si>
  <si>
    <t>純工事費が5百万円以下</t>
    <rPh sb="0" eb="1">
      <t>ジュン</t>
    </rPh>
    <rPh sb="1" eb="3">
      <t>コウジ</t>
    </rPh>
    <rPh sb="3" eb="4">
      <t>ヒ</t>
    </rPh>
    <rPh sb="6" eb="7">
      <t>ヒャク</t>
    </rPh>
    <rPh sb="8" eb="9">
      <t>エン</t>
    </rPh>
    <rPh sb="9" eb="11">
      <t>イカ</t>
    </rPh>
    <phoneticPr fontId="2"/>
  </si>
  <si>
    <t>純工事費が5百万円超える</t>
    <rPh sb="0" eb="1">
      <t>ジュン</t>
    </rPh>
    <rPh sb="1" eb="3">
      <t>コウジ</t>
    </rPh>
    <rPh sb="3" eb="4">
      <t>ヒ</t>
    </rPh>
    <rPh sb="6" eb="7">
      <t>ヒャク</t>
    </rPh>
    <rPh sb="8" eb="9">
      <t>エン</t>
    </rPh>
    <rPh sb="9" eb="10">
      <t>コ</t>
    </rPh>
    <phoneticPr fontId="2"/>
  </si>
  <si>
    <t>一般管理費等率  算定欄</t>
    <rPh sb="0" eb="2">
      <t>イッパン</t>
    </rPh>
    <rPh sb="5" eb="6">
      <t>トウ</t>
    </rPh>
    <rPh sb="6" eb="7">
      <t>リツ</t>
    </rPh>
    <rPh sb="9" eb="11">
      <t>サンテイ</t>
    </rPh>
    <rPh sb="11" eb="12">
      <t>ラン</t>
    </rPh>
    <phoneticPr fontId="2"/>
  </si>
  <si>
    <t>一般管理費等率 算定式により算定される率</t>
    <rPh sb="0" eb="2">
      <t>イッパン</t>
    </rPh>
    <rPh sb="5" eb="6">
      <t>トウ</t>
    </rPh>
    <rPh sb="6" eb="7">
      <t>リツ</t>
    </rPh>
    <rPh sb="8" eb="10">
      <t>サンテイ</t>
    </rPh>
    <rPh sb="10" eb="11">
      <t>シキ</t>
    </rPh>
    <rPh sb="14" eb="16">
      <t>サンテイ</t>
    </rPh>
    <rPh sb="19" eb="20">
      <t>リツ</t>
    </rPh>
    <phoneticPr fontId="2"/>
  </si>
  <si>
    <t>Gp</t>
    <phoneticPr fontId="2"/>
  </si>
  <si>
    <t>工事原価が5百万円以下</t>
    <rPh sb="0" eb="2">
      <t>コウジ</t>
    </rPh>
    <rPh sb="2" eb="4">
      <t>ゲンカ</t>
    </rPh>
    <rPh sb="6" eb="7">
      <t>ヒャク</t>
    </rPh>
    <rPh sb="8" eb="9">
      <t>エン</t>
    </rPh>
    <rPh sb="9" eb="11">
      <t>イカ</t>
    </rPh>
    <phoneticPr fontId="2"/>
  </si>
  <si>
    <t>工事原価が30億円を超える</t>
    <rPh sb="0" eb="2">
      <t>コウジ</t>
    </rPh>
    <rPh sb="2" eb="4">
      <t>ゲンカ</t>
    </rPh>
    <rPh sb="7" eb="9">
      <t>オクエン</t>
    </rPh>
    <rPh sb="10" eb="11">
      <t>コ</t>
    </rPh>
    <phoneticPr fontId="2"/>
  </si>
  <si>
    <t>今回工事の一般管理費等率</t>
    <rPh sb="0" eb="2">
      <t>コンカイ</t>
    </rPh>
    <rPh sb="2" eb="4">
      <t>コウジ</t>
    </rPh>
    <rPh sb="5" eb="7">
      <t>イッパン</t>
    </rPh>
    <rPh sb="7" eb="10">
      <t>カンリヒ</t>
    </rPh>
    <rPh sb="10" eb="11">
      <t>トウ</t>
    </rPh>
    <rPh sb="11" eb="12">
      <t>リツ</t>
    </rPh>
    <phoneticPr fontId="2"/>
  </si>
  <si>
    <t>ア）東梅田駅</t>
    <phoneticPr fontId="2"/>
  </si>
  <si>
    <t>改修</t>
  </si>
  <si>
    <t>隙間解消工事</t>
    <phoneticPr fontId="2"/>
  </si>
  <si>
    <t>列車停止位置変更に伴う建築工事</t>
    <phoneticPr fontId="2"/>
  </si>
  <si>
    <t>床仕上改造その他工事</t>
    <phoneticPr fontId="2"/>
  </si>
  <si>
    <t>小運搬重量(単位重量(kg))</t>
    <rPh sb="0" eb="1">
      <t>コ</t>
    </rPh>
    <rPh sb="1" eb="3">
      <t>ウンパン</t>
    </rPh>
    <rPh sb="3" eb="5">
      <t>ジュウリョウ</t>
    </rPh>
    <rPh sb="6" eb="8">
      <t>タンイ</t>
    </rPh>
    <rPh sb="8" eb="10">
      <t>ジュウリョウ</t>
    </rPh>
    <phoneticPr fontId="2"/>
  </si>
  <si>
    <t>材料</t>
    <rPh sb="0" eb="2">
      <t>ザイリョウ</t>
    </rPh>
    <phoneticPr fontId="2"/>
  </si>
  <si>
    <t>ｺﾝｸﾘｰﾄ</t>
    <phoneticPr fontId="2"/>
  </si>
  <si>
    <t>ｱｽﾌｧﾙﾄ</t>
    <phoneticPr fontId="2"/>
  </si>
  <si>
    <t>木くず
再生</t>
    <rPh sb="0" eb="1">
      <t>キ</t>
    </rPh>
    <rPh sb="4" eb="6">
      <t>サイセイ</t>
    </rPh>
    <phoneticPr fontId="2"/>
  </si>
  <si>
    <t>木くず
合板</t>
    <rPh sb="0" eb="1">
      <t>キ</t>
    </rPh>
    <rPh sb="4" eb="6">
      <t>ゴウハン</t>
    </rPh>
    <phoneticPr fontId="2"/>
  </si>
  <si>
    <t>廃プラ</t>
    <phoneticPr fontId="2"/>
  </si>
  <si>
    <t>ガラス
陶磁器</t>
    <rPh sb="4" eb="7">
      <t>トウジキ</t>
    </rPh>
    <phoneticPr fontId="2"/>
  </si>
  <si>
    <t>繊維くず</t>
    <rPh sb="0" eb="2">
      <t>センイ</t>
    </rPh>
    <phoneticPr fontId="2"/>
  </si>
  <si>
    <t>がれき</t>
    <phoneticPr fontId="2"/>
  </si>
  <si>
    <t>石膏ボード</t>
    <rPh sb="0" eb="2">
      <t>セッコウ</t>
    </rPh>
    <phoneticPr fontId="2"/>
  </si>
  <si>
    <t>セメント板</t>
    <rPh sb="4" eb="5">
      <t>イタ</t>
    </rPh>
    <phoneticPr fontId="2"/>
  </si>
  <si>
    <t>家具・
備品</t>
    <rPh sb="0" eb="2">
      <t>カグ</t>
    </rPh>
    <rPh sb="4" eb="6">
      <t>ビヒン</t>
    </rPh>
    <phoneticPr fontId="2"/>
  </si>
  <si>
    <t>混合
廃棄物</t>
  </si>
  <si>
    <t>廃プラ
(ｱｽﾍﾞ)</t>
    <phoneticPr fontId="2"/>
  </si>
  <si>
    <t>石膏ボード（ｱｽﾍﾞ）</t>
    <rPh sb="0" eb="2">
      <t>セッコウ</t>
    </rPh>
    <phoneticPr fontId="2"/>
  </si>
  <si>
    <t>セメント板　　　（ｱｽﾍﾞ）</t>
    <rPh sb="4" eb="5">
      <t>バン</t>
    </rPh>
    <phoneticPr fontId="2"/>
  </si>
  <si>
    <t>鉄</t>
    <rPh sb="0" eb="1">
      <t>テツ</t>
    </rPh>
    <phoneticPr fontId="2"/>
  </si>
  <si>
    <t>ｽﾃﾝﾚｽ</t>
    <phoneticPr fontId="2"/>
  </si>
  <si>
    <t>アルミ</t>
    <phoneticPr fontId="2"/>
  </si>
  <si>
    <t>銅</t>
    <rPh sb="0" eb="1">
      <t>ドウ</t>
    </rPh>
    <phoneticPr fontId="2"/>
  </si>
  <si>
    <t>１．直接工事費</t>
    <rPh sb="2" eb="4">
      <t>チョクセツ</t>
    </rPh>
    <rPh sb="4" eb="7">
      <t>コウジヒ</t>
    </rPh>
    <phoneticPr fontId="2"/>
  </si>
  <si>
    <t>直接仮設工事</t>
  </si>
  <si>
    <t>タイル工事</t>
  </si>
  <si>
    <t>金属工事</t>
  </si>
  <si>
    <t>左官工事</t>
  </si>
  <si>
    <t>内装工事</t>
  </si>
  <si>
    <t>ユニット及びその他の工事</t>
  </si>
  <si>
    <t>部分撤去工事</t>
  </si>
  <si>
    <t>２．共通費</t>
    <rPh sb="2" eb="4">
      <t>キョウツウ</t>
    </rPh>
    <rPh sb="4" eb="5">
      <t>ヒ</t>
    </rPh>
    <phoneticPr fontId="2"/>
  </si>
  <si>
    <t>共通仮設費</t>
    <rPh sb="0" eb="2">
      <t>キョウツウ</t>
    </rPh>
    <rPh sb="2" eb="4">
      <t>カセツ</t>
    </rPh>
    <rPh sb="4" eb="5">
      <t>ヒ</t>
    </rPh>
    <phoneticPr fontId="2"/>
  </si>
  <si>
    <t>現場管理費・一般管理費等</t>
    <rPh sb="0" eb="2">
      <t>ゲンバ</t>
    </rPh>
    <rPh sb="2" eb="5">
      <t>カンリヒ</t>
    </rPh>
    <rPh sb="6" eb="8">
      <t>イッパン</t>
    </rPh>
    <rPh sb="8" eb="11">
      <t>カンリヒ</t>
    </rPh>
    <rPh sb="11" eb="12">
      <t>トウ</t>
    </rPh>
    <phoneticPr fontId="2"/>
  </si>
  <si>
    <t>合    計</t>
    <rPh sb="0" eb="1">
      <t>ゴウ</t>
    </rPh>
    <phoneticPr fontId="2"/>
  </si>
  <si>
    <t>(</t>
    <phoneticPr fontId="2"/>
  </si>
  <si>
    <t>)</t>
    <phoneticPr fontId="2"/>
  </si>
  <si>
    <t>共通仮設費</t>
    <rPh sb="4" eb="5">
      <t>ヒ</t>
    </rPh>
    <phoneticPr fontId="2"/>
  </si>
  <si>
    <t>□率算出共通仮設費</t>
    <rPh sb="1" eb="2">
      <t>リツ</t>
    </rPh>
    <rPh sb="2" eb="4">
      <t>サンシュツ</t>
    </rPh>
    <rPh sb="4" eb="6">
      <t>キョウツウ</t>
    </rPh>
    <rPh sb="6" eb="8">
      <t>カセツ</t>
    </rPh>
    <rPh sb="8" eb="9">
      <t>ヒ</t>
    </rPh>
    <phoneticPr fontId="2"/>
  </si>
  <si>
    <t>率算出共通仮設費</t>
    <rPh sb="0" eb="1">
      <t>リツ</t>
    </rPh>
    <rPh sb="1" eb="3">
      <t>サンシュツ</t>
    </rPh>
    <rPh sb="3" eb="5">
      <t>キョウツウ</t>
    </rPh>
    <rPh sb="5" eb="7">
      <t>カセツ</t>
    </rPh>
    <rPh sb="7" eb="8">
      <t>ヒ</t>
    </rPh>
    <phoneticPr fontId="2"/>
  </si>
  <si>
    <t>小々計</t>
    <rPh sb="0" eb="1">
      <t>ショウ</t>
    </rPh>
    <rPh sb="2" eb="3">
      <t>ケイ</t>
    </rPh>
    <phoneticPr fontId="2"/>
  </si>
  <si>
    <t>□積上げ共通仮設費</t>
    <rPh sb="1" eb="3">
      <t>ツミア</t>
    </rPh>
    <rPh sb="4" eb="6">
      <t>キョウツウ</t>
    </rPh>
    <rPh sb="6" eb="8">
      <t>カセツ</t>
    </rPh>
    <rPh sb="8" eb="9">
      <t>ヒ</t>
    </rPh>
    <phoneticPr fontId="2"/>
  </si>
  <si>
    <t>機械器具費</t>
    <rPh sb="0" eb="2">
      <t>キカイ</t>
    </rPh>
    <rPh sb="2" eb="4">
      <t>キグ</t>
    </rPh>
    <rPh sb="4" eb="5">
      <t>ヒ</t>
    </rPh>
    <phoneticPr fontId="2"/>
  </si>
  <si>
    <t>周辺安全対策費</t>
    <rPh sb="0" eb="2">
      <t>シュウヘン</t>
    </rPh>
    <rPh sb="2" eb="4">
      <t>アンゼン</t>
    </rPh>
    <rPh sb="4" eb="7">
      <t>タイサクヒ</t>
    </rPh>
    <phoneticPr fontId="2"/>
  </si>
  <si>
    <t>仮囲い</t>
    <rPh sb="0" eb="1">
      <t>カリ</t>
    </rPh>
    <rPh sb="1" eb="2">
      <t>カコ</t>
    </rPh>
    <phoneticPr fontId="2"/>
  </si>
  <si>
    <t>共通仮設材運搬費</t>
    <rPh sb="0" eb="2">
      <t>キョウツウ</t>
    </rPh>
    <rPh sb="2" eb="4">
      <t>カセツ</t>
    </rPh>
    <rPh sb="4" eb="5">
      <t>ザイ</t>
    </rPh>
    <rPh sb="5" eb="7">
      <t>ウンパン</t>
    </rPh>
    <rPh sb="7" eb="8">
      <t>ヒ</t>
    </rPh>
    <phoneticPr fontId="2"/>
  </si>
  <si>
    <t>警備員費</t>
    <rPh sb="0" eb="3">
      <t>ケイビイン</t>
    </rPh>
    <rPh sb="3" eb="4">
      <t>ヒ</t>
    </rPh>
    <phoneticPr fontId="2"/>
  </si>
  <si>
    <t>小々計</t>
    <rPh sb="0" eb="2">
      <t>ショウショウ</t>
    </rPh>
    <rPh sb="2" eb="3">
      <t>ケイ</t>
    </rPh>
    <phoneticPr fontId="2"/>
  </si>
  <si>
    <t>小    計</t>
  </si>
  <si>
    <t>運搬時間</t>
    <phoneticPr fontId="2"/>
  </si>
  <si>
    <t>墨出し</t>
    <rPh sb="0" eb="2">
      <t>スミダ</t>
    </rPh>
    <phoneticPr fontId="2"/>
  </si>
  <si>
    <t>別紙</t>
    <rPh sb="0" eb="2">
      <t>ベッシ</t>
    </rPh>
    <phoneticPr fontId="2"/>
  </si>
  <si>
    <t>養生</t>
    <rPh sb="0" eb="2">
      <t>ヨウジョウ</t>
    </rPh>
    <phoneticPr fontId="2"/>
  </si>
  <si>
    <t>〃</t>
    <phoneticPr fontId="2"/>
  </si>
  <si>
    <t>片付清掃費</t>
    <rPh sb="0" eb="2">
      <t>カタヅ</t>
    </rPh>
    <rPh sb="2" eb="4">
      <t>セイソウ</t>
    </rPh>
    <rPh sb="4" eb="5">
      <t>ヒ</t>
    </rPh>
    <phoneticPr fontId="2"/>
  </si>
  <si>
    <t>外部足場</t>
    <rPh sb="0" eb="2">
      <t>ガイブ</t>
    </rPh>
    <rPh sb="2" eb="4">
      <t>アシバ</t>
    </rPh>
    <phoneticPr fontId="2"/>
  </si>
  <si>
    <t>内部足場</t>
    <rPh sb="0" eb="2">
      <t>ナイブ</t>
    </rPh>
    <rPh sb="2" eb="4">
      <t>アシバ</t>
    </rPh>
    <phoneticPr fontId="2"/>
  </si>
  <si>
    <t>直接仮設材運搬費</t>
    <rPh sb="0" eb="2">
      <t>チョクセツ</t>
    </rPh>
    <rPh sb="2" eb="4">
      <t>カセツ</t>
    </rPh>
    <rPh sb="4" eb="5">
      <t>ザイ</t>
    </rPh>
    <rPh sb="5" eb="7">
      <t>ウンパン</t>
    </rPh>
    <rPh sb="7" eb="8">
      <t>ヒ</t>
    </rPh>
    <phoneticPr fontId="2"/>
  </si>
  <si>
    <t>【資産区分】
空白の場合は
建物-鉄コン造で計上</t>
    <phoneticPr fontId="2"/>
  </si>
  <si>
    <t>磁器質タイル張</t>
    <phoneticPr fontId="2"/>
  </si>
  <si>
    <t>300×600　一晩施工</t>
    <phoneticPr fontId="2"/>
  </si>
  <si>
    <t>㎡</t>
    <phoneticPr fontId="2"/>
  </si>
  <si>
    <t>見) ㈱LIXIL</t>
    <phoneticPr fontId="2"/>
  </si>
  <si>
    <t>磁器質点字タイル張</t>
    <phoneticPr fontId="2"/>
  </si>
  <si>
    <t>300×300　材料費</t>
    <phoneticPr fontId="2"/>
  </si>
  <si>
    <t>見) 安全交通試験研究センター</t>
    <phoneticPr fontId="2"/>
  </si>
  <si>
    <t>一晩施工(ジェット使用)　施工手間</t>
  </si>
  <si>
    <t>大型床タイル300角程度</t>
  </si>
  <si>
    <t>m2</t>
  </si>
  <si>
    <t>タイルのみ加算</t>
  </si>
  <si>
    <t>SUS製安全柵</t>
    <phoneticPr fontId="2"/>
  </si>
  <si>
    <t>H1300　A型　L=7500</t>
    <phoneticPr fontId="2"/>
  </si>
  <si>
    <t>箇所</t>
    <phoneticPr fontId="2"/>
  </si>
  <si>
    <t>見) ㈱山本金属製作所</t>
    <phoneticPr fontId="2"/>
  </si>
  <si>
    <t>H1300　A型　L=16400</t>
    <phoneticPr fontId="2"/>
  </si>
  <si>
    <t>H1300　D型　L=12700</t>
    <phoneticPr fontId="2"/>
  </si>
  <si>
    <t>軽鉄天井下地補強 JIS19型</t>
    <phoneticPr fontId="2"/>
  </si>
  <si>
    <t>亜鉛  600角 天井点検口用</t>
    <phoneticPr fontId="2"/>
  </si>
  <si>
    <t>ヵ所</t>
    <phoneticPr fontId="2"/>
  </si>
  <si>
    <t>スパンドレル切込み別途</t>
    <phoneticPr fontId="2"/>
  </si>
  <si>
    <t>天井点検口　製品代</t>
    <phoneticPr fontId="2"/>
  </si>
  <si>
    <t xml:space="preserve">600*600 ｱﾙﾐA-BE </t>
    <phoneticPr fontId="2"/>
  </si>
  <si>
    <t>天井点検口　据付手間</t>
    <phoneticPr fontId="2"/>
  </si>
  <si>
    <t>600*600</t>
    <phoneticPr fontId="2"/>
  </si>
  <si>
    <t>点検口落下防止ワイヤー</t>
    <phoneticPr fontId="2"/>
  </si>
  <si>
    <t>600角以下</t>
    <phoneticPr fontId="2"/>
  </si>
  <si>
    <t>台</t>
    <phoneticPr fontId="2"/>
  </si>
  <si>
    <t>[標図] Ａ-14-19a</t>
    <phoneticPr fontId="2"/>
  </si>
  <si>
    <t>既設ｱﾙﾐｽﾊﾟﾝﾄﾞﾚﾙ穴あけ加工</t>
    <phoneticPr fontId="2"/>
  </si>
  <si>
    <t>天井面　600*600</t>
    <phoneticPr fontId="2"/>
  </si>
  <si>
    <t>[標図]</t>
    <phoneticPr fontId="2"/>
  </si>
  <si>
    <t>床ﾓﾙﾀﾙ塗り</t>
    <phoneticPr fontId="2"/>
  </si>
  <si>
    <t>金ごて押え30㎜(ジェットセメント)</t>
    <phoneticPr fontId="2"/>
  </si>
  <si>
    <t>代価</t>
    <rPh sb="0" eb="2">
      <t>ダイカ</t>
    </rPh>
    <phoneticPr fontId="2"/>
  </si>
  <si>
    <t>既設取合い部</t>
    <rPh sb="0" eb="2">
      <t>キセツ</t>
    </rPh>
    <rPh sb="2" eb="3">
      <t>ト</t>
    </rPh>
    <rPh sb="3" eb="4">
      <t>ア</t>
    </rPh>
    <rPh sb="5" eb="6">
      <t>ブ</t>
    </rPh>
    <phoneticPr fontId="2"/>
  </si>
  <si>
    <t>天井化粧石膏ボ－ド張</t>
    <phoneticPr fontId="2"/>
  </si>
  <si>
    <t>厚9.5   突付け工法  不燃</t>
    <phoneticPr fontId="2"/>
  </si>
  <si>
    <t>m2</t>
    <phoneticPr fontId="2"/>
  </si>
  <si>
    <t>GB-D　別冊仕様</t>
    <phoneticPr fontId="2"/>
  </si>
  <si>
    <t>繊維入りセメント板</t>
    <phoneticPr fontId="2"/>
  </si>
  <si>
    <t>天井　座金加算</t>
    <phoneticPr fontId="2"/>
  </si>
  <si>
    <t>全数</t>
    <phoneticPr fontId="2"/>
  </si>
  <si>
    <t>天井 厚4 目透し工法</t>
    <phoneticPr fontId="2"/>
  </si>
  <si>
    <t>不燃認定品</t>
    <phoneticPr fontId="2"/>
  </si>
  <si>
    <t>点字ブロック</t>
    <phoneticPr fontId="2"/>
  </si>
  <si>
    <t>貼付タイプ    のり付</t>
    <phoneticPr fontId="2"/>
  </si>
  <si>
    <t>m</t>
    <phoneticPr fontId="2"/>
  </si>
  <si>
    <t>300×300</t>
    <phoneticPr fontId="2"/>
  </si>
  <si>
    <t>扉間駅名標示〔可動柵部〕</t>
    <phoneticPr fontId="2"/>
  </si>
  <si>
    <t>1810×250　ｲﾝｸｼﾞｪｯﾄｼｰﾄ</t>
    <phoneticPr fontId="2"/>
  </si>
  <si>
    <t xml:space="preserve">見) </t>
    <phoneticPr fontId="2"/>
  </si>
  <si>
    <t>特</t>
    <rPh sb="0" eb="1">
      <t>トク</t>
    </rPh>
    <phoneticPr fontId="2"/>
  </si>
  <si>
    <t>非電照サイン（その他）</t>
  </si>
  <si>
    <t>連結部駅名標示〔可動柵部〕</t>
    <phoneticPr fontId="2"/>
  </si>
  <si>
    <t>2870×250　ｲﾝｸｼﾞｪｯﾄｼｰﾄ</t>
    <phoneticPr fontId="2"/>
  </si>
  <si>
    <t>ホーム側路線案内標示〔可動柵部〕</t>
    <phoneticPr fontId="2"/>
  </si>
  <si>
    <t>1200×700　ｲﾝｸｼﾞｪｯﾄｼｰﾄ</t>
    <phoneticPr fontId="2"/>
  </si>
  <si>
    <t>乗車位置・注意事項標示〔可動柵部〕</t>
    <phoneticPr fontId="2"/>
  </si>
  <si>
    <t>387×546　ｲﾝｸｼﾞｪｯﾄｼｰﾄ</t>
    <phoneticPr fontId="2"/>
  </si>
  <si>
    <t>扉部はさみこみ注意標示〔可動柵部〕</t>
    <phoneticPr fontId="2"/>
  </si>
  <si>
    <t>100×152　ｲﾝｸｼﾞｪｯﾄｼｰﾄ</t>
    <phoneticPr fontId="2"/>
  </si>
  <si>
    <t>乗車位置標示〔床面〕</t>
    <phoneticPr fontId="2"/>
  </si>
  <si>
    <t>500×130　ｲﾝｸｼﾞｪｯﾄｼｰﾄ</t>
    <phoneticPr fontId="2"/>
  </si>
  <si>
    <t>床タイル下地共撤去</t>
    <phoneticPr fontId="2"/>
  </si>
  <si>
    <t>一晩施工(仕上げがタイル（200角以上）になる場合）</t>
    <phoneticPr fontId="2"/>
  </si>
  <si>
    <t>床ﾀｲﾙ・石　下地共撤去</t>
    <phoneticPr fontId="2"/>
  </si>
  <si>
    <t>点字ブロック</t>
    <rPh sb="0" eb="2">
      <t>テンジ</t>
    </rPh>
    <phoneticPr fontId="2"/>
  </si>
  <si>
    <t>費用</t>
  </si>
  <si>
    <t>内外装部分撤去</t>
    <phoneticPr fontId="2"/>
  </si>
  <si>
    <t>床タイル（下地共）</t>
    <phoneticPr fontId="2"/>
  </si>
  <si>
    <t>磁器・樹脂グラ・ノンスリップテラゾー</t>
    <phoneticPr fontId="2"/>
  </si>
  <si>
    <t>内方線撤去</t>
    <rPh sb="0" eb="2">
      <t>ナイホウ</t>
    </rPh>
    <rPh sb="2" eb="3">
      <t>セン</t>
    </rPh>
    <rPh sb="3" eb="5">
      <t>テッキョ</t>
    </rPh>
    <phoneticPr fontId="2"/>
  </si>
  <si>
    <t>貼付タイプ　　のり付</t>
  </si>
  <si>
    <t>ｍ</t>
  </si>
  <si>
    <t>120*300　線1条　ﾎｰﾑ先端用</t>
  </si>
  <si>
    <t>点字ブロック　貼付タイプ除去</t>
    <phoneticPr fontId="2"/>
  </si>
  <si>
    <t>枚</t>
    <phoneticPr fontId="2"/>
  </si>
  <si>
    <t>天井ボード（１重張り）</t>
    <phoneticPr fontId="2"/>
  </si>
  <si>
    <t>石膏板・化粧石膏板・ロックウール</t>
    <phoneticPr fontId="2"/>
  </si>
  <si>
    <t>アスベスト含有</t>
    <phoneticPr fontId="2"/>
  </si>
  <si>
    <t>安全柵・直柵等</t>
    <phoneticPr fontId="2"/>
  </si>
  <si>
    <t>ｍ</t>
    <phoneticPr fontId="2"/>
  </si>
  <si>
    <t>カッター入れ</t>
    <phoneticPr fontId="2"/>
  </si>
  <si>
    <t>ﾓﾙﾀﾙ</t>
    <phoneticPr fontId="2"/>
  </si>
  <si>
    <t>手動式</t>
    <phoneticPr fontId="2"/>
  </si>
  <si>
    <t>運搬費</t>
    <phoneticPr fontId="2"/>
  </si>
  <si>
    <t>材料運搬</t>
    <phoneticPr fontId="2"/>
  </si>
  <si>
    <t>ｔ</t>
    <phoneticPr fontId="2"/>
  </si>
  <si>
    <t>（1Ａ）は不要</t>
    <phoneticPr fontId="2"/>
  </si>
  <si>
    <t>場内小運搬（ｶﾞﾗ運搬共）</t>
    <phoneticPr fontId="2"/>
  </si>
  <si>
    <t>t</t>
    <phoneticPr fontId="2"/>
  </si>
  <si>
    <t>距離ランクを記入</t>
    <phoneticPr fontId="2"/>
  </si>
  <si>
    <t>運搬費</t>
  </si>
  <si>
    <t>場内小運搬（ｶﾞﾗ運搬共）</t>
  </si>
  <si>
    <t>t</t>
  </si>
  <si>
    <t>距離ランクを記入</t>
  </si>
  <si>
    <t>残材積込費加算</t>
    <phoneticPr fontId="2"/>
  </si>
  <si>
    <t>人力積込</t>
    <phoneticPr fontId="2"/>
  </si>
  <si>
    <t>残材積込費加算</t>
  </si>
  <si>
    <t>人力積込</t>
  </si>
  <si>
    <t>残材運搬費 部分撤去用</t>
  </si>
  <si>
    <t>残材用</t>
    <rPh sb="0" eb="2">
      <t>ザンザイ</t>
    </rPh>
    <rPh sb="2" eb="3">
      <t>ヨウ</t>
    </rPh>
    <phoneticPr fontId="2"/>
  </si>
  <si>
    <t>スクラップ用</t>
    <rPh sb="5" eb="6">
      <t>ヨウ</t>
    </rPh>
    <phoneticPr fontId="2"/>
  </si>
  <si>
    <t>アスベスト用</t>
    <rPh sb="5" eb="6">
      <t>ヨウ</t>
    </rPh>
    <phoneticPr fontId="2"/>
  </si>
  <si>
    <t>残材処分費</t>
  </si>
  <si>
    <t>ｺﾝｸﾘｰﾄ類再生処理</t>
  </si>
  <si>
    <t>ｔ</t>
  </si>
  <si>
    <t>廃プラスチック類・ゴムくず</t>
  </si>
  <si>
    <t>ガラスくず及び陶磁器くず</t>
  </si>
  <si>
    <t>その他　せっこうﾎﾞｰﾄﾞ類</t>
  </si>
  <si>
    <t>その他　セメント板類(ｱｽﾍﾞｽﾄ含有)</t>
  </si>
  <si>
    <t>スクラップ減額</t>
    <rPh sb="5" eb="7">
      <t>ゲンガク</t>
    </rPh>
    <phoneticPr fontId="2"/>
  </si>
  <si>
    <t>ステンレス</t>
    <phoneticPr fontId="2"/>
  </si>
  <si>
    <t>積算資料2018.2</t>
    <rPh sb="0" eb="2">
      <t>セキサン</t>
    </rPh>
    <rPh sb="2" eb="4">
      <t>シリョウ</t>
    </rPh>
    <phoneticPr fontId="2"/>
  </si>
  <si>
    <t>資産クラス</t>
    <rPh sb="0" eb="2">
      <t>シサン</t>
    </rPh>
    <phoneticPr fontId="2"/>
  </si>
  <si>
    <t>代価1</t>
    <phoneticPr fontId="2"/>
  </si>
  <si>
    <t>未記入</t>
  </si>
  <si>
    <t>代価2</t>
  </si>
  <si>
    <t>会所４００角</t>
    <rPh sb="0" eb="2">
      <t>カイショ</t>
    </rPh>
    <rPh sb="5" eb="6">
      <t>カク</t>
    </rPh>
    <phoneticPr fontId="2"/>
  </si>
  <si>
    <t xml:space="preserve"> H=1200 根切共</t>
    <rPh sb="8" eb="9">
      <t>ネ</t>
    </rPh>
    <rPh sb="9" eb="10">
      <t>キリ</t>
    </rPh>
    <rPh sb="10" eb="11">
      <t>トモ</t>
    </rPh>
    <phoneticPr fontId="2"/>
  </si>
  <si>
    <t>ヵ所</t>
    <rPh sb="1" eb="2">
      <t>ショ</t>
    </rPh>
    <phoneticPr fontId="2"/>
  </si>
  <si>
    <t>このページはメニューからページの削除で削除してから使用してください.</t>
    <phoneticPr fontId="2"/>
  </si>
  <si>
    <t>根切り (人力)</t>
    <phoneticPr fontId="2"/>
  </si>
  <si>
    <t>人力根切り</t>
    <phoneticPr fontId="2"/>
  </si>
  <si>
    <t>m3</t>
    <phoneticPr fontId="2"/>
  </si>
  <si>
    <t>掘削量≦２０m3の場合</t>
    <phoneticPr fontId="2"/>
  </si>
  <si>
    <t>資産クラス</t>
  </si>
  <si>
    <t>埋戻し</t>
    <phoneticPr fontId="2"/>
  </si>
  <si>
    <t>人力　締固め共</t>
    <phoneticPr fontId="2"/>
  </si>
  <si>
    <t>残土積込費加算</t>
  </si>
  <si>
    <t>人力積込費</t>
  </si>
  <si>
    <t>m3</t>
  </si>
  <si>
    <t>残土処分費</t>
  </si>
  <si>
    <t>場外自由処分</t>
  </si>
  <si>
    <t>鉄筋 SD295A</t>
  </si>
  <si>
    <t>Ｄ１３</t>
  </si>
  <si>
    <t>鉄筋現場加工</t>
  </si>
  <si>
    <t>一般細物(D13以下)</t>
  </si>
  <si>
    <t>鉄筋組立</t>
  </si>
  <si>
    <t>RC造一般細物(D13以下)</t>
  </si>
  <si>
    <t>手練りコンクリ―ト</t>
  </si>
  <si>
    <t>1:02:04</t>
    <phoneticPr fontId="2"/>
  </si>
  <si>
    <t>練り手間含む</t>
  </si>
  <si>
    <t>打手間　　ｶｰﾄ打ち</t>
  </si>
  <si>
    <t>小型構造物</t>
  </si>
  <si>
    <t>型枠　普通型枠</t>
  </si>
  <si>
    <t>型枠　運搬費</t>
    <phoneticPr fontId="2"/>
  </si>
  <si>
    <t>2層以下</t>
    <phoneticPr fontId="2"/>
  </si>
  <si>
    <t>1,2階程度の転用率</t>
    <phoneticPr fontId="2"/>
  </si>
  <si>
    <t>※サンプルのため、数量内容は　適当に記載してます。</t>
    <rPh sb="9" eb="11">
      <t>スウリョウ</t>
    </rPh>
    <rPh sb="11" eb="13">
      <t>ナイヨウ</t>
    </rPh>
    <phoneticPr fontId="2"/>
  </si>
  <si>
    <t>※撤去と新設が混在しても小運搬は　重量さえいれてあれば機能します</t>
    <rPh sb="1" eb="3">
      <t>テッキョ</t>
    </rPh>
    <rPh sb="4" eb="6">
      <t>シンセツ</t>
    </rPh>
    <rPh sb="7" eb="9">
      <t>コンザイ</t>
    </rPh>
    <rPh sb="12" eb="13">
      <t>ショウ</t>
    </rPh>
    <rPh sb="13" eb="15">
      <t>ウンパン</t>
    </rPh>
    <phoneticPr fontId="2"/>
  </si>
  <si>
    <t>※施工、運搬時間は着色部のものになるため、内訳に異なる時間を入力した場合は小運搬の時間帯がおかしくなります。</t>
    <rPh sb="1" eb="3">
      <t>セコウ</t>
    </rPh>
    <rPh sb="4" eb="6">
      <t>ウンパン</t>
    </rPh>
    <rPh sb="6" eb="8">
      <t>ジカン</t>
    </rPh>
    <rPh sb="9" eb="11">
      <t>チャクショク</t>
    </rPh>
    <rPh sb="11" eb="12">
      <t>ブ</t>
    </rPh>
    <rPh sb="21" eb="23">
      <t>ウチワケ</t>
    </rPh>
    <rPh sb="24" eb="25">
      <t>コト</t>
    </rPh>
    <rPh sb="27" eb="29">
      <t>ジカン</t>
    </rPh>
    <rPh sb="30" eb="32">
      <t>ニュウリョク</t>
    </rPh>
    <rPh sb="34" eb="36">
      <t>バアイ</t>
    </rPh>
    <rPh sb="37" eb="38">
      <t>ショウ</t>
    </rPh>
    <rPh sb="38" eb="40">
      <t>ウンパン</t>
    </rPh>
    <rPh sb="41" eb="44">
      <t>ジカンタイ</t>
    </rPh>
    <phoneticPr fontId="2"/>
  </si>
  <si>
    <t>代価番号は、１から順に自動に割り振られます。</t>
    <rPh sb="0" eb="2">
      <t>ダイカ</t>
    </rPh>
    <rPh sb="2" eb="4">
      <t>バンゴウ</t>
    </rPh>
    <rPh sb="9" eb="10">
      <t>ジュン</t>
    </rPh>
    <rPh sb="11" eb="13">
      <t>ジドウ</t>
    </rPh>
    <rPh sb="14" eb="15">
      <t>ワ</t>
    </rPh>
    <rPh sb="16" eb="17">
      <t>フ</t>
    </rPh>
    <phoneticPr fontId="2"/>
  </si>
  <si>
    <t>小運搬表（運搬費）</t>
    <rPh sb="0" eb="1">
      <t>コ</t>
    </rPh>
    <rPh sb="1" eb="3">
      <t>ウンパン</t>
    </rPh>
    <rPh sb="3" eb="4">
      <t>ヒョウ</t>
    </rPh>
    <rPh sb="5" eb="7">
      <t>ウンパン</t>
    </rPh>
    <rPh sb="7" eb="8">
      <t>ヒ</t>
    </rPh>
    <phoneticPr fontId="2"/>
  </si>
  <si>
    <t>1A</t>
    <phoneticPr fontId="2"/>
  </si>
  <si>
    <t>2A</t>
    <phoneticPr fontId="2"/>
  </si>
  <si>
    <t>3A</t>
    <phoneticPr fontId="2"/>
  </si>
  <si>
    <t>4A</t>
    <phoneticPr fontId="2"/>
  </si>
  <si>
    <t>小運搬重量（材料＋残材）</t>
    <phoneticPr fontId="2"/>
  </si>
  <si>
    <t>積込加算(ｽｸﾗｯﾌﾟ含む)</t>
  </si>
  <si>
    <t>材料運搬重量</t>
    <phoneticPr fontId="2"/>
  </si>
  <si>
    <t>残材車両積載重量</t>
  </si>
  <si>
    <t>残材小運搬重量</t>
    <phoneticPr fontId="2"/>
  </si>
  <si>
    <t>残材車両積載重量(ｽｸﾗｯﾌﾟ)</t>
  </si>
  <si>
    <t>残材車両積載重量（ｱｽﾍﾞｽﾄ）</t>
    <rPh sb="0" eb="2">
      <t>ザンザイ</t>
    </rPh>
    <rPh sb="2" eb="4">
      <t>シャリョウ</t>
    </rPh>
    <rPh sb="4" eb="6">
      <t>セキサイ</t>
    </rPh>
    <rPh sb="6" eb="8">
      <t>ジュウリョウ</t>
    </rPh>
    <phoneticPr fontId="2"/>
  </si>
  <si>
    <t>材料運搬重量</t>
    <rPh sb="0" eb="2">
      <t>ザイリョウ</t>
    </rPh>
    <rPh sb="2" eb="4">
      <t>ウンパン</t>
    </rPh>
    <rPh sb="4" eb="6">
      <t>ジュウリョウ</t>
    </rPh>
    <phoneticPr fontId="2"/>
  </si>
  <si>
    <t>残材小運搬重量(全て含む)</t>
    <rPh sb="0" eb="1">
      <t>ザン</t>
    </rPh>
    <rPh sb="1" eb="2">
      <t>ザイ</t>
    </rPh>
    <rPh sb="2" eb="3">
      <t>コ</t>
    </rPh>
    <rPh sb="3" eb="5">
      <t>ウンパン</t>
    </rPh>
    <rPh sb="5" eb="7">
      <t>ジュウリョウ</t>
    </rPh>
    <rPh sb="8" eb="9">
      <t>スベ</t>
    </rPh>
    <phoneticPr fontId="2"/>
  </si>
  <si>
    <t>残材運搬車両積載重量(ｽｸﾗｯﾌﾟ・ｱｽﾍﾞ除く)</t>
    <rPh sb="0" eb="1">
      <t>ザン</t>
    </rPh>
    <rPh sb="1" eb="2">
      <t>ザイ</t>
    </rPh>
    <rPh sb="2" eb="4">
      <t>ウンパン</t>
    </rPh>
    <rPh sb="4" eb="6">
      <t>シャリョウ</t>
    </rPh>
    <rPh sb="6" eb="8">
      <t>セキサイ</t>
    </rPh>
    <rPh sb="8" eb="10">
      <t>ジュウリョウ</t>
    </rPh>
    <rPh sb="22" eb="23">
      <t>ノゾ</t>
    </rPh>
    <phoneticPr fontId="2"/>
  </si>
  <si>
    <t>残材運搬車両積載重量(ｽｸﾗｯﾌﾟ)</t>
    <rPh sb="0" eb="1">
      <t>ザン</t>
    </rPh>
    <rPh sb="1" eb="2">
      <t>ザイ</t>
    </rPh>
    <rPh sb="2" eb="4">
      <t>ウンパン</t>
    </rPh>
    <rPh sb="4" eb="6">
      <t>シャリョウ</t>
    </rPh>
    <rPh sb="6" eb="8">
      <t>セキサイ</t>
    </rPh>
    <rPh sb="8" eb="10">
      <t>ジュウリョウ</t>
    </rPh>
    <phoneticPr fontId="2"/>
  </si>
  <si>
    <t>残材運搬車両積載重量(ｱｽﾍﾞｽﾄ)</t>
    <rPh sb="0" eb="1">
      <t>ザン</t>
    </rPh>
    <rPh sb="1" eb="2">
      <t>ザイ</t>
    </rPh>
    <rPh sb="2" eb="4">
      <t>ウンパン</t>
    </rPh>
    <rPh sb="4" eb="6">
      <t>シャリョウ</t>
    </rPh>
    <rPh sb="6" eb="8">
      <t>セキサイ</t>
    </rPh>
    <rPh sb="8" eb="10">
      <t>ジュウリョウ</t>
    </rPh>
    <phoneticPr fontId="2"/>
  </si>
  <si>
    <t>形状寸法</t>
    <rPh sb="0" eb="2">
      <t>ケイジョウ</t>
    </rPh>
    <rPh sb="2" eb="4">
      <t>スンポウ</t>
    </rPh>
    <phoneticPr fontId="2"/>
  </si>
  <si>
    <t>数量</t>
    <rPh sb="0" eb="2">
      <t>スウリョウ</t>
    </rPh>
    <phoneticPr fontId="2"/>
  </si>
  <si>
    <t>重量</t>
    <rPh sb="0" eb="2">
      <t>ジュウリョウ</t>
    </rPh>
    <phoneticPr fontId="2"/>
  </si>
  <si>
    <t>ｽｸﾗｯﾌﾟ重量</t>
    <rPh sb="6" eb="8">
      <t>ジュウリョウ</t>
    </rPh>
    <phoneticPr fontId="2"/>
  </si>
  <si>
    <t>ｱｽﾍﾞ重量</t>
    <rPh sb="4" eb="6">
      <t>ジュウリョウ</t>
    </rPh>
    <phoneticPr fontId="2"/>
  </si>
  <si>
    <t>total　</t>
    <phoneticPr fontId="2"/>
  </si>
  <si>
    <t>==&gt;&gt;</t>
    <phoneticPr fontId="2"/>
  </si>
  <si>
    <t>軽鉄天井下地補強 JIS19型</t>
  </si>
  <si>
    <t>亜鉛  600角 天井点検口用</t>
  </si>
  <si>
    <t>天井点検口　製品代</t>
  </si>
  <si>
    <t xml:space="preserve">600*600 ｱﾙﾐA-BE </t>
  </si>
  <si>
    <t>床ﾓﾙﾀﾙ塗り</t>
  </si>
  <si>
    <t>金ごて押え30㎜(ジェットセメント)</t>
  </si>
  <si>
    <t>天井化粧石膏ボ－ド張</t>
  </si>
  <si>
    <t>厚9.5   突付け工法  不燃</t>
  </si>
  <si>
    <t>繊維入りセメント板</t>
  </si>
  <si>
    <t>天井　座金加算</t>
  </si>
  <si>
    <t>天井 厚4 目透し工法</t>
  </si>
  <si>
    <t>点字ブロック</t>
  </si>
  <si>
    <t>貼付タイプ    のり付</t>
  </si>
  <si>
    <t>床タイル下地共撤去</t>
  </si>
  <si>
    <t>一晩施工(仕上げがタイル（200角以上）になる場合）</t>
  </si>
  <si>
    <t>内外装部分撤去</t>
  </si>
  <si>
    <t>床タイル（下地共）</t>
  </si>
  <si>
    <t>内方線撤去</t>
  </si>
  <si>
    <t>点字ブロック　貼付タイプ除去</t>
  </si>
  <si>
    <t>天井ボード（１重張り）</t>
  </si>
  <si>
    <t>安全柵・直柵等</t>
  </si>
  <si>
    <t>EOL1</t>
    <phoneticPr fontId="2"/>
  </si>
  <si>
    <t>小運搬表（残材処分費）</t>
    <rPh sb="0" eb="1">
      <t>コ</t>
    </rPh>
    <rPh sb="1" eb="3">
      <t>ウンパン</t>
    </rPh>
    <rPh sb="3" eb="4">
      <t>ヒョウ</t>
    </rPh>
    <rPh sb="5" eb="6">
      <t>ザン</t>
    </rPh>
    <rPh sb="6" eb="7">
      <t>ザイ</t>
    </rPh>
    <rPh sb="7" eb="9">
      <t>ショブン</t>
    </rPh>
    <rPh sb="9" eb="10">
      <t>ヒ</t>
    </rPh>
    <phoneticPr fontId="2"/>
  </si>
  <si>
    <t>処分費重量</t>
    <rPh sb="0" eb="2">
      <t>ショブン</t>
    </rPh>
    <rPh sb="2" eb="3">
      <t>ヒ</t>
    </rPh>
    <rPh sb="3" eb="5">
      <t>ジュウリョウ</t>
    </rPh>
    <phoneticPr fontId="2"/>
  </si>
  <si>
    <t>残材処分費</t>
    <rPh sb="0" eb="1">
      <t>ザン</t>
    </rPh>
    <rPh sb="1" eb="2">
      <t>ザイ</t>
    </rPh>
    <rPh sb="2" eb="4">
      <t>ショブン</t>
    </rPh>
    <rPh sb="4" eb="5">
      <t>ヒ</t>
    </rPh>
    <phoneticPr fontId="2"/>
  </si>
  <si>
    <t>スクラップ</t>
    <phoneticPr fontId="2"/>
  </si>
  <si>
    <t>木くず</t>
    <rPh sb="0" eb="1">
      <t>キ</t>
    </rPh>
    <phoneticPr fontId="2"/>
  </si>
  <si>
    <t>ガラス</t>
    <phoneticPr fontId="2"/>
  </si>
  <si>
    <t>繊維</t>
    <rPh sb="0" eb="2">
      <t>センイ</t>
    </rPh>
    <phoneticPr fontId="2"/>
  </si>
  <si>
    <t>がれき</t>
  </si>
  <si>
    <t>石膏</t>
    <rPh sb="0" eb="2">
      <t>セッコウ</t>
    </rPh>
    <phoneticPr fontId="2"/>
  </si>
  <si>
    <t>セメン</t>
    <phoneticPr fontId="2"/>
  </si>
  <si>
    <t>家具・</t>
    <rPh sb="0" eb="2">
      <t>カグ</t>
    </rPh>
    <phoneticPr fontId="2"/>
  </si>
  <si>
    <t>混合</t>
    <rPh sb="0" eb="2">
      <t>コンゴウ</t>
    </rPh>
    <phoneticPr fontId="2"/>
  </si>
  <si>
    <t>廃プラ</t>
  </si>
  <si>
    <t>ｱﾙﾐ</t>
    <phoneticPr fontId="2"/>
  </si>
  <si>
    <t>再生</t>
    <rPh sb="0" eb="2">
      <t>サイセイ</t>
    </rPh>
    <phoneticPr fontId="2"/>
  </si>
  <si>
    <t>合板</t>
    <rPh sb="0" eb="2">
      <t>ゴウハン</t>
    </rPh>
    <phoneticPr fontId="2"/>
  </si>
  <si>
    <t>陶磁器</t>
    <rPh sb="0" eb="3">
      <t>トウジキ</t>
    </rPh>
    <phoneticPr fontId="2"/>
  </si>
  <si>
    <t>くず</t>
    <phoneticPr fontId="2"/>
  </si>
  <si>
    <t>ボード</t>
    <phoneticPr fontId="2"/>
  </si>
  <si>
    <t>　ト板</t>
    <phoneticPr fontId="2"/>
  </si>
  <si>
    <t>廃棄物</t>
    <rPh sb="0" eb="3">
      <t>ハイキブツ</t>
    </rPh>
    <phoneticPr fontId="2"/>
  </si>
  <si>
    <t>(ｱｽﾍﾞ)</t>
    <phoneticPr fontId="2"/>
  </si>
  <si>
    <t>（ｱｽﾍﾞ）</t>
    <phoneticPr fontId="2"/>
  </si>
  <si>
    <t>EOL2</t>
    <phoneticPr fontId="2"/>
  </si>
  <si>
    <t>直接仮設工事</t>
    <rPh sb="0" eb="2">
      <t>チョクセツ</t>
    </rPh>
    <rPh sb="2" eb="4">
      <t>カセツ</t>
    </rPh>
    <rPh sb="4" eb="6">
      <t>コウジ</t>
    </rPh>
    <phoneticPr fontId="2"/>
  </si>
  <si>
    <t>ホーム鼻先磁器質タイル張</t>
    <phoneticPr fontId="2"/>
  </si>
  <si>
    <t>鼻先隙間ゴム取付金物</t>
    <phoneticPr fontId="2"/>
  </si>
  <si>
    <t>ステンレス製 下地・アンカー共</t>
    <phoneticPr fontId="2"/>
  </si>
  <si>
    <t>L=2635</t>
    <phoneticPr fontId="2"/>
  </si>
  <si>
    <t>鼻先隙間ゴム</t>
    <phoneticPr fontId="2"/>
  </si>
  <si>
    <t>60×150×355、405</t>
    <phoneticPr fontId="2"/>
  </si>
  <si>
    <t>見) ㈱佐渡嶋</t>
    <phoneticPr fontId="2"/>
  </si>
  <si>
    <t>L=2635</t>
  </si>
  <si>
    <t>残材処分費</t>
    <phoneticPr fontId="2"/>
  </si>
  <si>
    <t>ガラスくず及び陶磁器くず</t>
    <phoneticPr fontId="2"/>
  </si>
  <si>
    <t>H1300　E型　L=6300</t>
    <phoneticPr fontId="2"/>
  </si>
  <si>
    <t>点字ブロック　乗車位置</t>
    <phoneticPr fontId="2"/>
  </si>
  <si>
    <t>貼付タイプ　　のり付</t>
    <phoneticPr fontId="2"/>
  </si>
  <si>
    <t>300*180*2枚　乗車位置</t>
  </si>
  <si>
    <t>女性専用車両標示仮設〔床面〕</t>
    <phoneticPr fontId="2"/>
  </si>
  <si>
    <t>900×700　ｲﾝｸｼﾞｪｯﾄｼｰﾄ</t>
    <phoneticPr fontId="2"/>
  </si>
  <si>
    <t>材料運搬</t>
  </si>
  <si>
    <t>（1Ａ）は不要</t>
  </si>
  <si>
    <t>金ごて押え30㎜</t>
  </si>
  <si>
    <t>点字ブロック　乗車位置</t>
  </si>
  <si>
    <t>一晩施工(ジェット使用)　施工手間</t>
    <phoneticPr fontId="2"/>
  </si>
  <si>
    <t>大型床タイル300角程度</t>
    <phoneticPr fontId="2"/>
  </si>
  <si>
    <t>タイルのみ加算</t>
    <phoneticPr fontId="2"/>
  </si>
  <si>
    <t>女性専用車両標示〔床面〕</t>
    <phoneticPr fontId="2"/>
  </si>
  <si>
    <t>のりかえ誘導標示〔床面〕</t>
    <phoneticPr fontId="2"/>
  </si>
  <si>
    <t>2000×1000　ｲﾝｸｼﾞｪｯﾄｼｰﾄ</t>
    <phoneticPr fontId="2"/>
  </si>
  <si>
    <t>象嵌タイル（降車）</t>
    <phoneticPr fontId="2"/>
  </si>
  <si>
    <t>300×600　ｔ16　一晩施工</t>
    <phoneticPr fontId="2"/>
  </si>
  <si>
    <t>AK-200PY</t>
  </si>
  <si>
    <t>磁器質・施釉、防滑処理</t>
    <rPh sb="0" eb="3">
      <t>ジキシツ</t>
    </rPh>
    <rPh sb="4" eb="6">
      <t>セユウ</t>
    </rPh>
    <rPh sb="7" eb="9">
      <t>ボウカツ</t>
    </rPh>
    <rPh sb="9" eb="11">
      <t>ショリ</t>
    </rPh>
    <phoneticPr fontId="2"/>
  </si>
  <si>
    <t>象嵌タイル（乗車）</t>
    <phoneticPr fontId="2"/>
  </si>
  <si>
    <t>300×300　ｔ16　一晩施工</t>
    <phoneticPr fontId="2"/>
  </si>
  <si>
    <t>磁器質タイル（ラインカラー）</t>
    <phoneticPr fontId="2"/>
  </si>
  <si>
    <t>50×1200　一晩施工</t>
    <phoneticPr fontId="2"/>
  </si>
  <si>
    <t>50×1800　一晩施工</t>
    <phoneticPr fontId="2"/>
  </si>
  <si>
    <t>整列乗車シート（赤ライン：長）</t>
    <phoneticPr fontId="2"/>
  </si>
  <si>
    <t>2000×50</t>
    <phoneticPr fontId="2"/>
  </si>
  <si>
    <t>本</t>
    <phoneticPr fontId="2"/>
  </si>
  <si>
    <t>見) 富士フィルムイメージングシステムズ㈱</t>
    <phoneticPr fontId="2"/>
  </si>
  <si>
    <t>整列乗車シート（赤ライン：短）</t>
    <phoneticPr fontId="2"/>
  </si>
  <si>
    <t>900×50</t>
    <phoneticPr fontId="2"/>
  </si>
  <si>
    <t>整列乗車シート（赤矢印）</t>
    <phoneticPr fontId="2"/>
  </si>
  <si>
    <t>200×200</t>
    <phoneticPr fontId="2"/>
  </si>
  <si>
    <t>整列乗車シート（青矢印）</t>
    <phoneticPr fontId="2"/>
  </si>
  <si>
    <t>整列乗車シート（グレーライン：長）</t>
    <phoneticPr fontId="2"/>
  </si>
  <si>
    <t>整列乗車シート（グレーライン：短）</t>
    <phoneticPr fontId="2"/>
  </si>
  <si>
    <t>整列乗車シート（グレー矢印）</t>
    <phoneticPr fontId="2"/>
  </si>
  <si>
    <t>施工費</t>
  </si>
  <si>
    <t>見) 富士フィルムイメージングシステムズ㈱</t>
  </si>
  <si>
    <t>イ）堺筋本町駅</t>
    <phoneticPr fontId="2"/>
  </si>
  <si>
    <t>塗装工事</t>
  </si>
  <si>
    <t>H1300　C型　L=11500</t>
    <phoneticPr fontId="2"/>
  </si>
  <si>
    <t>H1300　C型　L=19400</t>
    <phoneticPr fontId="2"/>
  </si>
  <si>
    <t>H1300　C型　L=19500</t>
    <phoneticPr fontId="2"/>
  </si>
  <si>
    <t>軽鉄天井下地補強 JIS25型</t>
    <phoneticPr fontId="2"/>
  </si>
  <si>
    <t>ボード切込み共</t>
    <phoneticPr fontId="2"/>
  </si>
  <si>
    <t>600*600 ｱﾙﾐ　AL</t>
    <phoneticPr fontId="2"/>
  </si>
  <si>
    <t>既設取合い部</t>
    <rPh sb="0" eb="2">
      <t>キセツ</t>
    </rPh>
    <rPh sb="2" eb="4">
      <t>トリア</t>
    </rPh>
    <rPh sb="5" eb="6">
      <t>ブ</t>
    </rPh>
    <phoneticPr fontId="2"/>
  </si>
  <si>
    <t>素地ごしらえ</t>
    <phoneticPr fontId="2"/>
  </si>
  <si>
    <t>ボ―ド面一般       Ｂ種</t>
    <phoneticPr fontId="2"/>
  </si>
  <si>
    <t>A種以外</t>
    <phoneticPr fontId="2"/>
  </si>
  <si>
    <t>ＥＰ塗り   天井面</t>
    <phoneticPr fontId="2"/>
  </si>
  <si>
    <t>ﾎﾞｰﾄﾞ面 Ｂ種</t>
    <phoneticPr fontId="2"/>
  </si>
  <si>
    <t xml:space="preserve">標準タイプ </t>
    <phoneticPr fontId="2"/>
  </si>
  <si>
    <t>天井ﾛｯｸｳ-ﾙ吸音板張</t>
    <phoneticPr fontId="2"/>
  </si>
  <si>
    <t>厚12(PB[GB-NC]厚9.5共)</t>
    <phoneticPr fontId="2"/>
  </si>
  <si>
    <t>不燃</t>
    <phoneticPr fontId="2"/>
  </si>
  <si>
    <t>2670×250　ｲﾝｸｼﾞｪｯﾄｼｰﾄ</t>
    <phoneticPr fontId="2"/>
  </si>
  <si>
    <t>3780×250　ｲﾝｸｼﾞｪｯﾄｼｰﾄ</t>
    <phoneticPr fontId="2"/>
  </si>
  <si>
    <t>㎡</t>
  </si>
  <si>
    <t>磁器・樹脂グラ・ノンスリップテラゾー</t>
  </si>
  <si>
    <t>スチール</t>
    <phoneticPr fontId="2"/>
  </si>
  <si>
    <t>建設物価2018.2</t>
    <rPh sb="0" eb="2">
      <t>ケンセツ</t>
    </rPh>
    <rPh sb="2" eb="4">
      <t>ブッカ</t>
    </rPh>
    <phoneticPr fontId="2"/>
  </si>
  <si>
    <t>軽鉄天井下地補強 JIS25型</t>
  </si>
  <si>
    <t>600*600 ｱﾙﾐ　AL</t>
  </si>
  <si>
    <t>素地ごしらえ</t>
  </si>
  <si>
    <t>ボ―ド面一般       Ｂ種</t>
  </si>
  <si>
    <t>ＥＰ塗り   天井面</t>
  </si>
  <si>
    <t>ﾎﾞｰﾄﾞ面 Ｂ種</t>
  </si>
  <si>
    <t>天井ﾛｯｸｳ-ﾙ吸音板張</t>
  </si>
  <si>
    <t>厚12(PB[GB-NC]厚9.5共)</t>
  </si>
  <si>
    <t>L=3295</t>
    <phoneticPr fontId="2"/>
  </si>
  <si>
    <t>ＩＣ専用標示〔床面〕</t>
    <phoneticPr fontId="2"/>
  </si>
  <si>
    <t>750×500　ｲﾝｸｼﾞｪｯﾄｼｰﾄ</t>
    <phoneticPr fontId="2"/>
  </si>
  <si>
    <t>1000×1000　ｲﾝｸｼﾞｪｯﾄｼｰﾄ</t>
    <phoneticPr fontId="2"/>
  </si>
  <si>
    <t>1500×600　ｲﾝｸｼﾞｪｯﾄｼｰﾄ</t>
    <phoneticPr fontId="2"/>
  </si>
  <si>
    <t>1200×600　ｲﾝｸｼﾞｪｯﾄｼｰﾄ</t>
    <phoneticPr fontId="2"/>
  </si>
  <si>
    <t>1200×400　ｲﾝｸｼﾞｪｯﾄｼｰﾄ</t>
    <phoneticPr fontId="2"/>
  </si>
  <si>
    <t>タイル工事   見積り金額比較表</t>
    <phoneticPr fontId="2"/>
  </si>
  <si>
    <t>調整率</t>
    <rPh sb="0" eb="2">
      <t>チョウセイ</t>
    </rPh>
    <rPh sb="2" eb="3">
      <t>リツ</t>
    </rPh>
    <phoneticPr fontId="2"/>
  </si>
  <si>
    <t>全ページ数</t>
    <rPh sb="0" eb="1">
      <t>ゼン</t>
    </rPh>
    <rPh sb="4" eb="5">
      <t>スウ</t>
    </rPh>
    <phoneticPr fontId="2"/>
  </si>
  <si>
    <t>作業</t>
    <rPh sb="0" eb="2">
      <t>サギョウ</t>
    </rPh>
    <phoneticPr fontId="2"/>
  </si>
  <si>
    <t>運搬</t>
    <rPh sb="0" eb="2">
      <t>ウンパン</t>
    </rPh>
    <phoneticPr fontId="2"/>
  </si>
  <si>
    <t>A:㈱LIXIL</t>
    <phoneticPr fontId="2"/>
  </si>
  <si>
    <t>B:</t>
    <phoneticPr fontId="2"/>
  </si>
  <si>
    <t>C:</t>
    <phoneticPr fontId="2"/>
  </si>
  <si>
    <t>ｺｰﾄﾞNo</t>
    <phoneticPr fontId="2"/>
  </si>
  <si>
    <t>時間</t>
    <rPh sb="0" eb="2">
      <t>ジカン</t>
    </rPh>
    <phoneticPr fontId="2"/>
  </si>
  <si>
    <t>名　　　　称</t>
    <rPh sb="0" eb="1">
      <t>メイ</t>
    </rPh>
    <rPh sb="5" eb="6">
      <t>ショウ</t>
    </rPh>
    <phoneticPr fontId="2"/>
  </si>
  <si>
    <t>形　状　寸　法</t>
    <rPh sb="0" eb="1">
      <t>カタチ</t>
    </rPh>
    <rPh sb="2" eb="3">
      <t>ジョウ</t>
    </rPh>
    <rPh sb="4" eb="5">
      <t>スン</t>
    </rPh>
    <rPh sb="6" eb="7">
      <t>ホウ</t>
    </rPh>
    <phoneticPr fontId="2"/>
  </si>
  <si>
    <t>単位</t>
    <rPh sb="0" eb="2">
      <t>タンイ</t>
    </rPh>
    <phoneticPr fontId="2"/>
  </si>
  <si>
    <t>単　価</t>
    <rPh sb="0" eb="1">
      <t>タン</t>
    </rPh>
    <rPh sb="2" eb="3">
      <t>アタイ</t>
    </rPh>
    <phoneticPr fontId="2"/>
  </si>
  <si>
    <t>金　額</t>
    <rPh sb="0" eb="1">
      <t>キン</t>
    </rPh>
    <rPh sb="2" eb="3">
      <t>ガク</t>
    </rPh>
    <phoneticPr fontId="2"/>
  </si>
  <si>
    <t>調整単価</t>
    <rPh sb="0" eb="2">
      <t>チョウセイ</t>
    </rPh>
    <rPh sb="2" eb="3">
      <t>タン</t>
    </rPh>
    <rPh sb="3" eb="4">
      <t>アタイ</t>
    </rPh>
    <phoneticPr fontId="2"/>
  </si>
  <si>
    <t>採用単価</t>
    <rPh sb="0" eb="2">
      <t>サイヨウ</t>
    </rPh>
    <rPh sb="2" eb="4">
      <t>タンカ</t>
    </rPh>
    <phoneticPr fontId="2"/>
  </si>
  <si>
    <t>【東梅田駅】</t>
    <rPh sb="1" eb="2">
      <t>ヒガシ</t>
    </rPh>
    <rPh sb="2" eb="4">
      <t>ウメダ</t>
    </rPh>
    <rPh sb="4" eb="5">
      <t>エキ</t>
    </rPh>
    <phoneticPr fontId="2"/>
  </si>
  <si>
    <t>磁器質タイル張</t>
    <rPh sb="0" eb="3">
      <t>ジキシツ</t>
    </rPh>
    <rPh sb="6" eb="7">
      <t>ハリ</t>
    </rPh>
    <phoneticPr fontId="2"/>
  </si>
  <si>
    <t>300×600　一晩施工</t>
    <rPh sb="8" eb="10">
      <t>ヒトバン</t>
    </rPh>
    <rPh sb="10" eb="12">
      <t>セコウ</t>
    </rPh>
    <phoneticPr fontId="2"/>
  </si>
  <si>
    <t>磁器質点字タイル張</t>
    <rPh sb="0" eb="3">
      <t>ジキシツ</t>
    </rPh>
    <rPh sb="3" eb="5">
      <t>テンジ</t>
    </rPh>
    <rPh sb="8" eb="9">
      <t>ハリ</t>
    </rPh>
    <phoneticPr fontId="2"/>
  </si>
  <si>
    <t>300×300　一晩施工</t>
    <rPh sb="8" eb="12">
      <t>ヒトバンセコウ</t>
    </rPh>
    <phoneticPr fontId="2"/>
  </si>
  <si>
    <t>ホーム鼻先磁器質タイル張</t>
    <rPh sb="3" eb="5">
      <t>ハナサキ</t>
    </rPh>
    <rPh sb="5" eb="8">
      <t>ジキシツ</t>
    </rPh>
    <rPh sb="11" eb="12">
      <t>ハリ</t>
    </rPh>
    <phoneticPr fontId="2"/>
  </si>
  <si>
    <t>300×600　一晩施工</t>
    <rPh sb="8" eb="12">
      <t>ヒトバンセコウ</t>
    </rPh>
    <phoneticPr fontId="2"/>
  </si>
  <si>
    <t>象嵌タイル（降車）</t>
    <rPh sb="0" eb="2">
      <t>ゾウガン</t>
    </rPh>
    <rPh sb="6" eb="8">
      <t>コウシャ</t>
    </rPh>
    <phoneticPr fontId="2"/>
  </si>
  <si>
    <t>300×600　ｔ16　一晩施工</t>
    <rPh sb="12" eb="14">
      <t>ヒトバン</t>
    </rPh>
    <rPh sb="14" eb="16">
      <t>セコウ</t>
    </rPh>
    <phoneticPr fontId="2"/>
  </si>
  <si>
    <t>象嵌タイル（乗車）</t>
    <rPh sb="0" eb="2">
      <t>ゾウガン</t>
    </rPh>
    <rPh sb="6" eb="8">
      <t>ジョウシャ</t>
    </rPh>
    <phoneticPr fontId="2"/>
  </si>
  <si>
    <t>300×300　ｔ16　一晩施工</t>
    <rPh sb="12" eb="16">
      <t>ヒトバンセコウ</t>
    </rPh>
    <phoneticPr fontId="2"/>
  </si>
  <si>
    <t>磁器質タイル（ラインカラー）</t>
    <rPh sb="0" eb="3">
      <t>ジキシツ</t>
    </rPh>
    <phoneticPr fontId="2"/>
  </si>
  <si>
    <t>50×1200　一晩施工</t>
    <rPh sb="8" eb="12">
      <t>ヒトバンセコウ</t>
    </rPh>
    <phoneticPr fontId="2"/>
  </si>
  <si>
    <t>50×1800　一晩施工</t>
    <rPh sb="8" eb="12">
      <t>ヒトバンセコウ</t>
    </rPh>
    <phoneticPr fontId="2"/>
  </si>
  <si>
    <t>前ﾍﾟｰｼﾞから続きの場合「１」を入力　→</t>
    <rPh sb="0" eb="1">
      <t>マエ</t>
    </rPh>
    <rPh sb="8" eb="9">
      <t>ツヅ</t>
    </rPh>
    <rPh sb="11" eb="13">
      <t>バアイ</t>
    </rPh>
    <rPh sb="17" eb="19">
      <t>ニュウリョク</t>
    </rPh>
    <phoneticPr fontId="2"/>
  </si>
  <si>
    <t>最小値→</t>
    <rPh sb="0" eb="3">
      <t>サイショウチ</t>
    </rPh>
    <phoneticPr fontId="2"/>
  </si>
  <si>
    <t>【堺筋本町駅】</t>
    <rPh sb="1" eb="6">
      <t>サカイスジホンマチエキ</t>
    </rPh>
    <phoneticPr fontId="2"/>
  </si>
  <si>
    <t>磁器質タイル工事   見積り金額比較表</t>
    <phoneticPr fontId="2"/>
  </si>
  <si>
    <t>A:安全交通試験研究センター</t>
    <rPh sb="2" eb="4">
      <t>アンゼン</t>
    </rPh>
    <rPh sb="4" eb="6">
      <t>コウツウ</t>
    </rPh>
    <rPh sb="6" eb="8">
      <t>シケン</t>
    </rPh>
    <rPh sb="8" eb="10">
      <t>ケンキュウ</t>
    </rPh>
    <phoneticPr fontId="2"/>
  </si>
  <si>
    <t>300×300　材料費</t>
    <rPh sb="8" eb="10">
      <t>ザイリョウ</t>
    </rPh>
    <rPh sb="10" eb="11">
      <t>ヒ</t>
    </rPh>
    <phoneticPr fontId="2"/>
  </si>
  <si>
    <t>金属工事   見積り金額比較表</t>
    <phoneticPr fontId="2"/>
  </si>
  <si>
    <t>A:㈱山本金属製作所</t>
    <rPh sb="3" eb="5">
      <t>ヤマモト</t>
    </rPh>
    <rPh sb="5" eb="7">
      <t>キンゾク</t>
    </rPh>
    <rPh sb="7" eb="10">
      <t>セイサクショ</t>
    </rPh>
    <phoneticPr fontId="2"/>
  </si>
  <si>
    <t>B:㈱大交サッシ製作所</t>
    <rPh sb="3" eb="5">
      <t>ダイコウ</t>
    </rPh>
    <rPh sb="8" eb="11">
      <t>セイサクショ</t>
    </rPh>
    <phoneticPr fontId="2"/>
  </si>
  <si>
    <t>【東梅田駅】</t>
    <rPh sb="1" eb="5">
      <t>ヒガシウメダエキ</t>
    </rPh>
    <phoneticPr fontId="2"/>
  </si>
  <si>
    <t>SUS製安全柵</t>
    <rPh sb="3" eb="4">
      <t>セイ</t>
    </rPh>
    <rPh sb="4" eb="7">
      <t>アンゼンサク</t>
    </rPh>
    <phoneticPr fontId="2"/>
  </si>
  <si>
    <t>H1300　A型　L=7500</t>
    <rPh sb="7" eb="8">
      <t>ガタ</t>
    </rPh>
    <phoneticPr fontId="2"/>
  </si>
  <si>
    <t>箇所</t>
    <rPh sb="0" eb="2">
      <t>カショ</t>
    </rPh>
    <phoneticPr fontId="2"/>
  </si>
  <si>
    <t>H1300　A型　L=16400</t>
    <rPh sb="7" eb="8">
      <t>ガタ</t>
    </rPh>
    <phoneticPr fontId="2"/>
  </si>
  <si>
    <t>H1300　D型　L=12700</t>
    <rPh sb="7" eb="8">
      <t>ガタ</t>
    </rPh>
    <phoneticPr fontId="2"/>
  </si>
  <si>
    <t>鼻先隙間ゴム取付金物</t>
    <rPh sb="0" eb="2">
      <t>ハナサキ</t>
    </rPh>
    <rPh sb="2" eb="4">
      <t>スキマ</t>
    </rPh>
    <rPh sb="6" eb="8">
      <t>トリツケ</t>
    </rPh>
    <rPh sb="8" eb="10">
      <t>カナモノ</t>
    </rPh>
    <phoneticPr fontId="2"/>
  </si>
  <si>
    <t>ステンレス製 下地・アンカー共</t>
    <rPh sb="5" eb="6">
      <t>セイ</t>
    </rPh>
    <rPh sb="7" eb="9">
      <t>シタジ</t>
    </rPh>
    <rPh sb="14" eb="15">
      <t>トモ</t>
    </rPh>
    <phoneticPr fontId="2"/>
  </si>
  <si>
    <t>SUS製安全柵</t>
    <rPh sb="3" eb="4">
      <t>セイ</t>
    </rPh>
    <rPh sb="4" eb="6">
      <t>アンゼン</t>
    </rPh>
    <rPh sb="6" eb="7">
      <t>サク</t>
    </rPh>
    <phoneticPr fontId="2"/>
  </si>
  <si>
    <t>H1300　E型　L=6300</t>
    <rPh sb="7" eb="8">
      <t>ガタ</t>
    </rPh>
    <phoneticPr fontId="2"/>
  </si>
  <si>
    <t>H1300　C型　L=11500</t>
    <rPh sb="7" eb="8">
      <t>ガタ</t>
    </rPh>
    <phoneticPr fontId="2"/>
  </si>
  <si>
    <t>H1300　C型　L=19400</t>
    <rPh sb="7" eb="8">
      <t>ガタ</t>
    </rPh>
    <phoneticPr fontId="2"/>
  </si>
  <si>
    <t>H1300　C型　L=19500</t>
    <rPh sb="7" eb="8">
      <t>ガタ</t>
    </rPh>
    <phoneticPr fontId="2"/>
  </si>
  <si>
    <t>L=3295</t>
  </si>
  <si>
    <t>ユニット及びその他工事   見積り金額比較表</t>
    <phoneticPr fontId="2"/>
  </si>
  <si>
    <t>A:㈱佐渡嶋</t>
    <rPh sb="3" eb="6">
      <t>サドジマ</t>
    </rPh>
    <phoneticPr fontId="2"/>
  </si>
  <si>
    <t>鼻先隙間ゴム</t>
    <rPh sb="0" eb="2">
      <t>ハナサキ</t>
    </rPh>
    <rPh sb="2" eb="4">
      <t>スキマ</t>
    </rPh>
    <phoneticPr fontId="2"/>
  </si>
  <si>
    <t>60×150×355、405</t>
  </si>
  <si>
    <t>A:富士フィルムイメージングシステムズ㈱</t>
    <rPh sb="2" eb="4">
      <t>フジ</t>
    </rPh>
    <phoneticPr fontId="2"/>
  </si>
  <si>
    <t>整列乗車シート（赤ライン：長）</t>
    <rPh sb="0" eb="4">
      <t>セイレツジョウシャ</t>
    </rPh>
    <rPh sb="8" eb="9">
      <t>アカ</t>
    </rPh>
    <rPh sb="13" eb="14">
      <t>ナガ</t>
    </rPh>
    <phoneticPr fontId="2"/>
  </si>
  <si>
    <t>2000×50</t>
  </si>
  <si>
    <t>本</t>
    <rPh sb="0" eb="1">
      <t>ホン</t>
    </rPh>
    <phoneticPr fontId="2"/>
  </si>
  <si>
    <t>整列乗車シート（赤ライン：短）</t>
    <rPh sb="0" eb="4">
      <t>セイレツジョウシャ</t>
    </rPh>
    <rPh sb="8" eb="9">
      <t>アカ</t>
    </rPh>
    <rPh sb="13" eb="14">
      <t>ミジカ</t>
    </rPh>
    <phoneticPr fontId="2"/>
  </si>
  <si>
    <t>900×50</t>
  </si>
  <si>
    <t>整列乗車シート（赤矢印）</t>
    <rPh sb="0" eb="4">
      <t>セイレツジョウシャ</t>
    </rPh>
    <rPh sb="8" eb="9">
      <t>アカ</t>
    </rPh>
    <rPh sb="9" eb="11">
      <t>ヤジルシ</t>
    </rPh>
    <phoneticPr fontId="2"/>
  </si>
  <si>
    <t>200×200</t>
  </si>
  <si>
    <t>整列乗車シート（青矢印）</t>
    <rPh sb="0" eb="4">
      <t>セイレツジョウシャ</t>
    </rPh>
    <rPh sb="8" eb="9">
      <t>アオ</t>
    </rPh>
    <rPh sb="9" eb="11">
      <t>ヤジルシ</t>
    </rPh>
    <phoneticPr fontId="2"/>
  </si>
  <si>
    <t>300×300</t>
  </si>
  <si>
    <t>整列乗車シート（グレーライン：長）</t>
    <rPh sb="0" eb="4">
      <t>セイレツジョウシャ</t>
    </rPh>
    <rPh sb="15" eb="16">
      <t>ナガ</t>
    </rPh>
    <phoneticPr fontId="2"/>
  </si>
  <si>
    <t>整列乗車シート（グレーライン：短）</t>
    <rPh sb="0" eb="4">
      <t>セイレツジョウシャ</t>
    </rPh>
    <rPh sb="15" eb="16">
      <t>ミジカ</t>
    </rPh>
    <phoneticPr fontId="2"/>
  </si>
  <si>
    <t>整列乗車シート（グレー矢印）</t>
    <rPh sb="0" eb="4">
      <t>セイレツジョウシャ</t>
    </rPh>
    <rPh sb="11" eb="13">
      <t>ヤジルシ</t>
    </rPh>
    <phoneticPr fontId="2"/>
  </si>
  <si>
    <t>施工費</t>
    <rPh sb="0" eb="2">
      <t>セコウ</t>
    </rPh>
    <rPh sb="2" eb="3">
      <t>ヒ</t>
    </rPh>
    <phoneticPr fontId="2"/>
  </si>
  <si>
    <t>サイン工事   見積り金額比較表</t>
    <phoneticPr fontId="2"/>
  </si>
  <si>
    <t>A:㈱カシイ</t>
    <phoneticPr fontId="2"/>
  </si>
  <si>
    <t>B:日本サイン㈱</t>
    <rPh sb="2" eb="4">
      <t>ニホン</t>
    </rPh>
    <phoneticPr fontId="2"/>
  </si>
  <si>
    <t>扉間駅名標示〔可動柵部〕</t>
    <rPh sb="0" eb="1">
      <t>トビラ</t>
    </rPh>
    <rPh sb="1" eb="2">
      <t>カン</t>
    </rPh>
    <rPh sb="2" eb="4">
      <t>エキメイ</t>
    </rPh>
    <rPh sb="4" eb="6">
      <t>ヒョウジ</t>
    </rPh>
    <rPh sb="7" eb="9">
      <t>カドウ</t>
    </rPh>
    <rPh sb="9" eb="10">
      <t>サク</t>
    </rPh>
    <rPh sb="10" eb="11">
      <t>ブ</t>
    </rPh>
    <phoneticPr fontId="2"/>
  </si>
  <si>
    <t>1810×250　ｲﾝｸｼﾞｪｯﾄｼｰﾄ</t>
  </si>
  <si>
    <t>連結部駅名標示〔可動柵部〕</t>
    <rPh sb="0" eb="2">
      <t>レンケツ</t>
    </rPh>
    <rPh sb="2" eb="3">
      <t>ブ</t>
    </rPh>
    <rPh sb="3" eb="5">
      <t>エキメイ</t>
    </rPh>
    <rPh sb="5" eb="7">
      <t>ヒョウジ</t>
    </rPh>
    <rPh sb="8" eb="11">
      <t>カドウサク</t>
    </rPh>
    <rPh sb="11" eb="12">
      <t>ブ</t>
    </rPh>
    <phoneticPr fontId="2"/>
  </si>
  <si>
    <t>2870×250　ｲﾝｸｼﾞｪｯﾄｼｰﾄ</t>
  </si>
  <si>
    <t>ホーム側路線案内標示〔可動柵部〕</t>
    <rPh sb="3" eb="4">
      <t>ガワ</t>
    </rPh>
    <rPh sb="4" eb="8">
      <t>ロセンアンナイ</t>
    </rPh>
    <rPh sb="8" eb="10">
      <t>ヒョウジ</t>
    </rPh>
    <rPh sb="11" eb="15">
      <t>カドウサクブ</t>
    </rPh>
    <phoneticPr fontId="2"/>
  </si>
  <si>
    <t>1200×700　ｲﾝｸｼﾞｪｯﾄｼｰﾄ</t>
  </si>
  <si>
    <t>乗車位置・注意事項標示〔可動柵部〕</t>
    <rPh sb="0" eb="2">
      <t>ジョウシャ</t>
    </rPh>
    <rPh sb="2" eb="4">
      <t>イチ</t>
    </rPh>
    <rPh sb="5" eb="7">
      <t>チュウイ</t>
    </rPh>
    <rPh sb="7" eb="9">
      <t>ジコウ</t>
    </rPh>
    <rPh sb="9" eb="11">
      <t>ヒョウジ</t>
    </rPh>
    <rPh sb="12" eb="16">
      <t>カドウサクブ</t>
    </rPh>
    <phoneticPr fontId="2"/>
  </si>
  <si>
    <t>387×546　ｲﾝｸｼﾞｪｯﾄｼｰﾄ</t>
  </si>
  <si>
    <t>扉部はさみこみ注意標示〔可動柵部〕</t>
    <rPh sb="0" eb="1">
      <t>トビラ</t>
    </rPh>
    <rPh sb="1" eb="2">
      <t>ブ</t>
    </rPh>
    <rPh sb="7" eb="11">
      <t>チュウイヒョウジ</t>
    </rPh>
    <rPh sb="12" eb="16">
      <t>カドウサクブ</t>
    </rPh>
    <phoneticPr fontId="2"/>
  </si>
  <si>
    <t>100×152　ｲﾝｸｼﾞｪｯﾄｼｰﾄ</t>
  </si>
  <si>
    <t>乗車位置標示〔床面〕</t>
    <rPh sb="0" eb="2">
      <t>ジョウシャ</t>
    </rPh>
    <rPh sb="2" eb="4">
      <t>イチ</t>
    </rPh>
    <rPh sb="4" eb="6">
      <t>ヒョウジ</t>
    </rPh>
    <rPh sb="7" eb="9">
      <t>ユカメン</t>
    </rPh>
    <phoneticPr fontId="2"/>
  </si>
  <si>
    <t>500×130　ｲﾝｸｼﾞｪｯﾄｼｰﾄ</t>
  </si>
  <si>
    <t>女性専用車両標示〔床面〕</t>
    <rPh sb="0" eb="6">
      <t>ジョセイセンヨウシャリョウ</t>
    </rPh>
    <rPh sb="6" eb="8">
      <t>ヒョウジ</t>
    </rPh>
    <rPh sb="9" eb="11">
      <t>ユカメン</t>
    </rPh>
    <phoneticPr fontId="2"/>
  </si>
  <si>
    <t>のりかえ誘導標示〔床面〕</t>
    <rPh sb="4" eb="6">
      <t>ユウドウ</t>
    </rPh>
    <rPh sb="6" eb="8">
      <t>ヒョウジ</t>
    </rPh>
    <rPh sb="9" eb="11">
      <t>ユカメン</t>
    </rPh>
    <phoneticPr fontId="2"/>
  </si>
  <si>
    <t>女性専用車両標示仮設〔床面〕</t>
    <rPh sb="0" eb="6">
      <t>ジョセイセンヨウシャリョウ</t>
    </rPh>
    <rPh sb="6" eb="8">
      <t>ヒョウジ</t>
    </rPh>
    <rPh sb="8" eb="10">
      <t>カセツ</t>
    </rPh>
    <rPh sb="11" eb="13">
      <t>ユカメン</t>
    </rPh>
    <phoneticPr fontId="2"/>
  </si>
  <si>
    <t>900×700　ｲﾝｸｼﾞｪｯﾄｼｰﾄ</t>
  </si>
  <si>
    <t>2670×250　ｲﾝｸｼﾞｪｯﾄｼｰﾄ</t>
  </si>
  <si>
    <t>3780×250　ｲﾝｸｼﾞｪｯﾄｼｰﾄ</t>
  </si>
  <si>
    <t>ＩＣ専用標示〔床面〕</t>
    <rPh sb="2" eb="4">
      <t>センヨウ</t>
    </rPh>
    <rPh sb="4" eb="6">
      <t>ヒョウジ</t>
    </rPh>
    <rPh sb="7" eb="9">
      <t>ユカメン</t>
    </rPh>
    <phoneticPr fontId="2"/>
  </si>
  <si>
    <t>工種</t>
    <rPh sb="0" eb="2">
      <t>コウシュ</t>
    </rPh>
    <phoneticPr fontId="2"/>
  </si>
  <si>
    <t>単価ｺｰﾄﾞ</t>
  </si>
  <si>
    <t>名称(空白は不可)</t>
    <rPh sb="3" eb="5">
      <t>クウハク</t>
    </rPh>
    <rPh sb="6" eb="8">
      <t>フカ</t>
    </rPh>
    <phoneticPr fontId="2"/>
  </si>
  <si>
    <t>形  状  寸  法</t>
  </si>
  <si>
    <t>単位</t>
  </si>
  <si>
    <t>備    考</t>
  </si>
  <si>
    <t>材料費</t>
  </si>
  <si>
    <t>１Ａ</t>
  </si>
  <si>
    <t>1A-3A</t>
    <phoneticPr fontId="2"/>
  </si>
  <si>
    <t>1A-4A</t>
    <phoneticPr fontId="2"/>
  </si>
  <si>
    <t>２Ａ</t>
  </si>
  <si>
    <t>３Ａ</t>
  </si>
  <si>
    <t>４Ａ</t>
  </si>
  <si>
    <t>材料</t>
  </si>
  <si>
    <t>ｱｽﾌｧﾙﾄ</t>
  </si>
  <si>
    <t>木くず
再生</t>
  </si>
  <si>
    <t>木くず
合板</t>
  </si>
  <si>
    <t>ガラス
陶磁器</t>
  </si>
  <si>
    <t>繊維くず</t>
  </si>
  <si>
    <t>石膏ボード</t>
  </si>
  <si>
    <t>セメント板</t>
  </si>
  <si>
    <t>家具・
備品</t>
  </si>
  <si>
    <t>廃プラ
(ｱｽﾍﾞ)</t>
  </si>
  <si>
    <t>ｽﾃﾝﾚｽ</t>
  </si>
  <si>
    <t>アルミ</t>
  </si>
  <si>
    <t>資産ｸﾗｽ</t>
    <rPh sb="0" eb="2">
      <t>シサン</t>
    </rPh>
    <phoneticPr fontId="2"/>
  </si>
  <si>
    <t>鉄筋 SD295A</t>
    <rPh sb="0" eb="2">
      <t>テッキン</t>
    </rPh>
    <phoneticPr fontId="2"/>
  </si>
  <si>
    <t>Ｄ１０</t>
    <phoneticPr fontId="2"/>
  </si>
  <si>
    <t>Ｄ１６</t>
  </si>
  <si>
    <t>鉄筋 SD345</t>
    <rPh sb="0" eb="2">
      <t>テッキン</t>
    </rPh>
    <phoneticPr fontId="2"/>
  </si>
  <si>
    <t>Ｄ１９</t>
  </si>
  <si>
    <t>Ｄ２２</t>
  </si>
  <si>
    <t>生コンクリート</t>
  </si>
  <si>
    <t>Fc=18,sl=18</t>
  </si>
  <si>
    <t>Fc=21,sl=18</t>
  </si>
  <si>
    <t>Fc=24,sl=18</t>
  </si>
  <si>
    <t>Fc=27,sl=18</t>
  </si>
  <si>
    <t>Fc=24,sl=15</t>
  </si>
  <si>
    <t>---</t>
  </si>
  <si>
    <t>コード</t>
  </si>
  <si>
    <t>名称</t>
    <rPh sb="0" eb="2">
      <t>メイショウ</t>
    </rPh>
    <phoneticPr fontId="5"/>
  </si>
  <si>
    <t>鉄有固-構築物-橋りょう-その他のもの</t>
    <rPh sb="2" eb="3">
      <t>カタム</t>
    </rPh>
    <rPh sb="15" eb="16">
      <t>タ</t>
    </rPh>
    <phoneticPr fontId="1"/>
  </si>
  <si>
    <t>鉄有固-構築物-高架橋-鉄骨造り</t>
    <rPh sb="12" eb="14">
      <t>テッコツ</t>
    </rPh>
    <phoneticPr fontId="1"/>
  </si>
  <si>
    <t>鉄有固-構築物-高架橋-その他のもの</t>
    <rPh sb="8" eb="11">
      <t>コウカキョウ</t>
    </rPh>
    <rPh sb="14" eb="15">
      <t>タ</t>
    </rPh>
    <phoneticPr fontId="1"/>
  </si>
  <si>
    <t>鉄有固-構築物-トンネル-その他のもの</t>
    <rPh sb="15" eb="16">
      <t>タ</t>
    </rPh>
    <phoneticPr fontId="1"/>
  </si>
  <si>
    <t>鉄有固-構築物-線路諸設備-防護設備</t>
    <rPh sb="0" eb="1">
      <t>テツ</t>
    </rPh>
    <rPh sb="1" eb="2">
      <t>ユウ</t>
    </rPh>
    <rPh sb="2" eb="3">
      <t>カタム</t>
    </rPh>
    <rPh sb="14" eb="16">
      <t>ボウゴ</t>
    </rPh>
    <phoneticPr fontId="1"/>
  </si>
  <si>
    <t>鉄有固-構築物-線路諸設備-さくがき</t>
    <rPh sb="0" eb="1">
      <t>テツ</t>
    </rPh>
    <rPh sb="1" eb="2">
      <t>ユウ</t>
    </rPh>
    <rPh sb="2" eb="3">
      <t>カタム</t>
    </rPh>
    <phoneticPr fontId="1"/>
  </si>
  <si>
    <t>鉄有固-構築物-線路諸設備-雑設備</t>
    <rPh sb="0" eb="1">
      <t>テツ</t>
    </rPh>
    <phoneticPr fontId="1"/>
  </si>
  <si>
    <t>鉄有固-構築物-雑設備</t>
  </si>
  <si>
    <t>鉄有固-構築物-車庫工場-舗装道路・舗装路面-コンクリート敷、ブロック敷・煉瓦敷・石敷</t>
  </si>
  <si>
    <t>鉄有固-構築物-車庫工場-舗装道路・舗装路面-アスファルト敷又は木れんが敷のもの</t>
  </si>
  <si>
    <t>鉄有固-構築物-車庫工場-舗装道路・舗装路面-ビチュ－マルス敷のもの</t>
  </si>
  <si>
    <t>鉄有固-構築物-車庫工場-鉄骨鉄筋コンクリート造・鉄筋コンクリート造-へい</t>
  </si>
  <si>
    <t>鉄有固-構築物-車庫工場-鉄骨鉄筋コンクリート造・鉄筋コンクリート造-その他のもの</t>
  </si>
  <si>
    <t>鉄有固-構築物-車庫工場-コンクリート造・コンクリートブロック造-へい</t>
  </si>
  <si>
    <t>鉄有固-構築物-車庫工場-コンクリート造・コンクリートブロック造-その他のもの</t>
  </si>
  <si>
    <t>鉄有固-構築物-車庫工場-金属造-へい</t>
  </si>
  <si>
    <t>鉄有固-構築物-車庫工場-金属造-その他のもの</t>
  </si>
  <si>
    <t>鉄有固-構築物-車庫工場-木造-へい</t>
  </si>
  <si>
    <t>鉄有固-構築物-車庫工場-木造-その他のもの</t>
  </si>
  <si>
    <t>鉄有固-構築物-変電所-舗装道路・舗装路面-コンクリート敷、ブロック敷・煉瓦敷・石敷</t>
  </si>
  <si>
    <t>鉄有固-構築物-変電所-舗装道路・舗装路面-アスファルト敷又は木れんが敷のもの</t>
  </si>
  <si>
    <t>鉄有固-構築物-変電所-舗装道路・舗装路面-ビチュ－マルス敷のもの</t>
  </si>
  <si>
    <t>鉄有固-構築物-変電所-鉄骨鉄筋コンクリート造・鉄筋コンクリート造-へい</t>
  </si>
  <si>
    <t>鉄有固-構築物-変電所-鉄骨鉄筋コンクリート造・鉄筋コンクリート造-その他のもの</t>
  </si>
  <si>
    <t>鉄有固-構築物-変電所-コンクリート造・コンクリートブロック造-へい</t>
  </si>
  <si>
    <t>鉄有固-構築物-変電所-コンクリート造・コンクリートブロック造-その他のもの</t>
  </si>
  <si>
    <t>鉄有固-構築物-変電所-金属造-へい</t>
  </si>
  <si>
    <t>鉄有固-構築物-変電所-金属造-その他のもの</t>
  </si>
  <si>
    <t>鉄有固-構築物-変電所-木造-へい</t>
  </si>
  <si>
    <t>鉄有固-構築物-変電所-木造-その他のもの</t>
  </si>
  <si>
    <t>鉄有固-構築物-雑構築物-舗装道路・舗装路面-コンクリート敷、ブロック敷・煉瓦敷・石敷</t>
  </si>
  <si>
    <t>鉄有固-構築物-雑構築物-舗装道路・舗装路面-アスファルト敷又は木れんが敷のもの</t>
  </si>
  <si>
    <t>鉄有固-構築物-雑構築物-舗装道路・舗装路面-ビチュ－マルス敷のもの</t>
  </si>
  <si>
    <t>鉄有固-構築物-雑構築物-鉄骨鉄筋コンクリート造・鉄筋コンクリート造-へい</t>
  </si>
  <si>
    <t>鉄有固-構築物-雑構築物-鉄骨鉄筋コンクリート造・鉄筋コンクリート造-その他のもの</t>
  </si>
  <si>
    <t>鉄有固-構築物-雑構築物-鉄骨鉄筋コンクリート造・鉄筋コンクリート造-上水道、水そう</t>
  </si>
  <si>
    <t>鉄有固-構築物-雑構築物-コンクリート造・コンクリートブロック造-へい</t>
  </si>
  <si>
    <t>鉄有固-構築物-雑構築物-コンクリート造・コンクリートブロック造-その他のもの</t>
  </si>
  <si>
    <t>鉄有固-構築物-雑構築物-金属造-へい</t>
  </si>
  <si>
    <t>鉄有固-構築物-雑構築物-金属造-その他のもの</t>
  </si>
  <si>
    <t>鉄有固-構築物-雑構築物-金属造-水そう及び油そう－鋼鉄製のもの</t>
  </si>
  <si>
    <t>鉄有固-構築物-雑構築物-金属造-焼却炉</t>
    <rPh sb="17" eb="20">
      <t>ショウキャクロ</t>
    </rPh>
    <phoneticPr fontId="1"/>
  </si>
  <si>
    <t>鉄有固-構築物-雑構築物-金属造-送配管-鋼鉄製</t>
  </si>
  <si>
    <t>鉄有固-構築物-雑構築物-木造-へい</t>
  </si>
  <si>
    <t>鉄有固-構築物-雑構築物-木造-その他のもの</t>
  </si>
  <si>
    <t>鉄有固-構築物-雑構築物-前掲以外のもの-その他のもの</t>
  </si>
  <si>
    <t>鉄有固-構築物-雑構築物-緑化施設及び庭園-その他のもの</t>
  </si>
  <si>
    <t>鉄有固-構築物-雑構築物-広告用のもの-その他のもの</t>
    <rPh sb="13" eb="16">
      <t>コウコクヨウ</t>
    </rPh>
    <phoneticPr fontId="1"/>
  </si>
  <si>
    <t>鉄有固-車両-予備品</t>
    <rPh sb="7" eb="10">
      <t>ヨビヒン</t>
    </rPh>
    <phoneticPr fontId="1"/>
  </si>
  <si>
    <t>鉄有固-工具器具及び備品-工器備-美術品(非償却)</t>
    <rPh sb="17" eb="19">
      <t>ビジュツ</t>
    </rPh>
    <rPh sb="19" eb="20">
      <t>ヒン</t>
    </rPh>
    <rPh sb="21" eb="22">
      <t>ヒ</t>
    </rPh>
    <rPh sb="22" eb="24">
      <t>ショウキャク</t>
    </rPh>
    <phoneticPr fontId="1"/>
  </si>
  <si>
    <t>鉄有固-工具器具及び備品-工器備-美術品-償却(主として金属製のもの)</t>
    <rPh sb="17" eb="19">
      <t>ビジュツ</t>
    </rPh>
    <rPh sb="19" eb="20">
      <t>ヒン</t>
    </rPh>
    <phoneticPr fontId="1"/>
  </si>
  <si>
    <t>鉄有固-工具器具及び備品-工器備-美術品-償却(その他のもの)</t>
    <rPh sb="17" eb="19">
      <t>ビジュツ</t>
    </rPh>
    <rPh sb="19" eb="20">
      <t>ヒン</t>
    </rPh>
    <phoneticPr fontId="1"/>
  </si>
  <si>
    <t>鉄有固-工具器具及び備品-運搬具-前掲以外-乗合自動車</t>
    <rPh sb="17" eb="19">
      <t>ゼンケイ</t>
    </rPh>
    <rPh sb="19" eb="21">
      <t>イガイ</t>
    </rPh>
    <rPh sb="22" eb="27">
      <t>ノリアイジドウシャ</t>
    </rPh>
    <phoneticPr fontId="1"/>
  </si>
  <si>
    <t>鉄有固-案内宣伝施設 建物-簡易建物(木製主要柱が10cm角以下で土居、杉皮ぶき等)-社宅・寮建物</t>
    <rPh sb="47" eb="49">
      <t>タテモノ</t>
    </rPh>
    <phoneticPr fontId="1"/>
  </si>
  <si>
    <t>建設仮勘定-広告事業-ソフトウェア</t>
    <rPh sb="6" eb="8">
      <t>コウコク</t>
    </rPh>
    <phoneticPr fontId="1"/>
  </si>
  <si>
    <t>建設仮勘定-各事業関連-直接費</t>
    <rPh sb="6" eb="9">
      <t>カクジギョウ</t>
    </rPh>
    <rPh sb="9" eb="11">
      <t>カンレン</t>
    </rPh>
    <rPh sb="12" eb="14">
      <t>チョクセツ</t>
    </rPh>
    <rPh sb="14" eb="15">
      <t>ヒ</t>
    </rPh>
    <phoneticPr fontId="1"/>
  </si>
  <si>
    <t>建設仮勘定-各事業関連-間接費</t>
    <rPh sb="6" eb="9">
      <t>カクジギョウ</t>
    </rPh>
    <rPh sb="9" eb="11">
      <t>カンレン</t>
    </rPh>
    <rPh sb="12" eb="14">
      <t>カンセツ</t>
    </rPh>
    <rPh sb="14" eb="15">
      <t>ヒ</t>
    </rPh>
    <phoneticPr fontId="1"/>
  </si>
  <si>
    <t>各事業有固-建物付属設備-電気設備(照明設備を含む。)-蓄電池電源設備-雑建物</t>
    <rPh sb="36" eb="37">
      <t>ザツ</t>
    </rPh>
    <rPh sb="37" eb="39">
      <t>タテモノ</t>
    </rPh>
    <phoneticPr fontId="1"/>
  </si>
  <si>
    <t>各事業有固-工具器具及び備品-工器備-美術品(非償却)</t>
    <rPh sb="19" eb="21">
      <t>ビジュツ</t>
    </rPh>
    <rPh sb="21" eb="22">
      <t>ヒン</t>
    </rPh>
    <rPh sb="23" eb="24">
      <t>ヒ</t>
    </rPh>
    <rPh sb="24" eb="26">
      <t>ショウキャク</t>
    </rPh>
    <phoneticPr fontId="1"/>
  </si>
  <si>
    <t>各事業有固-工具器具及び備品-工器備-美術品-償却(主として金属製のもの)</t>
    <rPh sb="19" eb="21">
      <t>ビジュツ</t>
    </rPh>
    <rPh sb="21" eb="22">
      <t>ヒン</t>
    </rPh>
    <phoneticPr fontId="1"/>
  </si>
  <si>
    <t>各事業有固-工具器具及び備品-工器備-美術品-償却(その他のもの)</t>
    <rPh sb="19" eb="21">
      <t>ビジュツ</t>
    </rPh>
    <rPh sb="21" eb="22">
      <t>ヒン</t>
    </rPh>
    <phoneticPr fontId="1"/>
  </si>
  <si>
    <t>各事業無固-借地権</t>
    <rPh sb="6" eb="8">
      <t>シャクチ</t>
    </rPh>
    <rPh sb="8" eb="9">
      <t>ケン</t>
    </rPh>
    <phoneticPr fontId="1"/>
  </si>
  <si>
    <t>各事業無固-地上権</t>
    <rPh sb="6" eb="9">
      <t>チジョウケン</t>
    </rPh>
    <phoneticPr fontId="1"/>
  </si>
  <si>
    <t>各事業無固-商標権</t>
    <rPh sb="6" eb="9">
      <t>ショウヒョウケン</t>
    </rPh>
    <phoneticPr fontId="1"/>
  </si>
  <si>
    <t>営繕工事</t>
  </si>
  <si>
    <t>ｼｰﾄ更新日20181024</t>
    <rPh sb="3" eb="5">
      <t>コウシン</t>
    </rPh>
    <rPh sb="5" eb="6">
      <t>ヒ</t>
    </rPh>
    <phoneticPr fontId="2"/>
  </si>
  <si>
    <t>専業諸経費集計表</t>
    <rPh sb="0" eb="2">
      <t>センギョウ</t>
    </rPh>
    <rPh sb="2" eb="5">
      <t>ショケイヒ</t>
    </rPh>
    <rPh sb="5" eb="8">
      <t>シュウケイヒョウ</t>
    </rPh>
    <phoneticPr fontId="2"/>
  </si>
  <si>
    <t>改定案</t>
    <rPh sb="0" eb="2">
      <t>カイテイ</t>
    </rPh>
    <rPh sb="2" eb="3">
      <t>アン</t>
    </rPh>
    <phoneticPr fontId="2"/>
  </si>
  <si>
    <t>前　払 い 有り・無し--&gt;</t>
  </si>
  <si>
    <t>工事１</t>
    <rPh sb="0" eb="2">
      <t>コウジ</t>
    </rPh>
    <phoneticPr fontId="2"/>
  </si>
  <si>
    <t>工事２</t>
    <rPh sb="0" eb="2">
      <t>コウジ</t>
    </rPh>
    <phoneticPr fontId="2"/>
  </si>
  <si>
    <t>工事３</t>
    <rPh sb="0" eb="2">
      <t>コウジ</t>
    </rPh>
    <phoneticPr fontId="2"/>
  </si>
  <si>
    <t>工事４</t>
    <rPh sb="0" eb="2">
      <t>コウジ</t>
    </rPh>
    <phoneticPr fontId="2"/>
  </si>
  <si>
    <t>工事５</t>
    <rPh sb="0" eb="2">
      <t>コウジ</t>
    </rPh>
    <phoneticPr fontId="2"/>
  </si>
  <si>
    <t>工事６</t>
    <rPh sb="0" eb="2">
      <t>コウジ</t>
    </rPh>
    <phoneticPr fontId="2"/>
  </si>
  <si>
    <t>直接工事費（下請経費共）　合   計</t>
    <rPh sb="0" eb="1">
      <t>チョク</t>
    </rPh>
    <rPh sb="1" eb="2">
      <t>セツ</t>
    </rPh>
    <phoneticPr fontId="2"/>
  </si>
  <si>
    <t>内、警備員費</t>
    <rPh sb="0" eb="1">
      <t>ウチ</t>
    </rPh>
    <rPh sb="2" eb="5">
      <t>ケイビイン</t>
    </rPh>
    <rPh sb="5" eb="6">
      <t>ヒ</t>
    </rPh>
    <phoneticPr fontId="2"/>
  </si>
  <si>
    <t>内、ﾘｰｽ料</t>
    <rPh sb="0" eb="1">
      <t>ウチ</t>
    </rPh>
    <rPh sb="5" eb="6">
      <t>リョウ</t>
    </rPh>
    <phoneticPr fontId="2"/>
  </si>
  <si>
    <t>内、借地借家料</t>
    <rPh sb="0" eb="1">
      <t>ウチ</t>
    </rPh>
    <rPh sb="2" eb="4">
      <t>シャクチ</t>
    </rPh>
    <rPh sb="4" eb="6">
      <t>シャクヤ</t>
    </rPh>
    <rPh sb="6" eb="7">
      <t>リョウ</t>
    </rPh>
    <phoneticPr fontId="2"/>
  </si>
  <si>
    <t>内、各種負担金</t>
    <rPh sb="0" eb="1">
      <t>ウチ</t>
    </rPh>
    <rPh sb="2" eb="4">
      <t>カクシュ</t>
    </rPh>
    <rPh sb="4" eb="7">
      <t>フタンキン</t>
    </rPh>
    <phoneticPr fontId="2"/>
  </si>
  <si>
    <t>　純　工　事　費　　　　　　合　　計</t>
    <phoneticPr fontId="2"/>
  </si>
  <si>
    <r>
      <t>(直接工事費 直接仮設</t>
    </r>
    <r>
      <rPr>
        <sz val="10"/>
        <rFont val="ＭＳ Ｐ明朝"/>
        <family val="1"/>
        <charset val="128"/>
      </rPr>
      <t>を含む)</t>
    </r>
    <rPh sb="12" eb="13">
      <t>フク</t>
    </rPh>
    <phoneticPr fontId="2"/>
  </si>
  <si>
    <t>現場管理費より控除する専門・除外の工事費---&gt;</t>
  </si>
  <si>
    <t>(共通仮設費)</t>
  </si>
  <si>
    <t>　現場管理費・一般管理費等　　合　　計</t>
  </si>
  <si>
    <t>諸 経 費 算 定 用 入 力 欄</t>
  </si>
  <si>
    <t>一般・その他等  純工事費</t>
    <phoneticPr fontId="2"/>
  </si>
  <si>
    <t>（２）改修一般建築工事</t>
    <rPh sb="3" eb="5">
      <t>カイシュウ</t>
    </rPh>
    <rPh sb="5" eb="7">
      <t>イッパン</t>
    </rPh>
    <rPh sb="7" eb="9">
      <t>ケンチク</t>
    </rPh>
    <rPh sb="9" eb="11">
      <t>コウジ</t>
    </rPh>
    <phoneticPr fontId="2"/>
  </si>
  <si>
    <t>（３）警備員費（共通仮設費）</t>
    <rPh sb="3" eb="6">
      <t>ケイビイン</t>
    </rPh>
    <rPh sb="6" eb="7">
      <t>ヒ</t>
    </rPh>
    <rPh sb="8" eb="10">
      <t>キョウツウ</t>
    </rPh>
    <rPh sb="10" eb="12">
      <t>カセツ</t>
    </rPh>
    <rPh sb="12" eb="13">
      <t>ヒ</t>
    </rPh>
    <phoneticPr fontId="2"/>
  </si>
  <si>
    <t>(4-1)率算出共通仮設工事</t>
    <rPh sb="5" eb="6">
      <t>リツ</t>
    </rPh>
    <rPh sb="6" eb="8">
      <t>サンシュツ</t>
    </rPh>
    <phoneticPr fontId="2"/>
  </si>
  <si>
    <t>専業工事</t>
    <rPh sb="0" eb="2">
      <t>センギョウ</t>
    </rPh>
    <rPh sb="2" eb="4">
      <t>コウジ</t>
    </rPh>
    <phoneticPr fontId="2"/>
  </si>
  <si>
    <t>(4-2)積上げ共通仮設工事※警備員費・率除外項目除く</t>
    <rPh sb="5" eb="7">
      <t>ツミア</t>
    </rPh>
    <rPh sb="8" eb="10">
      <t>キョウツウ</t>
    </rPh>
    <rPh sb="10" eb="12">
      <t>カセツ</t>
    </rPh>
    <rPh sb="12" eb="14">
      <t>コウジ</t>
    </rPh>
    <rPh sb="15" eb="18">
      <t>ケイビイン</t>
    </rPh>
    <rPh sb="18" eb="19">
      <t>ヒ</t>
    </rPh>
    <rPh sb="20" eb="21">
      <t>リツ</t>
    </rPh>
    <rPh sb="21" eb="23">
      <t>ジョガイ</t>
    </rPh>
    <rPh sb="23" eb="25">
      <t>コウモク</t>
    </rPh>
    <rPh sb="25" eb="26">
      <t>ノゾ</t>
    </rPh>
    <phoneticPr fontId="2"/>
  </si>
  <si>
    <t>(5)直接仮設工事（下請経費共）</t>
    <phoneticPr fontId="2"/>
  </si>
  <si>
    <t>(6)建具工事（下請経費共）</t>
    <rPh sb="3" eb="5">
      <t>タテグ</t>
    </rPh>
    <phoneticPr fontId="2"/>
  </si>
  <si>
    <t>(7)場内小運搬費（下請経費共）</t>
    <phoneticPr fontId="2"/>
  </si>
  <si>
    <t>(8)〃人力積込み費（下請経費共）</t>
    <phoneticPr fontId="2"/>
  </si>
  <si>
    <t>(9)〃搬出準備費</t>
    <phoneticPr fontId="2"/>
  </si>
  <si>
    <t>(10)近隣家屋調査及び地質調査</t>
    <phoneticPr fontId="2"/>
  </si>
  <si>
    <t>(11)</t>
    <phoneticPr fontId="2"/>
  </si>
  <si>
    <t>(12)</t>
    <phoneticPr fontId="2"/>
  </si>
  <si>
    <t>(13)残材処分費及び残土処分費（直工費のみ）</t>
    <rPh sb="17" eb="18">
      <t>チョク</t>
    </rPh>
    <rPh sb="18" eb="19">
      <t>コウ</t>
    </rPh>
    <rPh sb="19" eb="20">
      <t>ヒ</t>
    </rPh>
    <phoneticPr fontId="2"/>
  </si>
  <si>
    <t>(14)残材処分費及び残土処分費(共通仮設)</t>
    <rPh sb="17" eb="19">
      <t>キョウツウ</t>
    </rPh>
    <rPh sb="19" eb="21">
      <t>カセツ</t>
    </rPh>
    <phoneticPr fontId="2"/>
  </si>
  <si>
    <t>(15)リース料</t>
    <phoneticPr fontId="2"/>
  </si>
  <si>
    <t>(16)借地借家料（共通仮設）</t>
    <rPh sb="10" eb="12">
      <t>キョウツウ</t>
    </rPh>
    <rPh sb="12" eb="14">
      <t>カセツ</t>
    </rPh>
    <phoneticPr fontId="2"/>
  </si>
  <si>
    <t>(17)別途算定（直工費）</t>
    <rPh sb="4" eb="6">
      <t>ベット</t>
    </rPh>
    <rPh sb="6" eb="8">
      <t>サンテイ</t>
    </rPh>
    <rPh sb="9" eb="10">
      <t>チョク</t>
    </rPh>
    <rPh sb="10" eb="11">
      <t>コウ</t>
    </rPh>
    <rPh sb="11" eb="12">
      <t>ヒ</t>
    </rPh>
    <phoneticPr fontId="2"/>
  </si>
  <si>
    <t>(18)別途算定（共通仮設）</t>
    <rPh sb="4" eb="6">
      <t>ベット</t>
    </rPh>
    <rPh sb="6" eb="8">
      <t>サンテイ</t>
    </rPh>
    <rPh sb="9" eb="11">
      <t>キョウツウ</t>
    </rPh>
    <rPh sb="11" eb="13">
      <t>カセツ</t>
    </rPh>
    <phoneticPr fontId="2"/>
  </si>
  <si>
    <t>(19)下水道使用料、各種負担金（共通仮設）</t>
    <rPh sb="11" eb="13">
      <t>カクシュ</t>
    </rPh>
    <rPh sb="13" eb="16">
      <t>フタンキン</t>
    </rPh>
    <rPh sb="17" eb="19">
      <t>キョウツウ</t>
    </rPh>
    <rPh sb="19" eb="21">
      <t>カセツ</t>
    </rPh>
    <phoneticPr fontId="2"/>
  </si>
  <si>
    <t>P-2</t>
    <phoneticPr fontId="2"/>
  </si>
  <si>
    <r>
      <t>対象直接工事費</t>
    </r>
    <r>
      <rPr>
        <sz val="10"/>
        <color indexed="36"/>
        <rFont val="ＭＳ Ｐ明朝"/>
        <family val="1"/>
        <charset val="128"/>
      </rPr>
      <t>（（9）～(14)、(16)～(19)除く）</t>
    </r>
    <rPh sb="2" eb="4">
      <t>チョクセツ</t>
    </rPh>
    <rPh sb="26" eb="27">
      <t>ノゾ</t>
    </rPh>
    <phoneticPr fontId="2"/>
  </si>
  <si>
    <t>(5)直接仮設工事</t>
    <phoneticPr fontId="2"/>
  </si>
  <si>
    <t>(6)建具工事</t>
    <rPh sb="3" eb="5">
      <t>タテグ</t>
    </rPh>
    <phoneticPr fontId="2"/>
  </si>
  <si>
    <t>(7)場内小運搬費</t>
    <phoneticPr fontId="2"/>
  </si>
  <si>
    <t>(8)〃人力積込み費</t>
    <phoneticPr fontId="2"/>
  </si>
  <si>
    <t>(11)</t>
  </si>
  <si>
    <t>（13）（17）</t>
    <phoneticPr fontId="2"/>
  </si>
  <si>
    <t>諸 経 費 算 定 表 (1)</t>
  </si>
  <si>
    <t>P-3</t>
    <phoneticPr fontId="2"/>
  </si>
  <si>
    <t>対象純工事費（下水道,専業を除く）</t>
    <rPh sb="11" eb="13">
      <t>センギョウ</t>
    </rPh>
    <phoneticPr fontId="2"/>
  </si>
  <si>
    <t>-</t>
  </si>
  <si>
    <t>(3）警備員費（共通仮設費）</t>
    <rPh sb="3" eb="6">
      <t>ケイビイン</t>
    </rPh>
    <rPh sb="6" eb="7">
      <t>ヒ</t>
    </rPh>
    <rPh sb="8" eb="10">
      <t>キョウツウ</t>
    </rPh>
    <rPh sb="10" eb="12">
      <t>カセツ</t>
    </rPh>
    <rPh sb="12" eb="13">
      <t>ヒ</t>
    </rPh>
    <phoneticPr fontId="2"/>
  </si>
  <si>
    <t>(6)建具工事</t>
    <rPh sb="3" eb="5">
      <t>タテグ</t>
    </rPh>
    <rPh sb="5" eb="7">
      <t>コウジ</t>
    </rPh>
    <phoneticPr fontId="2"/>
  </si>
  <si>
    <t>(11)　---</t>
    <phoneticPr fontId="2"/>
  </si>
  <si>
    <t>(12)　---</t>
    <phoneticPr fontId="2"/>
  </si>
  <si>
    <t>(13)～(19)</t>
    <phoneticPr fontId="2"/>
  </si>
  <si>
    <t>現場管理費</t>
  </si>
  <si>
    <t>※専業工事の現場管理費は、便宜上、下請経費の1/2とする。</t>
  </si>
  <si>
    <t>共通仮設費(現場管理費計上対象）</t>
    <rPh sb="0" eb="2">
      <t>キョウツウ</t>
    </rPh>
    <rPh sb="2" eb="4">
      <t>カセツ</t>
    </rPh>
    <rPh sb="4" eb="5">
      <t>ヒ</t>
    </rPh>
    <rPh sb="6" eb="8">
      <t>ゲンバ</t>
    </rPh>
    <rPh sb="8" eb="11">
      <t>カンリヒ</t>
    </rPh>
    <rPh sb="11" eb="13">
      <t>ケイジョウ</t>
    </rPh>
    <rPh sb="13" eb="15">
      <t>タイショウ</t>
    </rPh>
    <phoneticPr fontId="2"/>
  </si>
  <si>
    <t>(3)警備員費（共通仮設費）</t>
    <rPh sb="3" eb="6">
      <t>ケイビイン</t>
    </rPh>
    <rPh sb="6" eb="7">
      <t>ヒ</t>
    </rPh>
    <rPh sb="8" eb="10">
      <t>キョウツウ</t>
    </rPh>
    <rPh sb="10" eb="12">
      <t>カセツ</t>
    </rPh>
    <rPh sb="12" eb="13">
      <t>ヒ</t>
    </rPh>
    <phoneticPr fontId="2"/>
  </si>
  <si>
    <t>(4-1）率対象共通仮設費</t>
    <rPh sb="5" eb="6">
      <t>リツ</t>
    </rPh>
    <rPh sb="6" eb="8">
      <t>タイショウ</t>
    </rPh>
    <rPh sb="8" eb="10">
      <t>キョウツウ</t>
    </rPh>
    <rPh sb="10" eb="12">
      <t>カセツ</t>
    </rPh>
    <rPh sb="12" eb="13">
      <t>ヒ</t>
    </rPh>
    <phoneticPr fontId="2"/>
  </si>
  <si>
    <t>別途</t>
    <rPh sb="0" eb="2">
      <t>ベット</t>
    </rPh>
    <phoneticPr fontId="2"/>
  </si>
  <si>
    <t>(17)包含設備工事　現場管理費</t>
    <rPh sb="4" eb="6">
      <t>ホウガン</t>
    </rPh>
    <rPh sb="6" eb="8">
      <t>セツビ</t>
    </rPh>
    <rPh sb="8" eb="10">
      <t>コウジ</t>
    </rPh>
    <rPh sb="11" eb="13">
      <t>ゲンバ</t>
    </rPh>
    <rPh sb="13" eb="16">
      <t>カンリヒ</t>
    </rPh>
    <phoneticPr fontId="2"/>
  </si>
  <si>
    <t>算定</t>
    <rPh sb="0" eb="2">
      <t>サンテイ</t>
    </rPh>
    <phoneticPr fontId="2"/>
  </si>
  <si>
    <t>　※各設備工事により算定</t>
    <rPh sb="2" eb="3">
      <t>カク</t>
    </rPh>
    <rPh sb="3" eb="5">
      <t>セツビ</t>
    </rPh>
    <rPh sb="5" eb="7">
      <t>コウジ</t>
    </rPh>
    <rPh sb="10" eb="12">
      <t>サンテイ</t>
    </rPh>
    <phoneticPr fontId="2"/>
  </si>
  <si>
    <t>(13)(14)(15)(16)(19)</t>
    <phoneticPr fontId="2"/>
  </si>
  <si>
    <t>諸 経 費 算 定 表 (2)</t>
  </si>
  <si>
    <t>P-4</t>
    <phoneticPr fontId="2"/>
  </si>
  <si>
    <t>工事原価</t>
    <phoneticPr fontId="2"/>
  </si>
  <si>
    <t>一般管理費等対象工事原価（下水道,専業を除く）</t>
    <phoneticPr fontId="2"/>
  </si>
  <si>
    <t>(1)建築工事～(17)別途算定</t>
    <rPh sb="12" eb="14">
      <t>ベット</t>
    </rPh>
    <rPh sb="14" eb="16">
      <t>サンテイ</t>
    </rPh>
    <phoneticPr fontId="2"/>
  </si>
  <si>
    <t>専業</t>
    <rPh sb="0" eb="2">
      <t>センギョウ</t>
    </rPh>
    <phoneticPr fontId="2"/>
  </si>
  <si>
    <t>(3-2)～(8)専業工事</t>
    <phoneticPr fontId="2"/>
  </si>
  <si>
    <t>(18)下水道使用料、各種負担金</t>
    <rPh sb="11" eb="13">
      <t>カクシュ</t>
    </rPh>
    <rPh sb="13" eb="16">
      <t>フタンキン</t>
    </rPh>
    <phoneticPr fontId="2"/>
  </si>
  <si>
    <t>一般建築工事＋その他等</t>
    <phoneticPr fontId="2"/>
  </si>
  <si>
    <t>※専業工事の一般管理費等は、便宜上、下請経費の1/2とする。</t>
  </si>
  <si>
    <t>(3)～(8)専業工事</t>
    <phoneticPr fontId="2"/>
  </si>
  <si>
    <t>今回工事の共通仮設費率補正　（監督員事務所無し時の補正)</t>
    <rPh sb="0" eb="2">
      <t>コンカイ</t>
    </rPh>
    <rPh sb="2" eb="4">
      <t>コウジ</t>
    </rPh>
    <rPh sb="5" eb="7">
      <t>キョウツウ</t>
    </rPh>
    <rPh sb="7" eb="9">
      <t>カセツ</t>
    </rPh>
    <rPh sb="9" eb="10">
      <t>ヒ</t>
    </rPh>
    <rPh sb="10" eb="11">
      <t>リツ</t>
    </rPh>
    <rPh sb="11" eb="13">
      <t>ホセイ</t>
    </rPh>
    <rPh sb="15" eb="17">
      <t>カントク</t>
    </rPh>
    <rPh sb="17" eb="18">
      <t>イン</t>
    </rPh>
    <rPh sb="18" eb="20">
      <t>ジム</t>
    </rPh>
    <rPh sb="20" eb="21">
      <t>ショ</t>
    </rPh>
    <rPh sb="21" eb="22">
      <t>ナシ</t>
    </rPh>
    <rPh sb="23" eb="24">
      <t>ジ</t>
    </rPh>
    <rPh sb="25" eb="27">
      <t>ホセイ</t>
    </rPh>
    <phoneticPr fontId="2"/>
  </si>
  <si>
    <t>随意契約共通費集計表</t>
    <rPh sb="0" eb="2">
      <t>ズイイ</t>
    </rPh>
    <rPh sb="2" eb="4">
      <t>ケイヤク</t>
    </rPh>
    <rPh sb="4" eb="6">
      <t>キョウツウ</t>
    </rPh>
    <rPh sb="6" eb="7">
      <t>ヒ</t>
    </rPh>
    <rPh sb="7" eb="10">
      <t>シュウケイヒョウ</t>
    </rPh>
    <phoneticPr fontId="2"/>
  </si>
  <si>
    <t>（△印は減額）</t>
    <rPh sb="2" eb="3">
      <t>シルシ</t>
    </rPh>
    <rPh sb="4" eb="6">
      <t>ゲンガク</t>
    </rPh>
    <phoneticPr fontId="2"/>
  </si>
  <si>
    <t>純工事費　合計</t>
    <rPh sb="0" eb="1">
      <t>ジュン</t>
    </rPh>
    <rPh sb="1" eb="4">
      <t>コウジヒ</t>
    </rPh>
    <rPh sb="5" eb="7">
      <t>ゴウケイ</t>
    </rPh>
    <phoneticPr fontId="2"/>
  </si>
  <si>
    <t>現場管理費、一般管理費等　合計</t>
    <rPh sb="0" eb="2">
      <t>ゲンバ</t>
    </rPh>
    <rPh sb="2" eb="5">
      <t>カンリヒ</t>
    </rPh>
    <rPh sb="6" eb="8">
      <t>イッパン</t>
    </rPh>
    <rPh sb="8" eb="11">
      <t>カンリヒ</t>
    </rPh>
    <rPh sb="11" eb="12">
      <t>ナド</t>
    </rPh>
    <rPh sb="13" eb="15">
      <t>ゴウケイ</t>
    </rPh>
    <phoneticPr fontId="2"/>
  </si>
  <si>
    <t>（↓工期(Ｔ)の変更が有った場合は修正すること）</t>
    <rPh sb="2" eb="4">
      <t>コウキ</t>
    </rPh>
    <rPh sb="8" eb="10">
      <t>ヘンコウ</t>
    </rPh>
    <rPh sb="11" eb="12">
      <t>ア</t>
    </rPh>
    <rPh sb="14" eb="16">
      <t>バアイ</t>
    </rPh>
    <rPh sb="17" eb="19">
      <t>シュウセイ</t>
    </rPh>
    <phoneticPr fontId="2"/>
  </si>
  <si>
    <t>（△印は減額）</t>
  </si>
  <si>
    <t>既発注工事入力欄より---&gt;</t>
    <rPh sb="0" eb="1">
      <t>スデ</t>
    </rPh>
    <rPh sb="1" eb="3">
      <t>ハッチュウ</t>
    </rPh>
    <rPh sb="3" eb="5">
      <t>コウジ</t>
    </rPh>
    <rPh sb="5" eb="7">
      <t>ニュウリョク</t>
    </rPh>
    <rPh sb="7" eb="8">
      <t>ラン</t>
    </rPh>
    <phoneticPr fontId="2"/>
  </si>
  <si>
    <t>（率算出時、監督員事務所を設ける場合は"有り"）--&gt;</t>
    <rPh sb="1" eb="2">
      <t>リツ</t>
    </rPh>
    <rPh sb="2" eb="4">
      <t>サンシュツ</t>
    </rPh>
    <rPh sb="4" eb="5">
      <t>ジ</t>
    </rPh>
    <rPh sb="6" eb="8">
      <t>カントク</t>
    </rPh>
    <rPh sb="8" eb="9">
      <t>イン</t>
    </rPh>
    <rPh sb="9" eb="11">
      <t>ジム</t>
    </rPh>
    <rPh sb="11" eb="12">
      <t>ショ</t>
    </rPh>
    <rPh sb="13" eb="14">
      <t>モウ</t>
    </rPh>
    <rPh sb="16" eb="18">
      <t>バアイ</t>
    </rPh>
    <rPh sb="20" eb="21">
      <t>アリ</t>
    </rPh>
    <phoneticPr fontId="2"/>
  </si>
  <si>
    <t>　　　</t>
  </si>
  <si>
    <t>調整対象額</t>
    <rPh sb="0" eb="2">
      <t>チョウセイ</t>
    </rPh>
    <rPh sb="2" eb="4">
      <t>タイショウ</t>
    </rPh>
    <rPh sb="4" eb="5">
      <t>ガク</t>
    </rPh>
    <phoneticPr fontId="2"/>
  </si>
  <si>
    <t>対象直接工事費</t>
    <rPh sb="0" eb="2">
      <t>タイショウ</t>
    </rPh>
    <rPh sb="2" eb="4">
      <t>チョクセツ</t>
    </rPh>
    <rPh sb="4" eb="7">
      <t>コウジヒ</t>
    </rPh>
    <phoneticPr fontId="2"/>
  </si>
  <si>
    <t>率対象共通仮設費調整額</t>
    <rPh sb="0" eb="1">
      <t>リツ</t>
    </rPh>
    <rPh sb="1" eb="3">
      <t>タイショウ</t>
    </rPh>
    <rPh sb="3" eb="5">
      <t>キョウツウ</t>
    </rPh>
    <rPh sb="5" eb="7">
      <t>カセツ</t>
    </rPh>
    <rPh sb="7" eb="8">
      <t>ヒ</t>
    </rPh>
    <rPh sb="8" eb="10">
      <t>チョウセイ</t>
    </rPh>
    <rPh sb="10" eb="11">
      <t>ガク</t>
    </rPh>
    <phoneticPr fontId="2"/>
  </si>
  <si>
    <t>率対象共通仮設費調整額　端数調整</t>
    <rPh sb="0" eb="1">
      <t>リツ</t>
    </rPh>
    <rPh sb="1" eb="3">
      <t>タイショウ</t>
    </rPh>
    <rPh sb="3" eb="5">
      <t>キョウツウ</t>
    </rPh>
    <rPh sb="5" eb="7">
      <t>カセツ</t>
    </rPh>
    <rPh sb="7" eb="8">
      <t>ヒ</t>
    </rPh>
    <rPh sb="8" eb="10">
      <t>チョウセイ</t>
    </rPh>
    <rPh sb="10" eb="11">
      <t>ガク</t>
    </rPh>
    <rPh sb="12" eb="14">
      <t>ハスウ</t>
    </rPh>
    <rPh sb="14" eb="16">
      <t>チョウセイ</t>
    </rPh>
    <phoneticPr fontId="2"/>
  </si>
  <si>
    <t>率対象共通仮設費改計</t>
    <rPh sb="0" eb="1">
      <t>リツ</t>
    </rPh>
    <rPh sb="1" eb="3">
      <t>タイショウ</t>
    </rPh>
    <rPh sb="3" eb="5">
      <t>キョウツウ</t>
    </rPh>
    <rPh sb="5" eb="7">
      <t>カセツ</t>
    </rPh>
    <rPh sb="7" eb="8">
      <t>ヒ</t>
    </rPh>
    <rPh sb="8" eb="10">
      <t>カイケイ</t>
    </rPh>
    <phoneticPr fontId="2"/>
  </si>
  <si>
    <t>内、リース料、借地借家料</t>
    <rPh sb="0" eb="1">
      <t>ウチ</t>
    </rPh>
    <rPh sb="5" eb="6">
      <t>リョウ</t>
    </rPh>
    <rPh sb="7" eb="9">
      <t>シャクチ</t>
    </rPh>
    <rPh sb="9" eb="11">
      <t>シャクヤ</t>
    </rPh>
    <rPh sb="11" eb="12">
      <t>リョウ</t>
    </rPh>
    <phoneticPr fontId="2"/>
  </si>
  <si>
    <t>(14)リース料,借地借家料(共通仮設）</t>
    <rPh sb="15" eb="17">
      <t>キョウツウ</t>
    </rPh>
    <rPh sb="17" eb="19">
      <t>カセツ</t>
    </rPh>
    <phoneticPr fontId="2"/>
  </si>
  <si>
    <t>(14)リース料,借地借家料(直工費のみ）</t>
    <rPh sb="15" eb="16">
      <t>チョク</t>
    </rPh>
    <rPh sb="16" eb="17">
      <t>コウ</t>
    </rPh>
    <rPh sb="17" eb="18">
      <t>ヒ</t>
    </rPh>
    <phoneticPr fontId="2"/>
  </si>
  <si>
    <t>その他工事</t>
    <rPh sb="2" eb="3">
      <t>タ</t>
    </rPh>
    <rPh sb="3" eb="5">
      <t>コウジ</t>
    </rPh>
    <phoneticPr fontId="2"/>
  </si>
  <si>
    <t>(5)造園工事、舗装工事（排水除く）</t>
    <rPh sb="3" eb="5">
      <t>ゾウエン</t>
    </rPh>
    <rPh sb="5" eb="7">
      <t>コウジ</t>
    </rPh>
    <rPh sb="8" eb="10">
      <t>ホソウ</t>
    </rPh>
    <rPh sb="10" eb="12">
      <t>コウジ</t>
    </rPh>
    <rPh sb="13" eb="15">
      <t>ハイスイ</t>
    </rPh>
    <rPh sb="15" eb="16">
      <t>ノゾ</t>
    </rPh>
    <phoneticPr fontId="2"/>
  </si>
  <si>
    <t>(9)予備</t>
    <rPh sb="3" eb="5">
      <t>ヨビ</t>
    </rPh>
    <phoneticPr fontId="2"/>
  </si>
  <si>
    <t>(10)予備</t>
    <rPh sb="4" eb="6">
      <t>ヨビ</t>
    </rPh>
    <phoneticPr fontId="2"/>
  </si>
  <si>
    <t>除外</t>
    <phoneticPr fontId="2"/>
  </si>
  <si>
    <t>(12)～(17)</t>
    <phoneticPr fontId="2"/>
  </si>
  <si>
    <t>※別途工事により算定</t>
    <rPh sb="1" eb="3">
      <t>ベット</t>
    </rPh>
    <phoneticPr fontId="2"/>
  </si>
  <si>
    <t>現場管理費計</t>
    <phoneticPr fontId="2"/>
  </si>
  <si>
    <t>調整対象額計</t>
    <rPh sb="0" eb="2">
      <t>チョウセイ</t>
    </rPh>
    <rPh sb="2" eb="4">
      <t>タイショウ</t>
    </rPh>
    <rPh sb="4" eb="5">
      <t>ガク</t>
    </rPh>
    <rPh sb="5" eb="6">
      <t>ケイ</t>
    </rPh>
    <phoneticPr fontId="2"/>
  </si>
  <si>
    <t>対象純工事費</t>
    <rPh sb="0" eb="2">
      <t>タイショウ</t>
    </rPh>
    <rPh sb="2" eb="3">
      <t>ジュン</t>
    </rPh>
    <rPh sb="3" eb="6">
      <t>コウジヒ</t>
    </rPh>
    <phoneticPr fontId="2"/>
  </si>
  <si>
    <t>現場管理費調整額</t>
    <rPh sb="0" eb="2">
      <t>ゲンバ</t>
    </rPh>
    <rPh sb="2" eb="5">
      <t>カンリヒ</t>
    </rPh>
    <rPh sb="5" eb="7">
      <t>チョウセイ</t>
    </rPh>
    <rPh sb="7" eb="8">
      <t>ガク</t>
    </rPh>
    <phoneticPr fontId="2"/>
  </si>
  <si>
    <t>現場管理費調整額端数調整</t>
    <rPh sb="0" eb="2">
      <t>ゲンバ</t>
    </rPh>
    <rPh sb="2" eb="5">
      <t>カンリヒ</t>
    </rPh>
    <rPh sb="5" eb="7">
      <t>チョウセイ</t>
    </rPh>
    <rPh sb="7" eb="8">
      <t>ガク</t>
    </rPh>
    <rPh sb="8" eb="10">
      <t>ハスウ</t>
    </rPh>
    <rPh sb="10" eb="12">
      <t>チョウセイ</t>
    </rPh>
    <phoneticPr fontId="2"/>
  </si>
  <si>
    <t>現場管理費　改計</t>
    <rPh sb="6" eb="7">
      <t>カイ</t>
    </rPh>
    <phoneticPr fontId="2"/>
  </si>
  <si>
    <t>一般管理費等</t>
    <rPh sb="0" eb="2">
      <t>イッパン</t>
    </rPh>
    <rPh sb="2" eb="5">
      <t>カンリヒ</t>
    </rPh>
    <rPh sb="5" eb="6">
      <t>トウ</t>
    </rPh>
    <phoneticPr fontId="2"/>
  </si>
  <si>
    <t>対象工事原価→</t>
    <rPh sb="0" eb="2">
      <t>タイショウ</t>
    </rPh>
    <rPh sb="2" eb="4">
      <t>コウジ</t>
    </rPh>
    <rPh sb="4" eb="6">
      <t>ゲンカ</t>
    </rPh>
    <phoneticPr fontId="2"/>
  </si>
  <si>
    <t>別途算定　一般管理費等（土木工事）</t>
    <rPh sb="0" eb="2">
      <t>ベット</t>
    </rPh>
    <rPh sb="2" eb="4">
      <t>サンテイ</t>
    </rPh>
    <rPh sb="5" eb="7">
      <t>イッパン</t>
    </rPh>
    <rPh sb="7" eb="10">
      <t>カンリヒ</t>
    </rPh>
    <rPh sb="10" eb="11">
      <t>トウ</t>
    </rPh>
    <rPh sb="12" eb="14">
      <t>ドボク</t>
    </rPh>
    <rPh sb="14" eb="16">
      <t>コウジ</t>
    </rPh>
    <phoneticPr fontId="2"/>
  </si>
  <si>
    <t>一般管理費等　計</t>
    <rPh sb="0" eb="2">
      <t>イッパン</t>
    </rPh>
    <rPh sb="2" eb="5">
      <t>カンリヒ</t>
    </rPh>
    <rPh sb="5" eb="6">
      <t>トウ</t>
    </rPh>
    <rPh sb="7" eb="8">
      <t>ケイ</t>
    </rPh>
    <phoneticPr fontId="2"/>
  </si>
  <si>
    <t>対象工事原価</t>
    <rPh sb="0" eb="2">
      <t>タイショウ</t>
    </rPh>
    <rPh sb="2" eb="4">
      <t>コウジ</t>
    </rPh>
    <rPh sb="4" eb="6">
      <t>ゲンカ</t>
    </rPh>
    <phoneticPr fontId="2"/>
  </si>
  <si>
    <t>一般管理費調整額</t>
    <rPh sb="0" eb="2">
      <t>イッパン</t>
    </rPh>
    <rPh sb="2" eb="5">
      <t>カンリヒ</t>
    </rPh>
    <rPh sb="5" eb="7">
      <t>チョウセイ</t>
    </rPh>
    <rPh sb="7" eb="8">
      <t>ガク</t>
    </rPh>
    <phoneticPr fontId="2"/>
  </si>
  <si>
    <t>一般管理費調整額端数調整</t>
    <rPh sb="0" eb="2">
      <t>イッパン</t>
    </rPh>
    <rPh sb="2" eb="5">
      <t>カンリヒ</t>
    </rPh>
    <rPh sb="5" eb="7">
      <t>チョウセイ</t>
    </rPh>
    <rPh sb="7" eb="8">
      <t>ガク</t>
    </rPh>
    <rPh sb="8" eb="10">
      <t>ハスウ</t>
    </rPh>
    <rPh sb="10" eb="12">
      <t>チョウセイ</t>
    </rPh>
    <phoneticPr fontId="2"/>
  </si>
  <si>
    <t>一般管理費等　改計</t>
    <rPh sb="0" eb="2">
      <t>イッパン</t>
    </rPh>
    <rPh sb="2" eb="5">
      <t>カンリヒ</t>
    </rPh>
    <rPh sb="5" eb="6">
      <t>トウ</t>
    </rPh>
    <rPh sb="7" eb="8">
      <t>カイ</t>
    </rPh>
    <rPh sb="8" eb="9">
      <t>ケイ</t>
    </rPh>
    <phoneticPr fontId="2"/>
  </si>
  <si>
    <t>一般管理費　改計　調整後</t>
    <rPh sb="0" eb="2">
      <t>イッパン</t>
    </rPh>
    <rPh sb="2" eb="5">
      <t>カンリヒ</t>
    </rPh>
    <rPh sb="6" eb="8">
      <t>カイケイ</t>
    </rPh>
    <rPh sb="9" eb="11">
      <t>チョウセイ</t>
    </rPh>
    <rPh sb="11" eb="12">
      <t>ゴ</t>
    </rPh>
    <phoneticPr fontId="2"/>
  </si>
  <si>
    <t>工事価格　改　計</t>
    <rPh sb="0" eb="2">
      <t>コウジ</t>
    </rPh>
    <rPh sb="2" eb="4">
      <t>カカク</t>
    </rPh>
    <rPh sb="5" eb="6">
      <t>アラタ</t>
    </rPh>
    <rPh sb="7" eb="8">
      <t>ケイ</t>
    </rPh>
    <phoneticPr fontId="2"/>
  </si>
  <si>
    <t>工事価格改計②</t>
    <rPh sb="0" eb="2">
      <t>コウジ</t>
    </rPh>
    <rPh sb="2" eb="4">
      <t>カカク</t>
    </rPh>
    <rPh sb="4" eb="6">
      <t>カイケイ</t>
    </rPh>
    <phoneticPr fontId="2"/>
  </si>
  <si>
    <t>内訳</t>
    <rPh sb="0" eb="2">
      <t>ウチワケ</t>
    </rPh>
    <phoneticPr fontId="2"/>
  </si>
  <si>
    <t>純工事費</t>
    <rPh sb="0" eb="1">
      <t>ジュン</t>
    </rPh>
    <rPh sb="1" eb="4">
      <t>コウジヒ</t>
    </rPh>
    <phoneticPr fontId="2"/>
  </si>
  <si>
    <t>現場管理費、一般管理費等</t>
    <rPh sb="0" eb="2">
      <t>ゲンバ</t>
    </rPh>
    <rPh sb="2" eb="5">
      <t>カンリヒ</t>
    </rPh>
    <rPh sb="6" eb="8">
      <t>イッパン</t>
    </rPh>
    <rPh sb="8" eb="11">
      <t>カンリヒ</t>
    </rPh>
    <rPh sb="11" eb="12">
      <t>ナド</t>
    </rPh>
    <phoneticPr fontId="2"/>
  </si>
  <si>
    <t>変更工事価格（①×R）</t>
    <rPh sb="0" eb="2">
      <t>ヘンコウ</t>
    </rPh>
    <rPh sb="2" eb="4">
      <t>コウジ</t>
    </rPh>
    <rPh sb="4" eb="6">
      <t>カカク</t>
    </rPh>
    <phoneticPr fontId="2"/>
  </si>
  <si>
    <t>千円未満切り捨て→</t>
    <rPh sb="0" eb="2">
      <t>センエン</t>
    </rPh>
    <rPh sb="2" eb="4">
      <t>ミマン</t>
    </rPh>
    <rPh sb="4" eb="5">
      <t>キ</t>
    </rPh>
    <rPh sb="6" eb="7">
      <t>ス</t>
    </rPh>
    <phoneticPr fontId="2"/>
  </si>
  <si>
    <t>随意契約＝＞</t>
    <rPh sb="0" eb="2">
      <t>ズイイ</t>
    </rPh>
    <rPh sb="2" eb="4">
      <t>ケイヤク</t>
    </rPh>
    <phoneticPr fontId="2"/>
  </si>
  <si>
    <t>無し</t>
    <rPh sb="0" eb="1">
      <t>ナ</t>
    </rPh>
    <phoneticPr fontId="2"/>
  </si>
  <si>
    <t>改修・新営を選択---&gt;</t>
    <rPh sb="0" eb="2">
      <t>カイシュウ</t>
    </rPh>
    <rPh sb="3" eb="4">
      <t>シン</t>
    </rPh>
    <rPh sb="6" eb="8">
      <t>センタク</t>
    </rPh>
    <phoneticPr fontId="2"/>
  </si>
  <si>
    <t>積上げ</t>
  </si>
  <si>
    <t>P-2-2</t>
    <phoneticPr fontId="2"/>
  </si>
  <si>
    <t>対象直接工事費（（12）(15)～（17）除く）</t>
    <rPh sb="2" eb="4">
      <t>チョクセツ</t>
    </rPh>
    <rPh sb="21" eb="22">
      <t>ノゾ</t>
    </rPh>
    <phoneticPr fontId="2"/>
  </si>
  <si>
    <t>共 通 費 算 定 表 （既発注）(1)</t>
    <rPh sb="0" eb="1">
      <t>トモ</t>
    </rPh>
    <rPh sb="2" eb="3">
      <t>ツウ</t>
    </rPh>
    <rPh sb="13" eb="14">
      <t>キ</t>
    </rPh>
    <rPh sb="14" eb="16">
      <t>ハッチュウ</t>
    </rPh>
    <phoneticPr fontId="2"/>
  </si>
  <si>
    <t>共 通 費 算 定 表（既発注） (2)</t>
    <rPh sb="0" eb="1">
      <t>トモ</t>
    </rPh>
    <rPh sb="2" eb="3">
      <t>ツウ</t>
    </rPh>
    <rPh sb="12" eb="13">
      <t>キ</t>
    </rPh>
    <rPh sb="13" eb="15">
      <t>ハッチュウ</t>
    </rPh>
    <phoneticPr fontId="2"/>
  </si>
  <si>
    <t>.</t>
    <phoneticPr fontId="2"/>
  </si>
  <si>
    <t>P-5</t>
    <phoneticPr fontId="2"/>
  </si>
  <si>
    <t>次回　変更計上金額</t>
    <rPh sb="0" eb="2">
      <t>ジカイ</t>
    </rPh>
    <rPh sb="3" eb="5">
      <t>ヘンコウ</t>
    </rPh>
    <rPh sb="5" eb="7">
      <t>ケイジョウ</t>
    </rPh>
    <rPh sb="7" eb="9">
      <t>キンガク</t>
    </rPh>
    <phoneticPr fontId="2"/>
  </si>
  <si>
    <t>無し</t>
    <rPh sb="0" eb="1">
      <t>ナシ</t>
    </rPh>
    <phoneticPr fontId="2"/>
  </si>
  <si>
    <t>発注形態　元請・下請け--&gt;</t>
  </si>
  <si>
    <t>元請</t>
    <rPh sb="0" eb="2">
      <t>モトウケ</t>
    </rPh>
    <phoneticPr fontId="2"/>
  </si>
  <si>
    <t>内、リース料</t>
    <rPh sb="0" eb="1">
      <t>ウチ</t>
    </rPh>
    <rPh sb="5" eb="6">
      <t>リョウ</t>
    </rPh>
    <phoneticPr fontId="2"/>
  </si>
  <si>
    <t>(14)リース料,借地借家料(直工のみ）</t>
    <rPh sb="15" eb="16">
      <t>チョク</t>
    </rPh>
    <rPh sb="16" eb="17">
      <t>コウ</t>
    </rPh>
    <phoneticPr fontId="2"/>
  </si>
  <si>
    <t>P-5-2</t>
    <phoneticPr fontId="2"/>
  </si>
  <si>
    <t>対象直接工事費（（12）～（17）除く）</t>
    <rPh sb="2" eb="4">
      <t>チョクセツ</t>
    </rPh>
    <rPh sb="17" eb="18">
      <t>ノゾ</t>
    </rPh>
    <phoneticPr fontId="2"/>
  </si>
  <si>
    <t>（12）～(17)(但し(14)は率算出対象）</t>
    <rPh sb="10" eb="11">
      <t>タダ</t>
    </rPh>
    <rPh sb="17" eb="18">
      <t>リツ</t>
    </rPh>
    <rPh sb="18" eb="20">
      <t>サンシュツ</t>
    </rPh>
    <rPh sb="20" eb="22">
      <t>タイショウ</t>
    </rPh>
    <phoneticPr fontId="2"/>
  </si>
  <si>
    <t>共 通 費 算 定 表 合 計(1)</t>
    <rPh sb="0" eb="1">
      <t>トモ</t>
    </rPh>
    <rPh sb="2" eb="3">
      <t>ツウ</t>
    </rPh>
    <rPh sb="12" eb="13">
      <t>ゴウ</t>
    </rPh>
    <rPh sb="14" eb="15">
      <t>ケイ</t>
    </rPh>
    <phoneticPr fontId="2"/>
  </si>
  <si>
    <t>P-6</t>
    <phoneticPr fontId="2"/>
  </si>
  <si>
    <t>P-7</t>
    <phoneticPr fontId="2"/>
  </si>
  <si>
    <t>前回userform終了時の画面サイズ</t>
    <rPh sb="0" eb="2">
      <t>ゼンカイ</t>
    </rPh>
    <rPh sb="10" eb="13">
      <t>シュウリョウジ</t>
    </rPh>
    <rPh sb="14" eb="16">
      <t>ガメン</t>
    </rPh>
    <phoneticPr fontId="2"/>
  </si>
  <si>
    <t>両面用プリンターの名称</t>
    <rPh sb="0" eb="2">
      <t>リョウメン</t>
    </rPh>
    <rPh sb="2" eb="3">
      <t>ヨウ</t>
    </rPh>
    <rPh sb="9" eb="11">
      <t>メイショウ</t>
    </rPh>
    <phoneticPr fontId="2"/>
  </si>
  <si>
    <t>cells(2,4)</t>
    <phoneticPr fontId="2"/>
  </si>
  <si>
    <t>金額欄計算式    =&gt;</t>
    <rPh sb="0" eb="2">
      <t>キンガク</t>
    </rPh>
    <rPh sb="2" eb="3">
      <t>ラン</t>
    </rPh>
    <rPh sb="3" eb="5">
      <t>ケイサン</t>
    </rPh>
    <rPh sb="5" eb="6">
      <t>シキ</t>
    </rPh>
    <phoneticPr fontId="2"/>
  </si>
  <si>
    <t>cells(2,11)</t>
    <phoneticPr fontId="2"/>
  </si>
  <si>
    <t>Brother HL-6050DN series (両面印刷用)</t>
    <phoneticPr fontId="2"/>
  </si>
  <si>
    <t>前回userform終了時の作業時間</t>
    <rPh sb="0" eb="2">
      <t>ゼンカイ</t>
    </rPh>
    <rPh sb="10" eb="13">
      <t>シュウリョウジ</t>
    </rPh>
    <rPh sb="14" eb="16">
      <t>サギョウ</t>
    </rPh>
    <rPh sb="16" eb="18">
      <t>ジカン</t>
    </rPh>
    <phoneticPr fontId="2"/>
  </si>
  <si>
    <t>cells(4,4)</t>
    <phoneticPr fontId="2"/>
  </si>
  <si>
    <t>前回userform終了時の運搬時間</t>
    <rPh sb="0" eb="2">
      <t>ゼンカイ</t>
    </rPh>
    <rPh sb="10" eb="13">
      <t>シュウリョウジ</t>
    </rPh>
    <rPh sb="14" eb="16">
      <t>ウンパン</t>
    </rPh>
    <rPh sb="16" eb="18">
      <t>ジカン</t>
    </rPh>
    <phoneticPr fontId="2"/>
  </si>
  <si>
    <t>cells(6,4)</t>
    <phoneticPr fontId="2"/>
  </si>
  <si>
    <t>前回userform終了時の工種番号</t>
    <rPh sb="0" eb="2">
      <t>ゼンカイ</t>
    </rPh>
    <rPh sb="10" eb="13">
      <t>シュウリョウジ</t>
    </rPh>
    <rPh sb="14" eb="15">
      <t>コウジ</t>
    </rPh>
    <rPh sb="15" eb="16">
      <t>シュルイ</t>
    </rPh>
    <rPh sb="16" eb="18">
      <t>バンゴウ</t>
    </rPh>
    <phoneticPr fontId="2"/>
  </si>
  <si>
    <t>積算担当者編集時「１」（注：設計者は絶対に触らないで下さい。エラーの原因になります！！）</t>
    <rPh sb="0" eb="2">
      <t>セキサン</t>
    </rPh>
    <rPh sb="2" eb="5">
      <t>タントウシャ</t>
    </rPh>
    <rPh sb="5" eb="7">
      <t>ヘンシュウ</t>
    </rPh>
    <rPh sb="7" eb="8">
      <t>ジ</t>
    </rPh>
    <rPh sb="12" eb="13">
      <t>チュウ</t>
    </rPh>
    <rPh sb="14" eb="17">
      <t>セッケイシャ</t>
    </rPh>
    <rPh sb="18" eb="20">
      <t>ゼッタイ</t>
    </rPh>
    <rPh sb="21" eb="22">
      <t>サワ</t>
    </rPh>
    <rPh sb="26" eb="27">
      <t>クダ</t>
    </rPh>
    <rPh sb="34" eb="36">
      <t>ゲンイン</t>
    </rPh>
    <phoneticPr fontId="2"/>
  </si>
  <si>
    <t>cells(8,4)</t>
    <phoneticPr fontId="2"/>
  </si>
  <si>
    <t>cells(8,8)</t>
    <phoneticPr fontId="2"/>
  </si>
  <si>
    <t>前回userform終了時の選択行</t>
    <rPh sb="0" eb="2">
      <t>ゼンカイ</t>
    </rPh>
    <rPh sb="10" eb="13">
      <t>シュウリョウジ</t>
    </rPh>
    <rPh sb="14" eb="16">
      <t>センタク</t>
    </rPh>
    <rPh sb="16" eb="17">
      <t>ギョウ</t>
    </rPh>
    <phoneticPr fontId="2"/>
  </si>
  <si>
    <t>各シートの最大行数（単価挿入時にEOL無し時に実行する範囲。小さいと処理は早く終わるが、この行以降のデータに単価は挿入されない。）</t>
    <rPh sb="0" eb="1">
      <t>カク</t>
    </rPh>
    <rPh sb="5" eb="7">
      <t>サイダイ</t>
    </rPh>
    <rPh sb="7" eb="9">
      <t>ギョウスウ</t>
    </rPh>
    <rPh sb="10" eb="12">
      <t>タンカ</t>
    </rPh>
    <rPh sb="12" eb="14">
      <t>ソウニュウ</t>
    </rPh>
    <rPh sb="14" eb="15">
      <t>ジ</t>
    </rPh>
    <rPh sb="19" eb="20">
      <t>ナ</t>
    </rPh>
    <rPh sb="21" eb="22">
      <t>ジ</t>
    </rPh>
    <rPh sb="23" eb="25">
      <t>ジッコウ</t>
    </rPh>
    <rPh sb="27" eb="29">
      <t>ハンイ</t>
    </rPh>
    <rPh sb="30" eb="31">
      <t>チイ</t>
    </rPh>
    <rPh sb="34" eb="36">
      <t>ショリ</t>
    </rPh>
    <rPh sb="37" eb="38">
      <t>ハヤ</t>
    </rPh>
    <rPh sb="39" eb="40">
      <t>オ</t>
    </rPh>
    <rPh sb="46" eb="47">
      <t>ギョウ</t>
    </rPh>
    <rPh sb="47" eb="49">
      <t>イコウ</t>
    </rPh>
    <rPh sb="54" eb="56">
      <t>タンカ</t>
    </rPh>
    <rPh sb="57" eb="59">
      <t>ソウニュウ</t>
    </rPh>
    <phoneticPr fontId="2"/>
  </si>
  <si>
    <t>cells(10,4)</t>
    <phoneticPr fontId="2"/>
  </si>
  <si>
    <t>cells(10,8)</t>
    <phoneticPr fontId="2"/>
  </si>
  <si>
    <t>前回userform終了時の選択単価</t>
    <rPh sb="0" eb="2">
      <t>ゼンカイ</t>
    </rPh>
    <rPh sb="10" eb="13">
      <t>シュウリョウジ</t>
    </rPh>
    <rPh sb="14" eb="16">
      <t>センタク</t>
    </rPh>
    <rPh sb="16" eb="18">
      <t>タンカ</t>
    </rPh>
    <phoneticPr fontId="2"/>
  </si>
  <si>
    <t>各シートの明細書開始行数(拡張用につき、変更厳禁）</t>
    <rPh sb="0" eb="1">
      <t>カク</t>
    </rPh>
    <rPh sb="5" eb="8">
      <t>メイサイショ</t>
    </rPh>
    <rPh sb="8" eb="10">
      <t>カイシ</t>
    </rPh>
    <rPh sb="10" eb="12">
      <t>ギョウスウ</t>
    </rPh>
    <rPh sb="13" eb="15">
      <t>カクチョウ</t>
    </rPh>
    <rPh sb="15" eb="16">
      <t>ヨウ</t>
    </rPh>
    <rPh sb="20" eb="22">
      <t>ヘンコウ</t>
    </rPh>
    <rPh sb="22" eb="24">
      <t>ゲンキン</t>
    </rPh>
    <phoneticPr fontId="2"/>
  </si>
  <si>
    <t>cells(12,4)</t>
    <phoneticPr fontId="2"/>
  </si>
  <si>
    <t>cells(12,8)</t>
    <phoneticPr fontId="2"/>
  </si>
  <si>
    <t>現在のEXCELのバージョン</t>
    <rPh sb="0" eb="2">
      <t>ゲンザイ</t>
    </rPh>
    <phoneticPr fontId="2"/>
  </si>
  <si>
    <t>cells(14,4)</t>
    <phoneticPr fontId="2"/>
  </si>
  <si>
    <t>cells(14,8)</t>
    <phoneticPr fontId="2"/>
  </si>
  <si>
    <t>このファイルを初使用？(yes=1 no=0)</t>
    <rPh sb="7" eb="8">
      <t>ハツ</t>
    </rPh>
    <rPh sb="8" eb="10">
      <t>シヨウ</t>
    </rPh>
    <phoneticPr fontId="2"/>
  </si>
  <si>
    <r>
      <t>現在の工事部数（シートの数）</t>
    </r>
    <r>
      <rPr>
        <b/>
        <sz val="11"/>
        <rFont val="ＭＳ Ｐゴシック"/>
        <family val="3"/>
        <charset val="128"/>
      </rPr>
      <t>(！！書き換え厳禁！！）</t>
    </r>
    <rPh sb="0" eb="2">
      <t>ゲンザイ</t>
    </rPh>
    <rPh sb="3" eb="5">
      <t>コウジ</t>
    </rPh>
    <rPh sb="5" eb="6">
      <t>ブ</t>
    </rPh>
    <rPh sb="6" eb="7">
      <t>スウ</t>
    </rPh>
    <rPh sb="12" eb="13">
      <t>カズ</t>
    </rPh>
    <rPh sb="17" eb="18">
      <t>カ</t>
    </rPh>
    <rPh sb="19" eb="20">
      <t>カ</t>
    </rPh>
    <rPh sb="21" eb="23">
      <t>ゲンキン</t>
    </rPh>
    <phoneticPr fontId="2"/>
  </si>
  <si>
    <t>cells(16,4)</t>
    <phoneticPr fontId="2"/>
  </si>
  <si>
    <t>cells(16,8)</t>
    <phoneticPr fontId="2"/>
  </si>
  <si>
    <t>変更点、新機能の紹介</t>
    <rPh sb="0" eb="3">
      <t>ヘンコウテン</t>
    </rPh>
    <rPh sb="4" eb="7">
      <t>シンキノウ</t>
    </rPh>
    <rPh sb="8" eb="10">
      <t>ショウカイ</t>
    </rPh>
    <phoneticPr fontId="2"/>
  </si>
  <si>
    <r>
      <t>最終ページ数</t>
    </r>
    <r>
      <rPr>
        <b/>
        <sz val="11"/>
        <rFont val="ＭＳ Ｐゴシック"/>
        <family val="3"/>
        <charset val="128"/>
      </rPr>
      <t>（！！書き換え厳禁！！）</t>
    </r>
    <rPh sb="0" eb="2">
      <t>サイシュウ</t>
    </rPh>
    <rPh sb="5" eb="6">
      <t>スウ</t>
    </rPh>
    <rPh sb="9" eb="10">
      <t>カ</t>
    </rPh>
    <rPh sb="11" eb="12">
      <t>カ</t>
    </rPh>
    <rPh sb="13" eb="15">
      <t>ゲンキン</t>
    </rPh>
    <phoneticPr fontId="2"/>
  </si>
  <si>
    <t>cells(18,4)</t>
    <phoneticPr fontId="2"/>
  </si>
  <si>
    <t>単価表がカスタマイズできるようになりました。また、項目のダブルクリックで書込みできます．</t>
    <rPh sb="0" eb="2">
      <t>タンカ</t>
    </rPh>
    <rPh sb="2" eb="3">
      <t>ヒョウ</t>
    </rPh>
    <rPh sb="25" eb="27">
      <t>コウモク</t>
    </rPh>
    <rPh sb="36" eb="37">
      <t>カ</t>
    </rPh>
    <rPh sb="37" eb="38">
      <t>コ</t>
    </rPh>
    <phoneticPr fontId="2"/>
  </si>
  <si>
    <t>cells(18,8)</t>
    <phoneticPr fontId="2"/>
  </si>
  <si>
    <t>cells(19,4)</t>
    <phoneticPr fontId="2"/>
  </si>
  <si>
    <t>単価表の右下でマウスの形状が変わりますのでドラッグして大きさを調整してください。
同じ右下をダブルクリックすると，列幅が変更できます．
表左下の左右矢印でフォントの大きさを変更できます．
一覧表をダブルクリックすることでデータを入力できるようになりました．
また、Ver1.5以降で「代価」シートによる複合単価も作成できます。「代価」シートを参照して利用してみてください．代価コードは自動で入りますので、小運搬重量を埋めれば、工事シートでコード入力で使用できます．</t>
    <rPh sb="0" eb="2">
      <t>タンカ</t>
    </rPh>
    <rPh sb="2" eb="3">
      <t>オモテ</t>
    </rPh>
    <rPh sb="4" eb="6">
      <t>ミギシタ</t>
    </rPh>
    <rPh sb="11" eb="13">
      <t>ケイジョウ</t>
    </rPh>
    <rPh sb="14" eb="15">
      <t>カ</t>
    </rPh>
    <rPh sb="27" eb="28">
      <t>オオ</t>
    </rPh>
    <rPh sb="31" eb="33">
      <t>チョウセイ</t>
    </rPh>
    <rPh sb="41" eb="42">
      <t>オナ</t>
    </rPh>
    <rPh sb="43" eb="45">
      <t>ミギシタ</t>
    </rPh>
    <rPh sb="68" eb="69">
      <t>ヒョウ</t>
    </rPh>
    <rPh sb="69" eb="71">
      <t>ヒダリシタ</t>
    </rPh>
    <rPh sb="72" eb="74">
      <t>サユウ</t>
    </rPh>
    <rPh sb="74" eb="76">
      <t>ヤジルシ</t>
    </rPh>
    <rPh sb="82" eb="83">
      <t>オオ</t>
    </rPh>
    <rPh sb="86" eb="88">
      <t>ヘンコウ</t>
    </rPh>
    <rPh sb="94" eb="96">
      <t>イチラン</t>
    </rPh>
    <rPh sb="96" eb="97">
      <t>ヒョウ</t>
    </rPh>
    <rPh sb="114" eb="116">
      <t>ニュウリョク</t>
    </rPh>
    <rPh sb="138" eb="140">
      <t>イコウ</t>
    </rPh>
    <rPh sb="142" eb="144">
      <t>ダイカ</t>
    </rPh>
    <rPh sb="151" eb="153">
      <t>フクゴウ</t>
    </rPh>
    <rPh sb="153" eb="155">
      <t>タンカ</t>
    </rPh>
    <rPh sb="156" eb="158">
      <t>サクセイ</t>
    </rPh>
    <rPh sb="164" eb="166">
      <t>ダイカ</t>
    </rPh>
    <rPh sb="171" eb="173">
      <t>サンショウ</t>
    </rPh>
    <rPh sb="175" eb="177">
      <t>リヨウ</t>
    </rPh>
    <rPh sb="186" eb="188">
      <t>ダイカ</t>
    </rPh>
    <rPh sb="192" eb="194">
      <t>ジドウ</t>
    </rPh>
    <rPh sb="195" eb="196">
      <t>ハイ</t>
    </rPh>
    <rPh sb="202" eb="203">
      <t>コ</t>
    </rPh>
    <rPh sb="203" eb="205">
      <t>ウンパン</t>
    </rPh>
    <rPh sb="205" eb="207">
      <t>ジュウリョウ</t>
    </rPh>
    <rPh sb="208" eb="209">
      <t>ウ</t>
    </rPh>
    <rPh sb="213" eb="215">
      <t>コウジ</t>
    </rPh>
    <rPh sb="222" eb="224">
      <t>ニュウリョク</t>
    </rPh>
    <rPh sb="225" eb="227">
      <t>シヨウ</t>
    </rPh>
    <phoneticPr fontId="2"/>
  </si>
  <si>
    <t>代価一覧のデータ数</t>
    <rPh sb="0" eb="2">
      <t>ダイカ</t>
    </rPh>
    <rPh sb="2" eb="4">
      <t>イチラン</t>
    </rPh>
    <rPh sb="8" eb="9">
      <t>スウ</t>
    </rPh>
    <phoneticPr fontId="2"/>
  </si>
  <si>
    <t>cells(20,8)</t>
    <phoneticPr fontId="2"/>
  </si>
  <si>
    <t>諸経費表ファイル名</t>
    <rPh sb="0" eb="3">
      <t>ショケイヒ</t>
    </rPh>
    <rPh sb="3" eb="4">
      <t>ヒョウ</t>
    </rPh>
    <rPh sb="8" eb="9">
      <t>メイ</t>
    </rPh>
    <phoneticPr fontId="2"/>
  </si>
  <si>
    <t>諸経費表ﾌｧｲﾙ保管場所</t>
    <rPh sb="0" eb="3">
      <t>ショケイヒ</t>
    </rPh>
    <rPh sb="3" eb="4">
      <t>ヒョウ</t>
    </rPh>
    <rPh sb="8" eb="10">
      <t>ホカン</t>
    </rPh>
    <rPh sb="10" eb="12">
      <t>バショ</t>
    </rPh>
    <phoneticPr fontId="2"/>
  </si>
  <si>
    <t>前回userform終了時のlistbox.fontサイズ</t>
    <rPh sb="0" eb="2">
      <t>ゼンカイ</t>
    </rPh>
    <rPh sb="10" eb="13">
      <t>シュウリョウジ</t>
    </rPh>
    <phoneticPr fontId="2"/>
  </si>
  <si>
    <t>この参考明細のバージョン</t>
    <rPh sb="2" eb="4">
      <t>サンコウ</t>
    </rPh>
    <rPh sb="4" eb="6">
      <t>メイサイ</t>
    </rPh>
    <phoneticPr fontId="2"/>
  </si>
  <si>
    <t>cells(25,4)</t>
    <phoneticPr fontId="2"/>
  </si>
  <si>
    <t>cells(25,8)</t>
    <phoneticPr fontId="2"/>
  </si>
  <si>
    <t>前回userform終了時のlistbox.columWidth</t>
    <rPh sb="0" eb="2">
      <t>ゼンカイ</t>
    </rPh>
    <rPh sb="10" eb="13">
      <t>シュウリョウジ</t>
    </rPh>
    <phoneticPr fontId="2"/>
  </si>
  <si>
    <t>１工種で複数ページになったときの合計式(右は変更時)</t>
    <rPh sb="1" eb="3">
      <t>コウシュ</t>
    </rPh>
    <rPh sb="4" eb="6">
      <t>フクスウ</t>
    </rPh>
    <rPh sb="16" eb="18">
      <t>ゴウケイ</t>
    </rPh>
    <rPh sb="18" eb="19">
      <t>シキ</t>
    </rPh>
    <rPh sb="20" eb="21">
      <t>ミギ</t>
    </rPh>
    <rPh sb="22" eb="24">
      <t>ヘンコウ</t>
    </rPh>
    <rPh sb="24" eb="25">
      <t>ジ</t>
    </rPh>
    <phoneticPr fontId="2"/>
  </si>
  <si>
    <t>C045150150050170035035035035035035035</t>
    <phoneticPr fontId="2"/>
  </si>
  <si>
    <t>cells(27,8(9))</t>
    <phoneticPr fontId="2"/>
  </si>
  <si>
    <t>シートの保護を有効にするか(Yes=1 No=0)</t>
    <rPh sb="4" eb="6">
      <t>ホゴ</t>
    </rPh>
    <rPh sb="7" eb="9">
      <t>ユウコウ</t>
    </rPh>
    <phoneticPr fontId="2"/>
  </si>
  <si>
    <t>cells(29,8)</t>
    <phoneticPr fontId="2"/>
  </si>
  <si>
    <t>諸経費表のシート名（１－３）</t>
    <rPh sb="0" eb="3">
      <t>ショケイヒ</t>
    </rPh>
    <rPh sb="3" eb="4">
      <t>ヒョウ</t>
    </rPh>
    <rPh sb="8" eb="9">
      <t>メイ</t>
    </rPh>
    <phoneticPr fontId="2"/>
  </si>
  <si>
    <t>cells(31,8)</t>
    <phoneticPr fontId="2"/>
  </si>
  <si>
    <t>諸経費表</t>
    <phoneticPr fontId="2"/>
  </si>
  <si>
    <t>cells(32,8)</t>
    <phoneticPr fontId="2"/>
  </si>
  <si>
    <t>諸経費表(専業工事用)</t>
    <phoneticPr fontId="2"/>
  </si>
  <si>
    <t>cells(33,8)</t>
    <phoneticPr fontId="2"/>
  </si>
  <si>
    <t>随契差引諸経費表</t>
    <phoneticPr fontId="2"/>
  </si>
  <si>
    <t>(</t>
  </si>
  <si>
    <t>)</t>
  </si>
  <si>
    <t>〇〇工事   見積り金額比較表</t>
  </si>
  <si>
    <t>A:</t>
    <phoneticPr fontId="2"/>
  </si>
  <si>
    <t>金属工事   見積金額比較表</t>
    <rPh sb="0" eb="2">
      <t>キンゾク</t>
    </rPh>
    <phoneticPr fontId="2"/>
  </si>
  <si>
    <t>見積業者：</t>
    <rPh sb="0" eb="2">
      <t>ミツモリ</t>
    </rPh>
    <rPh sb="2" eb="4">
      <t>ギョウシャ</t>
    </rPh>
    <phoneticPr fontId="2"/>
  </si>
  <si>
    <t>㈱</t>
    <phoneticPr fontId="2"/>
  </si>
  <si>
    <t>元　　設　　計</t>
    <rPh sb="0" eb="1">
      <t>モト</t>
    </rPh>
    <rPh sb="3" eb="4">
      <t>セツ</t>
    </rPh>
    <rPh sb="6" eb="7">
      <t>ケイ</t>
    </rPh>
    <phoneticPr fontId="2"/>
  </si>
  <si>
    <t>採用業者合計</t>
    <rPh sb="0" eb="2">
      <t>サイヨウ</t>
    </rPh>
    <rPh sb="2" eb="4">
      <t>ギョウシャ</t>
    </rPh>
    <rPh sb="4" eb="6">
      <t>ゴウケイ</t>
    </rPh>
    <phoneticPr fontId="2"/>
  </si>
  <si>
    <t>今回業者合計</t>
    <rPh sb="0" eb="2">
      <t>コンカイ</t>
    </rPh>
    <rPh sb="2" eb="4">
      <t>ギョウシャ</t>
    </rPh>
    <rPh sb="4" eb="6">
      <t>ゴウケイ</t>
    </rPh>
    <phoneticPr fontId="2"/>
  </si>
  <si>
    <t>変　　更　　後</t>
    <rPh sb="0" eb="1">
      <t>ヘン</t>
    </rPh>
    <rPh sb="3" eb="4">
      <t>サラ</t>
    </rPh>
    <rPh sb="6" eb="7">
      <t>アト</t>
    </rPh>
    <phoneticPr fontId="2"/>
  </si>
  <si>
    <t>調整率＝＞</t>
    <rPh sb="0" eb="2">
      <t>チョウセイ</t>
    </rPh>
    <rPh sb="2" eb="3">
      <t>リツ</t>
    </rPh>
    <phoneticPr fontId="2"/>
  </si>
  <si>
    <t>&lt;=変更見積業者が元設計見積業者なら、左に元設計の合計金額(調整無)を記入し、各項目のB-I列は無記入</t>
    <rPh sb="2" eb="4">
      <t>ヘンコウ</t>
    </rPh>
    <rPh sb="4" eb="6">
      <t>ミツ</t>
    </rPh>
    <rPh sb="6" eb="8">
      <t>ギョウシャ</t>
    </rPh>
    <rPh sb="9" eb="10">
      <t>モト</t>
    </rPh>
    <rPh sb="10" eb="12">
      <t>セッケイ</t>
    </rPh>
    <rPh sb="12" eb="14">
      <t>ミツモリ</t>
    </rPh>
    <rPh sb="14" eb="16">
      <t>ギョウシャ</t>
    </rPh>
    <rPh sb="19" eb="20">
      <t>ヒダリ</t>
    </rPh>
    <rPh sb="21" eb="22">
      <t>モト</t>
    </rPh>
    <rPh sb="22" eb="24">
      <t>セッケイ</t>
    </rPh>
    <rPh sb="25" eb="27">
      <t>ゴウケイ</t>
    </rPh>
    <rPh sb="27" eb="29">
      <t>キンガク</t>
    </rPh>
    <rPh sb="30" eb="32">
      <t>チョウセイ</t>
    </rPh>
    <rPh sb="32" eb="33">
      <t>ナ</t>
    </rPh>
    <rPh sb="35" eb="37">
      <t>キニュウ</t>
    </rPh>
    <rPh sb="39" eb="42">
      <t>カクコウモク</t>
    </rPh>
    <rPh sb="46" eb="47">
      <t>レツ</t>
    </rPh>
    <rPh sb="48" eb="49">
      <t>ム</t>
    </rPh>
    <rPh sb="49" eb="51">
      <t>キニュウ</t>
    </rPh>
    <phoneticPr fontId="2"/>
  </si>
  <si>
    <t>ｺｰﾄﾞ</t>
  </si>
  <si>
    <t>作業</t>
  </si>
  <si>
    <t>運搬</t>
  </si>
  <si>
    <t>元設計当局単価</t>
    <rPh sb="0" eb="1">
      <t>モト</t>
    </rPh>
    <rPh sb="1" eb="3">
      <t>セッケイ</t>
    </rPh>
    <rPh sb="3" eb="5">
      <t>トウキョク</t>
    </rPh>
    <rPh sb="5" eb="7">
      <t>タンカ</t>
    </rPh>
    <phoneticPr fontId="2"/>
  </si>
  <si>
    <t>元設計今回業者見積</t>
    <rPh sb="0" eb="1">
      <t>モト</t>
    </rPh>
    <rPh sb="1" eb="3">
      <t>セッケイ</t>
    </rPh>
    <rPh sb="3" eb="5">
      <t>コンカイ</t>
    </rPh>
    <rPh sb="5" eb="7">
      <t>ギョウシャ</t>
    </rPh>
    <rPh sb="7" eb="9">
      <t>ミツモリ</t>
    </rPh>
    <phoneticPr fontId="2"/>
  </si>
  <si>
    <t>変更後今回業者見積</t>
    <rPh sb="0" eb="2">
      <t>ヘンコウ</t>
    </rPh>
    <rPh sb="2" eb="3">
      <t>ゴ</t>
    </rPh>
    <rPh sb="3" eb="5">
      <t>コンカイ</t>
    </rPh>
    <rPh sb="5" eb="7">
      <t>ギョウシャ</t>
    </rPh>
    <rPh sb="7" eb="9">
      <t>ミツモリ</t>
    </rPh>
    <phoneticPr fontId="2"/>
  </si>
  <si>
    <t>No</t>
    <phoneticPr fontId="2"/>
  </si>
  <si>
    <t>調整後単価</t>
    <rPh sb="0" eb="3">
      <t>チョウセイゴ</t>
    </rPh>
    <rPh sb="3" eb="4">
      <t>タン</t>
    </rPh>
    <rPh sb="4" eb="5">
      <t>アタイ</t>
    </rPh>
    <phoneticPr fontId="2"/>
  </si>
  <si>
    <t>○○工事の部</t>
    <rPh sb="2" eb="4">
      <t>コウジ</t>
    </rPh>
    <rPh sb="5" eb="6">
      <t>ブ</t>
    </rPh>
    <phoneticPr fontId="2"/>
  </si>
  <si>
    <t>工事用電力電灯費</t>
    <rPh sb="0" eb="3">
      <t>コウジヨウ</t>
    </rPh>
    <rPh sb="3" eb="5">
      <t>デンリョク</t>
    </rPh>
    <rPh sb="5" eb="7">
      <t>デントウ</t>
    </rPh>
    <rPh sb="7" eb="8">
      <t>ヒ</t>
    </rPh>
    <phoneticPr fontId="2"/>
  </si>
  <si>
    <t>工事用用水費</t>
    <rPh sb="0" eb="3">
      <t>コウジヨウ</t>
    </rPh>
    <rPh sb="3" eb="5">
      <t>ヨウスイ</t>
    </rPh>
    <rPh sb="5" eb="6">
      <t>ヒ</t>
    </rPh>
    <phoneticPr fontId="2"/>
  </si>
  <si>
    <t>試験調査費</t>
    <rPh sb="0" eb="2">
      <t>シケン</t>
    </rPh>
    <rPh sb="2" eb="5">
      <t>チョウサヒ</t>
    </rPh>
    <phoneticPr fontId="2"/>
  </si>
  <si>
    <t>巡視員</t>
    <rPh sb="0" eb="3">
      <t>ジュンシイン</t>
    </rPh>
    <phoneticPr fontId="2"/>
  </si>
  <si>
    <t>東梅田駅</t>
  </si>
  <si>
    <t>東梅田駅</t>
    <rPh sb="0" eb="4">
      <t xml:space="preserve">ヒガシウメダエキ </t>
    </rPh>
    <phoneticPr fontId="2"/>
  </si>
  <si>
    <t>費目</t>
    <phoneticPr fontId="2"/>
  </si>
  <si>
    <t>ア)東梅田駅の部-床仕上改造その他工事</t>
    <phoneticPr fontId="2"/>
  </si>
  <si>
    <t>ア)東梅田駅の部-列車停止位置変更に伴う建築工事</t>
    <phoneticPr fontId="2"/>
  </si>
  <si>
    <t>ア)東梅田駅の部-隙間解消工事</t>
    <rPh sb="9" eb="11">
      <t>スキマ</t>
    </rPh>
    <rPh sb="11" eb="13">
      <t>カイショウ</t>
    </rPh>
    <rPh sb="13" eb="15">
      <t>コウジ</t>
    </rPh>
    <phoneticPr fontId="2"/>
  </si>
  <si>
    <t>ア)東梅田駅の部-可動式ホーム柵設置に伴う建築工事</t>
    <rPh sb="9" eb="12">
      <t>カドウシキ</t>
    </rPh>
    <rPh sb="15" eb="18">
      <t>サクセッチ</t>
    </rPh>
    <phoneticPr fontId="2"/>
  </si>
  <si>
    <t>ア)東梅田駅の部-整列乗車対策工事</t>
    <phoneticPr fontId="2"/>
  </si>
  <si>
    <t>イ)6号線堺筋本町駅の部-可動式ホーム柵設置に伴う建築工事</t>
    <phoneticPr fontId="2"/>
  </si>
  <si>
    <t>イ)6号線堺筋本町駅の部-隙間解消工事</t>
    <phoneticPr fontId="2"/>
  </si>
  <si>
    <t>イ)6号線堺筋本町駅の部-床仕上改造その他工事</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</si>
</sst>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
    <numFmt numFmtId="177" formatCode="#,##0;&quot;△ &quot;#,##0"/>
    <numFmt numFmtId="178" formatCode="0&quot;A&quot;"/>
    <numFmt numFmtId="179" formatCode="#,##0_ "/>
    <numFmt numFmtId="180" formatCode="0_ "/>
    <numFmt numFmtId="181" formatCode="0;0;;@"/>
    <numFmt numFmtId="182" formatCode="&quot;◇&quot;@"/>
    <numFmt numFmtId="183" formatCode="General;\-General;"/>
    <numFmt numFmtId="184" formatCode="#,##0;&quot;△ &quot;#,##0;"/>
    <numFmt numFmtId="185" formatCode="0;&quot;△&quot;0;;"/>
    <numFmt numFmtId="186" formatCode="General;&quot;△&quot;General;"/>
    <numFmt numFmtId="187" formatCode="[$-411]ggge&quot;年&quot;m&quot;月&quot;d&quot;日&quot;;@"/>
    <numFmt numFmtId="188" formatCode="0.0"/>
    <numFmt numFmtId="189" formatCode="yyyy&quot;年&quot;m&quot;月&quot;d&quot;日&quot;;@"/>
    <numFmt numFmtId="190" formatCode="&quot;2018-&quot;####"/>
    <numFmt numFmtId="191" formatCode="0&quot;式&quot;"/>
    <numFmt numFmtId="192" formatCode="#,##0.0;[Red]\-#,##0.0"/>
    <numFmt numFmtId="193" formatCode="0.00_ "/>
    <numFmt numFmtId="194" formatCode="0.0_ "/>
    <numFmt numFmtId="195" formatCode="&quot;2019-&quot;####"/>
  </numFmts>
  <fonts count="86">
    <font>
      <sz val="11"/>
      <name val="ＭＳ Ｐゴシック"/>
      <family val="3"/>
      <charset val="128"/>
    </font>
    <font>
      <sz val="11"/>
      <name val="ＭＳ Ｐゴシック"/>
      <family val="3"/>
      <charset val="128"/>
    </font>
    <font>
      <sz val="6"/>
      <name val="ＭＳ Ｐゴシック"/>
      <family val="3"/>
      <charset val="128"/>
    </font>
    <font>
      <sz val="11"/>
      <name val="ＭＳ Ｐ明朝"/>
      <family val="1"/>
      <charset val="128"/>
    </font>
    <font>
      <sz val="10"/>
      <name val="ＭＳ Ｐ明朝"/>
      <family val="1"/>
      <charset val="128"/>
    </font>
    <font>
      <sz val="14"/>
      <color indexed="8"/>
      <name val="ＭＳ Ｐ明朝"/>
      <family val="1"/>
      <charset val="128"/>
    </font>
    <font>
      <b/>
      <sz val="14"/>
      <color indexed="8"/>
      <name val="ＭＳ Ｐ明朝"/>
      <family val="1"/>
      <charset val="128"/>
    </font>
    <font>
      <b/>
      <sz val="20"/>
      <color indexed="8"/>
      <name val="ＭＳ Ｐゴシック"/>
      <family val="3"/>
      <charset val="128"/>
    </font>
    <font>
      <sz val="8"/>
      <color indexed="8"/>
      <name val="ＭＳ Ｐ明朝"/>
      <family val="1"/>
      <charset val="128"/>
    </font>
    <font>
      <sz val="10"/>
      <color indexed="8"/>
      <name val="ＭＳ Ｐ明朝"/>
      <family val="1"/>
      <charset val="128"/>
    </font>
    <font>
      <sz val="10"/>
      <name val="ＭＳ Ｐゴシック"/>
      <family val="3"/>
      <charset val="128"/>
    </font>
    <font>
      <b/>
      <sz val="11"/>
      <color indexed="8"/>
      <name val="ＭＳ Ｐ明朝"/>
      <family val="1"/>
      <charset val="128"/>
    </font>
    <font>
      <sz val="12"/>
      <color indexed="8"/>
      <name val="ＭＳ Ｐ明朝"/>
      <family val="1"/>
      <charset val="128"/>
    </font>
    <font>
      <sz val="11"/>
      <color indexed="8"/>
      <name val="ＭＳ Ｐ明朝"/>
      <family val="1"/>
      <charset val="128"/>
    </font>
    <font>
      <sz val="16"/>
      <name val="ＭＳ Ｐ明朝"/>
      <family val="1"/>
      <charset val="128"/>
    </font>
    <font>
      <b/>
      <sz val="18"/>
      <color indexed="8"/>
      <name val="ＭＳ Ｐゴシック"/>
      <family val="3"/>
      <charset val="128"/>
    </font>
    <font>
      <sz val="24"/>
      <color indexed="8"/>
      <name val="ＭＳ ゴシック"/>
      <family val="3"/>
      <charset val="128"/>
    </font>
    <font>
      <sz val="13"/>
      <color indexed="8"/>
      <name val="ＭＳ Ｐ明朝"/>
      <family val="1"/>
      <charset val="128"/>
    </font>
    <font>
      <sz val="9"/>
      <name val="ＭＳ Ｐ明朝"/>
      <family val="1"/>
      <charset val="128"/>
    </font>
    <font>
      <b/>
      <sz val="11"/>
      <name val="ＭＳ Ｐゴシック"/>
      <family val="3"/>
      <charset val="128"/>
    </font>
    <font>
      <sz val="14"/>
      <name val="ＭＳ Ｐゴシック"/>
      <family val="3"/>
      <charset val="128"/>
    </font>
    <font>
      <b/>
      <u/>
      <sz val="11"/>
      <name val="ＭＳ Ｐゴシック"/>
      <family val="3"/>
      <charset val="128"/>
    </font>
    <font>
      <sz val="14"/>
      <name val="ＭＳ Ｐ明朝"/>
      <family val="1"/>
      <charset val="128"/>
    </font>
    <font>
      <sz val="9"/>
      <name val="ＭＳ Ｐゴシック"/>
      <family val="3"/>
      <charset val="128"/>
    </font>
    <font>
      <sz val="9"/>
      <color indexed="8"/>
      <name val="ＭＳ Ｐ明朝"/>
      <family val="1"/>
      <charset val="128"/>
    </font>
    <font>
      <i/>
      <sz val="9"/>
      <name val="ＭＳ Ｐゴシック"/>
      <family val="3"/>
      <charset val="128"/>
    </font>
    <font>
      <sz val="12"/>
      <name val="ＭＳ Ｐゴシック"/>
      <family val="3"/>
      <charset val="128"/>
    </font>
    <font>
      <sz val="12"/>
      <name val="ＭＳ Ｐ明朝"/>
      <family val="1"/>
      <charset val="128"/>
    </font>
    <font>
      <sz val="8"/>
      <name val="ＭＳ Ｐ明朝"/>
      <family val="1"/>
      <charset val="128"/>
    </font>
    <font>
      <sz val="11"/>
      <color indexed="10"/>
      <name val="ＭＳ Ｐ明朝"/>
      <family val="1"/>
      <charset val="128"/>
    </font>
    <font>
      <b/>
      <sz val="9"/>
      <name val="ＭＳ Ｐゴシック"/>
      <family val="3"/>
      <charset val="128"/>
    </font>
    <font>
      <sz val="8"/>
      <name val="ＭＳ Ｐゴシック"/>
      <family val="3"/>
      <charset val="128"/>
    </font>
    <font>
      <sz val="9"/>
      <color indexed="10"/>
      <name val="ＭＳ Ｐ明朝"/>
      <family val="1"/>
      <charset val="128"/>
    </font>
    <font>
      <sz val="11"/>
      <color rgb="FFFF0000"/>
      <name val="ＭＳ Ｐ明朝"/>
      <family val="1"/>
      <charset val="128"/>
    </font>
    <font>
      <sz val="18"/>
      <name val="ＭＳ Ｐゴシック"/>
      <family val="3"/>
      <charset val="128"/>
    </font>
    <font>
      <sz val="18"/>
      <name val="ＭＳ Ｐ明朝"/>
      <family val="1"/>
      <charset val="128"/>
    </font>
    <font>
      <b/>
      <sz val="11"/>
      <name val="ＭＳ Ｐ明朝"/>
      <family val="1"/>
      <charset val="128"/>
    </font>
    <font>
      <sz val="12"/>
      <name val="ＭＳ 明朝"/>
      <family val="1"/>
      <charset val="128"/>
    </font>
    <font>
      <sz val="11"/>
      <color rgb="FF00B050"/>
      <name val="ＭＳ Ｐ明朝"/>
      <family val="1"/>
      <charset val="128"/>
    </font>
    <font>
      <sz val="11"/>
      <color rgb="FF000000"/>
      <name val="ＭＳ Ｐ明朝"/>
      <family val="1"/>
      <charset val="128"/>
    </font>
    <font>
      <b/>
      <sz val="11"/>
      <name val="ＭＳ Ｐゴシック"/>
      <family val="3"/>
      <charset val="128"/>
      <scheme val="minor"/>
    </font>
    <font>
      <sz val="11"/>
      <name val="ＭＳ Ｐゴシック"/>
      <family val="3"/>
      <charset val="128"/>
      <scheme val="minor"/>
    </font>
    <font>
      <sz val="9"/>
      <color indexed="81"/>
      <name val="MS P ゴシック"/>
      <family val="3"/>
      <charset val="128"/>
    </font>
    <font>
      <b/>
      <sz val="9"/>
      <color indexed="81"/>
      <name val="MS P ゴシック"/>
      <family val="3"/>
      <charset val="128"/>
    </font>
    <font>
      <b/>
      <sz val="14"/>
      <color indexed="10"/>
      <name val="MS P ゴシック"/>
      <family val="3"/>
      <charset val="128"/>
    </font>
    <font>
      <sz val="12"/>
      <name val="ＭＳ Ｐゴシック"/>
      <family val="3"/>
      <charset val="128"/>
      <scheme val="minor"/>
    </font>
    <font>
      <sz val="20"/>
      <color indexed="8"/>
      <name val="ＭＳ Ｐ明朝"/>
      <family val="1"/>
      <charset val="128"/>
    </font>
    <font>
      <sz val="18"/>
      <color theme="3"/>
      <name val="ＭＳ Ｐゴシック"/>
      <family val="2"/>
      <charset val="128"/>
      <scheme val="major"/>
    </font>
    <font>
      <b/>
      <sz val="9"/>
      <color indexed="8"/>
      <name val="ＭＳ Ｐゴシック"/>
      <family val="3"/>
      <charset val="128"/>
    </font>
    <font>
      <sz val="11"/>
      <color theme="1"/>
      <name val="Meiryo UI"/>
      <family val="3"/>
      <charset val="128"/>
    </font>
    <font>
      <b/>
      <i/>
      <sz val="16"/>
      <name val="Helv"/>
      <family val="2"/>
    </font>
    <font>
      <b/>
      <u/>
      <sz val="20"/>
      <color indexed="8"/>
      <name val="ＭＳ Ｐゴシック"/>
      <family val="3"/>
      <charset val="128"/>
    </font>
    <font>
      <b/>
      <u/>
      <sz val="10"/>
      <color indexed="8"/>
      <name val="ＭＳ Ｐ明朝"/>
      <family val="1"/>
      <charset val="128"/>
    </font>
    <font>
      <b/>
      <sz val="12"/>
      <color indexed="8"/>
      <name val="ＭＳ Ｐ明朝"/>
      <family val="1"/>
      <charset val="128"/>
    </font>
    <font>
      <b/>
      <sz val="10"/>
      <color indexed="8"/>
      <name val="ＭＳ Ｐ明朝"/>
      <family val="1"/>
      <charset val="128"/>
    </font>
    <font>
      <sz val="10"/>
      <color rgb="FFFF0000"/>
      <name val="ＭＳ Ｐ明朝"/>
      <family val="1"/>
      <charset val="128"/>
    </font>
    <font>
      <sz val="10"/>
      <color theme="0"/>
      <name val="ＭＳ Ｐ明朝"/>
      <family val="1"/>
      <charset val="128"/>
    </font>
    <font>
      <sz val="10"/>
      <color rgb="FF7030A0"/>
      <name val="ＭＳ Ｐ明朝"/>
      <family val="1"/>
      <charset val="128"/>
    </font>
    <font>
      <sz val="10"/>
      <color rgb="FF00B050"/>
      <name val="ＭＳ Ｐ明朝"/>
      <family val="1"/>
      <charset val="128"/>
    </font>
    <font>
      <b/>
      <sz val="10"/>
      <name val="ＭＳ Ｐ明朝"/>
      <family val="1"/>
      <charset val="128"/>
    </font>
    <font>
      <b/>
      <sz val="11"/>
      <color rgb="FF00B050"/>
      <name val="ＭＳ Ｐ明朝"/>
      <family val="1"/>
      <charset val="128"/>
    </font>
    <font>
      <b/>
      <sz val="10"/>
      <color rgb="FF00B050"/>
      <name val="ＭＳ Ｐ明朝"/>
      <family val="1"/>
      <charset val="128"/>
    </font>
    <font>
      <sz val="9"/>
      <color rgb="FF00B050"/>
      <name val="ＭＳ Ｐ明朝"/>
      <family val="1"/>
      <charset val="128"/>
    </font>
    <font>
      <sz val="10"/>
      <color indexed="10"/>
      <name val="ＭＳ Ｐ明朝"/>
      <family val="1"/>
      <charset val="128"/>
    </font>
    <font>
      <sz val="10"/>
      <color indexed="17"/>
      <name val="ＭＳ Ｐ明朝"/>
      <family val="1"/>
      <charset val="128"/>
    </font>
    <font>
      <sz val="8"/>
      <color rgb="FFFF0000"/>
      <name val="ＭＳ Ｐ明朝"/>
      <family val="1"/>
      <charset val="128"/>
    </font>
    <font>
      <b/>
      <sz val="9"/>
      <name val="ＭＳ Ｐ明朝"/>
      <family val="1"/>
      <charset val="128"/>
    </font>
    <font>
      <b/>
      <sz val="9"/>
      <color indexed="81"/>
      <name val="ＭＳ Ｐゴシック"/>
      <family val="3"/>
      <charset val="128"/>
    </font>
    <font>
      <sz val="9"/>
      <color indexed="81"/>
      <name val="ＭＳ Ｐゴシック"/>
      <family val="3"/>
      <charset val="128"/>
    </font>
    <font>
      <b/>
      <sz val="11"/>
      <color indexed="10"/>
      <name val="ＭＳ Ｐ明朝"/>
      <family val="1"/>
      <charset val="128"/>
    </font>
    <font>
      <sz val="10"/>
      <color indexed="9"/>
      <name val="ＭＳ Ｐ明朝"/>
      <family val="1"/>
      <charset val="128"/>
    </font>
    <font>
      <sz val="9"/>
      <color rgb="FF7030A0"/>
      <name val="ＭＳ Ｐ明朝"/>
      <family val="1"/>
      <charset val="128"/>
    </font>
    <font>
      <sz val="10"/>
      <color indexed="36"/>
      <name val="ＭＳ Ｐ明朝"/>
      <family val="1"/>
      <charset val="128"/>
    </font>
    <font>
      <b/>
      <sz val="10"/>
      <color indexed="10"/>
      <name val="ＭＳ Ｐ明朝"/>
      <family val="1"/>
      <charset val="128"/>
    </font>
    <font>
      <b/>
      <sz val="11"/>
      <color indexed="12"/>
      <name val="ＭＳ Ｐ明朝"/>
      <family val="1"/>
      <charset val="128"/>
    </font>
    <font>
      <sz val="9"/>
      <color rgb="FF0070C0"/>
      <name val="ＭＳ Ｐ明朝"/>
      <family val="1"/>
      <charset val="128"/>
    </font>
    <font>
      <sz val="9"/>
      <color rgb="FFFF0000"/>
      <name val="ＭＳ Ｐ明朝"/>
      <family val="1"/>
      <charset val="128"/>
    </font>
    <font>
      <b/>
      <sz val="10"/>
      <color theme="0"/>
      <name val="ＭＳ Ｐ明朝"/>
      <family val="1"/>
      <charset val="128"/>
    </font>
    <font>
      <sz val="9"/>
      <color theme="0"/>
      <name val="ＭＳ Ｐ明朝"/>
      <family val="1"/>
      <charset val="128"/>
    </font>
    <font>
      <sz val="8"/>
      <color theme="0"/>
      <name val="ＭＳ Ｐ明朝"/>
      <family val="1"/>
      <charset val="128"/>
    </font>
    <font>
      <b/>
      <sz val="9"/>
      <color theme="0"/>
      <name val="ＭＳ Ｐ明朝"/>
      <family val="1"/>
      <charset val="128"/>
    </font>
    <font>
      <sz val="10"/>
      <color rgb="FF0070C0"/>
      <name val="ＭＳ Ｐ明朝"/>
      <family val="1"/>
      <charset val="128"/>
    </font>
    <font>
      <b/>
      <sz val="12"/>
      <color rgb="FF0070C0"/>
      <name val="ＭＳ Ｐ明朝"/>
      <family val="1"/>
      <charset val="128"/>
    </font>
    <font>
      <b/>
      <sz val="11"/>
      <color rgb="FF0070C0"/>
      <name val="ＭＳ Ｐ明朝"/>
      <family val="1"/>
      <charset val="128"/>
    </font>
    <font>
      <b/>
      <sz val="10"/>
      <color rgb="FF0070C0"/>
      <name val="ＭＳ Ｐ明朝"/>
      <family val="1"/>
      <charset val="128"/>
    </font>
    <font>
      <sz val="11"/>
      <color theme="0" tint="-0.34998626667073579"/>
      <name val="ＭＳ Ｐ明朝"/>
      <family val="1"/>
      <charset val="128"/>
    </font>
  </fonts>
  <fills count="36">
    <fill>
      <patternFill patternType="none"/>
    </fill>
    <fill>
      <patternFill patternType="gray125"/>
    </fill>
    <fill>
      <patternFill patternType="solid">
        <fgColor indexed="43"/>
        <bgColor indexed="64"/>
      </patternFill>
    </fill>
    <fill>
      <patternFill patternType="solid">
        <fgColor indexed="11"/>
        <bgColor indexed="64"/>
      </patternFill>
    </fill>
    <fill>
      <patternFill patternType="solid">
        <fgColor indexed="47"/>
        <bgColor indexed="64"/>
      </patternFill>
    </fill>
    <fill>
      <patternFill patternType="solid">
        <fgColor indexed="45"/>
        <bgColor indexed="64"/>
      </patternFill>
    </fill>
    <fill>
      <patternFill patternType="solid">
        <fgColor indexed="10"/>
        <bgColor indexed="64"/>
      </patternFill>
    </fill>
    <fill>
      <patternFill patternType="mediumGray">
        <fgColor indexed="43"/>
      </patternFill>
    </fill>
    <fill>
      <patternFill patternType="lightGray">
        <fgColor indexed="45"/>
      </patternFill>
    </fill>
    <fill>
      <patternFill patternType="lightHorizontal">
        <fgColor indexed="42"/>
      </patternFill>
    </fill>
    <fill>
      <patternFill patternType="lightGray">
        <fgColor indexed="51"/>
      </patternFill>
    </fill>
    <fill>
      <patternFill patternType="gray125">
        <fgColor indexed="11"/>
      </patternFill>
    </fill>
    <fill>
      <patternFill patternType="solid">
        <fgColor indexed="42"/>
        <bgColor indexed="64"/>
      </patternFill>
    </fill>
    <fill>
      <patternFill patternType="solid">
        <fgColor rgb="FF00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66FF"/>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rgb="FFFFFF99"/>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indexed="9"/>
        <bgColor indexed="64"/>
      </patternFill>
    </fill>
    <fill>
      <patternFill patternType="solid">
        <fgColor rgb="FFCCFFCC"/>
        <bgColor indexed="64"/>
      </patternFill>
    </fill>
    <fill>
      <patternFill patternType="solid">
        <fgColor rgb="FFCCFF99"/>
        <bgColor indexed="64"/>
      </patternFill>
    </fill>
    <fill>
      <patternFill patternType="solid">
        <fgColor rgb="FFCCFF99"/>
        <bgColor rgb="FF000000"/>
      </patternFill>
    </fill>
    <fill>
      <patternFill patternType="solid">
        <fgColor indexed="46"/>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s>
  <borders count="401">
    <border>
      <left/>
      <right/>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double">
        <color indexed="64"/>
      </right>
      <top style="double">
        <color indexed="64"/>
      </top>
      <bottom style="medium">
        <color indexed="64"/>
      </bottom>
      <diagonal/>
    </border>
    <border>
      <left style="medium">
        <color indexed="64"/>
      </left>
      <right style="dotted">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medium">
        <color indexed="64"/>
      </left>
      <right style="dotted">
        <color indexed="64"/>
      </right>
      <top style="hair">
        <color indexed="64"/>
      </top>
      <bottom style="double">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double">
        <color indexed="64"/>
      </bottom>
      <diagonal/>
    </border>
    <border>
      <left style="double">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double">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double">
        <color indexed="64"/>
      </left>
      <right style="hair">
        <color indexed="64"/>
      </right>
      <top style="double">
        <color indexed="64"/>
      </top>
      <bottom style="medium">
        <color indexed="64"/>
      </bottom>
      <diagonal/>
    </border>
    <border>
      <left style="hair">
        <color indexed="64"/>
      </left>
      <right style="thin">
        <color indexed="64"/>
      </right>
      <top style="double">
        <color indexed="64"/>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style="hair">
        <color indexed="64"/>
      </right>
      <top style="double">
        <color indexed="64"/>
      </top>
      <bottom style="medium">
        <color indexed="64"/>
      </bottom>
      <diagonal/>
    </border>
    <border>
      <left style="hair">
        <color indexed="8"/>
      </left>
      <right style="hair">
        <color indexed="8"/>
      </right>
      <top style="medium">
        <color indexed="8"/>
      </top>
      <bottom style="hair">
        <color indexed="8"/>
      </bottom>
      <diagonal/>
    </border>
    <border>
      <left style="dotted">
        <color indexed="64"/>
      </left>
      <right/>
      <top style="medium">
        <color indexed="64"/>
      </top>
      <bottom style="hair">
        <color indexed="64"/>
      </bottom>
      <diagonal/>
    </border>
    <border>
      <left style="dotted">
        <color indexed="64"/>
      </left>
      <right/>
      <top style="hair">
        <color indexed="64"/>
      </top>
      <bottom style="hair">
        <color indexed="64"/>
      </bottom>
      <diagonal/>
    </border>
    <border>
      <left style="dotted">
        <color indexed="64"/>
      </left>
      <right/>
      <top style="hair">
        <color indexed="64"/>
      </top>
      <bottom style="double">
        <color indexed="64"/>
      </bottom>
      <diagonal/>
    </border>
    <border>
      <left/>
      <right style="double">
        <color indexed="64"/>
      </right>
      <top style="medium">
        <color indexed="64"/>
      </top>
      <bottom/>
      <diagonal/>
    </border>
    <border>
      <left/>
      <right style="double">
        <color indexed="64"/>
      </right>
      <top/>
      <bottom style="medium">
        <color indexed="64"/>
      </bottom>
      <diagonal/>
    </border>
    <border>
      <left/>
      <right style="double">
        <color indexed="64"/>
      </right>
      <top style="medium">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double">
        <color indexed="64"/>
      </bottom>
      <diagonal/>
    </border>
    <border>
      <left style="hair">
        <color indexed="64"/>
      </left>
      <right/>
      <top style="medium">
        <color indexed="64"/>
      </top>
      <bottom/>
      <diagonal/>
    </border>
    <border>
      <left style="hair">
        <color indexed="64"/>
      </left>
      <right/>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double">
        <color indexed="64"/>
      </bottom>
      <diagonal/>
    </border>
    <border>
      <left style="hair">
        <color indexed="64"/>
      </left>
      <right style="double">
        <color indexed="64"/>
      </right>
      <top style="medium">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hair">
        <color indexed="64"/>
      </left>
      <right style="double">
        <color indexed="64"/>
      </right>
      <top style="double">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medium">
        <color indexed="64"/>
      </bottom>
      <diagonal/>
    </border>
    <border>
      <left style="medium">
        <color indexed="8"/>
      </left>
      <right/>
      <top style="medium">
        <color indexed="8"/>
      </top>
      <bottom style="hair">
        <color indexed="8"/>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style="dotted">
        <color indexed="64"/>
      </left>
      <right style="dotted">
        <color indexed="64"/>
      </right>
      <top style="medium">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style="dotted">
        <color indexed="64"/>
      </right>
      <top style="hair">
        <color indexed="64"/>
      </top>
      <bottom style="double">
        <color indexed="64"/>
      </bottom>
      <diagonal/>
    </border>
    <border>
      <left style="thick">
        <color indexed="64"/>
      </left>
      <right style="thick">
        <color indexed="64"/>
      </right>
      <top/>
      <bottom/>
      <diagonal/>
    </border>
    <border>
      <left style="medium">
        <color indexed="8"/>
      </left>
      <right/>
      <top style="hair">
        <color indexed="8"/>
      </top>
      <bottom style="medium">
        <color indexed="8"/>
      </bottom>
      <diagonal/>
    </border>
    <border>
      <left/>
      <right style="medium">
        <color indexed="8"/>
      </right>
      <top style="hair">
        <color indexed="8"/>
      </top>
      <bottom style="medium">
        <color indexed="8"/>
      </bottom>
      <diagonal/>
    </border>
    <border>
      <left/>
      <right style="hair">
        <color indexed="8"/>
      </right>
      <top style="hair">
        <color indexed="8"/>
      </top>
      <bottom style="hair">
        <color indexed="8"/>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double">
        <color indexed="64"/>
      </left>
      <right style="dotted">
        <color indexed="64"/>
      </right>
      <top style="medium">
        <color indexed="64"/>
      </top>
      <bottom/>
      <diagonal/>
    </border>
    <border>
      <left style="dotted">
        <color indexed="64"/>
      </left>
      <right style="hair">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double">
        <color indexed="64"/>
      </left>
      <right style="dotted">
        <color indexed="64"/>
      </right>
      <top/>
      <bottom style="medium">
        <color indexed="64"/>
      </bottom>
      <diagonal/>
    </border>
    <border>
      <left/>
      <right style="hair">
        <color indexed="64"/>
      </right>
      <top/>
      <bottom style="medium">
        <color indexed="64"/>
      </bottom>
      <diagonal/>
    </border>
    <border>
      <left style="double">
        <color indexed="64"/>
      </left>
      <right style="medium">
        <color indexed="64"/>
      </right>
      <top style="hair">
        <color indexed="64"/>
      </top>
      <bottom style="medium">
        <color indexed="64"/>
      </bottom>
      <diagonal/>
    </border>
    <border>
      <left style="dotted">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hair">
        <color indexed="64"/>
      </bottom>
      <diagonal/>
    </border>
    <border>
      <left style="double">
        <color indexed="64"/>
      </left>
      <right style="dotted">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tted">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ouble">
        <color indexed="64"/>
      </left>
      <right style="dotted">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dotted">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double">
        <color indexed="64"/>
      </left>
      <right style="dotted">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thin">
        <color indexed="64"/>
      </right>
      <top style="hair">
        <color indexed="64"/>
      </top>
      <bottom/>
      <diagonal/>
    </border>
    <border>
      <left/>
      <right style="thin">
        <color indexed="64"/>
      </right>
      <top style="thin">
        <color indexed="64"/>
      </top>
      <bottom style="thin">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hair">
        <color indexed="64"/>
      </right>
      <top style="hair">
        <color indexed="64"/>
      </top>
      <bottom style="medium">
        <color indexed="64"/>
      </bottom>
      <diagonal/>
    </border>
    <border>
      <left style="thin">
        <color indexed="64"/>
      </left>
      <right style="thin">
        <color indexed="64"/>
      </right>
      <top style="hair">
        <color indexed="64"/>
      </top>
      <bottom/>
      <diagonal/>
    </border>
    <border>
      <left style="dotted">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double">
        <color indexed="64"/>
      </left>
      <right style="medium">
        <color indexed="64"/>
      </right>
      <top style="medium">
        <color indexed="64"/>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8"/>
      </left>
      <right/>
      <top style="medium">
        <color indexed="8"/>
      </top>
      <bottom style="hair">
        <color indexed="8"/>
      </bottom>
      <diagonal/>
    </border>
    <border>
      <left/>
      <right/>
      <top/>
      <bottom style="medium">
        <color indexed="8"/>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uble">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top/>
      <bottom style="medium">
        <color indexed="64"/>
      </bottom>
      <diagonal/>
    </border>
    <border>
      <left/>
      <right style="thin">
        <color indexed="64"/>
      </right>
      <top style="medium">
        <color indexed="64"/>
      </top>
      <bottom style="hair">
        <color indexed="64"/>
      </bottom>
      <diagonal/>
    </border>
    <border>
      <left style="double">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hair">
        <color indexed="64"/>
      </left>
      <right/>
      <top style="hair">
        <color indexed="64"/>
      </top>
      <bottom/>
      <diagonal/>
    </border>
    <border>
      <left/>
      <right style="thin">
        <color indexed="64"/>
      </right>
      <top style="hair">
        <color indexed="64"/>
      </top>
      <bottom/>
      <diagonal/>
    </border>
    <border>
      <left style="double">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dotted">
        <color indexed="64"/>
      </top>
      <bottom style="dotted">
        <color indexed="64"/>
      </bottom>
      <diagonal/>
    </border>
    <border>
      <left/>
      <right style="double">
        <color indexed="64"/>
      </right>
      <top style="thin">
        <color indexed="64"/>
      </top>
      <bottom style="thin">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style="hair">
        <color indexed="64"/>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style="medium">
        <color indexed="8"/>
      </right>
      <top/>
      <bottom style="medium">
        <color indexed="8"/>
      </bottom>
      <diagonal/>
    </border>
    <border>
      <left/>
      <right/>
      <top/>
      <bottom style="medium">
        <color auto="1"/>
      </bottom>
      <diagonal/>
    </border>
    <border>
      <left/>
      <right/>
      <top style="medium">
        <color auto="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style="hair">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right style="hair">
        <color indexed="64"/>
      </right>
      <top style="thin">
        <color indexed="64"/>
      </top>
      <bottom style="thin">
        <color indexed="64"/>
      </bottom>
      <diagonal/>
    </border>
    <border>
      <left/>
      <right style="hair">
        <color indexed="64"/>
      </right>
      <top style="thin">
        <color indexed="64"/>
      </top>
      <bottom style="double">
        <color indexed="64"/>
      </bottom>
      <diagonal/>
    </border>
    <border>
      <left/>
      <right style="hair">
        <color indexed="64"/>
      </right>
      <top style="double">
        <color indexed="64"/>
      </top>
      <bottom style="thin">
        <color indexed="64"/>
      </bottom>
      <diagonal/>
    </border>
    <border>
      <left style="hair">
        <color indexed="64"/>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style="hair">
        <color indexed="64"/>
      </left>
      <right style="thin">
        <color indexed="64"/>
      </right>
      <top style="double">
        <color indexed="64"/>
      </top>
      <bottom style="thin">
        <color indexed="64"/>
      </bottom>
      <diagonal/>
    </border>
    <border>
      <left/>
      <right/>
      <top style="hair">
        <color indexed="64"/>
      </top>
      <bottom/>
      <diagonal/>
    </border>
    <border>
      <left/>
      <right style="hair">
        <color indexed="64"/>
      </right>
      <top style="thin">
        <color indexed="64"/>
      </top>
      <bottom/>
      <diagonal/>
    </border>
    <border>
      <left style="dotted">
        <color indexed="64"/>
      </left>
      <right style="dotted">
        <color indexed="64"/>
      </right>
      <top style="dotted">
        <color indexed="64"/>
      </top>
      <bottom style="dotted">
        <color indexed="64"/>
      </bottom>
      <diagonal/>
    </border>
    <border>
      <left style="medium">
        <color indexed="8"/>
      </left>
      <right style="hair">
        <color indexed="8"/>
      </right>
      <top style="medium">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style="hair">
        <color indexed="8"/>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hair">
        <color auto="1"/>
      </left>
      <right style="hair">
        <color auto="1"/>
      </right>
      <top style="hair">
        <color auto="1"/>
      </top>
      <bottom/>
      <diagonal/>
    </border>
    <border>
      <left style="dotted">
        <color indexed="64"/>
      </left>
      <right style="dotted">
        <color indexed="64"/>
      </right>
      <top style="dotted">
        <color indexed="64"/>
      </top>
      <bottom/>
      <diagonal/>
    </border>
    <border>
      <left style="dotted">
        <color indexed="64"/>
      </left>
      <right style="dotted">
        <color indexed="64"/>
      </right>
      <top/>
      <bottom style="dotted">
        <color indexed="64"/>
      </bottom>
      <diagonal/>
    </border>
    <border>
      <left style="hair">
        <color auto="1"/>
      </left>
      <right/>
      <top style="hair">
        <color auto="1"/>
      </top>
      <bottom/>
      <diagonal/>
    </border>
    <border>
      <left/>
      <right/>
      <top style="hair">
        <color indexed="64"/>
      </top>
      <bottom style="hair">
        <color indexed="64"/>
      </bottom>
      <diagonal/>
    </border>
    <border>
      <left style="hair">
        <color indexed="8"/>
      </left>
      <right style="hair">
        <color indexed="8"/>
      </right>
      <top style="hair">
        <color indexed="8"/>
      </top>
      <bottom style="hair">
        <color indexed="8"/>
      </bottom>
      <diagonal/>
    </border>
    <border>
      <left/>
      <right/>
      <top style="hair">
        <color indexed="8"/>
      </top>
      <bottom style="hair">
        <color indexed="8"/>
      </bottom>
      <diagonal/>
    </border>
    <border>
      <left/>
      <right/>
      <top style="hair">
        <color indexed="8"/>
      </top>
      <bottom style="medium">
        <color indexed="8"/>
      </bottom>
      <diagonal/>
    </border>
    <border>
      <left style="hair">
        <color indexed="8"/>
      </left>
      <right/>
      <top style="hair">
        <color indexed="8"/>
      </top>
      <bottom style="hair">
        <color indexed="8"/>
      </bottom>
      <diagonal/>
    </border>
    <border>
      <left style="double">
        <color indexed="8"/>
      </left>
      <right style="hair">
        <color indexed="8"/>
      </right>
      <top style="medium">
        <color indexed="8"/>
      </top>
      <bottom style="hair">
        <color indexed="8"/>
      </bottom>
      <diagonal/>
    </border>
    <border>
      <left style="double">
        <color indexed="8"/>
      </left>
      <right style="hair">
        <color indexed="8"/>
      </right>
      <top/>
      <bottom style="hair">
        <color indexed="8"/>
      </bottom>
      <diagonal/>
    </border>
    <border>
      <left style="double">
        <color indexed="8"/>
      </left>
      <right style="hair">
        <color indexed="8"/>
      </right>
      <top/>
      <bottom/>
      <diagonal/>
    </border>
    <border>
      <left style="hair">
        <color indexed="8"/>
      </left>
      <right style="hair">
        <color indexed="8"/>
      </right>
      <top style="hair">
        <color indexed="8"/>
      </top>
      <bottom style="medium">
        <color indexed="8"/>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8"/>
      </left>
      <right style="hair">
        <color indexed="8"/>
      </right>
      <top style="medium">
        <color indexed="8"/>
      </top>
      <bottom style="hair">
        <color indexed="64"/>
      </bottom>
      <diagonal/>
    </border>
    <border>
      <left style="hair">
        <color indexed="8"/>
      </left>
      <right style="hair">
        <color indexed="8"/>
      </right>
      <top/>
      <bottom style="hair">
        <color indexed="8"/>
      </bottom>
      <diagonal/>
    </border>
    <border>
      <left style="hair">
        <color indexed="8"/>
      </left>
      <right style="hair">
        <color indexed="8"/>
      </right>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medium">
        <color indexed="8"/>
      </left>
      <right/>
      <top/>
      <bottom style="hair">
        <color indexed="8"/>
      </bottom>
      <diagonal/>
    </border>
    <border>
      <left/>
      <right/>
      <top/>
      <bottom style="hair">
        <color indexed="8"/>
      </bottom>
      <diagonal/>
    </border>
    <border>
      <left/>
      <right style="medium">
        <color indexed="8"/>
      </right>
      <top/>
      <bottom style="hair">
        <color indexed="8"/>
      </bottom>
      <diagonal/>
    </border>
    <border>
      <left style="medium">
        <color indexed="8"/>
      </left>
      <right/>
      <top style="hair">
        <color indexed="8"/>
      </top>
      <bottom style="hair">
        <color indexed="8"/>
      </bottom>
      <diagonal/>
    </border>
    <border>
      <left style="hair">
        <color auto="1"/>
      </left>
      <right/>
      <top style="hair">
        <color auto="1"/>
      </top>
      <bottom style="hair">
        <color auto="1"/>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style="thin">
        <color indexed="64"/>
      </left>
      <right style="hair">
        <color indexed="64"/>
      </right>
      <top style="thin">
        <color indexed="64"/>
      </top>
      <bottom/>
      <diagonal/>
    </border>
    <border>
      <left style="thin">
        <color indexed="64"/>
      </left>
      <right style="hair">
        <color indexed="64"/>
      </right>
      <top/>
      <bottom style="double">
        <color indexed="64"/>
      </bottom>
      <diagonal/>
    </border>
    <border>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bottom style="double">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style="hair">
        <color indexed="64"/>
      </left>
      <right style="thin">
        <color indexed="64"/>
      </right>
      <top style="double">
        <color indexed="64"/>
      </top>
      <bottom/>
      <diagonal/>
    </border>
    <border>
      <left/>
      <right style="hair">
        <color indexed="64"/>
      </right>
      <top style="medium">
        <color indexed="64"/>
      </top>
      <bottom style="hair">
        <color indexed="64"/>
      </bottom>
      <diagonal/>
    </border>
    <border>
      <left style="medium">
        <color indexed="64"/>
      </left>
      <right/>
      <top/>
      <bottom/>
      <diagonal/>
    </border>
    <border>
      <left style="medium">
        <color indexed="64"/>
      </left>
      <right/>
      <top/>
      <bottom style="hair">
        <color indexed="64"/>
      </bottom>
      <diagonal/>
    </border>
    <border>
      <left style="medium">
        <color indexed="64"/>
      </left>
      <right/>
      <top/>
      <bottom style="medium">
        <color indexed="64"/>
      </bottom>
      <diagonal/>
    </border>
    <border>
      <left style="hair">
        <color indexed="64"/>
      </left>
      <right style="medium">
        <color indexed="64"/>
      </right>
      <top/>
      <bottom style="medium">
        <color indexed="64"/>
      </bottom>
      <diagonal/>
    </border>
    <border>
      <left style="thick">
        <color indexed="64"/>
      </left>
      <right/>
      <top/>
      <bottom/>
      <diagonal/>
    </border>
    <border>
      <left style="hair">
        <color indexed="64"/>
      </left>
      <right/>
      <top style="thin">
        <color indexed="64"/>
      </top>
      <bottom style="thin">
        <color indexed="64"/>
      </bottom>
      <diagonal/>
    </border>
    <border>
      <left style="hair">
        <color indexed="64"/>
      </left>
      <right style="hair">
        <color indexed="64"/>
      </right>
      <top/>
      <bottom style="dotted">
        <color indexed="64"/>
      </bottom>
      <diagonal/>
    </border>
    <border>
      <left style="hair">
        <color indexed="64"/>
      </left>
      <right/>
      <top style="dotted">
        <color indexed="64"/>
      </top>
      <bottom style="dotted">
        <color indexed="64"/>
      </bottom>
      <diagonal/>
    </border>
    <border>
      <left/>
      <right style="hair">
        <color indexed="64"/>
      </right>
      <top style="dotted">
        <color indexed="64"/>
      </top>
      <bottom style="dotted">
        <color indexed="64"/>
      </bottom>
      <diagonal/>
    </border>
    <border>
      <left style="hair">
        <color indexed="64"/>
      </left>
      <right style="hair">
        <color indexed="64"/>
      </right>
      <top style="dotted">
        <color indexed="64"/>
      </top>
      <bottom/>
      <diagonal/>
    </border>
    <border>
      <left style="hair">
        <color indexed="64"/>
      </left>
      <right style="thin">
        <color indexed="64"/>
      </right>
      <top style="dotted">
        <color indexed="64"/>
      </top>
      <bottom/>
      <diagonal/>
    </border>
    <border>
      <left style="hair">
        <color indexed="64"/>
      </left>
      <right/>
      <top style="dotted">
        <color indexed="64"/>
      </top>
      <bottom style="thin">
        <color indexed="64"/>
      </bottom>
      <diagonal/>
    </border>
    <border>
      <left/>
      <right style="hair">
        <color indexed="64"/>
      </right>
      <top style="dotted">
        <color indexed="64"/>
      </top>
      <bottom style="thin">
        <color indexed="64"/>
      </bottom>
      <diagonal/>
    </border>
    <border>
      <left style="hair">
        <color indexed="64"/>
      </left>
      <right style="hair">
        <color indexed="64"/>
      </right>
      <top style="dotted">
        <color indexed="64"/>
      </top>
      <bottom style="thin">
        <color indexed="64"/>
      </bottom>
      <diagonal/>
    </border>
    <border>
      <left style="hair">
        <color indexed="64"/>
      </left>
      <right/>
      <top style="dashed">
        <color indexed="64"/>
      </top>
      <bottom/>
      <diagonal/>
    </border>
    <border>
      <left/>
      <right/>
      <top style="dashed">
        <color indexed="64"/>
      </top>
      <bottom/>
      <diagonal/>
    </border>
    <border>
      <left style="hair">
        <color indexed="64"/>
      </left>
      <right style="hair">
        <color indexed="64"/>
      </right>
      <top style="dashed">
        <color indexed="64"/>
      </top>
      <bottom/>
      <diagonal/>
    </border>
    <border>
      <left style="hair">
        <color indexed="64"/>
      </left>
      <right style="hair">
        <color indexed="64"/>
      </right>
      <top style="dotted">
        <color indexed="64"/>
      </top>
      <bottom style="dotted">
        <color indexed="64"/>
      </bottom>
      <diagonal/>
    </border>
    <border>
      <left style="hair">
        <color indexed="64"/>
      </left>
      <right style="thin">
        <color indexed="64"/>
      </right>
      <top style="dotted">
        <color indexed="64"/>
      </top>
      <bottom style="dotted">
        <color indexed="64"/>
      </bottom>
      <diagonal/>
    </border>
    <border>
      <left/>
      <right/>
      <top style="dotted">
        <color indexed="64"/>
      </top>
      <bottom style="thin">
        <color indexed="64"/>
      </bottom>
      <diagonal/>
    </border>
    <border>
      <left style="hair">
        <color indexed="64"/>
      </left>
      <right style="thin">
        <color indexed="64"/>
      </right>
      <top style="dotted">
        <color indexed="64"/>
      </top>
      <bottom style="thin">
        <color indexed="64"/>
      </bottom>
      <diagonal/>
    </border>
    <border>
      <left style="thin">
        <color indexed="64"/>
      </left>
      <right/>
      <top style="double">
        <color indexed="64"/>
      </top>
      <bottom/>
      <diagonal/>
    </border>
    <border>
      <left/>
      <right/>
      <top style="double">
        <color indexed="64"/>
      </top>
      <bottom style="dotted">
        <color indexed="64"/>
      </bottom>
      <diagonal/>
    </border>
    <border>
      <left style="hair">
        <color indexed="64"/>
      </left>
      <right style="hair">
        <color indexed="64"/>
      </right>
      <top style="double">
        <color indexed="64"/>
      </top>
      <bottom style="dotted">
        <color indexed="64"/>
      </bottom>
      <diagonal/>
    </border>
    <border>
      <left/>
      <right style="thin">
        <color indexed="64"/>
      </right>
      <top style="double">
        <color indexed="64"/>
      </top>
      <bottom style="dotted">
        <color indexed="64"/>
      </bottom>
      <diagonal/>
    </border>
    <border>
      <left/>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hair">
        <color indexed="64"/>
      </left>
      <right/>
      <top style="thin">
        <color indexed="64"/>
      </top>
      <bottom style="dotted">
        <color indexed="64"/>
      </bottom>
      <diagonal/>
    </border>
    <border>
      <left/>
      <right/>
      <top/>
      <bottom style="hair">
        <color indexed="64"/>
      </bottom>
      <diagonal/>
    </border>
    <border>
      <left/>
      <right style="hair">
        <color indexed="8"/>
      </right>
      <top style="hair">
        <color indexed="64"/>
      </top>
      <bottom style="hair">
        <color indexed="64"/>
      </bottom>
      <diagonal/>
    </border>
    <border>
      <left/>
      <right/>
      <top style="hair">
        <color indexed="64"/>
      </top>
      <bottom/>
      <diagonal/>
    </border>
    <border>
      <left style="hair">
        <color indexed="8"/>
      </left>
      <right style="hair">
        <color indexed="8"/>
      </right>
      <top/>
      <bottom/>
      <diagonal/>
    </border>
    <border>
      <left/>
      <right style="medium">
        <color indexed="8"/>
      </right>
      <top style="hair">
        <color indexed="8"/>
      </top>
      <bottom/>
      <diagonal/>
    </border>
    <border>
      <left style="medium">
        <color indexed="64"/>
      </left>
      <right/>
      <top style="thin">
        <color indexed="64"/>
      </top>
      <bottom style="hair">
        <color indexed="64"/>
      </bottom>
      <diagonal/>
    </border>
    <border>
      <left style="hair">
        <color indexed="8"/>
      </left>
      <right style="hair">
        <color indexed="8"/>
      </right>
      <top style="thin">
        <color indexed="64"/>
      </top>
      <bottom style="hair">
        <color indexed="8"/>
      </bottom>
      <diagonal/>
    </border>
    <border>
      <left style="hair">
        <color indexed="8"/>
      </left>
      <right/>
      <top style="thin">
        <color indexed="64"/>
      </top>
      <bottom style="hair">
        <color indexed="8"/>
      </bottom>
      <diagonal/>
    </border>
    <border>
      <left style="double">
        <color indexed="8"/>
      </left>
      <right style="hair">
        <color indexed="8"/>
      </right>
      <top style="thin">
        <color indexed="64"/>
      </top>
      <bottom style="hair">
        <color indexed="8"/>
      </bottom>
      <diagonal/>
    </border>
    <border>
      <left/>
      <right/>
      <top style="thin">
        <color indexed="64"/>
      </top>
      <bottom style="hair">
        <color indexed="8"/>
      </bottom>
      <diagonal/>
    </border>
    <border>
      <left/>
      <right style="medium">
        <color indexed="8"/>
      </right>
      <top style="thin">
        <color indexed="64"/>
      </top>
      <bottom style="hair">
        <color indexed="8"/>
      </bottom>
      <diagonal/>
    </border>
    <border>
      <left style="hair">
        <color indexed="8"/>
      </left>
      <right style="double">
        <color indexed="8"/>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style="hair">
        <color indexed="8"/>
      </right>
      <top style="hair">
        <color indexed="8"/>
      </top>
      <bottom style="medium">
        <color indexed="8"/>
      </bottom>
      <diagonal/>
    </border>
    <border>
      <left/>
      <right/>
      <top style="hair">
        <color indexed="8"/>
      </top>
      <bottom style="medium">
        <color indexed="8"/>
      </bottom>
      <diagonal/>
    </border>
    <border>
      <left/>
      <right style="medium">
        <color indexed="8"/>
      </right>
      <top style="hair">
        <color indexed="8"/>
      </top>
      <bottom style="medium">
        <color indexed="8"/>
      </bottom>
      <diagonal/>
    </border>
    <border>
      <left/>
      <right style="hair">
        <color indexed="8"/>
      </right>
      <top/>
      <bottom style="hair">
        <color indexed="64"/>
      </bottom>
      <diagonal/>
    </border>
    <border>
      <left style="hair">
        <color indexed="8"/>
      </left>
      <right/>
      <top/>
      <bottom style="hair">
        <color indexed="8"/>
      </bottom>
      <diagonal/>
    </border>
    <border>
      <left style="medium">
        <color indexed="8"/>
      </left>
      <right/>
      <top style="medium">
        <color indexed="8"/>
      </top>
      <bottom/>
      <diagonal/>
    </border>
    <border>
      <left style="hair">
        <color indexed="8"/>
      </left>
      <right style="medium">
        <color indexed="8"/>
      </right>
      <top style="medium">
        <color indexed="8"/>
      </top>
      <bottom/>
      <diagonal/>
    </border>
    <border>
      <left/>
      <right/>
      <top style="medium">
        <color indexed="8"/>
      </top>
      <bottom/>
      <diagonal/>
    </border>
    <border>
      <left style="hair">
        <color indexed="8"/>
      </left>
      <right style="hair">
        <color indexed="8"/>
      </right>
      <top style="medium">
        <color indexed="64"/>
      </top>
      <bottom style="hair">
        <color indexed="64"/>
      </bottom>
      <diagonal/>
    </border>
    <border>
      <left style="hair">
        <color indexed="8"/>
      </left>
      <right style="hair">
        <color indexed="8"/>
      </right>
      <top style="medium">
        <color indexed="64"/>
      </top>
      <bottom style="hair">
        <color indexed="8"/>
      </bottom>
      <diagonal/>
    </border>
    <border>
      <left/>
      <right/>
      <top style="medium">
        <color indexed="64"/>
      </top>
      <bottom style="hair">
        <color indexed="8"/>
      </bottom>
      <diagonal/>
    </border>
    <border>
      <left style="double">
        <color indexed="8"/>
      </left>
      <right style="hair">
        <color indexed="8"/>
      </right>
      <top style="medium">
        <color indexed="64"/>
      </top>
      <bottom style="hair">
        <color indexed="8"/>
      </bottom>
      <diagonal/>
    </border>
    <border>
      <left style="hair">
        <color indexed="8"/>
      </left>
      <right/>
      <top style="medium">
        <color indexed="64"/>
      </top>
      <bottom style="hair">
        <color indexed="8"/>
      </bottom>
      <diagonal/>
    </border>
    <border>
      <left/>
      <right style="medium">
        <color indexed="64"/>
      </right>
      <top style="medium">
        <color indexed="64"/>
      </top>
      <bottom style="hair">
        <color indexed="8"/>
      </bottom>
      <diagonal/>
    </border>
    <border>
      <left/>
      <right style="medium">
        <color indexed="64"/>
      </right>
      <top/>
      <bottom style="hair">
        <color indexed="8"/>
      </bottom>
      <diagonal/>
    </border>
    <border>
      <left style="medium">
        <color indexed="64"/>
      </left>
      <right/>
      <top style="hair">
        <color indexed="64"/>
      </top>
      <bottom style="hair">
        <color indexed="64"/>
      </bottom>
      <diagonal/>
    </border>
    <border>
      <left style="hair">
        <color indexed="8"/>
      </left>
      <right style="hair">
        <color indexed="8"/>
      </right>
      <top style="hair">
        <color indexed="8"/>
      </top>
      <bottom style="hair">
        <color indexed="8"/>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64"/>
      </right>
      <top style="hair">
        <color indexed="8"/>
      </top>
      <bottom style="hair">
        <color indexed="8"/>
      </bottom>
      <diagonal/>
    </border>
    <border>
      <left style="medium">
        <color indexed="64"/>
      </left>
      <right/>
      <top style="double">
        <color indexed="64"/>
      </top>
      <bottom style="hair">
        <color indexed="64"/>
      </bottom>
      <diagonal/>
    </border>
    <border>
      <left/>
      <right style="hair">
        <color indexed="8"/>
      </right>
      <top style="double">
        <color indexed="64"/>
      </top>
      <bottom style="hair">
        <color indexed="64"/>
      </bottom>
      <diagonal/>
    </border>
    <border>
      <left style="hair">
        <color indexed="8"/>
      </left>
      <right style="hair">
        <color indexed="8"/>
      </right>
      <top style="double">
        <color indexed="64"/>
      </top>
      <bottom style="hair">
        <color indexed="8"/>
      </bottom>
      <diagonal/>
    </border>
    <border>
      <left style="hair">
        <color indexed="8"/>
      </left>
      <right/>
      <top style="double">
        <color indexed="64"/>
      </top>
      <bottom style="hair">
        <color indexed="8"/>
      </bottom>
      <diagonal/>
    </border>
    <border>
      <left style="double">
        <color indexed="8"/>
      </left>
      <right style="hair">
        <color indexed="8"/>
      </right>
      <top style="double">
        <color indexed="64"/>
      </top>
      <bottom style="hair">
        <color indexed="8"/>
      </bottom>
      <diagonal/>
    </border>
    <border>
      <left/>
      <right/>
      <top style="double">
        <color indexed="64"/>
      </top>
      <bottom style="hair">
        <color indexed="8"/>
      </bottom>
      <diagonal/>
    </border>
    <border>
      <left/>
      <right style="medium">
        <color indexed="64"/>
      </right>
      <top style="double">
        <color indexed="64"/>
      </top>
      <bottom style="hair">
        <color indexed="8"/>
      </bottom>
      <diagonal/>
    </border>
    <border>
      <left style="double">
        <color indexed="8"/>
      </left>
      <right style="hair">
        <color indexed="8"/>
      </right>
      <top style="hair">
        <color indexed="8"/>
      </top>
      <bottom style="hair">
        <color indexed="8"/>
      </bottom>
      <diagonal/>
    </border>
    <border>
      <left style="medium">
        <color indexed="64"/>
      </left>
      <right/>
      <top style="hair">
        <color indexed="64"/>
      </top>
      <bottom/>
      <diagonal/>
    </border>
    <border>
      <left/>
      <right style="hair">
        <color indexed="8"/>
      </right>
      <top style="hair">
        <color indexed="64"/>
      </top>
      <bottom/>
      <diagonal/>
    </border>
    <border>
      <left style="hair">
        <color indexed="8"/>
      </left>
      <right style="hair">
        <color indexed="8"/>
      </right>
      <top style="hair">
        <color indexed="8"/>
      </top>
      <bottom/>
      <diagonal/>
    </border>
    <border>
      <left style="hair">
        <color indexed="8"/>
      </left>
      <right/>
      <top style="hair">
        <color indexed="8"/>
      </top>
      <bottom/>
      <diagonal/>
    </border>
    <border>
      <left style="double">
        <color indexed="8"/>
      </left>
      <right style="hair">
        <color indexed="8"/>
      </right>
      <top style="hair">
        <color indexed="8"/>
      </top>
      <bottom/>
      <diagonal/>
    </border>
    <border>
      <left/>
      <right/>
      <top style="hair">
        <color indexed="8"/>
      </top>
      <bottom/>
      <diagonal/>
    </border>
    <border>
      <left/>
      <right style="medium">
        <color indexed="64"/>
      </right>
      <top style="hair">
        <color indexed="8"/>
      </top>
      <bottom/>
      <diagonal/>
    </border>
    <border>
      <left/>
      <right/>
      <top style="hair">
        <color indexed="64"/>
      </top>
      <bottom style="hair">
        <color indexed="64"/>
      </bottom>
      <diagonal/>
    </border>
    <border>
      <left style="hair">
        <color indexed="8"/>
      </left>
      <right/>
      <top/>
      <bottom style="medium">
        <color indexed="64"/>
      </bottom>
      <diagonal/>
    </border>
    <border>
      <left style="double">
        <color indexed="8"/>
      </left>
      <right style="hair">
        <color indexed="8"/>
      </right>
      <top/>
      <bottom style="medium">
        <color indexed="64"/>
      </bottom>
      <diagonal/>
    </border>
    <border>
      <left/>
      <right style="medium">
        <color indexed="64"/>
      </right>
      <top/>
      <bottom style="medium">
        <color indexed="64"/>
      </bottom>
      <diagonal/>
    </border>
    <border>
      <left style="hair">
        <color indexed="8"/>
      </left>
      <right style="hair">
        <color indexed="8"/>
      </right>
      <top style="thin">
        <color indexed="64"/>
      </top>
      <bottom style="hair">
        <color indexed="64"/>
      </bottom>
      <diagonal/>
    </border>
    <border>
      <left style="hair">
        <color indexed="8"/>
      </left>
      <right style="hair">
        <color indexed="8"/>
      </right>
      <top style="hair">
        <color indexed="64"/>
      </top>
      <bottom style="hair">
        <color indexed="8"/>
      </bottom>
      <diagonal/>
    </border>
    <border>
      <left style="medium">
        <color indexed="8"/>
      </left>
      <right/>
      <top style="hair">
        <color indexed="8"/>
      </top>
      <bottom style="hair">
        <color indexed="8"/>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8"/>
      </left>
      <right/>
      <top style="hair">
        <color indexed="8"/>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medium">
        <color indexed="8"/>
      </left>
      <right/>
      <top style="hair">
        <color indexed="8"/>
      </top>
      <bottom style="medium">
        <color indexed="8"/>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8"/>
      </left>
      <right style="hair">
        <color indexed="8"/>
      </right>
      <top style="hair">
        <color indexed="8"/>
      </top>
      <bottom style="medium">
        <color indexed="8"/>
      </bottom>
      <diagonal/>
    </border>
    <border>
      <left style="hair">
        <color indexed="8"/>
      </left>
      <right style="double">
        <color indexed="8"/>
      </right>
      <top style="hair">
        <color indexed="8"/>
      </top>
      <bottom style="medium">
        <color indexed="8"/>
      </bottom>
      <diagonal/>
    </border>
    <border>
      <left style="double">
        <color indexed="8"/>
      </left>
      <right style="hair">
        <color indexed="8"/>
      </right>
      <top style="hair">
        <color indexed="8"/>
      </top>
      <bottom style="medium">
        <color indexed="8"/>
      </bottom>
      <diagonal/>
    </border>
    <border>
      <left style="hair">
        <color indexed="8"/>
      </left>
      <right/>
      <top style="hair">
        <color indexed="8"/>
      </top>
      <bottom style="medium">
        <color indexed="8"/>
      </bottom>
      <diagonal/>
    </border>
    <border>
      <left/>
      <right/>
      <top style="hair">
        <color indexed="8"/>
      </top>
      <bottom style="medium">
        <color indexed="8"/>
      </bottom>
      <diagonal/>
    </border>
    <border>
      <left/>
      <right style="medium">
        <color indexed="8"/>
      </right>
      <top style="hair">
        <color indexed="8"/>
      </top>
      <bottom style="medium">
        <color indexed="8"/>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hair">
        <color indexed="64"/>
      </top>
      <bottom style="thin">
        <color indexed="64"/>
      </bottom>
      <diagonal/>
    </border>
    <border>
      <left/>
      <right style="hair">
        <color indexed="64"/>
      </right>
      <top style="hair">
        <color indexed="64"/>
      </top>
      <bottom/>
      <diagonal/>
    </border>
    <border>
      <left style="thin">
        <color indexed="64"/>
      </left>
      <right/>
      <top style="hair">
        <color indexed="64"/>
      </top>
      <bottom style="thin">
        <color indexed="64"/>
      </bottom>
      <diagonal/>
    </border>
    <border>
      <left style="thin">
        <color indexed="64"/>
      </left>
      <right/>
      <top style="hair">
        <color indexed="64"/>
      </top>
      <bottom style="hair">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medium">
        <color indexed="8"/>
      </left>
      <right/>
      <top style="hair">
        <color indexed="8"/>
      </top>
      <bottom style="hair">
        <color indexed="8"/>
      </bottom>
      <diagonal/>
    </border>
    <border>
      <left style="hair">
        <color indexed="8"/>
      </left>
      <right style="hair">
        <color indexed="8"/>
      </right>
      <top style="hair">
        <color indexed="8"/>
      </top>
      <bottom style="hair">
        <color indexed="8"/>
      </bottom>
      <diagonal/>
    </border>
    <border>
      <left style="medium">
        <color indexed="8"/>
      </left>
      <right/>
      <top style="hair">
        <color indexed="8"/>
      </top>
      <bottom style="medium">
        <color indexed="8"/>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right style="hair">
        <color indexed="8"/>
      </right>
      <top style="hair">
        <color indexed="8"/>
      </top>
      <bottom style="hair">
        <color indexed="8"/>
      </bottom>
      <diagonal/>
    </border>
    <border>
      <left style="medium">
        <color indexed="8"/>
      </left>
      <right style="hair">
        <color indexed="8"/>
      </right>
      <top style="hair">
        <color indexed="8"/>
      </top>
      <bottom style="medium">
        <color indexed="8"/>
      </bottom>
      <diagonal/>
    </border>
    <border>
      <left style="medium">
        <color indexed="8"/>
      </left>
      <right style="hair">
        <color indexed="8"/>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hair">
        <color indexed="8"/>
      </left>
      <right style="medium">
        <color indexed="8"/>
      </right>
      <top style="hair">
        <color indexed="8"/>
      </top>
      <bottom style="medium">
        <color indexed="8"/>
      </bottom>
      <diagonal/>
    </border>
    <border>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style="medium">
        <color indexed="64"/>
      </left>
      <right/>
      <top style="hair">
        <color indexed="64"/>
      </top>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style="medium">
        <color indexed="8"/>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thin">
        <color indexed="64"/>
      </left>
      <right/>
      <top style="hair">
        <color indexed="64"/>
      </top>
      <bottom/>
      <diagonal/>
    </border>
    <border>
      <left style="hair">
        <color indexed="64"/>
      </left>
      <right style="thin">
        <color indexed="64"/>
      </right>
      <top style="hair">
        <color indexed="64"/>
      </top>
      <bottom style="dotted">
        <color indexed="64"/>
      </bottom>
      <diagonal/>
    </border>
    <border>
      <left style="hair">
        <color indexed="64"/>
      </left>
      <right/>
      <top style="hair">
        <color indexed="64"/>
      </top>
      <bottom style="dashed">
        <color indexed="64"/>
      </bottom>
      <diagonal/>
    </border>
    <border>
      <left/>
      <right style="hair">
        <color indexed="64"/>
      </right>
      <top style="hair">
        <color indexed="64"/>
      </top>
      <bottom style="dashed">
        <color indexed="64"/>
      </bottom>
      <diagonal/>
    </border>
    <border>
      <left style="hair">
        <color indexed="64"/>
      </left>
      <right style="hair">
        <color indexed="64"/>
      </right>
      <top style="hair">
        <color indexed="64"/>
      </top>
      <bottom style="dashed">
        <color indexed="64"/>
      </bottom>
      <diagonal/>
    </border>
    <border>
      <left style="hair">
        <color indexed="64"/>
      </left>
      <right style="thin">
        <color indexed="64"/>
      </right>
      <top style="hair">
        <color indexed="64"/>
      </top>
      <bottom style="dashed">
        <color indexed="64"/>
      </bottom>
      <diagonal/>
    </border>
    <border>
      <left/>
      <right style="medium">
        <color rgb="FF000000"/>
      </right>
      <top style="hair">
        <color rgb="FF000000"/>
      </top>
      <bottom style="hair">
        <color rgb="FF000000"/>
      </bottom>
      <diagonal/>
    </border>
  </borders>
  <cellStyleXfs count="5">
    <xf numFmtId="0" fontId="0" fillId="0" borderId="0"/>
    <xf numFmtId="38" fontId="1" fillId="0" borderId="0" applyFont="0" applyFill="0" applyBorder="0" applyAlignment="0" applyProtection="0"/>
    <xf numFmtId="0" fontId="1" fillId="0" borderId="0"/>
    <xf numFmtId="9" fontId="1" fillId="0" borderId="0" applyFont="0" applyFill="0" applyBorder="0" applyAlignment="0" applyProtection="0"/>
    <xf numFmtId="38" fontId="1" fillId="0" borderId="0" applyFont="0" applyFill="0" applyBorder="0" applyAlignment="0" applyProtection="0">
      <alignment vertical="center"/>
    </xf>
  </cellStyleXfs>
  <cellXfs count="2911">
    <xf numFmtId="0" fontId="0" fillId="0" borderId="0" xfId="0"/>
    <xf numFmtId="0" fontId="3" fillId="0" borderId="0" xfId="0" applyFont="1" applyAlignment="1">
      <alignment vertical="center"/>
    </xf>
    <xf numFmtId="0" fontId="3" fillId="0" borderId="0" xfId="0" applyFont="1" applyAlignment="1">
      <alignment vertical="center" wrapText="1"/>
    </xf>
    <xf numFmtId="0" fontId="3" fillId="0" borderId="0" xfId="0" applyFont="1" applyAlignment="1">
      <alignment horizontal="center" vertical="center"/>
    </xf>
    <xf numFmtId="177" fontId="3" fillId="0" borderId="0" xfId="0" applyNumberFormat="1" applyFont="1" applyAlignment="1">
      <alignment vertical="center" shrinkToFit="1"/>
    </xf>
    <xf numFmtId="0" fontId="4" fillId="0" borderId="0" xfId="0" applyFont="1" applyAlignment="1">
      <alignment vertical="top" textRotation="255" shrinkToFit="1"/>
    </xf>
    <xf numFmtId="0" fontId="3" fillId="0" borderId="0" xfId="0" applyFont="1" applyAlignment="1">
      <alignment vertical="center" shrinkToFit="1"/>
    </xf>
    <xf numFmtId="178" fontId="4" fillId="0" borderId="0" xfId="0" applyNumberFormat="1" applyFont="1" applyAlignment="1">
      <alignment vertical="center" shrinkToFit="1"/>
    </xf>
    <xf numFmtId="0" fontId="4" fillId="0" borderId="0" xfId="0" applyFont="1" applyBorder="1" applyAlignment="1">
      <alignment vertical="top" textRotation="255" shrinkToFit="1"/>
    </xf>
    <xf numFmtId="0" fontId="5" fillId="0" borderId="0" xfId="0" applyFont="1" applyBorder="1" applyAlignment="1" applyProtection="1">
      <alignment horizontal="center" vertical="center" wrapText="1"/>
    </xf>
    <xf numFmtId="0" fontId="5" fillId="0" borderId="0" xfId="0" applyFont="1" applyBorder="1" applyAlignment="1" applyProtection="1">
      <alignment horizontal="center" vertical="center"/>
    </xf>
    <xf numFmtId="178" fontId="4" fillId="0" borderId="0" xfId="0" applyNumberFormat="1" applyFont="1" applyBorder="1" applyAlignment="1">
      <alignment vertical="center" shrinkToFit="1"/>
    </xf>
    <xf numFmtId="0" fontId="6" fillId="0" borderId="0" xfId="0" applyFont="1" applyBorder="1" applyAlignment="1" applyProtection="1">
      <alignment vertical="center"/>
    </xf>
    <xf numFmtId="0" fontId="5" fillId="0" borderId="0" xfId="0" applyFont="1" applyBorder="1" applyAlignment="1" applyProtection="1">
      <alignment vertical="center"/>
    </xf>
    <xf numFmtId="0" fontId="5" fillId="0" borderId="0" xfId="0" applyFont="1" applyBorder="1" applyAlignment="1" applyProtection="1">
      <alignment vertical="center" wrapText="1"/>
    </xf>
    <xf numFmtId="0" fontId="5" fillId="0" borderId="0" xfId="0" applyFont="1" applyBorder="1" applyAlignment="1" applyProtection="1">
      <alignment horizontal="right" vertical="center"/>
    </xf>
    <xf numFmtId="177" fontId="5" fillId="0" borderId="0" xfId="0" applyNumberFormat="1" applyFont="1" applyBorder="1" applyAlignment="1" applyProtection="1">
      <alignment vertical="center" shrinkToFit="1"/>
    </xf>
    <xf numFmtId="0" fontId="13" fillId="0" borderId="0" xfId="0" applyFont="1" applyBorder="1" applyAlignment="1" applyProtection="1">
      <alignment horizontal="right" vertical="center"/>
    </xf>
    <xf numFmtId="0" fontId="18" fillId="0" borderId="0" xfId="0" applyFont="1" applyAlignment="1">
      <alignment vertical="center"/>
    </xf>
    <xf numFmtId="0" fontId="18" fillId="0" borderId="1" xfId="0" applyFont="1" applyBorder="1" applyAlignment="1">
      <alignment horizontal="center" vertical="center"/>
    </xf>
    <xf numFmtId="0" fontId="18" fillId="0" borderId="2" xfId="0" applyFont="1" applyBorder="1" applyAlignment="1">
      <alignment horizontal="center" vertical="center"/>
    </xf>
    <xf numFmtId="0" fontId="18" fillId="0" borderId="3" xfId="0" applyFont="1" applyBorder="1" applyAlignment="1">
      <alignment horizontal="center" vertical="center"/>
    </xf>
    <xf numFmtId="0" fontId="18" fillId="0" borderId="0" xfId="0" applyFont="1" applyAlignment="1">
      <alignment horizontal="center" vertical="center"/>
    </xf>
    <xf numFmtId="0" fontId="18" fillId="0" borderId="4"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vertical="center"/>
    </xf>
    <xf numFmtId="0" fontId="18" fillId="0" borderId="10" xfId="0" applyFont="1" applyBorder="1" applyAlignment="1">
      <alignment vertical="center"/>
    </xf>
    <xf numFmtId="179" fontId="18" fillId="0" borderId="0" xfId="0" applyNumberFormat="1" applyFont="1" applyAlignment="1">
      <alignment vertical="center"/>
    </xf>
    <xf numFmtId="0" fontId="3" fillId="2" borderId="11" xfId="0" applyFont="1" applyFill="1" applyBorder="1" applyAlignment="1">
      <alignment vertical="center"/>
    </xf>
    <xf numFmtId="0" fontId="3" fillId="0" borderId="0" xfId="0" applyFont="1" applyAlignment="1">
      <alignment horizontal="right" vertical="center" wrapText="1"/>
    </xf>
    <xf numFmtId="0" fontId="3" fillId="0" borderId="0" xfId="0" quotePrefix="1" applyFont="1" applyAlignment="1">
      <alignment horizontal="center" vertical="center"/>
    </xf>
    <xf numFmtId="177" fontId="3" fillId="0" borderId="0" xfId="0" applyNumberFormat="1" applyFont="1" applyAlignment="1">
      <alignment horizontal="right" vertical="center"/>
    </xf>
    <xf numFmtId="0" fontId="14" fillId="0" borderId="0" xfId="0" applyFont="1" applyAlignment="1" applyProtection="1">
      <alignment vertical="center"/>
      <protection locked="0"/>
    </xf>
    <xf numFmtId="178" fontId="4" fillId="0" borderId="0" xfId="0" applyNumberFormat="1" applyFont="1" applyAlignment="1" applyProtection="1">
      <alignment vertical="center" shrinkToFit="1"/>
      <protection locked="0"/>
    </xf>
    <xf numFmtId="0" fontId="3" fillId="0" borderId="0" xfId="0" applyFont="1" applyAlignment="1" applyProtection="1">
      <alignment vertical="center"/>
      <protection locked="0"/>
    </xf>
    <xf numFmtId="0" fontId="3" fillId="2" borderId="11" xfId="0" applyFont="1" applyFill="1" applyBorder="1" applyAlignment="1" applyProtection="1">
      <alignment vertical="center"/>
      <protection locked="0"/>
    </xf>
    <xf numFmtId="0" fontId="0" fillId="0" borderId="0" xfId="0"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4" borderId="0" xfId="0" applyFill="1" applyProtection="1">
      <protection locked="0"/>
    </xf>
    <xf numFmtId="0" fontId="0" fillId="3" borderId="0" xfId="0" applyFill="1" applyProtection="1">
      <protection locked="0"/>
    </xf>
    <xf numFmtId="0" fontId="0" fillId="2" borderId="14" xfId="0" applyFill="1" applyBorder="1" applyProtection="1">
      <protection locked="0"/>
    </xf>
    <xf numFmtId="0" fontId="0" fillId="2" borderId="15" xfId="0" applyFill="1" applyBorder="1" applyProtection="1">
      <protection locked="0"/>
    </xf>
    <xf numFmtId="0" fontId="10" fillId="4" borderId="0" xfId="0" applyFont="1" applyFill="1" applyProtection="1">
      <protection locked="0"/>
    </xf>
    <xf numFmtId="0" fontId="0" fillId="0" borderId="0" xfId="0" quotePrefix="1" applyProtection="1">
      <protection locked="0"/>
    </xf>
    <xf numFmtId="176" fontId="5" fillId="0" borderId="0" xfId="0" applyNumberFormat="1" applyFont="1" applyBorder="1" applyAlignment="1" applyProtection="1">
      <alignment vertical="center"/>
    </xf>
    <xf numFmtId="0" fontId="18" fillId="0" borderId="16" xfId="0" applyFont="1" applyBorder="1" applyAlignment="1" applyProtection="1">
      <alignment horizontal="center" vertical="center"/>
      <protection locked="0"/>
    </xf>
    <xf numFmtId="0" fontId="18" fillId="0" borderId="17" xfId="0" applyFont="1" applyBorder="1" applyAlignment="1" applyProtection="1">
      <alignment horizontal="center" vertical="center"/>
      <protection locked="0"/>
    </xf>
    <xf numFmtId="0" fontId="18" fillId="0" borderId="18" xfId="0" applyFont="1" applyBorder="1" applyAlignment="1" applyProtection="1">
      <alignment horizontal="center" vertical="center"/>
      <protection locked="0"/>
    </xf>
    <xf numFmtId="0" fontId="18" fillId="0" borderId="19" xfId="0" applyFont="1" applyBorder="1" applyAlignment="1" applyProtection="1">
      <alignment horizontal="center" vertical="center"/>
      <protection locked="0"/>
    </xf>
    <xf numFmtId="0" fontId="18" fillId="0" borderId="20" xfId="0" applyFont="1" applyBorder="1" applyAlignment="1">
      <alignment horizontal="center" vertical="center"/>
    </xf>
    <xf numFmtId="0" fontId="18" fillId="0" borderId="21" xfId="0" applyFont="1" applyBorder="1" applyAlignment="1">
      <alignment horizontal="center" vertical="center"/>
    </xf>
    <xf numFmtId="0" fontId="18" fillId="0" borderId="22" xfId="0" applyFont="1" applyBorder="1" applyAlignment="1" applyProtection="1">
      <alignment vertical="center"/>
      <protection locked="0"/>
    </xf>
    <xf numFmtId="0" fontId="23" fillId="0" borderId="23" xfId="0" applyFont="1" applyBorder="1" applyAlignment="1">
      <alignment horizontal="center" shrinkToFit="1"/>
    </xf>
    <xf numFmtId="0" fontId="18" fillId="0" borderId="24" xfId="0" applyFont="1" applyBorder="1" applyAlignment="1" applyProtection="1">
      <alignment vertical="center"/>
      <protection locked="0"/>
    </xf>
    <xf numFmtId="0" fontId="18" fillId="0" borderId="25" xfId="0" applyFont="1" applyBorder="1" applyAlignment="1" applyProtection="1">
      <alignment vertical="center"/>
      <protection locked="0"/>
    </xf>
    <xf numFmtId="179" fontId="18" fillId="0" borderId="26" xfId="0" applyNumberFormat="1" applyFont="1" applyBorder="1" applyAlignment="1">
      <alignment horizontal="center" vertical="center"/>
    </xf>
    <xf numFmtId="179" fontId="18" fillId="0" borderId="27" xfId="0" applyNumberFormat="1" applyFont="1" applyBorder="1" applyAlignment="1">
      <alignment horizontal="center" vertical="center"/>
    </xf>
    <xf numFmtId="179" fontId="18" fillId="0" borderId="36" xfId="0" applyNumberFormat="1" applyFont="1" applyBorder="1" applyAlignment="1">
      <alignment horizontal="center" vertical="center"/>
    </xf>
    <xf numFmtId="0" fontId="5" fillId="0" borderId="38" xfId="0" applyFont="1" applyBorder="1" applyAlignment="1" applyProtection="1">
      <alignment horizontal="center" vertical="center"/>
    </xf>
    <xf numFmtId="177" fontId="5" fillId="0" borderId="38" xfId="0" applyNumberFormat="1" applyFont="1" applyBorder="1" applyAlignment="1" applyProtection="1">
      <alignment horizontal="center" vertical="center" shrinkToFit="1"/>
    </xf>
    <xf numFmtId="0" fontId="5" fillId="0" borderId="38" xfId="0" applyFont="1" applyBorder="1" applyAlignment="1" applyProtection="1">
      <alignment horizontal="center" vertical="center" wrapText="1"/>
    </xf>
    <xf numFmtId="0" fontId="18" fillId="0" borderId="39" xfId="0" applyFont="1" applyBorder="1" applyAlignment="1" applyProtection="1">
      <alignment vertical="center"/>
      <protection locked="0"/>
    </xf>
    <xf numFmtId="0" fontId="18" fillId="0" borderId="40" xfId="0" applyFont="1" applyBorder="1" applyAlignment="1" applyProtection="1">
      <alignment vertical="center"/>
      <protection locked="0"/>
    </xf>
    <xf numFmtId="0" fontId="18" fillId="0" borderId="41" xfId="0" applyFont="1" applyBorder="1" applyAlignment="1" applyProtection="1">
      <alignment vertical="center"/>
      <protection locked="0"/>
    </xf>
    <xf numFmtId="0" fontId="18" fillId="0" borderId="42" xfId="0" applyFont="1" applyBorder="1" applyAlignment="1">
      <alignment horizontal="center" vertical="center"/>
    </xf>
    <xf numFmtId="0" fontId="18" fillId="0" borderId="43" xfId="0" applyFont="1" applyBorder="1" applyAlignment="1">
      <alignment horizontal="center" vertical="center"/>
    </xf>
    <xf numFmtId="0" fontId="18" fillId="0" borderId="44" xfId="0" applyFont="1" applyBorder="1" applyAlignment="1" applyProtection="1">
      <alignment horizontal="center" vertical="center"/>
      <protection locked="0"/>
    </xf>
    <xf numFmtId="0" fontId="18" fillId="0" borderId="45" xfId="0" applyFont="1" applyBorder="1" applyAlignment="1" applyProtection="1">
      <alignment horizontal="center" vertical="center"/>
      <protection locked="0"/>
    </xf>
    <xf numFmtId="0" fontId="18" fillId="0" borderId="46" xfId="0" applyFont="1" applyBorder="1" applyAlignment="1" applyProtection="1">
      <alignment horizontal="center" vertical="center"/>
      <protection locked="0"/>
    </xf>
    <xf numFmtId="0" fontId="18" fillId="0" borderId="47" xfId="0" applyFont="1" applyBorder="1" applyAlignment="1">
      <alignment horizontal="center" vertical="center"/>
    </xf>
    <xf numFmtId="0" fontId="18" fillId="0" borderId="48" xfId="0" applyFont="1" applyBorder="1" applyAlignment="1">
      <alignment horizontal="center" vertical="center"/>
    </xf>
    <xf numFmtId="0" fontId="18" fillId="0" borderId="49" xfId="0" applyFont="1" applyBorder="1" applyAlignment="1" applyProtection="1">
      <alignment vertical="center"/>
      <protection locked="0"/>
    </xf>
    <xf numFmtId="0" fontId="18" fillId="0" borderId="50" xfId="0" applyFont="1" applyBorder="1" applyAlignment="1" applyProtection="1">
      <alignment vertical="center"/>
      <protection locked="0"/>
    </xf>
    <xf numFmtId="0" fontId="18" fillId="0" borderId="51" xfId="0" applyFont="1" applyBorder="1" applyAlignment="1" applyProtection="1">
      <alignment vertical="center"/>
      <protection locked="0"/>
    </xf>
    <xf numFmtId="179" fontId="18" fillId="0" borderId="56" xfId="0" applyNumberFormat="1" applyFont="1" applyBorder="1" applyAlignment="1">
      <alignment horizontal="center" vertical="center"/>
    </xf>
    <xf numFmtId="177" fontId="5" fillId="0" borderId="0" xfId="0" applyNumberFormat="1" applyFont="1" applyBorder="1" applyAlignment="1" applyProtection="1">
      <alignment vertical="center" shrinkToFit="1"/>
      <protection locked="0"/>
    </xf>
    <xf numFmtId="0" fontId="23" fillId="0" borderId="0" xfId="0" applyFont="1" applyAlignment="1">
      <alignment shrinkToFit="1"/>
    </xf>
    <xf numFmtId="0" fontId="3" fillId="0" borderId="0" xfId="0" applyFont="1" applyAlignment="1" applyProtection="1">
      <alignment vertical="center"/>
    </xf>
    <xf numFmtId="0" fontId="5" fillId="0" borderId="61" xfId="0" applyFont="1" applyBorder="1" applyAlignment="1" applyProtection="1">
      <alignment horizontal="centerContinuous" vertical="center"/>
    </xf>
    <xf numFmtId="0" fontId="5" fillId="0" borderId="62" xfId="0" applyFont="1" applyBorder="1" applyAlignment="1" applyProtection="1">
      <alignment horizontal="centerContinuous" vertical="center"/>
    </xf>
    <xf numFmtId="0" fontId="5" fillId="0" borderId="63" xfId="0" applyFont="1" applyBorder="1" applyAlignment="1" applyProtection="1">
      <alignment horizontal="centerContinuous" vertical="center"/>
    </xf>
    <xf numFmtId="178" fontId="18" fillId="0" borderId="64" xfId="0" applyNumberFormat="1" applyFont="1" applyBorder="1" applyAlignment="1" applyProtection="1">
      <alignment horizontal="center" vertical="center"/>
      <protection locked="0"/>
    </xf>
    <xf numFmtId="178" fontId="18" fillId="0" borderId="39" xfId="0" applyNumberFormat="1" applyFont="1" applyBorder="1" applyAlignment="1" applyProtection="1">
      <alignment horizontal="center" vertical="center"/>
      <protection locked="0"/>
    </xf>
    <xf numFmtId="178" fontId="18" fillId="0" borderId="65" xfId="0" applyNumberFormat="1" applyFont="1" applyBorder="1" applyAlignment="1" applyProtection="1">
      <alignment horizontal="center" vertical="center"/>
      <protection locked="0"/>
    </xf>
    <xf numFmtId="178" fontId="18" fillId="0" borderId="40" xfId="0" applyNumberFormat="1" applyFont="1" applyBorder="1" applyAlignment="1" applyProtection="1">
      <alignment horizontal="center" vertical="center"/>
      <protection locked="0"/>
    </xf>
    <xf numFmtId="178" fontId="18" fillId="0" borderId="66" xfId="0" applyNumberFormat="1" applyFont="1" applyBorder="1" applyAlignment="1" applyProtection="1">
      <alignment horizontal="center" vertical="center"/>
      <protection locked="0"/>
    </xf>
    <xf numFmtId="178" fontId="18" fillId="0" borderId="41" xfId="0" applyNumberFormat="1" applyFont="1" applyBorder="1" applyAlignment="1" applyProtection="1">
      <alignment horizontal="center" vertical="center"/>
      <protection locked="0"/>
    </xf>
    <xf numFmtId="0" fontId="23" fillId="0" borderId="0" xfId="0" applyNumberFormat="1" applyFont="1" applyAlignment="1">
      <alignment shrinkToFit="1"/>
    </xf>
    <xf numFmtId="177" fontId="5" fillId="5" borderId="67" xfId="0" applyNumberFormat="1" applyFont="1" applyFill="1" applyBorder="1" applyAlignment="1" applyProtection="1">
      <alignment vertical="center" shrinkToFit="1"/>
    </xf>
    <xf numFmtId="0" fontId="3" fillId="0" borderId="0" xfId="0" applyNumberFormat="1" applyFont="1" applyAlignment="1">
      <alignment vertical="center"/>
    </xf>
    <xf numFmtId="0" fontId="13" fillId="0" borderId="68" xfId="0" applyFont="1" applyBorder="1" applyAlignment="1" applyProtection="1">
      <alignment vertical="center"/>
      <protection locked="0"/>
    </xf>
    <xf numFmtId="0" fontId="12" fillId="0" borderId="62" xfId="0" applyFont="1" applyBorder="1" applyAlignment="1" applyProtection="1">
      <alignment horizontal="centerContinuous" vertical="center"/>
    </xf>
    <xf numFmtId="0" fontId="12" fillId="0" borderId="38" xfId="0" applyFont="1" applyBorder="1" applyAlignment="1" applyProtection="1">
      <alignment horizontal="center" vertical="center" wrapText="1"/>
    </xf>
    <xf numFmtId="0" fontId="12" fillId="0" borderId="38" xfId="0" applyFont="1" applyBorder="1" applyAlignment="1" applyProtection="1">
      <alignment horizontal="center" vertical="center"/>
    </xf>
    <xf numFmtId="177" fontId="12" fillId="0" borderId="38" xfId="0" applyNumberFormat="1" applyFont="1" applyBorder="1" applyAlignment="1" applyProtection="1">
      <alignment horizontal="center" vertical="center" shrinkToFit="1"/>
    </xf>
    <xf numFmtId="0" fontId="12" fillId="0" borderId="61" xfId="0" applyFont="1" applyBorder="1" applyAlignment="1" applyProtection="1">
      <alignment horizontal="centerContinuous" vertical="center"/>
    </xf>
    <xf numFmtId="0" fontId="13" fillId="0" borderId="69" xfId="0" applyFont="1" applyBorder="1" applyAlignment="1" applyProtection="1">
      <alignment vertical="center"/>
      <protection locked="0"/>
    </xf>
    <xf numFmtId="0" fontId="4" fillId="0" borderId="0" xfId="0" applyFont="1" applyAlignment="1">
      <alignment horizontal="right" vertical="center" wrapText="1"/>
    </xf>
    <xf numFmtId="0" fontId="4" fillId="0" borderId="0" xfId="0" applyFont="1" applyAlignment="1">
      <alignment vertical="center"/>
    </xf>
    <xf numFmtId="0" fontId="4" fillId="0" borderId="0" xfId="0" quotePrefix="1" applyFont="1" applyAlignment="1">
      <alignment horizontal="center" vertical="center"/>
    </xf>
    <xf numFmtId="177" fontId="4" fillId="0" borderId="0" xfId="0" applyNumberFormat="1" applyFont="1" applyAlignment="1">
      <alignment vertical="center" shrinkToFit="1"/>
    </xf>
    <xf numFmtId="0" fontId="13" fillId="0" borderId="70" xfId="0" applyFont="1" applyBorder="1" applyAlignment="1" applyProtection="1">
      <alignment vertical="center"/>
      <protection locked="0"/>
    </xf>
    <xf numFmtId="0" fontId="10" fillId="0" borderId="0" xfId="0" applyFont="1" applyAlignment="1">
      <alignment shrinkToFit="1"/>
    </xf>
    <xf numFmtId="0" fontId="1" fillId="4" borderId="0" xfId="0" applyFont="1" applyFill="1" applyProtection="1">
      <protection locked="0"/>
    </xf>
    <xf numFmtId="0" fontId="1" fillId="6" borderId="0" xfId="0" applyFont="1" applyFill="1" applyProtection="1"/>
    <xf numFmtId="0" fontId="19" fillId="6" borderId="0" xfId="0" applyFont="1" applyFill="1" applyProtection="1"/>
    <xf numFmtId="0" fontId="0" fillId="0" borderId="0" xfId="0" applyProtection="1"/>
    <xf numFmtId="0" fontId="26" fillId="4" borderId="0" xfId="0" applyFont="1" applyFill="1" applyProtection="1">
      <protection locked="0"/>
    </xf>
    <xf numFmtId="0" fontId="26" fillId="3" borderId="12" xfId="0" applyFont="1" applyFill="1" applyBorder="1" applyProtection="1">
      <protection locked="0"/>
    </xf>
    <xf numFmtId="0" fontId="26" fillId="3" borderId="13" xfId="0" applyFont="1" applyFill="1" applyBorder="1" applyProtection="1">
      <protection locked="0"/>
    </xf>
    <xf numFmtId="0" fontId="27" fillId="0" borderId="0" xfId="0" applyFont="1" applyAlignment="1">
      <alignment vertical="center"/>
    </xf>
    <xf numFmtId="0" fontId="26" fillId="0" borderId="0" xfId="0" applyFont="1" applyProtection="1">
      <protection locked="0"/>
    </xf>
    <xf numFmtId="0" fontId="20" fillId="3" borderId="0" xfId="0" applyFont="1" applyFill="1" applyProtection="1">
      <protection locked="0"/>
    </xf>
    <xf numFmtId="0" fontId="23" fillId="0" borderId="23" xfId="0" applyFont="1" applyBorder="1" applyAlignment="1">
      <alignment shrinkToFit="1"/>
    </xf>
    <xf numFmtId="0" fontId="0" fillId="0" borderId="0" xfId="0" applyFill="1"/>
    <xf numFmtId="0" fontId="0" fillId="0" borderId="0" xfId="0" quotePrefix="1" applyFill="1"/>
    <xf numFmtId="0" fontId="0" fillId="0" borderId="0" xfId="0" applyFill="1" applyProtection="1">
      <protection locked="0"/>
    </xf>
    <xf numFmtId="10" fontId="0" fillId="0" borderId="0" xfId="0" applyNumberFormat="1" applyFill="1"/>
    <xf numFmtId="0" fontId="0" fillId="6" borderId="0" xfId="0" applyFill="1"/>
    <xf numFmtId="0" fontId="0" fillId="0" borderId="0" xfId="0" applyAlignment="1" applyProtection="1">
      <alignment horizontal="right"/>
      <protection locked="0"/>
    </xf>
    <xf numFmtId="0" fontId="3" fillId="0" borderId="11" xfId="0" applyFont="1" applyBorder="1" applyAlignment="1">
      <alignment horizontal="center" vertical="center"/>
    </xf>
    <xf numFmtId="0" fontId="28" fillId="0" borderId="11" xfId="0" applyFont="1" applyBorder="1" applyAlignment="1">
      <alignment vertical="center"/>
    </xf>
    <xf numFmtId="0" fontId="3" fillId="0" borderId="71" xfId="0" applyFont="1" applyBorder="1" applyAlignment="1">
      <alignment horizontal="center" vertical="center"/>
    </xf>
    <xf numFmtId="0" fontId="23" fillId="0" borderId="0" xfId="0" applyFont="1" applyBorder="1" applyAlignment="1">
      <alignment shrinkToFit="1"/>
    </xf>
    <xf numFmtId="0" fontId="29" fillId="0" borderId="0" xfId="0" applyFont="1" applyAlignment="1">
      <alignment vertical="center"/>
    </xf>
    <xf numFmtId="0" fontId="23" fillId="0" borderId="50" xfId="0" applyFont="1" applyBorder="1" applyAlignment="1">
      <alignment horizontal="center" shrinkToFit="1"/>
    </xf>
    <xf numFmtId="0" fontId="23" fillId="0" borderId="50" xfId="0" applyFont="1" applyBorder="1" applyAlignment="1">
      <alignment shrinkToFit="1"/>
    </xf>
    <xf numFmtId="0" fontId="23" fillId="0" borderId="24" xfId="0" applyFont="1" applyBorder="1" applyAlignment="1">
      <alignment horizontal="center" shrinkToFit="1"/>
    </xf>
    <xf numFmtId="0" fontId="23" fillId="0" borderId="31" xfId="0" applyFont="1" applyBorder="1" applyAlignment="1">
      <alignment horizontal="center" shrinkToFit="1"/>
    </xf>
    <xf numFmtId="0" fontId="23" fillId="0" borderId="24" xfId="0" applyFont="1" applyBorder="1" applyAlignment="1">
      <alignment shrinkToFit="1"/>
    </xf>
    <xf numFmtId="0" fontId="23" fillId="0" borderId="73" xfId="0" applyFont="1" applyBorder="1" applyAlignment="1">
      <alignment shrinkToFit="1"/>
    </xf>
    <xf numFmtId="0" fontId="23" fillId="0" borderId="74" xfId="0" applyFont="1" applyBorder="1" applyAlignment="1">
      <alignment shrinkToFit="1"/>
    </xf>
    <xf numFmtId="0" fontId="23" fillId="0" borderId="75" xfId="0" applyFont="1" applyBorder="1" applyAlignment="1">
      <alignment shrinkToFit="1"/>
    </xf>
    <xf numFmtId="0" fontId="23" fillId="0" borderId="0" xfId="0" applyFont="1" applyBorder="1" applyAlignment="1">
      <alignment vertical="center" shrinkToFit="1"/>
    </xf>
    <xf numFmtId="0" fontId="23" fillId="0" borderId="76" xfId="0" applyFont="1" applyBorder="1" applyAlignment="1">
      <alignment vertical="center" shrinkToFit="1"/>
    </xf>
    <xf numFmtId="0" fontId="23" fillId="0" borderId="77" xfId="0" applyFont="1" applyBorder="1" applyAlignment="1">
      <alignment vertical="center" shrinkToFit="1"/>
    </xf>
    <xf numFmtId="0" fontId="23" fillId="0" borderId="0" xfId="0" applyFont="1" applyAlignment="1">
      <alignment vertical="center" shrinkToFit="1"/>
    </xf>
    <xf numFmtId="0" fontId="25" fillId="0" borderId="78" xfId="0" applyFont="1" applyBorder="1" applyAlignment="1">
      <alignment vertical="center" shrinkToFit="1"/>
    </xf>
    <xf numFmtId="0" fontId="1" fillId="0" borderId="0" xfId="0" applyFont="1" applyAlignment="1"/>
    <xf numFmtId="0" fontId="1" fillId="0" borderId="79" xfId="0" applyFont="1" applyFill="1" applyBorder="1" applyAlignment="1"/>
    <xf numFmtId="0" fontId="23" fillId="0" borderId="80" xfId="0" applyFont="1" applyBorder="1" applyAlignment="1">
      <alignment shrinkToFit="1"/>
    </xf>
    <xf numFmtId="0" fontId="23" fillId="0" borderId="81" xfId="0" applyFont="1" applyBorder="1" applyAlignment="1">
      <alignment shrinkToFit="1"/>
    </xf>
    <xf numFmtId="0" fontId="23" fillId="0" borderId="24" xfId="0" applyFont="1" applyBorder="1" applyAlignment="1">
      <alignment vertical="center" shrinkToFit="1"/>
    </xf>
    <xf numFmtId="0" fontId="23" fillId="0" borderId="23" xfId="0" applyFont="1" applyBorder="1" applyAlignment="1">
      <alignment vertical="center" shrinkToFit="1"/>
    </xf>
    <xf numFmtId="0" fontId="25" fillId="0" borderId="50" xfId="0" applyFont="1" applyBorder="1" applyAlignment="1">
      <alignment vertical="center" shrinkToFit="1"/>
    </xf>
    <xf numFmtId="0" fontId="23" fillId="0" borderId="73" xfId="0" applyNumberFormat="1" applyFont="1" applyBorder="1" applyAlignment="1">
      <alignment shrinkToFit="1"/>
    </xf>
    <xf numFmtId="0" fontId="23" fillId="0" borderId="24" xfId="0" applyNumberFormat="1" applyFont="1" applyBorder="1" applyAlignment="1">
      <alignment shrinkToFit="1"/>
    </xf>
    <xf numFmtId="0" fontId="25" fillId="0" borderId="85" xfId="0" applyFont="1" applyBorder="1" applyAlignment="1">
      <alignment shrinkToFit="1"/>
    </xf>
    <xf numFmtId="0" fontId="23" fillId="0" borderId="86" xfId="0" applyFont="1" applyBorder="1" applyAlignment="1">
      <alignment vertical="center" shrinkToFit="1"/>
    </xf>
    <xf numFmtId="0" fontId="23" fillId="0" borderId="87" xfId="0" applyFont="1" applyBorder="1" applyAlignment="1">
      <alignment vertical="center" shrinkToFit="1"/>
    </xf>
    <xf numFmtId="0" fontId="25" fillId="0" borderId="88" xfId="0" applyFont="1" applyBorder="1" applyAlignment="1">
      <alignment vertical="center" shrinkToFit="1"/>
    </xf>
    <xf numFmtId="183" fontId="23" fillId="0" borderId="86" xfId="0" quotePrefix="1" applyNumberFormat="1" applyFont="1" applyBorder="1" applyAlignment="1">
      <alignment vertical="center" shrinkToFit="1"/>
    </xf>
    <xf numFmtId="183" fontId="23" fillId="0" borderId="24" xfId="0" quotePrefix="1" applyNumberFormat="1" applyFont="1" applyBorder="1" applyAlignment="1">
      <alignment vertical="center" shrinkToFit="1"/>
    </xf>
    <xf numFmtId="183" fontId="23" fillId="0" borderId="80" xfId="0" applyNumberFormat="1" applyFont="1" applyBorder="1" applyAlignment="1">
      <alignment shrinkToFit="1"/>
    </xf>
    <xf numFmtId="184" fontId="23" fillId="0" borderId="76" xfId="0" applyNumberFormat="1" applyFont="1" applyBorder="1" applyAlignment="1">
      <alignment vertical="center" shrinkToFit="1"/>
    </xf>
    <xf numFmtId="184" fontId="23" fillId="0" borderId="77" xfId="0" applyNumberFormat="1" applyFont="1" applyBorder="1" applyAlignment="1">
      <alignment vertical="center" shrinkToFit="1"/>
    </xf>
    <xf numFmtId="184" fontId="23" fillId="0" borderId="90" xfId="0" applyNumberFormat="1" applyFont="1" applyBorder="1" applyAlignment="1">
      <alignment vertical="center" shrinkToFit="1"/>
    </xf>
    <xf numFmtId="185" fontId="23" fillId="0" borderId="86" xfId="0" applyNumberFormat="1" applyFont="1" applyBorder="1" applyAlignment="1">
      <alignment vertical="center" shrinkToFit="1"/>
    </xf>
    <xf numFmtId="185" fontId="23" fillId="0" borderId="87" xfId="0" applyNumberFormat="1" applyFont="1" applyBorder="1" applyAlignment="1">
      <alignment vertical="center" shrinkToFit="1"/>
    </xf>
    <xf numFmtId="185" fontId="23" fillId="0" borderId="91" xfId="0" applyNumberFormat="1" applyFont="1" applyBorder="1" applyAlignment="1">
      <alignment vertical="center" shrinkToFit="1"/>
    </xf>
    <xf numFmtId="185" fontId="23" fillId="0" borderId="24" xfId="0" applyNumberFormat="1" applyFont="1" applyBorder="1" applyAlignment="1">
      <alignment vertical="center" shrinkToFit="1"/>
    </xf>
    <xf numFmtId="185" fontId="23" fillId="0" borderId="23" xfId="0" applyNumberFormat="1" applyFont="1" applyBorder="1" applyAlignment="1">
      <alignment vertical="center" shrinkToFit="1"/>
    </xf>
    <xf numFmtId="185" fontId="23" fillId="0" borderId="31" xfId="0" applyNumberFormat="1" applyFont="1" applyBorder="1" applyAlignment="1">
      <alignment vertical="center" shrinkToFit="1"/>
    </xf>
    <xf numFmtId="185" fontId="23" fillId="0" borderId="80" xfId="0" applyNumberFormat="1" applyFont="1" applyBorder="1" applyAlignment="1">
      <alignment shrinkToFit="1"/>
    </xf>
    <xf numFmtId="185" fontId="23" fillId="0" borderId="81" xfId="0" applyNumberFormat="1" applyFont="1" applyBorder="1" applyAlignment="1">
      <alignment shrinkToFit="1"/>
    </xf>
    <xf numFmtId="185" fontId="23" fillId="0" borderId="92" xfId="0" applyNumberFormat="1" applyFont="1" applyBorder="1" applyAlignment="1">
      <alignment shrinkToFit="1"/>
    </xf>
    <xf numFmtId="0" fontId="3" fillId="0" borderId="74" xfId="0" applyFont="1" applyBorder="1" applyAlignment="1">
      <alignment vertical="center"/>
    </xf>
    <xf numFmtId="0" fontId="3" fillId="0" borderId="11" xfId="0" applyFont="1" applyBorder="1" applyAlignment="1" applyProtection="1">
      <alignment vertical="center"/>
      <protection locked="0"/>
    </xf>
    <xf numFmtId="0" fontId="23" fillId="0" borderId="0" xfId="0" applyFont="1" applyAlignment="1">
      <alignment horizontal="center" vertical="center"/>
    </xf>
    <xf numFmtId="0" fontId="23" fillId="0" borderId="0" xfId="0" applyFont="1" applyAlignment="1">
      <alignment vertical="center"/>
    </xf>
    <xf numFmtId="179" fontId="23" fillId="0" borderId="0" xfId="0" applyNumberFormat="1" applyFont="1" applyAlignment="1">
      <alignment vertical="center"/>
    </xf>
    <xf numFmtId="9" fontId="10" fillId="8" borderId="0" xfId="0" applyNumberFormat="1" applyFont="1" applyFill="1" applyAlignment="1">
      <alignment horizontal="center" vertical="center"/>
    </xf>
    <xf numFmtId="0" fontId="14" fillId="0" borderId="0" xfId="0" applyFont="1" applyAlignment="1">
      <alignment vertical="center"/>
    </xf>
    <xf numFmtId="176" fontId="5" fillId="9" borderId="0" xfId="0" applyNumberFormat="1" applyFont="1" applyFill="1" applyBorder="1" applyAlignment="1" applyProtection="1">
      <alignment vertical="center"/>
    </xf>
    <xf numFmtId="176" fontId="5" fillId="9" borderId="0" xfId="0" applyNumberFormat="1" applyFont="1" applyFill="1" applyBorder="1" applyAlignment="1" applyProtection="1">
      <alignment vertical="center" shrinkToFit="1"/>
    </xf>
    <xf numFmtId="0" fontId="0" fillId="3" borderId="0" xfId="0" applyFill="1" applyAlignment="1" applyProtection="1">
      <protection locked="0"/>
    </xf>
    <xf numFmtId="0" fontId="28" fillId="0" borderId="14" xfId="0" applyFont="1" applyBorder="1" applyAlignment="1">
      <alignment vertical="center" wrapText="1"/>
    </xf>
    <xf numFmtId="0" fontId="3" fillId="0" borderId="0" xfId="0" applyFont="1" applyBorder="1" applyAlignment="1">
      <alignment vertical="center"/>
    </xf>
    <xf numFmtId="0" fontId="28" fillId="0" borderId="0" xfId="0" applyFont="1" applyBorder="1" applyAlignment="1">
      <alignment vertical="center"/>
    </xf>
    <xf numFmtId="0" fontId="28" fillId="0" borderId="0" xfId="0" applyFont="1" applyBorder="1" applyAlignment="1">
      <alignment vertical="center" wrapText="1"/>
    </xf>
    <xf numFmtId="0" fontId="3" fillId="0" borderId="0" xfId="0" applyFont="1" applyBorder="1" applyAlignment="1" applyProtection="1">
      <alignment vertical="center"/>
      <protection locked="0"/>
    </xf>
    <xf numFmtId="0" fontId="22" fillId="0" borderId="0" xfId="0" applyFont="1" applyBorder="1" applyAlignment="1">
      <alignment horizontal="center" vertical="center"/>
    </xf>
    <xf numFmtId="0" fontId="3" fillId="0" borderId="71" xfId="0" applyFont="1" applyBorder="1" applyAlignment="1" applyProtection="1">
      <alignment vertical="center" shrinkToFit="1"/>
      <protection locked="0"/>
    </xf>
    <xf numFmtId="0" fontId="3" fillId="0" borderId="72" xfId="0" applyFont="1" applyBorder="1" applyAlignment="1" applyProtection="1">
      <alignment vertical="center" shrinkToFit="1"/>
      <protection locked="0"/>
    </xf>
    <xf numFmtId="0" fontId="3" fillId="0" borderId="11" xfId="0" applyFont="1" applyBorder="1" applyAlignment="1">
      <alignment vertical="center" shrinkToFit="1"/>
    </xf>
    <xf numFmtId="0" fontId="3" fillId="0" borderId="14" xfId="0" applyFont="1" applyBorder="1" applyAlignment="1">
      <alignment vertical="center" shrinkToFit="1"/>
    </xf>
    <xf numFmtId="0" fontId="3" fillId="0" borderId="72" xfId="0" applyFont="1" applyBorder="1" applyAlignment="1">
      <alignment vertical="center" shrinkToFit="1"/>
    </xf>
    <xf numFmtId="0" fontId="3" fillId="0" borderId="71" xfId="0" applyFont="1" applyBorder="1" applyAlignment="1">
      <alignment vertical="center" shrinkToFit="1"/>
    </xf>
    <xf numFmtId="0" fontId="23" fillId="0" borderId="86" xfId="0" applyFont="1" applyBorder="1" applyAlignment="1">
      <alignment shrinkToFit="1"/>
    </xf>
    <xf numFmtId="0" fontId="23" fillId="0" borderId="87" xfId="0" applyFont="1" applyBorder="1" applyAlignment="1">
      <alignment shrinkToFit="1"/>
    </xf>
    <xf numFmtId="0" fontId="23" fillId="0" borderId="88" xfId="0" applyFont="1" applyBorder="1" applyAlignment="1">
      <alignment shrinkToFit="1"/>
    </xf>
    <xf numFmtId="178" fontId="4" fillId="7" borderId="0" xfId="0" applyNumberFormat="1" applyFont="1" applyFill="1" applyAlignment="1" applyProtection="1">
      <alignment vertical="center" shrinkToFit="1"/>
      <protection locked="0"/>
    </xf>
    <xf numFmtId="0" fontId="21" fillId="0" borderId="0" xfId="0" applyFont="1" applyAlignment="1" applyProtection="1">
      <alignment horizontal="right" vertical="center"/>
      <protection locked="0"/>
    </xf>
    <xf numFmtId="9" fontId="23" fillId="0" borderId="0" xfId="0" applyNumberFormat="1" applyFont="1" applyFill="1" applyAlignment="1">
      <alignment horizontal="center" vertical="center"/>
    </xf>
    <xf numFmtId="0" fontId="18" fillId="0" borderId="2" xfId="0" applyFont="1" applyBorder="1" applyAlignment="1">
      <alignment horizontal="center" vertical="center" shrinkToFit="1"/>
    </xf>
    <xf numFmtId="0" fontId="18" fillId="0" borderId="95" xfId="0" applyFont="1" applyBorder="1" applyAlignment="1">
      <alignment horizontal="center" vertical="center" shrinkToFit="1"/>
    </xf>
    <xf numFmtId="0" fontId="18" fillId="0" borderId="4" xfId="0" applyFont="1" applyBorder="1" applyAlignment="1">
      <alignment horizontal="center" vertical="center" shrinkToFit="1"/>
    </xf>
    <xf numFmtId="0" fontId="18" fillId="0" borderId="5"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96" xfId="0" applyFont="1" applyBorder="1" applyAlignment="1">
      <alignment horizontal="center" vertical="center" shrinkToFit="1"/>
    </xf>
    <xf numFmtId="0" fontId="18" fillId="0" borderId="48" xfId="0" applyFont="1" applyBorder="1" applyAlignment="1">
      <alignment horizontal="center" vertical="center" shrinkToFit="1"/>
    </xf>
    <xf numFmtId="179" fontId="18" fillId="0" borderId="97" xfId="0" applyNumberFormat="1" applyFont="1" applyBorder="1" applyAlignment="1">
      <alignment horizontal="center" vertical="center" shrinkToFit="1"/>
    </xf>
    <xf numFmtId="179" fontId="18" fillId="0" borderId="98" xfId="0" applyNumberFormat="1" applyFont="1" applyBorder="1" applyAlignment="1">
      <alignment horizontal="center" vertical="center" shrinkToFit="1"/>
    </xf>
    <xf numFmtId="0" fontId="18" fillId="0" borderId="99" xfId="0" applyFont="1" applyBorder="1" applyAlignment="1">
      <alignment horizontal="center" vertical="center" shrinkToFit="1"/>
    </xf>
    <xf numFmtId="0" fontId="18" fillId="0" borderId="100" xfId="0" applyFont="1" applyBorder="1" applyAlignment="1">
      <alignment horizontal="center" vertical="center" shrinkToFit="1"/>
    </xf>
    <xf numFmtId="179" fontId="18" fillId="0" borderId="101" xfId="0" applyNumberFormat="1" applyFont="1" applyBorder="1" applyAlignment="1" applyProtection="1">
      <alignment horizontal="center" vertical="center" shrinkToFit="1"/>
    </xf>
    <xf numFmtId="0" fontId="18" fillId="0" borderId="17" xfId="0" applyFont="1" applyBorder="1" applyAlignment="1" applyProtection="1">
      <alignment horizontal="center" vertical="center" shrinkToFit="1"/>
      <protection locked="0"/>
    </xf>
    <xf numFmtId="178" fontId="18" fillId="0" borderId="64" xfId="0" applyNumberFormat="1" applyFont="1" applyBorder="1" applyAlignment="1" applyProtection="1">
      <alignment horizontal="center" vertical="center" shrinkToFit="1"/>
      <protection locked="0"/>
    </xf>
    <xf numFmtId="178" fontId="18" fillId="0" borderId="39" xfId="0" applyNumberFormat="1" applyFont="1" applyBorder="1" applyAlignment="1" applyProtection="1">
      <alignment horizontal="center" vertical="center" shrinkToFit="1"/>
      <protection locked="0"/>
    </xf>
    <xf numFmtId="0" fontId="18" fillId="0" borderId="102" xfId="0" applyFont="1" applyBorder="1" applyAlignment="1" applyProtection="1">
      <alignment vertical="center" shrinkToFit="1"/>
      <protection locked="0"/>
    </xf>
    <xf numFmtId="0" fontId="18" fillId="0" borderId="49" xfId="0" applyFont="1" applyBorder="1" applyAlignment="1" applyProtection="1">
      <alignment vertical="center" shrinkToFit="1"/>
      <protection locked="0"/>
    </xf>
    <xf numFmtId="0" fontId="18" fillId="0" borderId="103" xfId="0" applyFont="1" applyBorder="1" applyAlignment="1" applyProtection="1">
      <alignment vertical="center" shrinkToFit="1"/>
      <protection locked="0"/>
    </xf>
    <xf numFmtId="0" fontId="18" fillId="0" borderId="49" xfId="0" applyFont="1" applyBorder="1" applyAlignment="1" applyProtection="1">
      <alignment horizontal="center" vertical="center" shrinkToFit="1"/>
      <protection locked="0"/>
    </xf>
    <xf numFmtId="179" fontId="18" fillId="10" borderId="104" xfId="0" applyNumberFormat="1" applyFont="1" applyFill="1" applyBorder="1" applyAlignment="1" applyProtection="1">
      <alignment vertical="center" shrinkToFit="1"/>
      <protection locked="0"/>
    </xf>
    <xf numFmtId="178" fontId="18" fillId="0" borderId="105" xfId="0" applyNumberFormat="1" applyFont="1" applyBorder="1" applyAlignment="1" applyProtection="1">
      <alignment horizontal="center" vertical="center" shrinkToFit="1"/>
      <protection locked="0"/>
    </xf>
    <xf numFmtId="179" fontId="18" fillId="0" borderId="106" xfId="0" applyNumberFormat="1" applyFont="1" applyBorder="1" applyAlignment="1" applyProtection="1">
      <alignment vertical="center" shrinkToFit="1"/>
    </xf>
    <xf numFmtId="0" fontId="18" fillId="0" borderId="18" xfId="0" applyFont="1" applyBorder="1" applyAlignment="1" applyProtection="1">
      <alignment horizontal="center" vertical="center" shrinkToFit="1"/>
      <protection locked="0"/>
    </xf>
    <xf numFmtId="178" fontId="18" fillId="0" borderId="65" xfId="0" applyNumberFormat="1" applyFont="1" applyBorder="1" applyAlignment="1" applyProtection="1">
      <alignment horizontal="center" vertical="center" shrinkToFit="1"/>
      <protection locked="0"/>
    </xf>
    <xf numFmtId="178" fontId="18" fillId="0" borderId="40" xfId="0" applyNumberFormat="1" applyFont="1" applyBorder="1" applyAlignment="1" applyProtection="1">
      <alignment horizontal="center" vertical="center" shrinkToFit="1"/>
      <protection locked="0"/>
    </xf>
    <xf numFmtId="0" fontId="18" fillId="0" borderId="107" xfId="0" applyFont="1" applyBorder="1" applyAlignment="1" applyProtection="1">
      <alignment vertical="center" shrinkToFit="1"/>
      <protection locked="0"/>
    </xf>
    <xf numFmtId="0" fontId="18" fillId="0" borderId="50" xfId="0" applyFont="1" applyBorder="1" applyAlignment="1" applyProtection="1">
      <alignment vertical="center" shrinkToFit="1"/>
      <protection locked="0"/>
    </xf>
    <xf numFmtId="0" fontId="18" fillId="0" borderId="23" xfId="0" applyFont="1" applyBorder="1" applyAlignment="1" applyProtection="1">
      <alignment vertical="center" shrinkToFit="1"/>
      <protection locked="0"/>
    </xf>
    <xf numFmtId="0" fontId="18" fillId="0" borderId="50" xfId="0" applyFont="1" applyBorder="1" applyAlignment="1" applyProtection="1">
      <alignment horizontal="center" vertical="center" shrinkToFit="1"/>
      <protection locked="0"/>
    </xf>
    <xf numFmtId="179" fontId="18" fillId="10" borderId="108" xfId="0" applyNumberFormat="1" applyFont="1" applyFill="1" applyBorder="1" applyAlignment="1" applyProtection="1">
      <alignment vertical="center" shrinkToFit="1"/>
      <protection locked="0"/>
    </xf>
    <xf numFmtId="178" fontId="18" fillId="0" borderId="109" xfId="0" applyNumberFormat="1" applyFont="1" applyBorder="1" applyAlignment="1" applyProtection="1">
      <alignment horizontal="center" vertical="center" shrinkToFit="1"/>
      <protection locked="0"/>
    </xf>
    <xf numFmtId="179" fontId="18" fillId="0" borderId="110" xfId="0" applyNumberFormat="1" applyFont="1" applyBorder="1" applyAlignment="1" applyProtection="1">
      <alignment vertical="center" shrinkToFit="1"/>
    </xf>
    <xf numFmtId="0" fontId="18" fillId="0" borderId="111" xfId="0" applyFont="1" applyBorder="1" applyAlignment="1" applyProtection="1">
      <alignment horizontal="center" vertical="center" shrinkToFit="1"/>
      <protection locked="0"/>
    </xf>
    <xf numFmtId="178" fontId="18" fillId="0" borderId="112" xfId="0" applyNumberFormat="1" applyFont="1" applyBorder="1" applyAlignment="1" applyProtection="1">
      <alignment horizontal="center" vertical="center" shrinkToFit="1"/>
      <protection locked="0"/>
    </xf>
    <xf numFmtId="178" fontId="18" fillId="0" borderId="113" xfId="0" applyNumberFormat="1" applyFont="1" applyBorder="1" applyAlignment="1" applyProtection="1">
      <alignment horizontal="center" vertical="center" shrinkToFit="1"/>
      <protection locked="0"/>
    </xf>
    <xf numFmtId="0" fontId="18" fillId="0" borderId="114" xfId="0" applyFont="1" applyBorder="1" applyAlignment="1" applyProtection="1">
      <alignment vertical="center" shrinkToFit="1"/>
      <protection locked="0"/>
    </xf>
    <xf numFmtId="0" fontId="18" fillId="0" borderId="115" xfId="0" applyFont="1" applyBorder="1" applyAlignment="1" applyProtection="1">
      <alignment vertical="center" shrinkToFit="1"/>
      <protection locked="0"/>
    </xf>
    <xf numFmtId="0" fontId="18" fillId="0" borderId="116" xfId="0" applyFont="1" applyBorder="1" applyAlignment="1" applyProtection="1">
      <alignment vertical="center" shrinkToFit="1"/>
      <protection locked="0"/>
    </xf>
    <xf numFmtId="0" fontId="18" fillId="0" borderId="115" xfId="0" applyFont="1" applyBorder="1" applyAlignment="1" applyProtection="1">
      <alignment horizontal="center" vertical="center" shrinkToFit="1"/>
      <protection locked="0"/>
    </xf>
    <xf numFmtId="179" fontId="18" fillId="10" borderId="98" xfId="0" applyNumberFormat="1" applyFont="1" applyFill="1" applyBorder="1" applyAlignment="1" applyProtection="1">
      <alignment vertical="center" shrinkToFit="1"/>
      <protection locked="0"/>
    </xf>
    <xf numFmtId="178" fontId="18" fillId="0" borderId="117" xfId="0" applyNumberFormat="1" applyFont="1" applyBorder="1" applyAlignment="1" applyProtection="1">
      <alignment horizontal="center" vertical="center" shrinkToFit="1"/>
      <protection locked="0"/>
    </xf>
    <xf numFmtId="179" fontId="18" fillId="0" borderId="101" xfId="0" applyNumberFormat="1" applyFont="1" applyBorder="1" applyAlignment="1" applyProtection="1">
      <alignment vertical="center" shrinkToFit="1"/>
    </xf>
    <xf numFmtId="0" fontId="13" fillId="0" borderId="0" xfId="0" applyFont="1" applyAlignment="1">
      <alignment vertical="center"/>
    </xf>
    <xf numFmtId="0" fontId="28" fillId="0" borderId="11" xfId="0" applyFont="1" applyBorder="1" applyAlignment="1">
      <alignment vertical="center" wrapText="1"/>
    </xf>
    <xf numFmtId="0" fontId="23" fillId="0" borderId="118" xfId="0" applyFont="1" applyBorder="1" applyAlignment="1">
      <alignment horizontal="center" shrinkToFit="1"/>
    </xf>
    <xf numFmtId="0" fontId="23" fillId="0" borderId="119" xfId="0" applyFont="1" applyBorder="1" applyAlignment="1">
      <alignment horizontal="center" shrinkToFit="1"/>
    </xf>
    <xf numFmtId="0" fontId="31" fillId="0" borderId="119" xfId="0" applyNumberFormat="1" applyFont="1" applyBorder="1" applyAlignment="1">
      <alignment horizontal="center"/>
    </xf>
    <xf numFmtId="0" fontId="23" fillId="0" borderId="120" xfId="0" applyFont="1" applyBorder="1" applyAlignment="1">
      <alignment horizontal="center" shrinkToFit="1"/>
    </xf>
    <xf numFmtId="184" fontId="23" fillId="0" borderId="119" xfId="0" applyNumberFormat="1" applyFont="1" applyBorder="1" applyAlignment="1">
      <alignment horizontal="center" shrinkToFit="1"/>
    </xf>
    <xf numFmtId="0" fontId="0" fillId="0" borderId="119" xfId="0" applyBorder="1" applyAlignment="1">
      <alignment horizontal="center" vertical="center" shrinkToFit="1"/>
    </xf>
    <xf numFmtId="0" fontId="23" fillId="0" borderId="119" xfId="0" applyFont="1" applyBorder="1" applyAlignment="1">
      <alignment shrinkToFit="1"/>
    </xf>
    <xf numFmtId="185" fontId="23" fillId="0" borderId="23" xfId="0" quotePrefix="1" applyNumberFormat="1" applyFont="1" applyBorder="1" applyAlignment="1">
      <alignment vertical="center" shrinkToFit="1"/>
    </xf>
    <xf numFmtId="185" fontId="23" fillId="0" borderId="77" xfId="0" applyNumberFormat="1" applyFont="1" applyBorder="1" applyAlignment="1">
      <alignment shrinkToFit="1"/>
    </xf>
    <xf numFmtId="179" fontId="3" fillId="7" borderId="71" xfId="0" applyNumberFormat="1" applyFont="1" applyFill="1" applyBorder="1" applyAlignment="1" applyProtection="1">
      <alignment vertical="center"/>
    </xf>
    <xf numFmtId="179" fontId="3" fillId="7" borderId="72" xfId="0" applyNumberFormat="1" applyFont="1" applyFill="1" applyBorder="1" applyAlignment="1" applyProtection="1">
      <alignment vertical="center"/>
    </xf>
    <xf numFmtId="179" fontId="3" fillId="7" borderId="122" xfId="0" applyNumberFormat="1" applyFont="1" applyFill="1" applyBorder="1" applyAlignment="1" applyProtection="1">
      <alignment vertical="center"/>
    </xf>
    <xf numFmtId="179" fontId="3" fillId="7" borderId="11" xfId="0" applyNumberFormat="1" applyFont="1" applyFill="1" applyBorder="1" applyAlignment="1" applyProtection="1">
      <alignment vertical="center"/>
    </xf>
    <xf numFmtId="0" fontId="18" fillId="0" borderId="124" xfId="0" applyFont="1" applyBorder="1" applyAlignment="1">
      <alignment horizontal="center" vertical="center" shrinkToFit="1"/>
    </xf>
    <xf numFmtId="0" fontId="18" fillId="0" borderId="125" xfId="0" applyFont="1" applyBorder="1" applyAlignment="1" applyProtection="1">
      <alignment horizontal="right" vertical="center" shrinkToFit="1"/>
      <protection locked="0"/>
    </xf>
    <xf numFmtId="179" fontId="18" fillId="11" borderId="126" xfId="0" applyNumberFormat="1" applyFont="1" applyFill="1" applyBorder="1" applyAlignment="1" applyProtection="1">
      <alignment vertical="center" shrinkToFit="1"/>
      <protection locked="0"/>
    </xf>
    <xf numFmtId="0" fontId="18" fillId="0" borderId="1" xfId="0" applyFont="1" applyBorder="1" applyAlignment="1" applyProtection="1">
      <alignment horizontal="center" vertical="center" shrinkToFit="1"/>
      <protection locked="0"/>
    </xf>
    <xf numFmtId="178" fontId="18" fillId="0" borderId="2" xfId="0" applyNumberFormat="1" applyFont="1" applyBorder="1" applyAlignment="1" applyProtection="1">
      <alignment horizontal="center" vertical="center" shrinkToFit="1"/>
      <protection locked="0"/>
    </xf>
    <xf numFmtId="178" fontId="18" fillId="0" borderId="3" xfId="0" applyNumberFormat="1" applyFont="1" applyBorder="1" applyAlignment="1" applyProtection="1">
      <alignment horizontal="center" vertical="center" shrinkToFit="1"/>
      <protection locked="0"/>
    </xf>
    <xf numFmtId="0" fontId="18" fillId="0" borderId="127" xfId="0" applyFont="1" applyBorder="1" applyAlignment="1" applyProtection="1">
      <alignment vertical="center" shrinkToFit="1"/>
      <protection locked="0"/>
    </xf>
    <xf numFmtId="0" fontId="18" fillId="0" borderId="47" xfId="0" applyFont="1" applyBorder="1" applyAlignment="1" applyProtection="1">
      <alignment horizontal="right" vertical="center" shrinkToFit="1"/>
      <protection locked="0"/>
    </xf>
    <xf numFmtId="0" fontId="18" fillId="0" borderId="128" xfId="0" applyFont="1" applyBorder="1" applyAlignment="1" applyProtection="1">
      <alignment horizontal="right" vertical="center" shrinkToFit="1"/>
      <protection locked="0"/>
    </xf>
    <xf numFmtId="0" fontId="18" fillId="0" borderId="129" xfId="0" applyFont="1" applyBorder="1" applyAlignment="1" applyProtection="1">
      <alignment vertical="center" shrinkToFit="1"/>
      <protection locked="0"/>
    </xf>
    <xf numFmtId="0" fontId="18" fillId="0" borderId="47" xfId="0" applyFont="1" applyBorder="1" applyAlignment="1" applyProtection="1">
      <alignment vertical="center" shrinkToFit="1"/>
      <protection locked="0"/>
    </xf>
    <xf numFmtId="0" fontId="18" fillId="0" borderId="130" xfId="0" applyFont="1" applyBorder="1" applyAlignment="1" applyProtection="1">
      <alignment vertical="center" shrinkToFit="1"/>
      <protection locked="0"/>
    </xf>
    <xf numFmtId="0" fontId="18" fillId="0" borderId="128" xfId="0" applyFont="1" applyBorder="1" applyAlignment="1" applyProtection="1">
      <alignment horizontal="center" vertical="center" shrinkToFit="1"/>
      <protection locked="0"/>
    </xf>
    <xf numFmtId="176" fontId="18" fillId="0" borderId="131" xfId="0" applyNumberFormat="1" applyFont="1" applyBorder="1" applyAlignment="1" applyProtection="1">
      <alignment vertical="center" shrinkToFit="1"/>
    </xf>
    <xf numFmtId="0" fontId="18" fillId="0" borderId="132" xfId="0" applyFont="1" applyBorder="1" applyAlignment="1">
      <alignment horizontal="center" vertical="center" shrinkToFit="1"/>
    </xf>
    <xf numFmtId="0" fontId="18" fillId="0" borderId="133" xfId="0" applyFont="1" applyBorder="1" applyAlignment="1">
      <alignment horizontal="center" vertical="center" shrinkToFit="1"/>
    </xf>
    <xf numFmtId="179" fontId="18" fillId="11" borderId="134" xfId="0" applyNumberFormat="1" applyFont="1" applyFill="1" applyBorder="1" applyAlignment="1" applyProtection="1">
      <alignment vertical="center" shrinkToFit="1"/>
      <protection locked="0"/>
    </xf>
    <xf numFmtId="179" fontId="18" fillId="11" borderId="135" xfId="0" applyNumberFormat="1" applyFont="1" applyFill="1" applyBorder="1" applyAlignment="1" applyProtection="1">
      <alignment vertical="center" shrinkToFit="1"/>
      <protection locked="0"/>
    </xf>
    <xf numFmtId="179" fontId="18" fillId="11" borderId="97" xfId="0" applyNumberFormat="1" applyFont="1" applyFill="1" applyBorder="1" applyAlignment="1" applyProtection="1">
      <alignment vertical="center" shrinkToFit="1"/>
      <protection locked="0"/>
    </xf>
    <xf numFmtId="0" fontId="25" fillId="0" borderId="76" xfId="0" applyFont="1" applyBorder="1" applyAlignment="1">
      <alignment horizontal="right" vertical="center" shrinkToFit="1"/>
    </xf>
    <xf numFmtId="0" fontId="23" fillId="0" borderId="136" xfId="0" applyNumberFormat="1" applyFont="1" applyBorder="1" applyAlignment="1">
      <alignment horizontal="center" shrinkToFit="1"/>
    </xf>
    <xf numFmtId="184" fontId="23" fillId="0" borderId="77" xfId="0" quotePrefix="1" applyNumberFormat="1" applyFont="1" applyBorder="1" applyAlignment="1">
      <alignment vertical="center" shrinkToFit="1"/>
    </xf>
    <xf numFmtId="0" fontId="23" fillId="0" borderId="0" xfId="0" applyFont="1" applyAlignment="1">
      <alignment horizontal="center" shrinkToFit="1"/>
    </xf>
    <xf numFmtId="0" fontId="23" fillId="0" borderId="0" xfId="0" applyNumberFormat="1" applyFont="1" applyBorder="1" applyAlignment="1">
      <alignment shrinkToFit="1"/>
    </xf>
    <xf numFmtId="0" fontId="23" fillId="0" borderId="79" xfId="0" applyNumberFormat="1" applyFont="1" applyBorder="1" applyAlignment="1">
      <alignment shrinkToFit="1"/>
    </xf>
    <xf numFmtId="0" fontId="23" fillId="0" borderId="79" xfId="0" applyFont="1" applyBorder="1" applyAlignment="1">
      <alignment shrinkToFit="1"/>
    </xf>
    <xf numFmtId="177" fontId="30" fillId="0" borderId="79" xfId="0" applyNumberFormat="1" applyFont="1" applyBorder="1" applyAlignment="1">
      <alignment shrinkToFit="1"/>
    </xf>
    <xf numFmtId="0" fontId="30" fillId="0" borderId="79" xfId="0" applyFont="1" applyBorder="1" applyAlignment="1"/>
    <xf numFmtId="177" fontId="23" fillId="0" borderId="79" xfId="0" applyNumberFormat="1" applyFont="1" applyBorder="1" applyAlignment="1">
      <alignment shrinkToFit="1"/>
    </xf>
    <xf numFmtId="0" fontId="23" fillId="0" borderId="0" xfId="0" applyFont="1" applyBorder="1" applyAlignment="1">
      <alignment horizontal="center" shrinkToFit="1"/>
    </xf>
    <xf numFmtId="0" fontId="23" fillId="12" borderId="14" xfId="0" applyFont="1" applyFill="1" applyBorder="1" applyAlignment="1">
      <alignment vertical="center" shrinkToFit="1"/>
    </xf>
    <xf numFmtId="0" fontId="23" fillId="12" borderId="15" xfId="0" applyFont="1" applyFill="1" applyBorder="1" applyAlignment="1">
      <alignment vertical="center" shrinkToFit="1"/>
    </xf>
    <xf numFmtId="0" fontId="23" fillId="12" borderId="122" xfId="0" applyFont="1" applyFill="1" applyBorder="1" applyAlignment="1">
      <alignment vertical="center" shrinkToFit="1"/>
    </xf>
    <xf numFmtId="0" fontId="23" fillId="12" borderId="137" xfId="0" applyFont="1" applyFill="1" applyBorder="1" applyAlignment="1">
      <alignment horizontal="center" shrinkToFit="1"/>
    </xf>
    <xf numFmtId="0" fontId="23" fillId="12" borderId="138" xfId="0" applyFont="1" applyFill="1" applyBorder="1" applyAlignment="1">
      <alignment horizontal="center" shrinkToFit="1"/>
    </xf>
    <xf numFmtId="0" fontId="23" fillId="12" borderId="139" xfId="0" applyFont="1" applyFill="1" applyBorder="1" applyAlignment="1">
      <alignment horizontal="center" shrinkToFit="1"/>
    </xf>
    <xf numFmtId="0" fontId="23" fillId="12" borderId="14" xfId="0" applyFont="1" applyFill="1" applyBorder="1" applyAlignment="1">
      <alignment shrinkToFit="1"/>
    </xf>
    <xf numFmtId="0" fontId="23" fillId="12" borderId="15" xfId="0" applyFont="1" applyFill="1" applyBorder="1" applyAlignment="1">
      <alignment shrinkToFit="1"/>
    </xf>
    <xf numFmtId="0" fontId="23" fillId="12" borderId="122" xfId="0" applyFont="1" applyFill="1" applyBorder="1" applyAlignment="1">
      <alignment shrinkToFit="1"/>
    </xf>
    <xf numFmtId="184" fontId="23" fillId="12" borderId="86" xfId="0" applyNumberFormat="1" applyFont="1" applyFill="1" applyBorder="1" applyAlignment="1">
      <alignment vertical="center" shrinkToFit="1"/>
    </xf>
    <xf numFmtId="184" fontId="23" fillId="12" borderId="87" xfId="0" applyNumberFormat="1" applyFont="1" applyFill="1" applyBorder="1" applyAlignment="1">
      <alignment vertical="center" shrinkToFit="1"/>
    </xf>
    <xf numFmtId="184" fontId="23" fillId="12" borderId="91" xfId="0" applyNumberFormat="1" applyFont="1" applyFill="1" applyBorder="1" applyAlignment="1">
      <alignment vertical="center" shrinkToFit="1"/>
    </xf>
    <xf numFmtId="184" fontId="23" fillId="12" borderId="24" xfId="0" applyNumberFormat="1" applyFont="1" applyFill="1" applyBorder="1" applyAlignment="1">
      <alignment vertical="center" shrinkToFit="1"/>
    </xf>
    <xf numFmtId="184" fontId="23" fillId="12" borderId="23" xfId="0" applyNumberFormat="1" applyFont="1" applyFill="1" applyBorder="1" applyAlignment="1">
      <alignment vertical="center" shrinkToFit="1"/>
    </xf>
    <xf numFmtId="184" fontId="23" fillId="12" borderId="31" xfId="0" applyNumberFormat="1" applyFont="1" applyFill="1" applyBorder="1" applyAlignment="1">
      <alignment vertical="center" shrinkToFit="1"/>
    </xf>
    <xf numFmtId="184" fontId="23" fillId="12" borderId="77" xfId="0" applyNumberFormat="1" applyFont="1" applyFill="1" applyBorder="1" applyAlignment="1">
      <alignment vertical="center" shrinkToFit="1"/>
    </xf>
    <xf numFmtId="184" fontId="23" fillId="12" borderId="90" xfId="0" applyNumberFormat="1" applyFont="1" applyFill="1" applyBorder="1" applyAlignment="1">
      <alignment vertical="center" shrinkToFit="1"/>
    </xf>
    <xf numFmtId="184" fontId="23" fillId="0" borderId="0" xfId="0" applyNumberFormat="1" applyFont="1" applyFill="1" applyBorder="1" applyAlignment="1">
      <alignment vertical="center" shrinkToFit="1"/>
    </xf>
    <xf numFmtId="0" fontId="28" fillId="0" borderId="72" xfId="0" applyFont="1" applyBorder="1" applyAlignment="1">
      <alignment vertical="center" wrapText="1"/>
    </xf>
    <xf numFmtId="0" fontId="0" fillId="13" borderId="0" xfId="0" applyFill="1"/>
    <xf numFmtId="14" fontId="17" fillId="0" borderId="0" xfId="0" applyNumberFormat="1" applyFont="1" applyBorder="1" applyAlignment="1" applyProtection="1">
      <alignment horizontal="left" vertical="center" shrinkToFit="1"/>
      <protection locked="0"/>
    </xf>
    <xf numFmtId="0" fontId="28" fillId="0" borderId="11" xfId="0" applyFont="1" applyBorder="1" applyAlignment="1">
      <alignment horizontal="center" vertical="center" wrapText="1"/>
    </xf>
    <xf numFmtId="0" fontId="28" fillId="0" borderId="162" xfId="0" applyFont="1" applyBorder="1" applyAlignment="1">
      <alignment horizontal="center" vertical="center" wrapText="1"/>
    </xf>
    <xf numFmtId="0" fontId="3" fillId="0" borderId="122" xfId="0" applyFont="1" applyBorder="1" applyAlignment="1">
      <alignment horizontal="center" vertical="center"/>
    </xf>
    <xf numFmtId="0" fontId="3" fillId="0" borderId="162" xfId="0" applyFont="1" applyBorder="1" applyAlignment="1">
      <alignment vertical="center" shrinkToFit="1"/>
    </xf>
    <xf numFmtId="0" fontId="3" fillId="0" borderId="122" xfId="0" applyFont="1" applyBorder="1" applyAlignment="1">
      <alignment vertical="center" shrinkToFit="1"/>
    </xf>
    <xf numFmtId="0" fontId="3" fillId="0" borderId="11" xfId="0" applyFont="1" applyBorder="1" applyAlignment="1">
      <alignment vertical="center"/>
    </xf>
    <xf numFmtId="0" fontId="23" fillId="0" borderId="157" xfId="0" applyFont="1" applyBorder="1" applyAlignment="1">
      <alignment shrinkToFit="1"/>
    </xf>
    <xf numFmtId="0" fontId="23" fillId="0" borderId="157" xfId="0" applyFont="1" applyBorder="1" applyAlignment="1">
      <alignment horizontal="center" shrinkToFit="1"/>
    </xf>
    <xf numFmtId="0" fontId="23" fillId="0" borderId="121" xfId="0" applyFont="1" applyBorder="1" applyAlignment="1">
      <alignment horizontal="center" shrinkToFit="1"/>
    </xf>
    <xf numFmtId="0" fontId="23" fillId="0" borderId="163" xfId="0" applyFont="1" applyBorder="1" applyAlignment="1">
      <alignment horizontal="center" shrinkToFit="1"/>
    </xf>
    <xf numFmtId="0" fontId="23" fillId="0" borderId="164" xfId="0" applyFont="1" applyBorder="1" applyAlignment="1">
      <alignment horizontal="center" shrinkToFit="1"/>
    </xf>
    <xf numFmtId="0" fontId="23" fillId="0" borderId="91" xfId="0" applyFont="1" applyBorder="1" applyAlignment="1">
      <alignment shrinkToFit="1"/>
    </xf>
    <xf numFmtId="0" fontId="23" fillId="0" borderId="165" xfId="0" applyFont="1" applyBorder="1" applyAlignment="1">
      <alignment shrinkToFit="1"/>
    </xf>
    <xf numFmtId="0" fontId="23" fillId="0" borderId="88" xfId="0" applyFont="1" applyBorder="1" applyAlignment="1">
      <alignment horizontal="center" shrinkToFit="1"/>
    </xf>
    <xf numFmtId="184" fontId="23" fillId="0" borderId="78" xfId="0" applyNumberFormat="1" applyFont="1" applyBorder="1" applyAlignment="1">
      <alignment vertical="center" shrinkToFit="1"/>
    </xf>
    <xf numFmtId="185" fontId="23" fillId="0" borderId="50" xfId="0" applyNumberFormat="1" applyFont="1" applyBorder="1" applyAlignment="1">
      <alignment vertical="center" shrinkToFit="1"/>
    </xf>
    <xf numFmtId="185" fontId="23" fillId="0" borderId="78" xfId="0" applyNumberFormat="1" applyFont="1" applyBorder="1" applyAlignment="1">
      <alignment shrinkToFit="1"/>
    </xf>
    <xf numFmtId="184" fontId="23" fillId="0" borderId="166" xfId="0" applyNumberFormat="1" applyFont="1" applyBorder="1" applyAlignment="1">
      <alignment vertical="center" shrinkToFit="1"/>
    </xf>
    <xf numFmtId="185" fontId="23" fillId="0" borderId="167" xfId="0" applyNumberFormat="1" applyFont="1" applyBorder="1" applyAlignment="1">
      <alignment vertical="center" shrinkToFit="1"/>
    </xf>
    <xf numFmtId="185" fontId="23" fillId="0" borderId="168" xfId="0" applyNumberFormat="1" applyFont="1" applyBorder="1" applyAlignment="1">
      <alignment shrinkToFit="1"/>
    </xf>
    <xf numFmtId="185" fontId="23" fillId="0" borderId="85" xfId="0" applyNumberFormat="1" applyFont="1" applyBorder="1" applyAlignment="1">
      <alignment shrinkToFit="1"/>
    </xf>
    <xf numFmtId="0" fontId="23" fillId="0" borderId="169" xfId="0" applyFont="1" applyBorder="1" applyAlignment="1">
      <alignment vertical="center" shrinkToFit="1"/>
    </xf>
    <xf numFmtId="0" fontId="23" fillId="0" borderId="92" xfId="0" applyFont="1" applyBorder="1" applyAlignment="1">
      <alignment shrinkToFit="1"/>
    </xf>
    <xf numFmtId="0" fontId="23" fillId="0" borderId="31" xfId="0" applyFont="1" applyBorder="1" applyAlignment="1">
      <alignment vertical="center" shrinkToFit="1"/>
    </xf>
    <xf numFmtId="0" fontId="23" fillId="0" borderId="152" xfId="0" applyNumberFormat="1" applyFont="1" applyBorder="1" applyAlignment="1">
      <alignment shrinkToFit="1"/>
    </xf>
    <xf numFmtId="0" fontId="23" fillId="0" borderId="149" xfId="0" quotePrefix="1" applyNumberFormat="1" applyFont="1" applyBorder="1" applyAlignment="1">
      <alignment vertical="center" shrinkToFit="1"/>
    </xf>
    <xf numFmtId="183" fontId="23" fillId="0" borderId="79" xfId="0" applyNumberFormat="1" applyFont="1" applyBorder="1" applyAlignment="1">
      <alignment shrinkToFit="1"/>
    </xf>
    <xf numFmtId="0" fontId="23" fillId="0" borderId="31" xfId="0" applyNumberFormat="1" applyFont="1" applyBorder="1" applyAlignment="1">
      <alignment shrinkToFit="1"/>
    </xf>
    <xf numFmtId="0" fontId="23" fillId="0" borderId="170" xfId="0" applyNumberFormat="1" applyFont="1" applyBorder="1" applyAlignment="1">
      <alignment shrinkToFit="1"/>
    </xf>
    <xf numFmtId="0" fontId="23" fillId="0" borderId="90" xfId="0" quotePrefix="1" applyNumberFormat="1" applyFont="1" applyBorder="1" applyAlignment="1">
      <alignment vertical="center" shrinkToFit="1"/>
    </xf>
    <xf numFmtId="183" fontId="23" fillId="0" borderId="91" xfId="0" quotePrefix="1" applyNumberFormat="1" applyFont="1" applyBorder="1" applyAlignment="1">
      <alignment vertical="center" shrinkToFit="1"/>
    </xf>
    <xf numFmtId="183" fontId="23" fillId="0" borderId="31" xfId="0" quotePrefix="1" applyNumberFormat="1" applyFont="1" applyBorder="1" applyAlignment="1">
      <alignment vertical="center" shrinkToFit="1"/>
    </xf>
    <xf numFmtId="183" fontId="23" fillId="0" borderId="92" xfId="0" applyNumberFormat="1" applyFont="1" applyBorder="1" applyAlignment="1">
      <alignment shrinkToFit="1"/>
    </xf>
    <xf numFmtId="179" fontId="3" fillId="7" borderId="14" xfId="0" applyNumberFormat="1" applyFont="1" applyFill="1" applyBorder="1" applyAlignment="1" applyProtection="1">
      <alignment vertical="center"/>
    </xf>
    <xf numFmtId="0" fontId="3" fillId="0" borderId="171" xfId="0" quotePrefix="1" applyFont="1" applyBorder="1" applyAlignment="1" applyProtection="1">
      <alignment horizontal="right" vertical="center"/>
      <protection locked="0"/>
    </xf>
    <xf numFmtId="0" fontId="3" fillId="0" borderId="0" xfId="0" applyFont="1" applyBorder="1" applyAlignment="1" applyProtection="1">
      <alignment vertical="center" wrapText="1"/>
      <protection locked="0"/>
    </xf>
    <xf numFmtId="186" fontId="3" fillId="0" borderId="0" xfId="0" applyNumberFormat="1" applyFont="1" applyBorder="1" applyAlignment="1" applyProtection="1">
      <alignment vertical="center" shrinkToFit="1"/>
      <protection locked="0"/>
    </xf>
    <xf numFmtId="0" fontId="3" fillId="0" borderId="0" xfId="0" applyFont="1" applyBorder="1" applyAlignment="1" applyProtection="1">
      <alignment horizontal="center" vertical="center"/>
      <protection locked="0"/>
    </xf>
    <xf numFmtId="177" fontId="3" fillId="0" borderId="0" xfId="0" applyNumberFormat="1" applyFont="1" applyBorder="1" applyAlignment="1" applyProtection="1">
      <alignment vertical="center" shrinkToFit="1"/>
      <protection locked="0"/>
    </xf>
    <xf numFmtId="0" fontId="3" fillId="0" borderId="172" xfId="0" applyFont="1" applyBorder="1" applyAlignment="1" applyProtection="1">
      <alignment vertical="center"/>
      <protection locked="0"/>
    </xf>
    <xf numFmtId="0" fontId="3" fillId="0" borderId="171" xfId="0" applyFont="1" applyBorder="1" applyAlignment="1" applyProtection="1">
      <alignment horizontal="right" vertical="center"/>
      <protection locked="0"/>
    </xf>
    <xf numFmtId="0" fontId="22" fillId="0" borderId="0" xfId="0" applyFont="1" applyBorder="1" applyAlignment="1" applyProtection="1">
      <alignment vertical="center"/>
      <protection locked="0"/>
    </xf>
    <xf numFmtId="0" fontId="0" fillId="0" borderId="172" xfId="0" applyFont="1" applyBorder="1" applyAlignment="1">
      <alignment vertical="center"/>
    </xf>
    <xf numFmtId="0" fontId="0" fillId="0" borderId="172" xfId="0" applyFont="1" applyBorder="1" applyAlignment="1">
      <alignment vertical="center" wrapText="1"/>
    </xf>
    <xf numFmtId="9" fontId="3" fillId="0" borderId="0" xfId="0" quotePrefix="1" applyNumberFormat="1" applyFont="1" applyBorder="1" applyAlignment="1" applyProtection="1">
      <alignment horizontal="center" vertical="center"/>
      <protection locked="0"/>
    </xf>
    <xf numFmtId="0" fontId="22" fillId="0" borderId="172" xfId="0" applyFont="1" applyBorder="1" applyAlignment="1" applyProtection="1">
      <alignment vertical="center"/>
      <protection locked="0"/>
    </xf>
    <xf numFmtId="0" fontId="3" fillId="0" borderId="173" xfId="0" applyFont="1" applyBorder="1" applyAlignment="1" applyProtection="1">
      <alignment vertical="center"/>
      <protection locked="0"/>
    </xf>
    <xf numFmtId="0" fontId="22" fillId="0" borderId="141" xfId="0" applyFont="1" applyBorder="1" applyAlignment="1" applyProtection="1">
      <alignment vertical="center"/>
      <protection locked="0"/>
    </xf>
    <xf numFmtId="0" fontId="3" fillId="0" borderId="141" xfId="0" applyFont="1" applyBorder="1" applyAlignment="1" applyProtection="1">
      <alignment horizontal="right" vertical="center" wrapText="1"/>
      <protection locked="0"/>
    </xf>
    <xf numFmtId="186" fontId="3" fillId="0" borderId="141" xfId="0" applyNumberFormat="1" applyFont="1" applyBorder="1" applyAlignment="1" applyProtection="1">
      <alignment vertical="center" shrinkToFit="1"/>
      <protection locked="0"/>
    </xf>
    <xf numFmtId="0" fontId="3" fillId="0" borderId="141" xfId="0" applyFont="1" applyBorder="1" applyAlignment="1" applyProtection="1">
      <alignment horizontal="center" vertical="center"/>
      <protection locked="0"/>
    </xf>
    <xf numFmtId="177" fontId="3" fillId="0" borderId="141" xfId="0" applyNumberFormat="1" applyFont="1" applyBorder="1" applyAlignment="1" applyProtection="1">
      <alignment vertical="center" shrinkToFit="1"/>
      <protection locked="0"/>
    </xf>
    <xf numFmtId="0" fontId="3" fillId="0" borderId="141" xfId="0" applyFont="1" applyBorder="1" applyAlignment="1" applyProtection="1">
      <alignment vertical="center"/>
      <protection locked="0"/>
    </xf>
    <xf numFmtId="179" fontId="18" fillId="0" borderId="28" xfId="0" applyNumberFormat="1" applyFont="1" applyBorder="1" applyAlignment="1" applyProtection="1">
      <alignment vertical="center" shrinkToFit="1"/>
      <protection locked="0"/>
    </xf>
    <xf numFmtId="179" fontId="18" fillId="0" borderId="29" xfId="0" applyNumberFormat="1" applyFont="1" applyBorder="1" applyAlignment="1">
      <alignment vertical="center" shrinkToFit="1"/>
    </xf>
    <xf numFmtId="179" fontId="18" fillId="0" borderId="30" xfId="0" applyNumberFormat="1" applyFont="1" applyBorder="1" applyAlignment="1" applyProtection="1">
      <alignment vertical="center" shrinkToFit="1"/>
      <protection locked="0"/>
    </xf>
    <xf numFmtId="179" fontId="18" fillId="0" borderId="31" xfId="0" applyNumberFormat="1" applyFont="1" applyBorder="1" applyAlignment="1">
      <alignment vertical="center" shrinkToFit="1"/>
    </xf>
    <xf numFmtId="179" fontId="18" fillId="0" borderId="32" xfId="0" applyNumberFormat="1" applyFont="1" applyBorder="1" applyAlignment="1" applyProtection="1">
      <alignment vertical="center" shrinkToFit="1"/>
      <protection locked="0"/>
    </xf>
    <xf numFmtId="179" fontId="18" fillId="0" borderId="33" xfId="0" applyNumberFormat="1" applyFont="1" applyBorder="1" applyAlignment="1">
      <alignment vertical="center" shrinkToFit="1"/>
    </xf>
    <xf numFmtId="179" fontId="18" fillId="0" borderId="34" xfId="0" applyNumberFormat="1" applyFont="1" applyBorder="1" applyAlignment="1">
      <alignment vertical="center" shrinkToFit="1"/>
    </xf>
    <xf numFmtId="179" fontId="18" fillId="0" borderId="35" xfId="0" applyNumberFormat="1" applyFont="1" applyBorder="1" applyAlignment="1">
      <alignment vertical="center" shrinkToFit="1"/>
    </xf>
    <xf numFmtId="179" fontId="18" fillId="0" borderId="22" xfId="0" applyNumberFormat="1" applyFont="1" applyBorder="1" applyAlignment="1" applyProtection="1">
      <alignment vertical="center" shrinkToFit="1"/>
      <protection locked="0"/>
    </xf>
    <xf numFmtId="179" fontId="18" fillId="0" borderId="24" xfId="0" applyNumberFormat="1" applyFont="1" applyBorder="1" applyAlignment="1" applyProtection="1">
      <alignment vertical="center" shrinkToFit="1"/>
      <protection locked="0"/>
    </xf>
    <xf numFmtId="179" fontId="18" fillId="0" borderId="25" xfId="0" applyNumberFormat="1" applyFont="1" applyBorder="1" applyAlignment="1" applyProtection="1">
      <alignment vertical="center" shrinkToFit="1"/>
      <protection locked="0"/>
    </xf>
    <xf numFmtId="179" fontId="18" fillId="0" borderId="37" xfId="0" applyNumberFormat="1" applyFont="1" applyBorder="1" applyAlignment="1">
      <alignment vertical="center" shrinkToFit="1"/>
    </xf>
    <xf numFmtId="179" fontId="18" fillId="0" borderId="52" xfId="0" applyNumberFormat="1" applyFont="1" applyBorder="1" applyAlignment="1">
      <alignment vertical="center" shrinkToFit="1"/>
    </xf>
    <xf numFmtId="179" fontId="18" fillId="0" borderId="53" xfId="0" applyNumberFormat="1" applyFont="1" applyBorder="1" applyAlignment="1">
      <alignment vertical="center" shrinkToFit="1"/>
    </xf>
    <xf numFmtId="179" fontId="18" fillId="0" borderId="54" xfId="0" applyNumberFormat="1" applyFont="1" applyBorder="1" applyAlignment="1">
      <alignment vertical="center" shrinkToFit="1"/>
    </xf>
    <xf numFmtId="179" fontId="18" fillId="0" borderId="55" xfId="0" applyNumberFormat="1" applyFont="1" applyBorder="1" applyAlignment="1">
      <alignment vertical="center" shrinkToFit="1"/>
    </xf>
    <xf numFmtId="179" fontId="18" fillId="0" borderId="57" xfId="0" applyNumberFormat="1" applyFont="1" applyBorder="1" applyAlignment="1">
      <alignment vertical="center" shrinkToFit="1"/>
    </xf>
    <xf numFmtId="179" fontId="18" fillId="0" borderId="58" xfId="0" applyNumberFormat="1" applyFont="1" applyBorder="1" applyAlignment="1">
      <alignment vertical="center" shrinkToFit="1"/>
    </xf>
    <xf numFmtId="179" fontId="18" fillId="0" borderId="59" xfId="0" applyNumberFormat="1" applyFont="1" applyBorder="1" applyAlignment="1">
      <alignment vertical="center" shrinkToFit="1"/>
    </xf>
    <xf numFmtId="179" fontId="18" fillId="0" borderId="34" xfId="0" applyNumberFormat="1" applyFont="1" applyBorder="1" applyAlignment="1">
      <alignment horizontal="right" vertical="center" shrinkToFit="1"/>
    </xf>
    <xf numFmtId="179" fontId="18" fillId="0" borderId="60" xfId="0" applyNumberFormat="1" applyFont="1" applyBorder="1" applyAlignment="1">
      <alignment vertical="center" shrinkToFit="1"/>
    </xf>
    <xf numFmtId="0" fontId="18" fillId="0" borderId="39" xfId="0" applyFont="1" applyBorder="1" applyAlignment="1" applyProtection="1">
      <alignment vertical="center" shrinkToFit="1"/>
      <protection locked="0"/>
    </xf>
    <xf numFmtId="0" fontId="18" fillId="0" borderId="40" xfId="0" applyFont="1" applyBorder="1" applyAlignment="1" applyProtection="1">
      <alignment vertical="center" shrinkToFit="1"/>
      <protection locked="0"/>
    </xf>
    <xf numFmtId="0" fontId="32" fillId="0" borderId="40" xfId="0" applyFont="1" applyBorder="1" applyAlignment="1" applyProtection="1">
      <alignment vertical="center" shrinkToFit="1"/>
      <protection locked="0"/>
    </xf>
    <xf numFmtId="0" fontId="18" fillId="0" borderId="41" xfId="0" applyFont="1" applyBorder="1" applyAlignment="1" applyProtection="1">
      <alignment vertical="center" shrinkToFit="1"/>
      <protection locked="0"/>
    </xf>
    <xf numFmtId="0" fontId="18" fillId="0" borderId="51" xfId="0" applyFont="1" applyBorder="1" applyAlignment="1" applyProtection="1">
      <alignment vertical="center" shrinkToFit="1"/>
      <protection locked="0"/>
    </xf>
    <xf numFmtId="0" fontId="26" fillId="13" borderId="12" xfId="0" applyFont="1" applyFill="1" applyBorder="1" applyProtection="1">
      <protection locked="0"/>
    </xf>
    <xf numFmtId="0" fontId="13" fillId="0" borderId="0" xfId="0" applyFont="1" applyFill="1" applyBorder="1" applyAlignment="1" applyProtection="1">
      <alignment vertical="center"/>
      <protection locked="0"/>
    </xf>
    <xf numFmtId="0" fontId="37" fillId="16" borderId="11" xfId="0" applyFont="1" applyFill="1" applyBorder="1" applyAlignment="1">
      <alignment horizontal="center" vertical="center" shrinkToFit="1"/>
    </xf>
    <xf numFmtId="0" fontId="3" fillId="0" borderId="0" xfId="0" applyFont="1" applyAlignment="1">
      <alignment horizontal="left" vertical="center"/>
    </xf>
    <xf numFmtId="0" fontId="8" fillId="0" borderId="0" xfId="0" applyFont="1" applyFill="1" applyBorder="1" applyAlignment="1" applyProtection="1">
      <alignment vertical="center"/>
    </xf>
    <xf numFmtId="0" fontId="8" fillId="0" borderId="0" xfId="0" applyFont="1" applyFill="1" applyBorder="1" applyAlignment="1" applyProtection="1">
      <alignment vertical="center" wrapText="1"/>
    </xf>
    <xf numFmtId="0" fontId="8" fillId="0" borderId="0" xfId="0" applyFont="1" applyFill="1" applyBorder="1" applyAlignment="1" applyProtection="1">
      <alignment horizontal="center" vertical="center"/>
    </xf>
    <xf numFmtId="177" fontId="8" fillId="0" borderId="0" xfId="0" applyNumberFormat="1" applyFont="1" applyFill="1" applyBorder="1" applyAlignment="1" applyProtection="1">
      <alignment vertical="center" shrinkToFit="1"/>
    </xf>
    <xf numFmtId="0" fontId="9" fillId="0" borderId="0" xfId="0" applyFont="1" applyFill="1" applyBorder="1" applyAlignment="1" applyProtection="1">
      <alignment horizontal="right" vertical="center"/>
    </xf>
    <xf numFmtId="0" fontId="9" fillId="0" borderId="0" xfId="0" applyFont="1" applyFill="1" applyBorder="1" applyAlignment="1" applyProtection="1">
      <alignment vertical="center"/>
      <protection locked="0"/>
    </xf>
    <xf numFmtId="0" fontId="9" fillId="0" borderId="0" xfId="0" applyFont="1" applyFill="1" applyBorder="1" applyAlignment="1" applyProtection="1">
      <alignment vertical="center"/>
    </xf>
    <xf numFmtId="187" fontId="9"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xf>
    <xf numFmtId="0" fontId="5" fillId="0" borderId="0" xfId="0" applyFont="1" applyFill="1" applyBorder="1" applyAlignment="1" applyProtection="1">
      <alignment vertical="center" wrapText="1"/>
    </xf>
    <xf numFmtId="177" fontId="5" fillId="0" borderId="0" xfId="0" applyNumberFormat="1" applyFont="1" applyFill="1" applyBorder="1" applyAlignment="1" applyProtection="1">
      <alignment vertical="center" shrinkToFit="1"/>
    </xf>
    <xf numFmtId="177" fontId="17" fillId="0" borderId="0" xfId="0" applyNumberFormat="1" applyFont="1" applyFill="1" applyBorder="1" applyAlignment="1" applyProtection="1">
      <alignment horizontal="right" vertical="center" shrinkToFit="1"/>
    </xf>
    <xf numFmtId="0" fontId="13" fillId="14" borderId="38" xfId="0" applyFont="1" applyFill="1" applyBorder="1" applyAlignment="1" applyProtection="1">
      <alignment horizontal="center" vertical="center" wrapText="1"/>
    </xf>
    <xf numFmtId="0" fontId="3" fillId="0" borderId="0" xfId="0" applyFont="1" applyFill="1" applyAlignment="1">
      <alignment vertical="center"/>
    </xf>
    <xf numFmtId="0" fontId="3" fillId="0" borderId="0" xfId="0" applyFont="1" applyFill="1" applyAlignment="1">
      <alignment horizontal="left" vertical="center"/>
    </xf>
    <xf numFmtId="0" fontId="11" fillId="18" borderId="0" xfId="0" applyFont="1" applyFill="1" applyBorder="1" applyAlignment="1">
      <alignment horizontal="center"/>
    </xf>
    <xf numFmtId="0" fontId="38" fillId="18" borderId="79" xfId="0" applyFont="1" applyFill="1" applyBorder="1" applyAlignment="1">
      <alignment horizontal="right"/>
    </xf>
    <xf numFmtId="0" fontId="38" fillId="18" borderId="178" xfId="0" applyFont="1" applyFill="1" applyBorder="1" applyAlignment="1">
      <alignment horizontal="right"/>
    </xf>
    <xf numFmtId="0" fontId="11" fillId="18" borderId="0" xfId="0" applyFont="1" applyFill="1" applyBorder="1" applyAlignment="1">
      <alignment horizontal="left"/>
    </xf>
    <xf numFmtId="0" fontId="40" fillId="18" borderId="0" xfId="0" applyFont="1" applyFill="1"/>
    <xf numFmtId="0" fontId="41" fillId="18" borderId="0" xfId="0" applyFont="1" applyFill="1"/>
    <xf numFmtId="0" fontId="41" fillId="18" borderId="0" xfId="0" applyFont="1" applyFill="1" applyAlignment="1">
      <alignment horizontal="center"/>
    </xf>
    <xf numFmtId="0" fontId="36" fillId="18" borderId="180" xfId="0" applyFont="1" applyFill="1" applyBorder="1" applyAlignment="1">
      <alignment horizontal="left" vertical="center"/>
    </xf>
    <xf numFmtId="0" fontId="38" fillId="18" borderId="15" xfId="0" applyFont="1" applyFill="1" applyBorder="1" applyAlignment="1">
      <alignment horizontal="right"/>
    </xf>
    <xf numFmtId="0" fontId="38" fillId="18" borderId="138" xfId="0" applyFont="1" applyFill="1" applyBorder="1" applyAlignment="1">
      <alignment horizontal="right"/>
    </xf>
    <xf numFmtId="0" fontId="36" fillId="18" borderId="165" xfId="0" applyFont="1" applyFill="1" applyBorder="1" applyAlignment="1"/>
    <xf numFmtId="0" fontId="36" fillId="18" borderId="190" xfId="0" applyFont="1" applyFill="1" applyBorder="1" applyAlignment="1"/>
    <xf numFmtId="0" fontId="3" fillId="18" borderId="165" xfId="0" applyFont="1" applyFill="1" applyBorder="1" applyAlignment="1"/>
    <xf numFmtId="0" fontId="3" fillId="18" borderId="79" xfId="0" applyFont="1" applyFill="1" applyBorder="1" applyAlignment="1">
      <alignment horizontal="left" vertical="center"/>
    </xf>
    <xf numFmtId="0" fontId="13" fillId="18" borderId="0" xfId="0" applyFont="1" applyFill="1" applyBorder="1" applyAlignment="1">
      <alignment horizontal="right"/>
    </xf>
    <xf numFmtId="0" fontId="13" fillId="18" borderId="0" xfId="0" applyFont="1" applyFill="1" applyBorder="1" applyAlignment="1">
      <alignment horizontal="center"/>
    </xf>
    <xf numFmtId="0" fontId="11" fillId="18" borderId="0" xfId="0" applyFont="1" applyFill="1" applyBorder="1" applyAlignment="1">
      <alignment horizontal="right"/>
    </xf>
    <xf numFmtId="0" fontId="3" fillId="18" borderId="0" xfId="0" applyFont="1" applyFill="1" applyBorder="1" applyAlignment="1"/>
    <xf numFmtId="0" fontId="13" fillId="18" borderId="79" xfId="0" applyFont="1" applyFill="1" applyBorder="1" applyAlignment="1">
      <alignment horizontal="right"/>
    </xf>
    <xf numFmtId="0" fontId="33" fillId="18" borderId="0" xfId="0" applyFont="1" applyFill="1" applyBorder="1" applyAlignment="1"/>
    <xf numFmtId="0" fontId="3" fillId="18" borderId="179" xfId="0" applyFont="1" applyFill="1" applyBorder="1" applyAlignment="1">
      <alignment horizontal="right"/>
    </xf>
    <xf numFmtId="0" fontId="3" fillId="18" borderId="0" xfId="0" applyFont="1" applyFill="1" applyBorder="1" applyAlignment="1">
      <alignment horizontal="right"/>
    </xf>
    <xf numFmtId="0" fontId="38" fillId="18" borderId="180" xfId="0" applyFont="1" applyFill="1" applyBorder="1" applyAlignment="1">
      <alignment horizontal="right"/>
    </xf>
    <xf numFmtId="0" fontId="3" fillId="18" borderId="81" xfId="0" applyFont="1" applyFill="1" applyBorder="1" applyAlignment="1">
      <alignment horizontal="center"/>
    </xf>
    <xf numFmtId="0" fontId="38" fillId="18" borderId="0" xfId="0" applyFont="1" applyFill="1" applyBorder="1" applyAlignment="1"/>
    <xf numFmtId="0" fontId="33" fillId="18" borderId="15" xfId="0" applyFont="1" applyFill="1" applyBorder="1" applyAlignment="1">
      <alignment horizontal="distributed"/>
    </xf>
    <xf numFmtId="0" fontId="3" fillId="18" borderId="15" xfId="0" applyFont="1" applyFill="1" applyBorder="1" applyAlignment="1">
      <alignment horizontal="center"/>
    </xf>
    <xf numFmtId="0" fontId="33" fillId="18" borderId="15" xfId="0" applyFont="1" applyFill="1" applyBorder="1" applyAlignment="1">
      <alignment horizontal="right"/>
    </xf>
    <xf numFmtId="0" fontId="36" fillId="18" borderId="177" xfId="0" applyFont="1" applyFill="1" applyBorder="1" applyAlignment="1">
      <alignment horizontal="left"/>
    </xf>
    <xf numFmtId="0" fontId="33" fillId="18" borderId="178" xfId="0" applyFont="1" applyFill="1" applyBorder="1" applyAlignment="1">
      <alignment horizontal="distributed"/>
    </xf>
    <xf numFmtId="0" fontId="3" fillId="18" borderId="181" xfId="0" applyFont="1" applyFill="1" applyBorder="1" applyAlignment="1">
      <alignment horizontal="center"/>
    </xf>
    <xf numFmtId="0" fontId="0" fillId="18" borderId="81" xfId="0" applyFont="1" applyFill="1" applyBorder="1" applyAlignment="1">
      <alignment horizontal="center"/>
    </xf>
    <xf numFmtId="0" fontId="3" fillId="18" borderId="0" xfId="0" applyFont="1" applyFill="1" applyBorder="1" applyAlignment="1">
      <alignment horizontal="left"/>
    </xf>
    <xf numFmtId="0" fontId="3" fillId="18" borderId="182" xfId="0" applyFont="1" applyFill="1" applyBorder="1" applyAlignment="1">
      <alignment horizontal="left"/>
    </xf>
    <xf numFmtId="0" fontId="3" fillId="18" borderId="74" xfId="0" applyFont="1" applyFill="1" applyBorder="1" applyAlignment="1">
      <alignment horizontal="left" shrinkToFit="1"/>
    </xf>
    <xf numFmtId="38" fontId="13" fillId="18" borderId="74" xfId="0" applyNumberFormat="1" applyFont="1" applyFill="1" applyBorder="1" applyAlignment="1">
      <alignment horizontal="right"/>
    </xf>
    <xf numFmtId="0" fontId="3" fillId="18" borderId="14" xfId="0" applyFont="1" applyFill="1" applyBorder="1" applyAlignment="1">
      <alignment horizontal="right"/>
    </xf>
    <xf numFmtId="0" fontId="3" fillId="18" borderId="15" xfId="0" applyFont="1" applyFill="1" applyBorder="1" applyAlignment="1">
      <alignment horizontal="left"/>
    </xf>
    <xf numFmtId="0" fontId="3" fillId="18" borderId="138" xfId="0" applyFont="1" applyFill="1" applyBorder="1" applyAlignment="1">
      <alignment horizontal="right"/>
    </xf>
    <xf numFmtId="38" fontId="13" fillId="18" borderId="138" xfId="0" applyNumberFormat="1" applyFont="1" applyFill="1" applyBorder="1" applyAlignment="1">
      <alignment horizontal="right"/>
    </xf>
    <xf numFmtId="0" fontId="3" fillId="18" borderId="74" xfId="0" applyFont="1" applyFill="1" applyBorder="1" applyAlignment="1">
      <alignment horizontal="left"/>
    </xf>
    <xf numFmtId="0" fontId="3" fillId="0" borderId="0" xfId="0" applyFont="1" applyFill="1" applyBorder="1" applyAlignment="1"/>
    <xf numFmtId="0" fontId="3" fillId="18" borderId="187" xfId="0" applyFont="1" applyFill="1" applyBorder="1" applyAlignment="1">
      <alignment horizontal="right"/>
    </xf>
    <xf numFmtId="0" fontId="3" fillId="18" borderId="188" xfId="0" applyFont="1" applyFill="1" applyBorder="1" applyAlignment="1">
      <alignment horizontal="left"/>
    </xf>
    <xf numFmtId="38" fontId="13" fillId="18" borderId="189" xfId="0" applyNumberFormat="1" applyFont="1" applyFill="1" applyBorder="1" applyAlignment="1">
      <alignment horizontal="right"/>
    </xf>
    <xf numFmtId="0" fontId="3" fillId="18" borderId="183" xfId="0" applyFont="1" applyFill="1" applyBorder="1" applyAlignment="1">
      <alignment horizontal="right"/>
    </xf>
    <xf numFmtId="0" fontId="3" fillId="18" borderId="184" xfId="0" applyFont="1" applyFill="1" applyBorder="1" applyAlignment="1">
      <alignment horizontal="left"/>
    </xf>
    <xf numFmtId="38" fontId="3" fillId="18" borderId="185" xfId="0" applyNumberFormat="1" applyFont="1" applyFill="1" applyBorder="1" applyAlignment="1">
      <alignment horizontal="right" shrinkToFit="1"/>
    </xf>
    <xf numFmtId="0" fontId="3" fillId="18" borderId="152" xfId="0" applyFont="1" applyFill="1" applyBorder="1" applyAlignment="1">
      <alignment horizontal="left"/>
    </xf>
    <xf numFmtId="0" fontId="3" fillId="18" borderId="183" xfId="0" applyFont="1" applyFill="1" applyBorder="1" applyAlignment="1"/>
    <xf numFmtId="0" fontId="3" fillId="18" borderId="184" xfId="0" applyFont="1" applyFill="1" applyBorder="1" applyAlignment="1"/>
    <xf numFmtId="0" fontId="36" fillId="18" borderId="192" xfId="0" applyFont="1" applyFill="1" applyBorder="1" applyAlignment="1">
      <alignment horizontal="right"/>
    </xf>
    <xf numFmtId="38" fontId="3" fillId="18" borderId="185" xfId="0" applyNumberFormat="1" applyFont="1" applyFill="1" applyBorder="1" applyAlignment="1"/>
    <xf numFmtId="0" fontId="3" fillId="18" borderId="0" xfId="0" applyFont="1" applyFill="1" applyBorder="1" applyAlignment="1">
      <alignment shrinkToFit="1"/>
    </xf>
    <xf numFmtId="0" fontId="3" fillId="17" borderId="0" xfId="0" applyFont="1" applyFill="1" applyBorder="1" applyAlignment="1"/>
    <xf numFmtId="0" fontId="3" fillId="17" borderId="0" xfId="0" applyFont="1" applyFill="1" applyBorder="1" applyAlignment="1">
      <alignment shrinkToFit="1"/>
    </xf>
    <xf numFmtId="38" fontId="3" fillId="18" borderId="87" xfId="0" applyNumberFormat="1" applyFont="1" applyFill="1" applyBorder="1" applyAlignment="1">
      <alignment horizontal="right"/>
    </xf>
    <xf numFmtId="0" fontId="3" fillId="18" borderId="138" xfId="0" applyFont="1" applyFill="1" applyBorder="1" applyAlignment="1">
      <alignment horizontal="center"/>
    </xf>
    <xf numFmtId="38" fontId="3" fillId="18" borderId="138" xfId="0" applyNumberFormat="1" applyFont="1" applyFill="1" applyBorder="1" applyAlignment="1">
      <alignment horizontal="right"/>
    </xf>
    <xf numFmtId="38" fontId="3" fillId="18" borderId="81" xfId="0" applyNumberFormat="1" applyFont="1" applyFill="1" applyBorder="1" applyAlignment="1">
      <alignment horizontal="right" shrinkToFit="1"/>
    </xf>
    <xf numFmtId="0" fontId="36" fillId="18" borderId="185" xfId="0" applyFont="1" applyFill="1" applyBorder="1" applyAlignment="1">
      <alignment horizontal="right"/>
    </xf>
    <xf numFmtId="0" fontId="36" fillId="18" borderId="177" xfId="0" applyFont="1" applyFill="1" applyBorder="1" applyAlignment="1">
      <alignment horizontal="left" vertical="center"/>
    </xf>
    <xf numFmtId="0" fontId="3" fillId="0" borderId="181" xfId="0" applyFont="1" applyFill="1" applyBorder="1" applyAlignment="1">
      <alignment horizontal="right"/>
    </xf>
    <xf numFmtId="0" fontId="3" fillId="18" borderId="81" xfId="0" applyFont="1" applyFill="1" applyBorder="1" applyAlignment="1">
      <alignment horizontal="right"/>
    </xf>
    <xf numFmtId="0" fontId="3" fillId="17" borderId="187" xfId="0" applyFont="1" applyFill="1" applyBorder="1" applyAlignment="1">
      <alignment horizontal="right"/>
    </xf>
    <xf numFmtId="0" fontId="3" fillId="17" borderId="188" xfId="0" applyFont="1" applyFill="1" applyBorder="1" applyAlignment="1">
      <alignment horizontal="left"/>
    </xf>
    <xf numFmtId="0" fontId="3" fillId="17" borderId="191" xfId="0" applyFont="1" applyFill="1" applyBorder="1" applyAlignment="1">
      <alignment horizontal="right"/>
    </xf>
    <xf numFmtId="38" fontId="13" fillId="17" borderId="189" xfId="0" applyNumberFormat="1" applyFont="1" applyFill="1" applyBorder="1" applyAlignment="1">
      <alignment horizontal="right"/>
    </xf>
    <xf numFmtId="0" fontId="3" fillId="18" borderId="180" xfId="0" applyFont="1" applyFill="1" applyBorder="1" applyAlignment="1"/>
    <xf numFmtId="0" fontId="3" fillId="18" borderId="79" xfId="0" applyFont="1" applyFill="1" applyBorder="1" applyAlignment="1"/>
    <xf numFmtId="0" fontId="36" fillId="18" borderId="79" xfId="0" applyFont="1" applyFill="1" applyBorder="1" applyAlignment="1">
      <alignment horizontal="right"/>
    </xf>
    <xf numFmtId="38" fontId="33" fillId="18" borderId="79" xfId="0" applyNumberFormat="1" applyFont="1" applyFill="1" applyBorder="1" applyAlignment="1"/>
    <xf numFmtId="0" fontId="3" fillId="18" borderId="182" xfId="0" applyFont="1" applyFill="1" applyBorder="1" applyAlignment="1">
      <alignment horizontal="center"/>
    </xf>
    <xf numFmtId="0" fontId="3" fillId="14" borderId="188" xfId="0" applyFont="1" applyFill="1" applyBorder="1" applyAlignment="1">
      <alignment horizontal="left"/>
    </xf>
    <xf numFmtId="0" fontId="3" fillId="14" borderId="191" xfId="0" applyFont="1" applyFill="1" applyBorder="1" applyAlignment="1">
      <alignment horizontal="right"/>
    </xf>
    <xf numFmtId="38" fontId="13" fillId="14" borderId="189" xfId="0" applyNumberFormat="1" applyFont="1" applyFill="1" applyBorder="1" applyAlignment="1">
      <alignment horizontal="right"/>
    </xf>
    <xf numFmtId="0" fontId="3" fillId="14" borderId="14" xfId="0" applyFont="1" applyFill="1" applyBorder="1" applyAlignment="1">
      <alignment horizontal="right"/>
    </xf>
    <xf numFmtId="0" fontId="3" fillId="14" borderId="15" xfId="0" applyFont="1" applyFill="1" applyBorder="1" applyAlignment="1">
      <alignment horizontal="left"/>
    </xf>
    <xf numFmtId="0" fontId="3" fillId="14" borderId="190" xfId="0" applyFont="1" applyFill="1" applyBorder="1" applyAlignment="1">
      <alignment horizontal="right"/>
    </xf>
    <xf numFmtId="38" fontId="13" fillId="14" borderId="138" xfId="0" applyNumberFormat="1" applyFont="1" applyFill="1" applyBorder="1" applyAlignment="1">
      <alignment horizontal="right"/>
    </xf>
    <xf numFmtId="0" fontId="3" fillId="14" borderId="187" xfId="0" applyFont="1" applyFill="1" applyBorder="1" applyAlignment="1">
      <alignment horizontal="right"/>
    </xf>
    <xf numFmtId="0" fontId="11" fillId="18" borderId="15" xfId="0" applyFont="1" applyFill="1" applyBorder="1" applyAlignment="1">
      <alignment horizontal="center"/>
    </xf>
    <xf numFmtId="0" fontId="11" fillId="18" borderId="138" xfId="0" applyFont="1" applyFill="1" applyBorder="1" applyAlignment="1">
      <alignment horizontal="center"/>
    </xf>
    <xf numFmtId="0" fontId="13" fillId="18" borderId="138" xfId="0" applyFont="1" applyFill="1" applyBorder="1" applyAlignment="1">
      <alignment horizontal="center"/>
    </xf>
    <xf numFmtId="0" fontId="11" fillId="18" borderId="177" xfId="0" applyFont="1" applyFill="1" applyBorder="1" applyAlignment="1">
      <alignment horizontal="left"/>
    </xf>
    <xf numFmtId="0" fontId="13" fillId="18" borderId="178" xfId="0" applyFont="1" applyFill="1" applyBorder="1" applyAlignment="1">
      <alignment horizontal="right"/>
    </xf>
    <xf numFmtId="0" fontId="3" fillId="14" borderId="0" xfId="0" applyFont="1" applyFill="1" applyBorder="1" applyAlignment="1"/>
    <xf numFmtId="0" fontId="3" fillId="18" borderId="165" xfId="0" applyFont="1" applyFill="1" applyBorder="1" applyAlignment="1">
      <alignment horizontal="left"/>
    </xf>
    <xf numFmtId="0" fontId="3" fillId="18" borderId="165" xfId="0" applyFont="1" applyFill="1" applyBorder="1" applyAlignment="1">
      <alignment horizontal="center"/>
    </xf>
    <xf numFmtId="0" fontId="3" fillId="18" borderId="87" xfId="0" applyFont="1" applyFill="1" applyBorder="1" applyAlignment="1">
      <alignment horizontal="left" shrinkToFit="1"/>
    </xf>
    <xf numFmtId="0" fontId="36" fillId="18" borderId="138" xfId="0" applyFont="1" applyFill="1" applyBorder="1" applyAlignment="1">
      <alignment horizontal="right"/>
    </xf>
    <xf numFmtId="38" fontId="13" fillId="0" borderId="87" xfId="0" applyNumberFormat="1" applyFont="1" applyFill="1" applyBorder="1" applyAlignment="1">
      <alignment horizontal="right"/>
    </xf>
    <xf numFmtId="0" fontId="36" fillId="18" borderId="189" xfId="0" applyFont="1" applyFill="1" applyBorder="1" applyAlignment="1">
      <alignment horizontal="right"/>
    </xf>
    <xf numFmtId="0" fontId="3" fillId="18" borderId="79" xfId="0" applyFont="1" applyFill="1" applyBorder="1" applyAlignment="1">
      <alignment horizontal="right"/>
    </xf>
    <xf numFmtId="0" fontId="3" fillId="18" borderId="168" xfId="0" applyFont="1" applyFill="1" applyBorder="1" applyAlignment="1">
      <alignment horizontal="left"/>
    </xf>
    <xf numFmtId="0" fontId="3" fillId="18" borderId="168" xfId="0" applyFont="1" applyFill="1" applyBorder="1" applyAlignment="1">
      <alignment horizontal="center"/>
    </xf>
    <xf numFmtId="0" fontId="3" fillId="18" borderId="81" xfId="0" applyFont="1" applyFill="1" applyBorder="1" applyAlignment="1">
      <alignment horizontal="left" shrinkToFit="1"/>
    </xf>
    <xf numFmtId="0" fontId="3" fillId="18" borderId="179" xfId="0" applyFont="1" applyFill="1" applyBorder="1" applyAlignment="1">
      <alignment horizontal="center"/>
    </xf>
    <xf numFmtId="0" fontId="3" fillId="18" borderId="0" xfId="0" applyFont="1" applyFill="1" applyBorder="1" applyAlignment="1">
      <alignment horizontal="left" vertical="center" textRotation="255"/>
    </xf>
    <xf numFmtId="0" fontId="3" fillId="18" borderId="0" xfId="0" applyFont="1" applyFill="1" applyBorder="1" applyAlignment="1">
      <alignment horizontal="right" vertical="center" textRotation="255"/>
    </xf>
    <xf numFmtId="0" fontId="3" fillId="18" borderId="87" xfId="0" applyFont="1" applyFill="1" applyBorder="1" applyAlignment="1">
      <alignment horizontal="right"/>
    </xf>
    <xf numFmtId="0" fontId="3" fillId="18" borderId="0" xfId="0" applyFont="1" applyFill="1" applyBorder="1" applyAlignment="1">
      <alignment horizontal="left" vertical="center"/>
    </xf>
    <xf numFmtId="0" fontId="3" fillId="18" borderId="190" xfId="0" applyFont="1" applyFill="1" applyBorder="1" applyAlignment="1"/>
    <xf numFmtId="0" fontId="3" fillId="18" borderId="79" xfId="0" applyFont="1" applyFill="1" applyBorder="1" applyAlignment="1">
      <alignment horizontal="left"/>
    </xf>
    <xf numFmtId="0" fontId="11" fillId="18" borderId="178" xfId="0" applyFont="1" applyFill="1" applyBorder="1" applyAlignment="1">
      <alignment horizontal="left"/>
    </xf>
    <xf numFmtId="0" fontId="3" fillId="18" borderId="0" xfId="0" applyFont="1" applyFill="1" applyBorder="1" applyAlignment="1">
      <alignment horizontal="center" vertical="center"/>
    </xf>
    <xf numFmtId="0" fontId="3" fillId="18" borderId="0" xfId="0" applyFont="1" applyFill="1" applyBorder="1" applyAlignment="1">
      <alignment horizontal="distributed" vertical="center"/>
    </xf>
    <xf numFmtId="0" fontId="36" fillId="18" borderId="0" xfId="0" applyFont="1" applyFill="1" applyBorder="1" applyAlignment="1">
      <alignment horizontal="right"/>
    </xf>
    <xf numFmtId="38" fontId="3" fillId="18" borderId="0" xfId="0" applyNumberFormat="1" applyFont="1" applyFill="1" applyBorder="1" applyAlignment="1">
      <alignment horizontal="right" shrinkToFit="1"/>
    </xf>
    <xf numFmtId="38" fontId="13" fillId="18" borderId="79" xfId="0" applyNumberFormat="1" applyFont="1" applyFill="1" applyBorder="1" applyAlignment="1">
      <alignment horizontal="right"/>
    </xf>
    <xf numFmtId="38" fontId="13" fillId="18" borderId="0" xfId="0" applyNumberFormat="1" applyFont="1" applyFill="1" applyBorder="1" applyAlignment="1">
      <alignment horizontal="right"/>
    </xf>
    <xf numFmtId="0" fontId="3" fillId="18" borderId="138" xfId="0" applyFont="1" applyFill="1" applyBorder="1" applyAlignment="1">
      <alignment horizontal="left"/>
    </xf>
    <xf numFmtId="0" fontId="13" fillId="18" borderId="0" xfId="0" applyFont="1" applyFill="1" applyBorder="1" applyAlignment="1">
      <alignment horizontal="left"/>
    </xf>
    <xf numFmtId="0" fontId="3" fillId="14" borderId="12" xfId="0" applyFont="1" applyFill="1" applyBorder="1" applyAlignment="1">
      <alignment vertical="center"/>
    </xf>
    <xf numFmtId="0" fontId="3" fillId="14" borderId="13" xfId="0" applyFont="1" applyFill="1" applyBorder="1" applyAlignment="1">
      <alignment horizontal="center" vertical="top" wrapText="1"/>
    </xf>
    <xf numFmtId="0" fontId="3" fillId="0" borderId="11" xfId="0" applyFont="1" applyBorder="1" applyAlignment="1" applyProtection="1">
      <alignment vertical="center" shrinkToFit="1"/>
      <protection locked="0"/>
    </xf>
    <xf numFmtId="0" fontId="3" fillId="14" borderId="11" xfId="0" applyFont="1" applyFill="1" applyBorder="1" applyAlignment="1">
      <alignment vertical="center" shrinkToFit="1"/>
    </xf>
    <xf numFmtId="0" fontId="10" fillId="0" borderId="0" xfId="0" applyFont="1" applyFill="1" applyAlignment="1">
      <alignment shrinkToFit="1"/>
    </xf>
    <xf numFmtId="0" fontId="13" fillId="19" borderId="0" xfId="0" applyFont="1" applyFill="1" applyBorder="1" applyAlignment="1">
      <alignment horizontal="center" shrinkToFit="1"/>
    </xf>
    <xf numFmtId="38" fontId="3" fillId="19" borderId="139" xfId="0" applyNumberFormat="1" applyFont="1" applyFill="1" applyBorder="1" applyAlignment="1">
      <alignment horizontal="right" shrinkToFit="1"/>
    </xf>
    <xf numFmtId="38" fontId="3" fillId="0" borderId="139" xfId="0" applyNumberFormat="1" applyFont="1" applyFill="1" applyBorder="1" applyAlignment="1">
      <alignment horizontal="right" shrinkToFit="1"/>
    </xf>
    <xf numFmtId="38" fontId="3" fillId="18" borderId="92" xfId="0" applyNumberFormat="1" applyFont="1" applyFill="1" applyBorder="1" applyAlignment="1">
      <alignment horizontal="right" shrinkToFit="1"/>
    </xf>
    <xf numFmtId="0" fontId="33" fillId="18" borderId="122" xfId="0" applyFont="1" applyFill="1" applyBorder="1" applyAlignment="1">
      <alignment horizontal="center"/>
    </xf>
    <xf numFmtId="38" fontId="3" fillId="0" borderId="193" xfId="0" applyNumberFormat="1" applyFont="1" applyFill="1" applyBorder="1" applyAlignment="1">
      <alignment horizontal="center" shrinkToFit="1"/>
    </xf>
    <xf numFmtId="38" fontId="3" fillId="0" borderId="170" xfId="0" applyNumberFormat="1" applyFont="1" applyFill="1" applyBorder="1" applyAlignment="1">
      <alignment horizontal="right" shrinkToFit="1"/>
    </xf>
    <xf numFmtId="38" fontId="3" fillId="18" borderId="139" xfId="0" applyNumberFormat="1" applyFont="1" applyFill="1" applyBorder="1" applyAlignment="1">
      <alignment horizontal="right" shrinkToFit="1"/>
    </xf>
    <xf numFmtId="38" fontId="3" fillId="0" borderId="92" xfId="0" applyNumberFormat="1" applyFont="1" applyFill="1" applyBorder="1" applyAlignment="1">
      <alignment horizontal="center" shrinkToFit="1"/>
    </xf>
    <xf numFmtId="38" fontId="3" fillId="0" borderId="91" xfId="0" applyNumberFormat="1" applyFont="1" applyFill="1" applyBorder="1" applyAlignment="1">
      <alignment horizontal="right" shrinkToFit="1"/>
    </xf>
    <xf numFmtId="38" fontId="3" fillId="18" borderId="194" xfId="0" applyNumberFormat="1" applyFont="1" applyFill="1" applyBorder="1" applyAlignment="1">
      <alignment horizontal="right" shrinkToFit="1"/>
    </xf>
    <xf numFmtId="38" fontId="3" fillId="18" borderId="195" xfId="0" applyNumberFormat="1" applyFont="1" applyFill="1" applyBorder="1" applyAlignment="1">
      <alignment horizontal="right" shrinkToFit="1"/>
    </xf>
    <xf numFmtId="38" fontId="3" fillId="18" borderId="196" xfId="0" applyNumberFormat="1" applyFont="1" applyFill="1" applyBorder="1" applyAlignment="1">
      <alignment horizontal="right" shrinkToFit="1"/>
    </xf>
    <xf numFmtId="38" fontId="3" fillId="18" borderId="197" xfId="0" applyNumberFormat="1" applyFont="1" applyFill="1" applyBorder="1" applyAlignment="1">
      <alignment horizontal="right" shrinkToFit="1"/>
    </xf>
    <xf numFmtId="0" fontId="11" fillId="18" borderId="194" xfId="0" applyFont="1" applyFill="1" applyBorder="1" applyAlignment="1">
      <alignment horizontal="center"/>
    </xf>
    <xf numFmtId="0" fontId="13" fillId="18" borderId="194" xfId="0" applyFont="1" applyFill="1" applyBorder="1" applyAlignment="1">
      <alignment horizontal="center" shrinkToFit="1"/>
    </xf>
    <xf numFmtId="38" fontId="3" fillId="14" borderId="139" xfId="0" applyNumberFormat="1" applyFont="1" applyFill="1" applyBorder="1" applyAlignment="1">
      <alignment horizontal="right" shrinkToFit="1"/>
    </xf>
    <xf numFmtId="38" fontId="13" fillId="14" borderId="139" xfId="0" applyNumberFormat="1" applyFont="1" applyFill="1" applyBorder="1" applyAlignment="1">
      <alignment horizontal="right"/>
    </xf>
    <xf numFmtId="38" fontId="3" fillId="14" borderId="196" xfId="0" applyNumberFormat="1" applyFont="1" applyFill="1" applyBorder="1" applyAlignment="1">
      <alignment horizontal="right" shrinkToFit="1"/>
    </xf>
    <xf numFmtId="38" fontId="13" fillId="17" borderId="196" xfId="0" applyNumberFormat="1" applyFont="1" applyFill="1" applyBorder="1" applyAlignment="1">
      <alignment horizontal="right"/>
    </xf>
    <xf numFmtId="38" fontId="3" fillId="18" borderId="197" xfId="0" applyNumberFormat="1" applyFont="1" applyFill="1" applyBorder="1" applyAlignment="1"/>
    <xf numFmtId="0" fontId="33" fillId="0" borderId="0" xfId="0" applyFont="1" applyFill="1" applyBorder="1" applyAlignment="1"/>
    <xf numFmtId="0" fontId="38" fillId="0" borderId="0" xfId="0" applyFont="1" applyFill="1" applyBorder="1" applyAlignment="1"/>
    <xf numFmtId="0" fontId="41" fillId="0" borderId="0" xfId="0" applyFont="1" applyFill="1"/>
    <xf numFmtId="0" fontId="13" fillId="0" borderId="0" xfId="0" applyFont="1" applyBorder="1" applyAlignment="1" applyProtection="1">
      <alignment vertical="center"/>
    </xf>
    <xf numFmtId="0" fontId="3" fillId="0" borderId="0" xfId="0" applyFont="1" applyFill="1" applyBorder="1" applyAlignment="1" applyProtection="1">
      <alignment horizontal="right" vertical="center"/>
    </xf>
    <xf numFmtId="0" fontId="3" fillId="0" borderId="0" xfId="0" applyNumberFormat="1" applyFont="1" applyAlignment="1" applyProtection="1">
      <alignment vertical="center"/>
    </xf>
    <xf numFmtId="0" fontId="13" fillId="20" borderId="139" xfId="0" applyFont="1" applyFill="1" applyBorder="1" applyAlignment="1">
      <alignment horizontal="center" shrinkToFit="1"/>
    </xf>
    <xf numFmtId="38" fontId="3" fillId="20" borderId="92" xfId="0" applyNumberFormat="1" applyFont="1" applyFill="1" applyBorder="1" applyAlignment="1">
      <alignment horizontal="center" shrinkToFit="1"/>
    </xf>
    <xf numFmtId="177" fontId="5" fillId="5" borderId="0" xfId="0" applyNumberFormat="1" applyFont="1" applyFill="1" applyBorder="1" applyAlignment="1" applyProtection="1">
      <alignment vertical="center" shrinkToFit="1"/>
    </xf>
    <xf numFmtId="0" fontId="3" fillId="0" borderId="0" xfId="0" applyFont="1" applyAlignment="1" applyProtection="1">
      <alignment vertical="center" shrinkToFit="1"/>
      <protection locked="0"/>
    </xf>
    <xf numFmtId="38" fontId="3" fillId="20" borderId="92" xfId="0" applyNumberFormat="1" applyFont="1" applyFill="1" applyBorder="1" applyAlignment="1">
      <alignment horizontal="right" shrinkToFit="1"/>
    </xf>
    <xf numFmtId="0" fontId="3" fillId="0" borderId="0" xfId="0" applyFont="1" applyFill="1" applyBorder="1" applyAlignment="1">
      <alignment vertical="center"/>
    </xf>
    <xf numFmtId="0" fontId="3" fillId="0" borderId="179" xfId="0" applyFont="1" applyFill="1" applyBorder="1" applyAlignment="1">
      <alignment vertical="center"/>
    </xf>
    <xf numFmtId="0" fontId="3" fillId="0" borderId="179" xfId="0" applyFont="1" applyFill="1" applyBorder="1" applyAlignment="1">
      <alignment horizontal="center" vertical="top" wrapText="1"/>
    </xf>
    <xf numFmtId="0" fontId="3" fillId="0" borderId="179" xfId="0" applyFont="1" applyFill="1" applyBorder="1" applyAlignment="1">
      <alignment vertical="center" shrinkToFit="1"/>
    </xf>
    <xf numFmtId="0" fontId="0" fillId="0" borderId="0" xfId="0" applyFill="1" applyBorder="1"/>
    <xf numFmtId="0" fontId="3" fillId="18" borderId="178" xfId="0" applyFont="1" applyFill="1" applyBorder="1" applyAlignment="1">
      <alignment horizontal="right"/>
    </xf>
    <xf numFmtId="0" fontId="3" fillId="18" borderId="199" xfId="0" applyFont="1" applyFill="1" applyBorder="1" applyAlignment="1">
      <alignment horizontal="left"/>
    </xf>
    <xf numFmtId="0" fontId="3" fillId="18" borderId="199" xfId="0" applyFont="1" applyFill="1" applyBorder="1" applyAlignment="1">
      <alignment horizontal="center"/>
    </xf>
    <xf numFmtId="0" fontId="3" fillId="18" borderId="181" xfId="0" applyFont="1" applyFill="1" applyBorder="1" applyAlignment="1">
      <alignment horizontal="left" shrinkToFit="1"/>
    </xf>
    <xf numFmtId="38" fontId="13" fillId="18" borderId="181" xfId="0" applyNumberFormat="1" applyFont="1" applyFill="1" applyBorder="1" applyAlignment="1">
      <alignment horizontal="right"/>
    </xf>
    <xf numFmtId="38" fontId="3" fillId="18" borderId="193" xfId="0" applyNumberFormat="1" applyFont="1" applyFill="1" applyBorder="1" applyAlignment="1">
      <alignment horizontal="center" shrinkToFit="1"/>
    </xf>
    <xf numFmtId="0" fontId="3" fillId="0" borderId="186" xfId="0" applyFont="1" applyFill="1" applyBorder="1" applyAlignment="1"/>
    <xf numFmtId="0" fontId="36" fillId="0" borderId="186" xfId="0" applyFont="1" applyFill="1" applyBorder="1" applyAlignment="1"/>
    <xf numFmtId="0" fontId="3" fillId="0" borderId="120" xfId="0" applyFont="1" applyFill="1" applyBorder="1" applyAlignment="1">
      <alignment horizontal="right"/>
    </xf>
    <xf numFmtId="38" fontId="3" fillId="0" borderId="87" xfId="0" applyNumberFormat="1" applyFont="1" applyFill="1" applyBorder="1" applyAlignment="1">
      <alignment horizontal="right"/>
    </xf>
    <xf numFmtId="38" fontId="3" fillId="0" borderId="169" xfId="4" applyFont="1" applyFill="1" applyBorder="1" applyAlignment="1">
      <alignment horizontal="right"/>
    </xf>
    <xf numFmtId="38" fontId="3" fillId="0" borderId="81" xfId="0" applyNumberFormat="1" applyFont="1" applyFill="1" applyBorder="1" applyAlignment="1">
      <alignment horizontal="right"/>
    </xf>
    <xf numFmtId="0" fontId="3" fillId="18" borderId="199" xfId="0" applyFont="1" applyFill="1" applyBorder="1" applyAlignment="1">
      <alignment horizontal="right" vertical="center" textRotation="255"/>
    </xf>
    <xf numFmtId="0" fontId="3" fillId="0" borderId="74" xfId="0" applyFont="1" applyFill="1" applyBorder="1" applyAlignment="1">
      <alignment horizontal="right"/>
    </xf>
    <xf numFmtId="0" fontId="0" fillId="0" borderId="186" xfId="0" applyBorder="1" applyAlignment="1">
      <alignment horizontal="right" vertical="center" textRotation="255"/>
    </xf>
    <xf numFmtId="0" fontId="3" fillId="18" borderId="186" xfId="0" applyFont="1" applyFill="1" applyBorder="1" applyAlignment="1">
      <alignment horizontal="right" vertical="center" textRotation="255"/>
    </xf>
    <xf numFmtId="38" fontId="3" fillId="0" borderId="74" xfId="0" applyNumberFormat="1" applyFont="1" applyFill="1" applyBorder="1" applyAlignment="1">
      <alignment horizontal="right"/>
    </xf>
    <xf numFmtId="0" fontId="0" fillId="0" borderId="168" xfId="0" applyBorder="1" applyAlignment="1">
      <alignment horizontal="right" vertical="center" textRotation="255"/>
    </xf>
    <xf numFmtId="0" fontId="3" fillId="0" borderId="177" xfId="0" applyFont="1" applyFill="1" applyBorder="1" applyAlignment="1">
      <alignment horizontal="center"/>
    </xf>
    <xf numFmtId="0" fontId="3" fillId="0" borderId="178" xfId="0" applyFont="1" applyFill="1" applyBorder="1" applyAlignment="1">
      <alignment horizontal="right" vertical="center" textRotation="255"/>
    </xf>
    <xf numFmtId="0" fontId="3" fillId="0" borderId="152" xfId="0" applyFont="1" applyFill="1" applyBorder="1" applyAlignment="1">
      <alignment horizontal="left" shrinkToFit="1"/>
    </xf>
    <xf numFmtId="0" fontId="4" fillId="0" borderId="152" xfId="0" applyFont="1" applyFill="1" applyBorder="1" applyAlignment="1">
      <alignment horizontal="left"/>
    </xf>
    <xf numFmtId="0" fontId="4" fillId="0" borderId="152" xfId="0" applyFont="1" applyFill="1" applyBorder="1" applyAlignment="1">
      <alignment horizontal="left" shrinkToFit="1"/>
    </xf>
    <xf numFmtId="0" fontId="4" fillId="0" borderId="182" xfId="0" applyFont="1" applyFill="1" applyBorder="1" applyAlignment="1">
      <alignment horizontal="right"/>
    </xf>
    <xf numFmtId="38" fontId="13" fillId="0" borderId="74" xfId="0" applyNumberFormat="1" applyFont="1" applyFill="1" applyBorder="1" applyAlignment="1">
      <alignment horizontal="right"/>
    </xf>
    <xf numFmtId="0" fontId="3" fillId="0" borderId="179" xfId="0" applyFont="1" applyFill="1" applyBorder="1" applyAlignment="1">
      <alignment horizontal="center"/>
    </xf>
    <xf numFmtId="0" fontId="3" fillId="0" borderId="0" xfId="0" applyFont="1" applyFill="1" applyBorder="1" applyAlignment="1">
      <alignment horizontal="right" vertical="center" textRotation="255"/>
    </xf>
    <xf numFmtId="38" fontId="13" fillId="18" borderId="91" xfId="0" applyNumberFormat="1" applyFont="1" applyFill="1" applyBorder="1" applyAlignment="1">
      <alignment horizontal="right" shrinkToFit="1"/>
    </xf>
    <xf numFmtId="38" fontId="3" fillId="18" borderId="91" xfId="0" applyNumberFormat="1" applyFont="1" applyFill="1" applyBorder="1" applyAlignment="1">
      <alignment horizontal="right" shrinkToFit="1"/>
    </xf>
    <xf numFmtId="0" fontId="3" fillId="18" borderId="165" xfId="0" applyFont="1" applyFill="1" applyBorder="1" applyAlignment="1">
      <alignment horizontal="right"/>
    </xf>
    <xf numFmtId="0" fontId="3" fillId="22" borderId="187" xfId="0" applyFont="1" applyFill="1" applyBorder="1" applyAlignment="1">
      <alignment horizontal="left"/>
    </xf>
    <xf numFmtId="0" fontId="3" fillId="22" borderId="188" xfId="0" applyFont="1" applyFill="1" applyBorder="1" applyAlignment="1">
      <alignment horizontal="left"/>
    </xf>
    <xf numFmtId="0" fontId="3" fillId="22" borderId="191" xfId="0" applyFont="1" applyFill="1" applyBorder="1" applyAlignment="1">
      <alignment horizontal="right"/>
    </xf>
    <xf numFmtId="38" fontId="13" fillId="22" borderId="189" xfId="0" applyNumberFormat="1" applyFont="1" applyFill="1" applyBorder="1" applyAlignment="1">
      <alignment horizontal="right"/>
    </xf>
    <xf numFmtId="38" fontId="33" fillId="18" borderId="79" xfId="0" applyNumberFormat="1" applyFont="1" applyFill="1" applyBorder="1" applyAlignment="1">
      <alignment shrinkToFit="1"/>
    </xf>
    <xf numFmtId="177" fontId="9" fillId="0" borderId="0" xfId="0" applyNumberFormat="1" applyFont="1" applyFill="1" applyBorder="1" applyAlignment="1" applyProtection="1">
      <alignment horizontal="left" vertical="center"/>
    </xf>
    <xf numFmtId="14" fontId="17" fillId="0" borderId="0" xfId="0" applyNumberFormat="1" applyFont="1" applyFill="1" applyBorder="1" applyAlignment="1" applyProtection="1">
      <alignment horizontal="left" vertical="center" shrinkToFit="1"/>
      <protection locked="0"/>
    </xf>
    <xf numFmtId="0" fontId="3" fillId="0" borderId="162" xfId="0" applyFont="1" applyBorder="1" applyAlignment="1">
      <alignment horizontal="center" vertical="center"/>
    </xf>
    <xf numFmtId="0" fontId="3" fillId="0" borderId="162" xfId="0" applyFont="1" applyBorder="1" applyAlignment="1" applyProtection="1">
      <alignment vertical="center" shrinkToFit="1"/>
      <protection locked="0"/>
    </xf>
    <xf numFmtId="0" fontId="3" fillId="2" borderId="13" xfId="0" applyFont="1" applyFill="1" applyBorder="1" applyAlignment="1">
      <alignment vertical="center"/>
    </xf>
    <xf numFmtId="0" fontId="3" fillId="0" borderId="201" xfId="0" applyFont="1" applyBorder="1" applyAlignment="1" applyProtection="1">
      <alignment vertical="center"/>
      <protection locked="0"/>
    </xf>
    <xf numFmtId="0" fontId="3" fillId="0" borderId="203" xfId="0" applyFont="1" applyBorder="1" applyAlignment="1" applyProtection="1">
      <alignment vertical="center"/>
      <protection locked="0"/>
    </xf>
    <xf numFmtId="0" fontId="3" fillId="0" borderId="204" xfId="0" applyFont="1" applyBorder="1" applyAlignment="1" applyProtection="1">
      <alignment vertical="center"/>
      <protection locked="0"/>
    </xf>
    <xf numFmtId="0" fontId="3" fillId="0" borderId="203" xfId="0" applyFont="1" applyBorder="1" applyAlignment="1">
      <alignment vertical="center"/>
    </xf>
    <xf numFmtId="0" fontId="0" fillId="0" borderId="204" xfId="0" applyBorder="1" applyAlignment="1">
      <alignment vertical="center" shrinkToFit="1"/>
    </xf>
    <xf numFmtId="0" fontId="28" fillId="0" borderId="202" xfId="0" applyFont="1" applyBorder="1" applyAlignment="1" applyProtection="1">
      <alignment horizontal="center" vertical="center" wrapText="1"/>
      <protection locked="0"/>
    </xf>
    <xf numFmtId="177" fontId="9" fillId="0" borderId="0" xfId="0" applyNumberFormat="1" applyFont="1" applyFill="1" applyBorder="1" applyAlignment="1" applyProtection="1">
      <alignment vertical="center"/>
    </xf>
    <xf numFmtId="14" fontId="37" fillId="16" borderId="11" xfId="0" applyNumberFormat="1" applyFont="1" applyFill="1" applyBorder="1" applyAlignment="1">
      <alignment horizontal="center" vertical="center" shrinkToFit="1"/>
    </xf>
    <xf numFmtId="0" fontId="37" fillId="16" borderId="11" xfId="0" applyFont="1" applyFill="1" applyBorder="1" applyAlignment="1">
      <alignment vertical="center"/>
    </xf>
    <xf numFmtId="188" fontId="45" fillId="16" borderId="11" xfId="0" applyNumberFormat="1" applyFont="1" applyFill="1" applyBorder="1" applyAlignment="1">
      <alignment horizontal="center" vertical="center"/>
    </xf>
    <xf numFmtId="14" fontId="17" fillId="0" borderId="0" xfId="0" applyNumberFormat="1" applyFont="1" applyBorder="1" applyAlignment="1" applyProtection="1">
      <alignment vertical="center" shrinkToFit="1"/>
      <protection locked="0"/>
    </xf>
    <xf numFmtId="0" fontId="18" fillId="0" borderId="0" xfId="0" applyFont="1" applyBorder="1" applyAlignment="1">
      <alignment horizontal="center" vertical="center" shrinkToFit="1"/>
    </xf>
    <xf numFmtId="0" fontId="9" fillId="0" borderId="0" xfId="0" applyFont="1" applyFill="1" applyBorder="1" applyAlignment="1" applyProtection="1">
      <alignment horizontal="center" vertical="center" shrinkToFit="1"/>
    </xf>
    <xf numFmtId="177" fontId="3" fillId="0" borderId="0" xfId="0" applyNumberFormat="1" applyFont="1" applyBorder="1" applyAlignment="1">
      <alignment vertical="center" shrinkToFit="1"/>
    </xf>
    <xf numFmtId="177" fontId="9" fillId="0" borderId="0" xfId="0" applyNumberFormat="1" applyFont="1" applyFill="1" applyBorder="1" applyAlignment="1" applyProtection="1">
      <alignment horizontal="center" vertical="center" shrinkToFit="1"/>
    </xf>
    <xf numFmtId="177" fontId="9" fillId="0" borderId="0" xfId="0" applyNumberFormat="1" applyFont="1" applyFill="1" applyBorder="1" applyAlignment="1" applyProtection="1">
      <alignment vertical="center" shrinkToFit="1"/>
    </xf>
    <xf numFmtId="0" fontId="0" fillId="0" borderId="0" xfId="0" applyNumberFormat="1"/>
    <xf numFmtId="0" fontId="3" fillId="0" borderId="171" xfId="0" applyFont="1" applyBorder="1" applyAlignment="1">
      <alignment vertical="center"/>
    </xf>
    <xf numFmtId="177" fontId="13" fillId="14" borderId="62" xfId="0" applyNumberFormat="1" applyFont="1" applyFill="1" applyBorder="1" applyAlignment="1" applyProtection="1">
      <alignment horizontal="center" vertical="center" shrinkToFit="1"/>
    </xf>
    <xf numFmtId="177" fontId="13" fillId="14" borderId="214" xfId="0" applyNumberFormat="1" applyFont="1" applyFill="1" applyBorder="1" applyAlignment="1" applyProtection="1">
      <alignment horizontal="center" vertical="center" shrinkToFit="1"/>
    </xf>
    <xf numFmtId="0" fontId="13" fillId="0" borderId="215" xfId="0" applyNumberFormat="1" applyFont="1" applyBorder="1" applyAlignment="1" applyProtection="1">
      <alignment horizontal="center" vertical="center" shrinkToFit="1"/>
    </xf>
    <xf numFmtId="177" fontId="3" fillId="0" borderId="216" xfId="0" applyNumberFormat="1" applyFont="1" applyBorder="1" applyAlignment="1">
      <alignment vertical="center" shrinkToFit="1"/>
    </xf>
    <xf numFmtId="0" fontId="13" fillId="0" borderId="210" xfId="0" applyFont="1" applyBorder="1" applyAlignment="1" applyProtection="1">
      <alignment vertical="center" shrinkToFit="1"/>
      <protection locked="0"/>
    </xf>
    <xf numFmtId="0" fontId="13" fillId="14" borderId="221" xfId="0" applyFont="1" applyFill="1" applyBorder="1" applyAlignment="1" applyProtection="1">
      <alignment horizontal="center" vertical="center" wrapText="1"/>
    </xf>
    <xf numFmtId="0" fontId="13" fillId="0" borderId="222" xfId="0" applyFont="1" applyBorder="1" applyAlignment="1" applyProtection="1">
      <alignment vertical="center" shrinkToFit="1"/>
      <protection locked="0"/>
    </xf>
    <xf numFmtId="0" fontId="48" fillId="19" borderId="224" xfId="0" applyFont="1" applyFill="1" applyBorder="1" applyAlignment="1" applyProtection="1">
      <alignment horizontal="center" vertical="center" wrapText="1"/>
    </xf>
    <xf numFmtId="0" fontId="48" fillId="19" borderId="226" xfId="0" applyFont="1" applyFill="1" applyBorder="1" applyAlignment="1" applyProtection="1">
      <alignment horizontal="center" vertical="center" shrinkToFit="1"/>
    </xf>
    <xf numFmtId="49" fontId="49" fillId="18" borderId="0" xfId="0" applyNumberFormat="1" applyFont="1" applyFill="1" applyAlignment="1">
      <alignment vertical="center"/>
    </xf>
    <xf numFmtId="0" fontId="49" fillId="18" borderId="0" xfId="0" applyFont="1" applyFill="1" applyAlignment="1">
      <alignment vertical="center"/>
    </xf>
    <xf numFmtId="0" fontId="18" fillId="14" borderId="38" xfId="0" applyFont="1" applyFill="1" applyBorder="1" applyAlignment="1">
      <alignment horizontal="center" vertical="center" wrapText="1"/>
    </xf>
    <xf numFmtId="0" fontId="3" fillId="14" borderId="38" xfId="0" applyFont="1" applyFill="1" applyBorder="1" applyAlignment="1">
      <alignment horizontal="center" vertical="center" shrinkToFit="1"/>
    </xf>
    <xf numFmtId="0" fontId="24" fillId="0" borderId="207" xfId="0" applyFont="1" applyBorder="1" applyAlignment="1" applyProtection="1">
      <alignment horizontal="center" vertical="center" shrinkToFit="1"/>
    </xf>
    <xf numFmtId="0" fontId="13" fillId="0" borderId="228" xfId="0" applyFont="1" applyBorder="1" applyAlignment="1" applyProtection="1">
      <alignment vertical="center"/>
      <protection locked="0"/>
    </xf>
    <xf numFmtId="0" fontId="13" fillId="0" borderId="222" xfId="0" applyFont="1" applyBorder="1" applyAlignment="1" applyProtection="1">
      <alignment vertical="center" wrapText="1"/>
      <protection locked="0"/>
    </xf>
    <xf numFmtId="186" fontId="13" fillId="0" borderId="222" xfId="0" applyNumberFormat="1" applyFont="1" applyBorder="1" applyAlignment="1" applyProtection="1">
      <alignment vertical="center" shrinkToFit="1"/>
      <protection locked="0"/>
    </xf>
    <xf numFmtId="0" fontId="13" fillId="0" borderId="222" xfId="0" applyFont="1" applyBorder="1" applyAlignment="1" applyProtection="1">
      <alignment horizontal="center" vertical="center" shrinkToFit="1"/>
      <protection locked="0"/>
    </xf>
    <xf numFmtId="38" fontId="13" fillId="0" borderId="222" xfId="0" applyNumberFormat="1" applyFont="1" applyBorder="1" applyAlignment="1" applyProtection="1">
      <alignment vertical="center" shrinkToFit="1"/>
      <protection locked="0"/>
    </xf>
    <xf numFmtId="177" fontId="13" fillId="0" borderId="222" xfId="0" applyNumberFormat="1" applyFont="1" applyBorder="1" applyAlignment="1" applyProtection="1">
      <alignment vertical="center" shrinkToFit="1"/>
      <protection locked="0"/>
    </xf>
    <xf numFmtId="0" fontId="13" fillId="0" borderId="229" xfId="0" applyFont="1" applyBorder="1" applyAlignment="1" applyProtection="1">
      <alignment vertical="center"/>
      <protection locked="0"/>
    </xf>
    <xf numFmtId="0" fontId="13" fillId="0" borderId="230" xfId="0" applyFont="1" applyBorder="1" applyAlignment="1" applyProtection="1">
      <alignment horizontal="right" vertical="center"/>
      <protection locked="0"/>
    </xf>
    <xf numFmtId="0" fontId="13" fillId="0" borderId="210" xfId="0" applyFont="1" applyBorder="1" applyAlignment="1" applyProtection="1">
      <alignment vertical="center" wrapText="1"/>
      <protection locked="0"/>
    </xf>
    <xf numFmtId="186" fontId="13" fillId="0" borderId="210" xfId="0" applyNumberFormat="1" applyFont="1" applyBorder="1" applyAlignment="1" applyProtection="1">
      <alignment vertical="center" shrinkToFit="1"/>
      <protection locked="0"/>
    </xf>
    <xf numFmtId="0" fontId="13" fillId="0" borderId="210" xfId="0" applyFont="1" applyBorder="1" applyAlignment="1" applyProtection="1">
      <alignment horizontal="center" vertical="center" shrinkToFit="1"/>
      <protection locked="0"/>
    </xf>
    <xf numFmtId="38" fontId="13" fillId="0" borderId="210" xfId="0" applyNumberFormat="1" applyFont="1" applyBorder="1" applyAlignment="1" applyProtection="1">
      <alignment vertical="center" shrinkToFit="1"/>
      <protection locked="0"/>
    </xf>
    <xf numFmtId="0" fontId="13" fillId="0" borderId="227" xfId="0" applyFont="1" applyBorder="1" applyAlignment="1" applyProtection="1">
      <alignment horizontal="right" vertical="center"/>
      <protection locked="0"/>
    </xf>
    <xf numFmtId="0" fontId="48" fillId="19" borderId="225" xfId="0" applyFont="1" applyFill="1" applyBorder="1" applyAlignment="1" applyProtection="1">
      <alignment horizontal="center" vertical="center" shrinkToFit="1"/>
    </xf>
    <xf numFmtId="0" fontId="9" fillId="0" borderId="0" xfId="0" applyFont="1" applyFill="1" applyBorder="1" applyAlignment="1">
      <alignment horizontal="right"/>
    </xf>
    <xf numFmtId="0" fontId="9" fillId="0" borderId="0" xfId="0" applyFont="1" applyFill="1" applyBorder="1" applyAlignment="1">
      <alignment horizontal="center"/>
    </xf>
    <xf numFmtId="0" fontId="53" fillId="0" borderId="0" xfId="0" applyFont="1" applyFill="1" applyBorder="1" applyAlignment="1">
      <alignment horizontal="right"/>
    </xf>
    <xf numFmtId="0" fontId="53" fillId="0" borderId="0" xfId="0" applyFont="1" applyFill="1" applyBorder="1" applyAlignment="1">
      <alignment horizontal="left"/>
    </xf>
    <xf numFmtId="0" fontId="54" fillId="0" borderId="0" xfId="0" applyFont="1" applyFill="1" applyBorder="1" applyAlignment="1">
      <alignment horizontal="center"/>
    </xf>
    <xf numFmtId="0" fontId="54" fillId="0" borderId="0" xfId="0" applyFont="1" applyFill="1" applyBorder="1" applyAlignment="1">
      <alignment horizontal="left"/>
    </xf>
    <xf numFmtId="0" fontId="9" fillId="0" borderId="0" xfId="0" applyFont="1" applyFill="1" applyBorder="1" applyAlignment="1">
      <alignment horizontal="right" shrinkToFit="1"/>
    </xf>
    <xf numFmtId="0" fontId="55" fillId="0" borderId="0" xfId="0" applyFont="1" applyFill="1" applyBorder="1" applyAlignment="1">
      <alignment horizontal="right" shrinkToFit="1"/>
    </xf>
    <xf numFmtId="0" fontId="9" fillId="0" borderId="0" xfId="0" applyFont="1" applyFill="1" applyBorder="1" applyAlignment="1">
      <alignment horizontal="center" shrinkToFit="1"/>
    </xf>
    <xf numFmtId="0" fontId="4" fillId="0" borderId="0" xfId="0" applyFont="1" applyBorder="1" applyAlignment="1"/>
    <xf numFmtId="0" fontId="9" fillId="0" borderId="79" xfId="0" applyFont="1" applyFill="1" applyBorder="1" applyAlignment="1">
      <alignment horizontal="right"/>
    </xf>
    <xf numFmtId="0" fontId="11" fillId="0" borderId="0" xfId="0" applyFont="1" applyFill="1" applyBorder="1" applyAlignment="1">
      <alignment horizontal="distributed"/>
    </xf>
    <xf numFmtId="0" fontId="11" fillId="0" borderId="0" xfId="0" applyFont="1" applyFill="1" applyBorder="1" applyAlignment="1">
      <alignment horizontal="center"/>
    </xf>
    <xf numFmtId="0" fontId="9" fillId="0" borderId="79" xfId="0" applyFont="1" applyFill="1" applyBorder="1" applyAlignment="1">
      <alignment horizontal="center" shrinkToFit="1"/>
    </xf>
    <xf numFmtId="38" fontId="9" fillId="0" borderId="79" xfId="0" applyNumberFormat="1" applyFont="1" applyFill="1" applyBorder="1" applyAlignment="1">
      <alignment horizontal="center" vertical="center" shrinkToFit="1"/>
    </xf>
    <xf numFmtId="0" fontId="4" fillId="27" borderId="177" xfId="0" applyFont="1" applyFill="1" applyBorder="1" applyAlignment="1">
      <alignment horizontal="right"/>
    </xf>
    <xf numFmtId="0" fontId="4" fillId="27" borderId="178" xfId="0" applyFont="1" applyFill="1" applyBorder="1" applyAlignment="1">
      <alignment horizontal="right"/>
    </xf>
    <xf numFmtId="0" fontId="4" fillId="0" borderId="152" xfId="0" applyFont="1" applyFill="1" applyBorder="1" applyAlignment="1">
      <alignment horizontal="distributed"/>
    </xf>
    <xf numFmtId="0" fontId="36" fillId="0" borderId="152" xfId="0" applyFont="1" applyFill="1" applyBorder="1" applyAlignment="1">
      <alignment horizontal="center"/>
    </xf>
    <xf numFmtId="0" fontId="4" fillId="0" borderId="74" xfId="0" applyFont="1" applyFill="1" applyBorder="1" applyAlignment="1">
      <alignment horizontal="center"/>
    </xf>
    <xf numFmtId="0" fontId="4" fillId="0" borderId="74" xfId="0" applyFont="1" applyFill="1" applyBorder="1" applyAlignment="1">
      <alignment horizontal="right"/>
    </xf>
    <xf numFmtId="192" fontId="4" fillId="12" borderId="74" xfId="0" applyNumberFormat="1" applyFont="1" applyFill="1" applyBorder="1" applyAlignment="1">
      <alignment horizontal="center" shrinkToFit="1"/>
    </xf>
    <xf numFmtId="192" fontId="4" fillId="12" borderId="170" xfId="0" applyNumberFormat="1" applyFont="1" applyFill="1" applyBorder="1" applyAlignment="1">
      <alignment horizontal="center" shrinkToFit="1"/>
    </xf>
    <xf numFmtId="0" fontId="55" fillId="0" borderId="0" xfId="0" applyFont="1" applyBorder="1" applyAlignment="1"/>
    <xf numFmtId="0" fontId="4" fillId="27" borderId="179" xfId="0" applyFont="1" applyFill="1" applyBorder="1" applyAlignment="1">
      <alignment horizontal="right"/>
    </xf>
    <xf numFmtId="0" fontId="4" fillId="27" borderId="0" xfId="0" applyFont="1" applyFill="1" applyBorder="1" applyAlignment="1">
      <alignment horizontal="right"/>
    </xf>
    <xf numFmtId="0" fontId="4" fillId="0" borderId="209" xfId="0" applyFont="1" applyFill="1" applyBorder="1" applyAlignment="1">
      <alignment horizontal="distributed"/>
    </xf>
    <xf numFmtId="0" fontId="36" fillId="0" borderId="209" xfId="0" applyFont="1" applyFill="1" applyBorder="1" applyAlignment="1">
      <alignment horizontal="center"/>
    </xf>
    <xf numFmtId="0" fontId="4" fillId="0" borderId="23" xfId="0" applyFont="1" applyFill="1" applyBorder="1" applyAlignment="1">
      <alignment horizontal="center"/>
    </xf>
    <xf numFmtId="0" fontId="4" fillId="0" borderId="50" xfId="0" applyFont="1" applyFill="1" applyBorder="1" applyAlignment="1">
      <alignment horizontal="right"/>
    </xf>
    <xf numFmtId="0" fontId="4" fillId="28" borderId="23" xfId="0" applyFont="1" applyFill="1" applyBorder="1" applyAlignment="1">
      <alignment horizontal="center" shrinkToFit="1"/>
    </xf>
    <xf numFmtId="0" fontId="4" fillId="28" borderId="31" xfId="0" applyFont="1" applyFill="1" applyBorder="1" applyAlignment="1">
      <alignment horizontal="center" shrinkToFit="1"/>
    </xf>
    <xf numFmtId="0" fontId="4" fillId="12" borderId="120" xfId="0" applyFont="1" applyFill="1" applyBorder="1" applyAlignment="1">
      <alignment horizontal="center"/>
    </xf>
    <xf numFmtId="0" fontId="9" fillId="27" borderId="120" xfId="0" applyFont="1" applyFill="1" applyBorder="1" applyAlignment="1">
      <alignment horizontal="center" shrinkToFit="1"/>
    </xf>
    <xf numFmtId="0" fontId="4" fillId="27" borderId="119" xfId="0" applyFont="1" applyFill="1" applyBorder="1" applyAlignment="1">
      <alignment horizontal="center" shrinkToFit="1"/>
    </xf>
    <xf numFmtId="0" fontId="4" fillId="27" borderId="169" xfId="0" applyFont="1" applyFill="1" applyBorder="1" applyAlignment="1">
      <alignment horizontal="center" shrinkToFit="1"/>
    </xf>
    <xf numFmtId="0" fontId="56" fillId="27" borderId="87" xfId="0" applyFont="1" applyFill="1" applyBorder="1" applyAlignment="1"/>
    <xf numFmtId="0" fontId="4" fillId="28" borderId="87" xfId="0" applyFont="1" applyFill="1" applyBorder="1" applyAlignment="1">
      <alignment horizontal="center" shrinkToFit="1"/>
    </xf>
    <xf numFmtId="0" fontId="4" fillId="28" borderId="120" xfId="0" applyFont="1" applyFill="1" applyBorder="1" applyAlignment="1">
      <alignment horizontal="center" shrinkToFit="1"/>
    </xf>
    <xf numFmtId="0" fontId="4" fillId="28" borderId="169" xfId="0" applyFont="1" applyFill="1" applyBorder="1" applyAlignment="1">
      <alignment horizontal="center" shrinkToFit="1"/>
    </xf>
    <xf numFmtId="0" fontId="57" fillId="27" borderId="179" xfId="0" applyFont="1" applyFill="1" applyBorder="1" applyAlignment="1">
      <alignment horizontal="right"/>
    </xf>
    <xf numFmtId="0" fontId="57" fillId="27" borderId="0" xfId="0" applyFont="1" applyFill="1" applyBorder="1" applyAlignment="1">
      <alignment horizontal="right"/>
    </xf>
    <xf numFmtId="38" fontId="4" fillId="12" borderId="23" xfId="0" applyNumberFormat="1" applyFont="1" applyFill="1" applyBorder="1" applyAlignment="1">
      <alignment horizontal="center" shrinkToFit="1"/>
    </xf>
    <xf numFmtId="38" fontId="4" fillId="12" borderId="31" xfId="0" applyNumberFormat="1" applyFont="1" applyFill="1" applyBorder="1" applyAlignment="1">
      <alignment horizontal="center" shrinkToFit="1"/>
    </xf>
    <xf numFmtId="0" fontId="58" fillId="0" borderId="0" xfId="0" applyFont="1" applyBorder="1" applyAlignment="1"/>
    <xf numFmtId="38" fontId="4" fillId="12" borderId="87" xfId="0" applyNumberFormat="1" applyFont="1" applyFill="1" applyBorder="1" applyAlignment="1">
      <alignment horizontal="center" vertical="center" shrinkToFit="1"/>
    </xf>
    <xf numFmtId="38" fontId="4" fillId="12" borderId="31" xfId="0" applyNumberFormat="1" applyFont="1" applyFill="1" applyBorder="1" applyAlignment="1">
      <alignment horizontal="center" vertical="center" shrinkToFit="1"/>
    </xf>
    <xf numFmtId="38" fontId="4" fillId="12" borderId="81" xfId="0" applyNumberFormat="1" applyFont="1" applyFill="1" applyBorder="1" applyAlignment="1">
      <alignment horizontal="center" vertical="center" shrinkToFit="1"/>
    </xf>
    <xf numFmtId="38" fontId="4" fillId="12" borderId="92" xfId="0" applyNumberFormat="1" applyFont="1" applyFill="1" applyBorder="1" applyAlignment="1">
      <alignment horizontal="center" vertical="center" shrinkToFit="1"/>
    </xf>
    <xf numFmtId="0" fontId="4" fillId="27" borderId="178" xfId="0" applyFont="1" applyFill="1" applyBorder="1" applyAlignment="1">
      <alignment horizontal="left"/>
    </xf>
    <xf numFmtId="0" fontId="4" fillId="27" borderId="15" xfId="0" applyFont="1" applyFill="1" applyBorder="1" applyAlignment="1">
      <alignment horizontal="left"/>
    </xf>
    <xf numFmtId="0" fontId="4" fillId="27" borderId="138" xfId="0" applyFont="1" applyFill="1" applyBorder="1" applyAlignment="1">
      <alignment horizontal="center"/>
    </xf>
    <xf numFmtId="38" fontId="9" fillId="27" borderId="138" xfId="0" applyNumberFormat="1" applyFont="1" applyFill="1" applyBorder="1" applyAlignment="1">
      <alignment horizontal="right"/>
    </xf>
    <xf numFmtId="38" fontId="4" fillId="0" borderId="138" xfId="0" applyNumberFormat="1" applyFont="1" applyFill="1" applyBorder="1" applyAlignment="1">
      <alignment horizontal="right" shrinkToFit="1"/>
    </xf>
    <xf numFmtId="38" fontId="4" fillId="0" borderId="139" xfId="0" applyNumberFormat="1" applyFont="1" applyFill="1" applyBorder="1" applyAlignment="1">
      <alignment horizontal="right" shrinkToFit="1"/>
    </xf>
    <xf numFmtId="0" fontId="4" fillId="27" borderId="152" xfId="0" applyFont="1" applyFill="1" applyBorder="1" applyAlignment="1">
      <alignment horizontal="left"/>
    </xf>
    <xf numFmtId="0" fontId="4" fillId="27" borderId="152" xfId="0" applyFont="1" applyFill="1" applyBorder="1" applyAlignment="1">
      <alignment horizontal="left" shrinkToFit="1"/>
    </xf>
    <xf numFmtId="0" fontId="4" fillId="27" borderId="74" xfId="0" applyFont="1" applyFill="1" applyBorder="1" applyAlignment="1">
      <alignment horizontal="center"/>
    </xf>
    <xf numFmtId="38" fontId="9" fillId="27" borderId="74" xfId="0" applyNumberFormat="1" applyFont="1" applyFill="1" applyBorder="1" applyAlignment="1">
      <alignment horizontal="right"/>
    </xf>
    <xf numFmtId="38" fontId="4" fillId="12" borderId="74" xfId="0" applyNumberFormat="1" applyFont="1" applyFill="1" applyBorder="1" applyAlignment="1">
      <alignment horizontal="right" shrinkToFit="1"/>
    </xf>
    <xf numFmtId="38" fontId="4" fillId="12" borderId="170" xfId="0" applyNumberFormat="1" applyFont="1" applyFill="1" applyBorder="1" applyAlignment="1">
      <alignment horizontal="right" shrinkToFit="1"/>
    </xf>
    <xf numFmtId="0" fontId="4" fillId="0" borderId="209" xfId="0" applyFont="1" applyBorder="1" applyAlignment="1"/>
    <xf numFmtId="0" fontId="4" fillId="27" borderId="23" xfId="0" applyFont="1" applyFill="1" applyBorder="1" applyAlignment="1">
      <alignment horizontal="right"/>
    </xf>
    <xf numFmtId="38" fontId="9" fillId="27" borderId="23" xfId="0" applyNumberFormat="1" applyFont="1" applyFill="1" applyBorder="1" applyAlignment="1">
      <alignment horizontal="right"/>
    </xf>
    <xf numFmtId="38" fontId="4" fillId="27" borderId="23" xfId="0" applyNumberFormat="1" applyFont="1" applyFill="1" applyBorder="1" applyAlignment="1">
      <alignment horizontal="right" shrinkToFit="1"/>
    </xf>
    <xf numFmtId="38" fontId="4" fillId="27" borderId="31" xfId="0" applyNumberFormat="1" applyFont="1" applyFill="1" applyBorder="1" applyAlignment="1">
      <alignment horizontal="right" shrinkToFit="1"/>
    </xf>
    <xf numFmtId="38" fontId="4" fillId="27" borderId="23" xfId="0" applyNumberFormat="1" applyFont="1" applyFill="1" applyBorder="1" applyAlignment="1">
      <alignment horizontal="right"/>
    </xf>
    <xf numFmtId="0" fontId="4" fillId="18" borderId="179" xfId="0" applyFont="1" applyFill="1" applyBorder="1" applyAlignment="1">
      <alignment horizontal="right"/>
    </xf>
    <xf numFmtId="0" fontId="4" fillId="18" borderId="0" xfId="0" applyFont="1" applyFill="1" applyBorder="1" applyAlignment="1">
      <alignment horizontal="right"/>
    </xf>
    <xf numFmtId="0" fontId="4" fillId="18" borderId="209" xfId="0" applyFont="1" applyFill="1" applyBorder="1" applyAlignment="1">
      <alignment horizontal="left"/>
    </xf>
    <xf numFmtId="0" fontId="4" fillId="18" borderId="23" xfId="0" applyFont="1" applyFill="1" applyBorder="1" applyAlignment="1">
      <alignment horizontal="right"/>
    </xf>
    <xf numFmtId="38" fontId="9" fillId="18" borderId="23" xfId="0" applyNumberFormat="1" applyFont="1" applyFill="1" applyBorder="1" applyAlignment="1">
      <alignment horizontal="right"/>
    </xf>
    <xf numFmtId="38" fontId="4" fillId="18" borderId="23" xfId="0" applyNumberFormat="1" applyFont="1" applyFill="1" applyBorder="1" applyAlignment="1">
      <alignment horizontal="right" shrinkToFit="1"/>
    </xf>
    <xf numFmtId="38" fontId="4" fillId="18" borderId="31" xfId="0" applyNumberFormat="1" applyFont="1" applyFill="1" applyBorder="1" applyAlignment="1">
      <alignment horizontal="right" shrinkToFit="1"/>
    </xf>
    <xf numFmtId="0" fontId="4" fillId="18" borderId="0" xfId="0" applyFont="1" applyFill="1" applyBorder="1" applyAlignment="1"/>
    <xf numFmtId="0" fontId="4" fillId="27" borderId="209" xfId="0" applyFont="1" applyFill="1" applyBorder="1" applyAlignment="1">
      <alignment horizontal="center" vertical="center"/>
    </xf>
    <xf numFmtId="38" fontId="4" fillId="12" borderId="23" xfId="0" applyNumberFormat="1" applyFont="1" applyFill="1" applyBorder="1" applyAlignment="1">
      <alignment horizontal="right" shrinkToFit="1"/>
    </xf>
    <xf numFmtId="38" fontId="4" fillId="12" borderId="31" xfId="0" applyNumberFormat="1" applyFont="1" applyFill="1" applyBorder="1" applyAlignment="1">
      <alignment horizontal="right" shrinkToFit="1"/>
    </xf>
    <xf numFmtId="0" fontId="4" fillId="0" borderId="209" xfId="0" applyFont="1" applyFill="1" applyBorder="1" applyAlignment="1">
      <alignment horizontal="center"/>
    </xf>
    <xf numFmtId="0" fontId="4" fillId="27" borderId="0" xfId="0" applyFont="1" applyFill="1" applyBorder="1" applyAlignment="1">
      <alignment horizontal="center"/>
    </xf>
    <xf numFmtId="0" fontId="4" fillId="27" borderId="0" xfId="0" applyFont="1" applyFill="1" applyBorder="1" applyAlignment="1">
      <alignment horizontal="left"/>
    </xf>
    <xf numFmtId="0" fontId="4" fillId="27" borderId="120" xfId="0" applyFont="1" applyFill="1" applyBorder="1" applyAlignment="1">
      <alignment horizontal="right"/>
    </xf>
    <xf numFmtId="38" fontId="9" fillId="27" borderId="120" xfId="0" applyNumberFormat="1" applyFont="1" applyFill="1" applyBorder="1" applyAlignment="1">
      <alignment horizontal="right"/>
    </xf>
    <xf numFmtId="38" fontId="4" fillId="12" borderId="120" xfId="0" applyNumberFormat="1" applyFont="1" applyFill="1" applyBorder="1" applyAlignment="1">
      <alignment horizontal="right" shrinkToFit="1"/>
    </xf>
    <xf numFmtId="38" fontId="4" fillId="12" borderId="169" xfId="0" applyNumberFormat="1" applyFont="1" applyFill="1" applyBorder="1" applyAlignment="1">
      <alignment horizontal="right" shrinkToFit="1"/>
    </xf>
    <xf numFmtId="0" fontId="4" fillId="27" borderId="180" xfId="0" applyFont="1" applyFill="1" applyBorder="1" applyAlignment="1">
      <alignment horizontal="right"/>
    </xf>
    <xf numFmtId="0" fontId="4" fillId="27" borderId="79" xfId="0" applyFont="1" applyFill="1" applyBorder="1" applyAlignment="1">
      <alignment horizontal="right"/>
    </xf>
    <xf numFmtId="0" fontId="4" fillId="27" borderId="149" xfId="0" applyFont="1" applyFill="1" applyBorder="1" applyAlignment="1">
      <alignment horizontal="center"/>
    </xf>
    <xf numFmtId="0" fontId="4" fillId="27" borderId="149" xfId="0" applyFont="1" applyFill="1" applyBorder="1" applyAlignment="1">
      <alignment horizontal="left"/>
    </xf>
    <xf numFmtId="0" fontId="4" fillId="27" borderId="77" xfId="0" applyFont="1" applyFill="1" applyBorder="1" applyAlignment="1">
      <alignment horizontal="right"/>
    </xf>
    <xf numFmtId="38" fontId="9" fillId="27" borderId="77" xfId="0" applyNumberFormat="1" applyFont="1" applyFill="1" applyBorder="1" applyAlignment="1">
      <alignment horizontal="right"/>
    </xf>
    <xf numFmtId="38" fontId="4" fillId="0" borderId="77" xfId="0" applyNumberFormat="1" applyFont="1" applyFill="1" applyBorder="1" applyAlignment="1">
      <alignment horizontal="right" shrinkToFit="1"/>
    </xf>
    <xf numFmtId="38" fontId="4" fillId="0" borderId="90" xfId="0" applyNumberFormat="1" applyFont="1" applyFill="1" applyBorder="1" applyAlignment="1">
      <alignment horizontal="right" shrinkToFit="1"/>
    </xf>
    <xf numFmtId="38" fontId="4" fillId="0" borderId="120" xfId="0" applyNumberFormat="1" applyFont="1" applyFill="1" applyBorder="1" applyAlignment="1">
      <alignment horizontal="right" shrinkToFit="1"/>
    </xf>
    <xf numFmtId="38" fontId="4" fillId="27" borderId="120" xfId="0" applyNumberFormat="1" applyFont="1" applyFill="1" applyBorder="1" applyAlignment="1">
      <alignment horizontal="right" shrinkToFit="1"/>
    </xf>
    <xf numFmtId="38" fontId="4" fillId="27" borderId="169" xfId="0" applyNumberFormat="1" applyFont="1" applyFill="1" applyBorder="1" applyAlignment="1">
      <alignment horizontal="right" shrinkToFit="1"/>
    </xf>
    <xf numFmtId="0" fontId="4" fillId="18" borderId="152" xfId="0" applyFont="1" applyFill="1" applyBorder="1" applyAlignment="1">
      <alignment horizontal="left"/>
    </xf>
    <xf numFmtId="0" fontId="4" fillId="18" borderId="74" xfId="0" applyFont="1" applyFill="1" applyBorder="1" applyAlignment="1">
      <alignment horizontal="right"/>
    </xf>
    <xf numFmtId="38" fontId="9" fillId="18" borderId="74" xfId="0" applyNumberFormat="1" applyFont="1" applyFill="1" applyBorder="1" applyAlignment="1">
      <alignment horizontal="right"/>
    </xf>
    <xf numFmtId="38" fontId="4" fillId="0" borderId="74" xfId="0" applyNumberFormat="1" applyFont="1" applyFill="1" applyBorder="1" applyAlignment="1">
      <alignment horizontal="right" shrinkToFit="1"/>
    </xf>
    <xf numFmtId="38" fontId="4" fillId="18" borderId="74" xfId="0" applyNumberFormat="1" applyFont="1" applyFill="1" applyBorder="1" applyAlignment="1">
      <alignment horizontal="right" shrinkToFit="1"/>
    </xf>
    <xf numFmtId="38" fontId="4" fillId="18" borderId="170" xfId="0" applyNumberFormat="1" applyFont="1" applyFill="1" applyBorder="1" applyAlignment="1">
      <alignment horizontal="right" shrinkToFit="1"/>
    </xf>
    <xf numFmtId="0" fontId="4" fillId="18" borderId="87" xfId="0" applyFont="1" applyFill="1" applyBorder="1" applyAlignment="1">
      <alignment horizontal="right"/>
    </xf>
    <xf numFmtId="38" fontId="4" fillId="0" borderId="87" xfId="0" applyNumberFormat="1" applyFont="1" applyFill="1" applyBorder="1" applyAlignment="1">
      <alignment horizontal="right" shrinkToFit="1"/>
    </xf>
    <xf numFmtId="38" fontId="4" fillId="18" borderId="87" xfId="0" applyNumberFormat="1" applyFont="1" applyFill="1" applyBorder="1" applyAlignment="1">
      <alignment horizontal="right" shrinkToFit="1"/>
    </xf>
    <xf numFmtId="38" fontId="4" fillId="18" borderId="91" xfId="0" applyNumberFormat="1" applyFont="1" applyFill="1" applyBorder="1" applyAlignment="1">
      <alignment horizontal="right" shrinkToFit="1"/>
    </xf>
    <xf numFmtId="0" fontId="4" fillId="18" borderId="209" xfId="0" applyFont="1" applyFill="1" applyBorder="1" applyAlignment="1">
      <alignment horizontal="right"/>
    </xf>
    <xf numFmtId="38" fontId="4" fillId="0" borderId="23" xfId="0" applyNumberFormat="1" applyFont="1" applyFill="1" applyBorder="1" applyAlignment="1">
      <alignment horizontal="right" shrinkToFit="1"/>
    </xf>
    <xf numFmtId="0" fontId="4" fillId="0" borderId="179" xfId="0" applyFont="1" applyFill="1" applyBorder="1" applyAlignment="1">
      <alignment horizontal="right"/>
    </xf>
    <xf numFmtId="0" fontId="4" fillId="0" borderId="0" xfId="0" applyFont="1" applyFill="1" applyBorder="1" applyAlignment="1">
      <alignment horizontal="right"/>
    </xf>
    <xf numFmtId="0" fontId="4" fillId="0" borderId="209" xfId="0" applyFont="1" applyFill="1" applyBorder="1" applyAlignment="1">
      <alignment horizontal="left"/>
    </xf>
    <xf numFmtId="0" fontId="4" fillId="0" borderId="23" xfId="0" applyFont="1" applyFill="1" applyBorder="1" applyAlignment="1">
      <alignment horizontal="right"/>
    </xf>
    <xf numFmtId="38" fontId="9" fillId="0" borderId="23" xfId="0" applyNumberFormat="1" applyFont="1" applyFill="1" applyBorder="1" applyAlignment="1">
      <alignment horizontal="right"/>
    </xf>
    <xf numFmtId="38" fontId="4" fillId="0" borderId="31" xfId="0" applyNumberFormat="1" applyFont="1" applyFill="1" applyBorder="1" applyAlignment="1">
      <alignment horizontal="right" shrinkToFit="1"/>
    </xf>
    <xf numFmtId="0" fontId="4" fillId="0" borderId="0" xfId="0" applyFont="1" applyFill="1" applyBorder="1" applyAlignment="1"/>
    <xf numFmtId="0" fontId="4" fillId="0" borderId="209" xfId="0" applyFont="1" applyFill="1" applyBorder="1" applyAlignment="1">
      <alignment horizontal="right"/>
    </xf>
    <xf numFmtId="38" fontId="4" fillId="0" borderId="0" xfId="0" applyNumberFormat="1" applyFont="1" applyFill="1" applyBorder="1" applyAlignment="1">
      <alignment horizontal="right"/>
    </xf>
    <xf numFmtId="0" fontId="4" fillId="0" borderId="0" xfId="0" applyFont="1" applyFill="1" applyBorder="1" applyAlignment="1">
      <alignment horizontal="left"/>
    </xf>
    <xf numFmtId="0" fontId="4" fillId="0" borderId="120" xfId="0" applyFont="1" applyFill="1" applyBorder="1" applyAlignment="1">
      <alignment horizontal="right"/>
    </xf>
    <xf numFmtId="38" fontId="9" fillId="0" borderId="120" xfId="0" applyNumberFormat="1" applyFont="1" applyFill="1" applyBorder="1" applyAlignment="1">
      <alignment horizontal="right"/>
    </xf>
    <xf numFmtId="38" fontId="4" fillId="0" borderId="169" xfId="0" applyNumberFormat="1" applyFont="1" applyFill="1" applyBorder="1" applyAlignment="1">
      <alignment horizontal="right" shrinkToFit="1"/>
    </xf>
    <xf numFmtId="0" fontId="4" fillId="27" borderId="14" xfId="0" applyFont="1" applyFill="1" applyBorder="1" applyAlignment="1">
      <alignment horizontal="right"/>
    </xf>
    <xf numFmtId="0" fontId="4" fillId="27" borderId="138" xfId="0" applyFont="1" applyFill="1" applyBorder="1" applyAlignment="1">
      <alignment horizontal="right"/>
    </xf>
    <xf numFmtId="38" fontId="4" fillId="27" borderId="138" xfId="0" applyNumberFormat="1" applyFont="1" applyFill="1" applyBorder="1" applyAlignment="1">
      <alignment horizontal="right" shrinkToFit="1"/>
    </xf>
    <xf numFmtId="38" fontId="4" fillId="27" borderId="139" xfId="0" applyNumberFormat="1" applyFont="1" applyFill="1" applyBorder="1" applyAlignment="1">
      <alignment horizontal="right" shrinkToFit="1"/>
    </xf>
    <xf numFmtId="0" fontId="4" fillId="27" borderId="15" xfId="0" applyFont="1" applyFill="1" applyBorder="1" applyAlignment="1">
      <alignment horizontal="right"/>
    </xf>
    <xf numFmtId="0" fontId="36" fillId="27" borderId="0" xfId="0" applyFont="1" applyFill="1" applyBorder="1" applyAlignment="1">
      <alignment horizontal="left"/>
    </xf>
    <xf numFmtId="0" fontId="59" fillId="27" borderId="0" xfId="0" applyFont="1" applyFill="1" applyBorder="1" applyAlignment="1">
      <alignment horizontal="center"/>
    </xf>
    <xf numFmtId="0" fontId="9" fillId="27" borderId="0" xfId="0" applyFont="1" applyFill="1" applyBorder="1" applyAlignment="1">
      <alignment horizontal="center"/>
    </xf>
    <xf numFmtId="0" fontId="4" fillId="27" borderId="0" xfId="0" applyFont="1" applyFill="1" applyBorder="1" applyAlignment="1">
      <alignment horizontal="left" shrinkToFit="1"/>
    </xf>
    <xf numFmtId="0" fontId="4" fillId="27" borderId="0" xfId="0" applyFont="1" applyFill="1" applyBorder="1" applyAlignment="1">
      <alignment horizontal="right" shrinkToFit="1"/>
    </xf>
    <xf numFmtId="0" fontId="4" fillId="27" borderId="194" xfId="0" applyFont="1" applyFill="1" applyBorder="1" applyAlignment="1">
      <alignment horizontal="right" shrinkToFit="1"/>
    </xf>
    <xf numFmtId="0" fontId="4" fillId="27" borderId="181" xfId="0" applyFont="1" applyFill="1" applyBorder="1" applyAlignment="1">
      <alignment horizontal="center"/>
    </xf>
    <xf numFmtId="0" fontId="9" fillId="27" borderId="181" xfId="0" applyFont="1" applyFill="1" applyBorder="1" applyAlignment="1">
      <alignment horizontal="center"/>
    </xf>
    <xf numFmtId="0" fontId="4" fillId="27" borderId="181" xfId="0" applyFont="1" applyFill="1" applyBorder="1" applyAlignment="1">
      <alignment horizontal="center" shrinkToFit="1"/>
    </xf>
    <xf numFmtId="0" fontId="4" fillId="27" borderId="193" xfId="0" applyFont="1" applyFill="1" applyBorder="1" applyAlignment="1">
      <alignment horizontal="center" shrinkToFit="1"/>
    </xf>
    <xf numFmtId="0" fontId="36" fillId="27" borderId="179" xfId="0" applyFont="1" applyFill="1" applyBorder="1" applyAlignment="1">
      <alignment horizontal="left"/>
    </xf>
    <xf numFmtId="0" fontId="59" fillId="27" borderId="0" xfId="0" applyFont="1" applyFill="1" applyBorder="1" applyAlignment="1">
      <alignment horizontal="left"/>
    </xf>
    <xf numFmtId="0" fontId="59" fillId="27" borderId="79" xfId="0" applyFont="1" applyFill="1" applyBorder="1" applyAlignment="1">
      <alignment horizontal="left"/>
    </xf>
    <xf numFmtId="0" fontId="4" fillId="27" borderId="81" xfId="0" applyFont="1" applyFill="1" applyBorder="1" applyAlignment="1">
      <alignment horizontal="center"/>
    </xf>
    <xf numFmtId="0" fontId="9" fillId="27" borderId="81" xfId="0" applyFont="1" applyFill="1" applyBorder="1" applyAlignment="1">
      <alignment horizontal="right"/>
    </xf>
    <xf numFmtId="0" fontId="4" fillId="27" borderId="81" xfId="0" applyFont="1" applyFill="1" applyBorder="1" applyAlignment="1">
      <alignment horizontal="right" shrinkToFit="1"/>
    </xf>
    <xf numFmtId="0" fontId="4" fillId="27" borderId="92" xfId="0" applyFont="1" applyFill="1" applyBorder="1" applyAlignment="1">
      <alignment horizontal="right" shrinkToFit="1"/>
    </xf>
    <xf numFmtId="38" fontId="4" fillId="0" borderId="170" xfId="0" applyNumberFormat="1" applyFont="1" applyFill="1" applyBorder="1" applyAlignment="1">
      <alignment horizontal="right" shrinkToFit="1"/>
    </xf>
    <xf numFmtId="0" fontId="4" fillId="27" borderId="209" xfId="0" applyFont="1" applyFill="1" applyBorder="1" applyAlignment="1">
      <alignment horizontal="left" shrinkToFit="1"/>
    </xf>
    <xf numFmtId="0" fontId="18" fillId="27" borderId="209" xfId="0" applyFont="1" applyFill="1" applyBorder="1" applyAlignment="1">
      <alignment horizontal="left"/>
    </xf>
    <xf numFmtId="38" fontId="9" fillId="12" borderId="23" xfId="0" applyNumberFormat="1" applyFont="1" applyFill="1" applyBorder="1" applyAlignment="1">
      <alignment horizontal="right" shrinkToFit="1"/>
    </xf>
    <xf numFmtId="38" fontId="9" fillId="12" borderId="31" xfId="0" applyNumberFormat="1" applyFont="1" applyFill="1" applyBorder="1" applyAlignment="1">
      <alignment horizontal="right" shrinkToFit="1"/>
    </xf>
    <xf numFmtId="38" fontId="9" fillId="0" borderId="23" xfId="0" applyNumberFormat="1" applyFont="1" applyFill="1" applyBorder="1" applyAlignment="1">
      <alignment horizontal="right" shrinkToFit="1"/>
    </xf>
    <xf numFmtId="38" fontId="9" fillId="0" borderId="31" xfId="0" applyNumberFormat="1" applyFont="1" applyFill="1" applyBorder="1" applyAlignment="1">
      <alignment horizontal="right" shrinkToFit="1"/>
    </xf>
    <xf numFmtId="0" fontId="4" fillId="27" borderId="209" xfId="0" quotePrefix="1" applyFont="1" applyFill="1" applyBorder="1" applyAlignment="1">
      <alignment horizontal="left" shrinkToFit="1"/>
    </xf>
    <xf numFmtId="0" fontId="4" fillId="27" borderId="209" xfId="0" quotePrefix="1" applyFont="1" applyFill="1" applyBorder="1" applyAlignment="1">
      <alignment horizontal="left"/>
    </xf>
    <xf numFmtId="0" fontId="4" fillId="0" borderId="209" xfId="0" applyFont="1" applyFill="1" applyBorder="1" applyAlignment="1">
      <alignment horizontal="left" shrinkToFit="1"/>
    </xf>
    <xf numFmtId="0" fontId="4" fillId="27" borderId="198" xfId="0" applyFont="1" applyFill="1" applyBorder="1" applyAlignment="1">
      <alignment horizontal="left" shrinkToFit="1"/>
    </xf>
    <xf numFmtId="0" fontId="4" fillId="27" borderId="119" xfId="0" applyFont="1" applyFill="1" applyBorder="1" applyAlignment="1">
      <alignment horizontal="right"/>
    </xf>
    <xf numFmtId="38" fontId="9" fillId="29" borderId="23" xfId="0" applyNumberFormat="1" applyFont="1" applyFill="1" applyBorder="1" applyAlignment="1">
      <alignment horizontal="right" shrinkToFit="1"/>
    </xf>
    <xf numFmtId="38" fontId="9" fillId="29" borderId="31" xfId="0" applyNumberFormat="1" applyFont="1" applyFill="1" applyBorder="1" applyAlignment="1">
      <alignment horizontal="right" shrinkToFit="1"/>
    </xf>
    <xf numFmtId="0" fontId="4" fillId="27" borderId="149" xfId="0" applyFont="1" applyFill="1" applyBorder="1" applyAlignment="1">
      <alignment horizontal="left" shrinkToFit="1"/>
    </xf>
    <xf numFmtId="38" fontId="9" fillId="12" borderId="77" xfId="0" applyNumberFormat="1" applyFont="1" applyFill="1" applyBorder="1" applyAlignment="1">
      <alignment horizontal="right" shrinkToFit="1"/>
    </xf>
    <xf numFmtId="38" fontId="9" fillId="12" borderId="90" xfId="0" applyNumberFormat="1" applyFont="1" applyFill="1" applyBorder="1" applyAlignment="1">
      <alignment horizontal="right" shrinkToFit="1"/>
    </xf>
    <xf numFmtId="0" fontId="58" fillId="0" borderId="0" xfId="0" applyFont="1" applyFill="1" applyBorder="1" applyAlignment="1">
      <alignment horizontal="right"/>
    </xf>
    <xf numFmtId="0" fontId="60" fillId="0" borderId="0" xfId="0" applyFont="1" applyFill="1" applyBorder="1" applyAlignment="1">
      <alignment horizontal="center"/>
    </xf>
    <xf numFmtId="0" fontId="58" fillId="0" borderId="0" xfId="0" applyFont="1" applyFill="1" applyBorder="1" applyAlignment="1">
      <alignment horizontal="center"/>
    </xf>
    <xf numFmtId="0" fontId="58" fillId="0" borderId="0" xfId="0" applyFont="1" applyFill="1" applyBorder="1" applyAlignment="1">
      <alignment horizontal="right" shrinkToFit="1"/>
    </xf>
    <xf numFmtId="0" fontId="58" fillId="0" borderId="0" xfId="0" applyFont="1" applyFill="1" applyBorder="1" applyAlignment="1">
      <alignment horizontal="center" shrinkToFit="1"/>
    </xf>
    <xf numFmtId="0" fontId="58" fillId="0" borderId="0" xfId="0" applyFont="1" applyFill="1" applyBorder="1" applyAlignment="1"/>
    <xf numFmtId="0" fontId="61" fillId="0" borderId="0" xfId="0" applyFont="1" applyFill="1" applyBorder="1" applyAlignment="1">
      <alignment horizontal="left"/>
    </xf>
    <xf numFmtId="0" fontId="58" fillId="0" borderId="177" xfId="0" applyFont="1" applyFill="1" applyBorder="1" applyAlignment="1">
      <alignment horizontal="right"/>
    </xf>
    <xf numFmtId="0" fontId="58" fillId="0" borderId="178" xfId="0" applyFont="1" applyFill="1" applyBorder="1" applyAlignment="1">
      <alignment horizontal="right"/>
    </xf>
    <xf numFmtId="0" fontId="58" fillId="0" borderId="181" xfId="0" applyFont="1" applyFill="1" applyBorder="1" applyAlignment="1">
      <alignment horizontal="center"/>
    </xf>
    <xf numFmtId="0" fontId="58" fillId="0" borderId="181" xfId="0" applyFont="1" applyFill="1" applyBorder="1" applyAlignment="1">
      <alignment horizontal="center" shrinkToFit="1"/>
    </xf>
    <xf numFmtId="0" fontId="58" fillId="0" borderId="193" xfId="0" applyFont="1" applyFill="1" applyBorder="1" applyAlignment="1">
      <alignment horizontal="center" shrinkToFit="1"/>
    </xf>
    <xf numFmtId="38" fontId="58" fillId="0" borderId="81" xfId="0" applyNumberFormat="1" applyFont="1" applyFill="1" applyBorder="1" applyAlignment="1">
      <alignment horizontal="right"/>
    </xf>
    <xf numFmtId="38" fontId="58" fillId="0" borderId="81" xfId="0" applyNumberFormat="1" applyFont="1" applyFill="1" applyBorder="1" applyAlignment="1">
      <alignment horizontal="right" shrinkToFit="1"/>
    </xf>
    <xf numFmtId="38" fontId="58" fillId="0" borderId="92" xfId="0" applyNumberFormat="1" applyFont="1" applyFill="1" applyBorder="1" applyAlignment="1">
      <alignment horizontal="right" shrinkToFit="1"/>
    </xf>
    <xf numFmtId="0" fontId="58" fillId="0" borderId="75" xfId="0" applyFont="1" applyFill="1" applyBorder="1" applyAlignment="1"/>
    <xf numFmtId="0" fontId="58" fillId="0" borderId="152" xfId="0" applyFont="1" applyFill="1" applyBorder="1" applyAlignment="1">
      <alignment shrinkToFit="1"/>
    </xf>
    <xf numFmtId="0" fontId="58" fillId="0" borderId="182" xfId="0" applyFont="1" applyFill="1" applyBorder="1" applyAlignment="1">
      <alignment shrinkToFit="1"/>
    </xf>
    <xf numFmtId="38" fontId="58" fillId="0" borderId="181" xfId="0" applyNumberFormat="1" applyFont="1" applyFill="1" applyBorder="1" applyAlignment="1">
      <alignment horizontal="right"/>
    </xf>
    <xf numFmtId="38" fontId="55" fillId="0" borderId="181" xfId="0" applyNumberFormat="1" applyFont="1" applyFill="1" applyBorder="1" applyAlignment="1">
      <alignment horizontal="right" shrinkToFit="1"/>
    </xf>
    <xf numFmtId="38" fontId="55" fillId="0" borderId="193" xfId="0" applyNumberFormat="1" applyFont="1" applyFill="1" applyBorder="1" applyAlignment="1">
      <alignment horizontal="right" shrinkToFit="1"/>
    </xf>
    <xf numFmtId="0" fontId="58" fillId="0" borderId="23" xfId="0" applyFont="1" applyFill="1" applyBorder="1" applyAlignment="1">
      <alignment horizontal="left" shrinkToFit="1"/>
    </xf>
    <xf numFmtId="193" fontId="58" fillId="0" borderId="23" xfId="0" applyNumberFormat="1" applyFont="1" applyFill="1" applyBorder="1" applyAlignment="1">
      <alignment horizontal="right" shrinkToFit="1"/>
    </xf>
    <xf numFmtId="10" fontId="58" fillId="0" borderId="23" xfId="0" quotePrefix="1" applyNumberFormat="1" applyFont="1" applyFill="1" applyBorder="1" applyAlignment="1">
      <alignment horizontal="center" shrinkToFit="1"/>
    </xf>
    <xf numFmtId="38" fontId="58" fillId="0" borderId="23" xfId="0" applyNumberFormat="1" applyFont="1" applyFill="1" applyBorder="1" applyAlignment="1">
      <alignment horizontal="right"/>
    </xf>
    <xf numFmtId="38" fontId="58" fillId="0" borderId="23" xfId="0" applyNumberFormat="1" applyFont="1" applyFill="1" applyBorder="1" applyAlignment="1">
      <alignment horizontal="right" shrinkToFit="1"/>
    </xf>
    <xf numFmtId="38" fontId="58" fillId="0" borderId="31" xfId="0" applyNumberFormat="1" applyFont="1" applyFill="1" applyBorder="1" applyAlignment="1">
      <alignment horizontal="right" shrinkToFit="1"/>
    </xf>
    <xf numFmtId="0" fontId="58" fillId="27" borderId="23" xfId="0" applyFont="1" applyFill="1" applyBorder="1" applyAlignment="1">
      <alignment horizontal="left" shrinkToFit="1"/>
    </xf>
    <xf numFmtId="10" fontId="58" fillId="0" borderId="23" xfId="0" applyNumberFormat="1" applyFont="1" applyFill="1" applyBorder="1" applyAlignment="1">
      <alignment horizontal="right" shrinkToFit="1"/>
    </xf>
    <xf numFmtId="0" fontId="58" fillId="27" borderId="23" xfId="0" quotePrefix="1" applyFont="1" applyFill="1" applyBorder="1" applyAlignment="1">
      <alignment horizontal="left" shrinkToFit="1"/>
    </xf>
    <xf numFmtId="0" fontId="58" fillId="27" borderId="166" xfId="0" applyFont="1" applyFill="1" applyBorder="1" applyAlignment="1">
      <alignment horizontal="center" vertical="center" shrinkToFit="1"/>
    </xf>
    <xf numFmtId="49" fontId="55" fillId="0" borderId="77" xfId="0" applyNumberFormat="1" applyFont="1" applyFill="1" applyBorder="1" applyAlignment="1">
      <alignment horizontal="left" shrinkToFit="1"/>
    </xf>
    <xf numFmtId="193" fontId="58" fillId="0" borderId="77" xfId="0" applyNumberFormat="1" applyFont="1" applyFill="1" applyBorder="1" applyAlignment="1">
      <alignment horizontal="right" shrinkToFit="1"/>
    </xf>
    <xf numFmtId="10" fontId="58" fillId="0" borderId="77" xfId="0" applyNumberFormat="1" applyFont="1" applyFill="1" applyBorder="1" applyAlignment="1">
      <alignment horizontal="right" shrinkToFit="1"/>
    </xf>
    <xf numFmtId="38" fontId="58" fillId="0" borderId="77" xfId="0" applyNumberFormat="1" applyFont="1" applyFill="1" applyBorder="1" applyAlignment="1">
      <alignment horizontal="right"/>
    </xf>
    <xf numFmtId="38" fontId="58" fillId="0" borderId="77" xfId="0" applyNumberFormat="1" applyFont="1" applyFill="1" applyBorder="1" applyAlignment="1">
      <alignment horizontal="right" shrinkToFit="1"/>
    </xf>
    <xf numFmtId="38" fontId="58" fillId="0" borderId="90" xfId="0" applyNumberFormat="1" applyFont="1" applyFill="1" applyBorder="1" applyAlignment="1">
      <alignment horizontal="right" shrinkToFit="1"/>
    </xf>
    <xf numFmtId="0" fontId="58" fillId="0" borderId="177" xfId="0" applyFont="1" applyFill="1" applyBorder="1" applyAlignment="1">
      <alignment horizontal="center" shrinkToFit="1"/>
    </xf>
    <xf numFmtId="0" fontId="58" fillId="27" borderId="178" xfId="0" applyFont="1" applyFill="1" applyBorder="1" applyAlignment="1">
      <alignment horizontal="center" vertical="center" shrinkToFit="1"/>
    </xf>
    <xf numFmtId="0" fontId="58" fillId="27" borderId="178" xfId="0" applyFont="1" applyFill="1" applyBorder="1" applyAlignment="1">
      <alignment horizontal="left" shrinkToFit="1"/>
    </xf>
    <xf numFmtId="38" fontId="58" fillId="0" borderId="181" xfId="0" applyNumberFormat="1" applyFont="1" applyFill="1" applyBorder="1" applyAlignment="1">
      <alignment horizontal="right" shrinkToFit="1"/>
    </xf>
    <xf numFmtId="38" fontId="58" fillId="0" borderId="193" xfId="0" applyNumberFormat="1" applyFont="1" applyFill="1" applyBorder="1" applyAlignment="1">
      <alignment horizontal="right" shrinkToFit="1"/>
    </xf>
    <xf numFmtId="0" fontId="58" fillId="0" borderId="181" xfId="0" applyFont="1" applyFill="1" applyBorder="1" applyAlignment="1">
      <alignment horizontal="left" shrinkToFit="1"/>
    </xf>
    <xf numFmtId="193" fontId="58" fillId="0" borderId="181" xfId="0" applyNumberFormat="1" applyFont="1" applyFill="1" applyBorder="1" applyAlignment="1">
      <alignment vertical="center" shrinkToFit="1"/>
    </xf>
    <xf numFmtId="10" fontId="58" fillId="0" borderId="74" xfId="0" applyNumberFormat="1" applyFont="1" applyFill="1" applyBorder="1" applyAlignment="1">
      <alignment horizontal="center" vertical="center"/>
    </xf>
    <xf numFmtId="38" fontId="62" fillId="0" borderId="74" xfId="0" applyNumberFormat="1" applyFont="1" applyFill="1" applyBorder="1" applyAlignment="1">
      <alignment horizontal="right"/>
    </xf>
    <xf numFmtId="10" fontId="58" fillId="0" borderId="74" xfId="0" applyNumberFormat="1" applyFont="1" applyFill="1" applyBorder="1" applyAlignment="1">
      <alignment horizontal="left" vertical="center" shrinkToFit="1"/>
    </xf>
    <xf numFmtId="10" fontId="58" fillId="0" borderId="170" xfId="0" applyNumberFormat="1" applyFont="1" applyFill="1" applyBorder="1" applyAlignment="1">
      <alignment horizontal="left" vertical="center" shrinkToFit="1"/>
    </xf>
    <xf numFmtId="0" fontId="58" fillId="0" borderId="87" xfId="0" applyFont="1" applyFill="1" applyBorder="1" applyAlignment="1">
      <alignment horizontal="left" shrinkToFit="1"/>
    </xf>
    <xf numFmtId="193" fontId="58" fillId="0" borderId="87" xfId="0" applyNumberFormat="1" applyFont="1" applyFill="1" applyBorder="1" applyAlignment="1">
      <alignment vertical="top" shrinkToFit="1"/>
    </xf>
    <xf numFmtId="10" fontId="58" fillId="0" borderId="23" xfId="0" applyNumberFormat="1" applyFont="1" applyFill="1" applyBorder="1" applyAlignment="1">
      <alignment horizontal="center" vertical="center"/>
    </xf>
    <xf numFmtId="38" fontId="58" fillId="0" borderId="87" xfId="0" applyNumberFormat="1" applyFont="1" applyFill="1" applyBorder="1" applyAlignment="1">
      <alignment horizontal="right" shrinkToFit="1"/>
    </xf>
    <xf numFmtId="38" fontId="58" fillId="0" borderId="91" xfId="0" applyNumberFormat="1" applyFont="1" applyFill="1" applyBorder="1" applyAlignment="1">
      <alignment horizontal="right" shrinkToFit="1"/>
    </xf>
    <xf numFmtId="0" fontId="58" fillId="0" borderId="119" xfId="0" applyFont="1" applyFill="1" applyBorder="1" applyAlignment="1">
      <alignment horizontal="left" shrinkToFit="1"/>
    </xf>
    <xf numFmtId="0" fontId="58" fillId="0" borderId="198" xfId="0" applyFont="1" applyFill="1" applyBorder="1" applyAlignment="1"/>
    <xf numFmtId="38" fontId="62" fillId="0" borderId="23" xfId="0" applyNumberFormat="1" applyFont="1" applyFill="1" applyBorder="1" applyAlignment="1">
      <alignment horizontal="right"/>
    </xf>
    <xf numFmtId="10" fontId="58" fillId="0" borderId="23" xfId="0" applyNumberFormat="1" applyFont="1" applyFill="1" applyBorder="1" applyAlignment="1">
      <alignment horizontal="left" shrinkToFit="1"/>
    </xf>
    <xf numFmtId="10" fontId="58" fillId="0" borderId="31" xfId="0" applyNumberFormat="1" applyFont="1" applyFill="1" applyBorder="1" applyAlignment="1">
      <alignment horizontal="left" shrinkToFit="1"/>
    </xf>
    <xf numFmtId="193" fontId="58" fillId="0" borderId="87" xfId="0" applyNumberFormat="1" applyFont="1" applyFill="1" applyBorder="1" applyAlignment="1">
      <alignment shrinkToFit="1"/>
    </xf>
    <xf numFmtId="193" fontId="58" fillId="0" borderId="23" xfId="0" applyNumberFormat="1" applyFont="1" applyFill="1" applyBorder="1" applyAlignment="1">
      <alignment shrinkToFit="1"/>
    </xf>
    <xf numFmtId="0" fontId="58" fillId="27" borderId="23" xfId="0" applyFont="1" applyFill="1" applyBorder="1" applyAlignment="1">
      <alignment horizontal="left" vertical="center" shrinkToFit="1"/>
    </xf>
    <xf numFmtId="0" fontId="58" fillId="27" borderId="236" xfId="0" applyFont="1" applyFill="1" applyBorder="1" applyAlignment="1">
      <alignment horizontal="center" vertical="center" shrinkToFit="1"/>
    </xf>
    <xf numFmtId="49" fontId="58" fillId="27" borderId="77" xfId="0" applyNumberFormat="1" applyFont="1" applyFill="1" applyBorder="1" applyAlignment="1">
      <alignment horizontal="left" shrinkToFit="1"/>
    </xf>
    <xf numFmtId="193" fontId="58" fillId="0" borderId="237" xfId="0" applyNumberFormat="1" applyFont="1" applyFill="1" applyBorder="1" applyAlignment="1">
      <alignment shrinkToFit="1"/>
    </xf>
    <xf numFmtId="10" fontId="58" fillId="0" borderId="237" xfId="0" applyNumberFormat="1" applyFont="1" applyFill="1" applyBorder="1" applyAlignment="1">
      <alignment horizontal="right" shrinkToFit="1"/>
    </xf>
    <xf numFmtId="38" fontId="58" fillId="0" borderId="237" xfId="0" applyNumberFormat="1" applyFont="1" applyFill="1" applyBorder="1" applyAlignment="1">
      <alignment horizontal="right"/>
    </xf>
    <xf numFmtId="0" fontId="58" fillId="0" borderId="183" xfId="0" applyFont="1" applyFill="1" applyBorder="1" applyAlignment="1">
      <alignment horizontal="right"/>
    </xf>
    <xf numFmtId="0" fontId="58" fillId="0" borderId="184" xfId="0" applyFont="1" applyFill="1" applyBorder="1" applyAlignment="1">
      <alignment horizontal="right"/>
    </xf>
    <xf numFmtId="0" fontId="58" fillId="0" borderId="184" xfId="0" applyFont="1" applyFill="1" applyBorder="1" applyAlignment="1">
      <alignment horizontal="left"/>
    </xf>
    <xf numFmtId="0" fontId="58" fillId="0" borderId="185" xfId="0" applyFont="1" applyFill="1" applyBorder="1" applyAlignment="1">
      <alignment horizontal="left"/>
    </xf>
    <xf numFmtId="0" fontId="58" fillId="0" borderId="185" xfId="0" applyFont="1" applyFill="1" applyBorder="1" applyAlignment="1">
      <alignment horizontal="right"/>
    </xf>
    <xf numFmtId="38" fontId="58" fillId="0" borderId="185" xfId="0" applyNumberFormat="1" applyFont="1" applyFill="1" applyBorder="1" applyAlignment="1">
      <alignment horizontal="right"/>
    </xf>
    <xf numFmtId="38" fontId="58" fillId="0" borderId="185" xfId="0" applyNumberFormat="1" applyFont="1" applyFill="1" applyBorder="1" applyAlignment="1">
      <alignment horizontal="right" shrinkToFit="1"/>
    </xf>
    <xf numFmtId="38" fontId="58" fillId="0" borderId="197" xfId="0" applyNumberFormat="1" applyFont="1" applyFill="1" applyBorder="1" applyAlignment="1">
      <alignment horizontal="right" shrinkToFit="1"/>
    </xf>
    <xf numFmtId="38" fontId="9" fillId="0" borderId="0" xfId="0" applyNumberFormat="1" applyFont="1" applyFill="1" applyBorder="1" applyAlignment="1">
      <alignment horizontal="right"/>
    </xf>
    <xf numFmtId="38" fontId="9" fillId="0" borderId="0" xfId="0" applyNumberFormat="1" applyFont="1" applyFill="1" applyBorder="1" applyAlignment="1">
      <alignment horizontal="right" shrinkToFit="1"/>
    </xf>
    <xf numFmtId="0" fontId="36" fillId="0" borderId="0" xfId="0" applyFont="1" applyFill="1" applyBorder="1" applyAlignment="1">
      <alignment horizontal="center"/>
    </xf>
    <xf numFmtId="0" fontId="4" fillId="0" borderId="0" xfId="0" applyFont="1" applyFill="1" applyBorder="1" applyAlignment="1">
      <alignment horizontal="center"/>
    </xf>
    <xf numFmtId="0" fontId="59" fillId="0" borderId="0" xfId="0" applyFont="1" applyFill="1" applyBorder="1" applyAlignment="1">
      <alignment horizontal="left"/>
    </xf>
    <xf numFmtId="0" fontId="4" fillId="0" borderId="177" xfId="0" applyFont="1" applyFill="1" applyBorder="1" applyAlignment="1">
      <alignment horizontal="right"/>
    </xf>
    <xf numFmtId="0" fontId="4" fillId="0" borderId="178" xfId="0" applyFont="1" applyFill="1" applyBorder="1" applyAlignment="1">
      <alignment horizontal="right"/>
    </xf>
    <xf numFmtId="0" fontId="9" fillId="0" borderId="181" xfId="0" applyFont="1" applyFill="1" applyBorder="1" applyAlignment="1">
      <alignment horizontal="center"/>
    </xf>
    <xf numFmtId="0" fontId="9" fillId="0" borderId="181" xfId="0" applyFont="1" applyFill="1" applyBorder="1" applyAlignment="1">
      <alignment horizontal="center" shrinkToFit="1"/>
    </xf>
    <xf numFmtId="0" fontId="9" fillId="0" borderId="193" xfId="0" applyFont="1" applyFill="1" applyBorder="1" applyAlignment="1">
      <alignment horizontal="center" shrinkToFit="1"/>
    </xf>
    <xf numFmtId="38" fontId="9" fillId="0" borderId="81" xfId="0" applyNumberFormat="1" applyFont="1" applyFill="1" applyBorder="1" applyAlignment="1">
      <alignment horizontal="right"/>
    </xf>
    <xf numFmtId="38" fontId="9" fillId="0" borderId="81" xfId="0" applyNumberFormat="1" applyFont="1" applyFill="1" applyBorder="1" applyAlignment="1">
      <alignment horizontal="right" shrinkToFit="1"/>
    </xf>
    <xf numFmtId="38" fontId="9" fillId="0" borderId="92" xfId="0" applyNumberFormat="1" applyFont="1" applyFill="1" applyBorder="1" applyAlignment="1">
      <alignment horizontal="right" shrinkToFit="1"/>
    </xf>
    <xf numFmtId="0" fontId="4" fillId="0" borderId="75" xfId="0" applyFont="1" applyFill="1" applyBorder="1" applyAlignment="1"/>
    <xf numFmtId="0" fontId="4" fillId="0" borderId="182" xfId="0" applyFont="1" applyFill="1" applyBorder="1" applyAlignment="1"/>
    <xf numFmtId="0" fontId="4" fillId="0" borderId="181" xfId="0" applyFont="1" applyFill="1" applyBorder="1" applyAlignment="1">
      <alignment horizontal="center" shrinkToFit="1"/>
    </xf>
    <xf numFmtId="10" fontId="4" fillId="0" borderId="181" xfId="0" applyNumberFormat="1" applyFont="1" applyFill="1" applyBorder="1" applyAlignment="1">
      <alignment horizontal="right" shrinkToFit="1"/>
    </xf>
    <xf numFmtId="38" fontId="9" fillId="0" borderId="181" xfId="0" applyNumberFormat="1" applyFont="1" applyFill="1" applyBorder="1" applyAlignment="1">
      <alignment horizontal="right"/>
    </xf>
    <xf numFmtId="38" fontId="9" fillId="0" borderId="181" xfId="0" applyNumberFormat="1" applyFont="1" applyFill="1" applyBorder="1" applyAlignment="1">
      <alignment horizontal="right" shrinkToFit="1"/>
    </xf>
    <xf numFmtId="38" fontId="9" fillId="18" borderId="181" xfId="0" applyNumberFormat="1" applyFont="1" applyFill="1" applyBorder="1" applyAlignment="1">
      <alignment horizontal="right" shrinkToFit="1"/>
    </xf>
    <xf numFmtId="38" fontId="9" fillId="18" borderId="193" xfId="0" applyNumberFormat="1" applyFont="1" applyFill="1" applyBorder="1" applyAlignment="1">
      <alignment horizontal="right" shrinkToFit="1"/>
    </xf>
    <xf numFmtId="0" fontId="4" fillId="0" borderId="23" xfId="0" applyFont="1" applyFill="1" applyBorder="1" applyAlignment="1">
      <alignment horizontal="left" shrinkToFit="1"/>
    </xf>
    <xf numFmtId="193" fontId="4" fillId="0" borderId="23" xfId="0" applyNumberFormat="1" applyFont="1" applyFill="1" applyBorder="1" applyAlignment="1">
      <alignment horizontal="right" shrinkToFit="1"/>
    </xf>
    <xf numFmtId="10" fontId="4" fillId="0" borderId="23" xfId="0" quotePrefix="1" applyNumberFormat="1" applyFont="1" applyFill="1" applyBorder="1" applyAlignment="1">
      <alignment horizontal="center" shrinkToFit="1"/>
    </xf>
    <xf numFmtId="0" fontId="4" fillId="18" borderId="23" xfId="0" applyFont="1" applyFill="1" applyBorder="1" applyAlignment="1">
      <alignment horizontal="left" shrinkToFit="1"/>
    </xf>
    <xf numFmtId="193" fontId="4" fillId="18" borderId="23" xfId="0" applyNumberFormat="1" applyFont="1" applyFill="1" applyBorder="1" applyAlignment="1">
      <alignment horizontal="right" shrinkToFit="1"/>
    </xf>
    <xf numFmtId="10" fontId="4" fillId="18" borderId="23" xfId="0" quotePrefix="1" applyNumberFormat="1" applyFont="1" applyFill="1" applyBorder="1" applyAlignment="1">
      <alignment horizontal="center" shrinkToFit="1"/>
    </xf>
    <xf numFmtId="38" fontId="9" fillId="18" borderId="23" xfId="0" applyNumberFormat="1" applyFont="1" applyFill="1" applyBorder="1" applyAlignment="1">
      <alignment horizontal="right" shrinkToFit="1"/>
    </xf>
    <xf numFmtId="38" fontId="9" fillId="18" borderId="31" xfId="0" applyNumberFormat="1" applyFont="1" applyFill="1" applyBorder="1" applyAlignment="1">
      <alignment horizontal="right" shrinkToFit="1"/>
    </xf>
    <xf numFmtId="0" fontId="4" fillId="27" borderId="23" xfId="0" applyFont="1" applyFill="1" applyBorder="1" applyAlignment="1">
      <alignment horizontal="left" shrinkToFit="1"/>
    </xf>
    <xf numFmtId="10" fontId="4" fillId="0" borderId="23" xfId="0" applyNumberFormat="1" applyFont="1" applyFill="1" applyBorder="1" applyAlignment="1">
      <alignment horizontal="right" shrinkToFit="1"/>
    </xf>
    <xf numFmtId="0" fontId="4" fillId="27" borderId="23" xfId="0" quotePrefix="1" applyFont="1" applyFill="1" applyBorder="1" applyAlignment="1">
      <alignment horizontal="left" shrinkToFit="1"/>
    </xf>
    <xf numFmtId="0" fontId="4" fillId="27" borderId="166" xfId="0" applyFont="1" applyFill="1" applyBorder="1" applyAlignment="1">
      <alignment horizontal="center" vertical="center" shrinkToFit="1"/>
    </xf>
    <xf numFmtId="0" fontId="4" fillId="27" borderId="77" xfId="0" applyFont="1" applyFill="1" applyBorder="1" applyAlignment="1">
      <alignment horizontal="left" shrinkToFit="1"/>
    </xf>
    <xf numFmtId="193" fontId="4" fillId="0" borderId="77" xfId="0" applyNumberFormat="1" applyFont="1" applyFill="1" applyBorder="1" applyAlignment="1">
      <alignment horizontal="right" shrinkToFit="1"/>
    </xf>
    <xf numFmtId="10" fontId="4" fillId="0" borderId="77" xfId="0" applyNumberFormat="1" applyFont="1" applyFill="1" applyBorder="1" applyAlignment="1">
      <alignment horizontal="right" shrinkToFit="1"/>
    </xf>
    <xf numFmtId="38" fontId="9" fillId="0" borderId="77" xfId="0" applyNumberFormat="1" applyFont="1" applyFill="1" applyBorder="1" applyAlignment="1">
      <alignment horizontal="right"/>
    </xf>
    <xf numFmtId="38" fontId="9" fillId="0" borderId="77" xfId="0" applyNumberFormat="1" applyFont="1" applyFill="1" applyBorder="1" applyAlignment="1">
      <alignment horizontal="right" shrinkToFit="1"/>
    </xf>
    <xf numFmtId="38" fontId="9" fillId="0" borderId="90" xfId="0" applyNumberFormat="1" applyFont="1" applyFill="1" applyBorder="1" applyAlignment="1">
      <alignment horizontal="right" shrinkToFit="1"/>
    </xf>
    <xf numFmtId="0" fontId="4" fillId="0" borderId="177" xfId="0" applyFont="1" applyFill="1" applyBorder="1" applyAlignment="1">
      <alignment horizontal="center" shrinkToFit="1"/>
    </xf>
    <xf numFmtId="0" fontId="4" fillId="27" borderId="178" xfId="0" applyFont="1" applyFill="1" applyBorder="1" applyAlignment="1">
      <alignment horizontal="center" vertical="center" shrinkToFit="1"/>
    </xf>
    <xf numFmtId="0" fontId="4" fillId="27" borderId="178" xfId="0" applyFont="1" applyFill="1" applyBorder="1" applyAlignment="1">
      <alignment horizontal="left" shrinkToFit="1"/>
    </xf>
    <xf numFmtId="38" fontId="9" fillId="0" borderId="193" xfId="0" applyNumberFormat="1" applyFont="1" applyFill="1" applyBorder="1" applyAlignment="1">
      <alignment horizontal="right" shrinkToFit="1"/>
    </xf>
    <xf numFmtId="0" fontId="4" fillId="0" borderId="181" xfId="0" applyFont="1" applyFill="1" applyBorder="1" applyAlignment="1">
      <alignment horizontal="left" shrinkToFit="1"/>
    </xf>
    <xf numFmtId="193" fontId="4" fillId="0" borderId="181" xfId="0" applyNumberFormat="1" applyFont="1" applyFill="1" applyBorder="1" applyAlignment="1">
      <alignment vertical="center" shrinkToFit="1"/>
    </xf>
    <xf numFmtId="10" fontId="4" fillId="0" borderId="74" xfId="0" applyNumberFormat="1" applyFont="1" applyFill="1" applyBorder="1" applyAlignment="1">
      <alignment horizontal="center" vertical="center"/>
    </xf>
    <xf numFmtId="38" fontId="18" fillId="0" borderId="74" xfId="0" applyNumberFormat="1" applyFont="1" applyFill="1" applyBorder="1" applyAlignment="1">
      <alignment horizontal="right"/>
    </xf>
    <xf numFmtId="10" fontId="4" fillId="0" borderId="74" xfId="0" applyNumberFormat="1" applyFont="1" applyFill="1" applyBorder="1" applyAlignment="1">
      <alignment horizontal="left" vertical="center" shrinkToFit="1"/>
    </xf>
    <xf numFmtId="10" fontId="4" fillId="0" borderId="170" xfId="0" applyNumberFormat="1" applyFont="1" applyFill="1" applyBorder="1" applyAlignment="1">
      <alignment horizontal="left" vertical="center" shrinkToFit="1"/>
    </xf>
    <xf numFmtId="0" fontId="4" fillId="0" borderId="87" xfId="0" applyFont="1" applyFill="1" applyBorder="1" applyAlignment="1">
      <alignment horizontal="left" shrinkToFit="1"/>
    </xf>
    <xf numFmtId="193" fontId="4" fillId="0" borderId="87" xfId="0" applyNumberFormat="1" applyFont="1" applyFill="1" applyBorder="1" applyAlignment="1">
      <alignment vertical="top" shrinkToFit="1"/>
    </xf>
    <xf numFmtId="10" fontId="4" fillId="0" borderId="23" xfId="0" applyNumberFormat="1" applyFont="1" applyFill="1" applyBorder="1" applyAlignment="1">
      <alignment horizontal="center" vertical="center"/>
    </xf>
    <xf numFmtId="38" fontId="4" fillId="0" borderId="23" xfId="0" applyNumberFormat="1" applyFont="1" applyFill="1" applyBorder="1" applyAlignment="1">
      <alignment horizontal="right"/>
    </xf>
    <xf numFmtId="38" fontId="4" fillId="0" borderId="91" xfId="0" applyNumberFormat="1" applyFont="1" applyFill="1" applyBorder="1" applyAlignment="1">
      <alignment horizontal="right" shrinkToFit="1"/>
    </xf>
    <xf numFmtId="0" fontId="4" fillId="0" borderId="119" xfId="0" applyFont="1" applyFill="1" applyBorder="1" applyAlignment="1">
      <alignment horizontal="left" shrinkToFit="1"/>
    </xf>
    <xf numFmtId="0" fontId="4" fillId="0" borderId="198" xfId="0" applyFont="1" applyFill="1" applyBorder="1" applyAlignment="1"/>
    <xf numFmtId="38" fontId="18" fillId="0" borderId="23" xfId="0" applyNumberFormat="1" applyFont="1" applyFill="1" applyBorder="1" applyAlignment="1">
      <alignment horizontal="right"/>
    </xf>
    <xf numFmtId="10" fontId="4" fillId="14" borderId="23" xfId="3" applyNumberFormat="1" applyFont="1" applyFill="1" applyBorder="1" applyAlignment="1">
      <alignment horizontal="left" shrinkToFit="1"/>
    </xf>
    <xf numFmtId="10" fontId="4" fillId="0" borderId="23" xfId="0" applyNumberFormat="1" applyFont="1" applyFill="1" applyBorder="1" applyAlignment="1">
      <alignment horizontal="left" shrinkToFit="1"/>
    </xf>
    <xf numFmtId="10" fontId="4" fillId="0" borderId="31" xfId="0" applyNumberFormat="1" applyFont="1" applyFill="1" applyBorder="1" applyAlignment="1">
      <alignment horizontal="left" shrinkToFit="1"/>
    </xf>
    <xf numFmtId="193" fontId="4" fillId="0" borderId="87" xfId="0" applyNumberFormat="1" applyFont="1" applyFill="1" applyBorder="1" applyAlignment="1">
      <alignment shrinkToFit="1"/>
    </xf>
    <xf numFmtId="193" fontId="4" fillId="0" borderId="23" xfId="0" applyNumberFormat="1" applyFont="1" applyFill="1" applyBorder="1" applyAlignment="1">
      <alignment shrinkToFit="1"/>
    </xf>
    <xf numFmtId="0" fontId="4" fillId="27" borderId="23" xfId="0" applyFont="1" applyFill="1" applyBorder="1" applyAlignment="1">
      <alignment horizontal="left" vertical="center" shrinkToFit="1"/>
    </xf>
    <xf numFmtId="0" fontId="4" fillId="30" borderId="23" xfId="0" applyFont="1" applyFill="1" applyBorder="1" applyAlignment="1">
      <alignment horizontal="left" shrinkToFit="1"/>
    </xf>
    <xf numFmtId="193" fontId="4" fillId="0" borderId="119" xfId="0" applyNumberFormat="1" applyFont="1" applyFill="1" applyBorder="1" applyAlignment="1">
      <alignment shrinkToFit="1"/>
    </xf>
    <xf numFmtId="10" fontId="4" fillId="0" borderId="119" xfId="0" applyNumberFormat="1" applyFont="1" applyFill="1" applyBorder="1" applyAlignment="1">
      <alignment horizontal="right" shrinkToFit="1"/>
    </xf>
    <xf numFmtId="0" fontId="28" fillId="30" borderId="23" xfId="0" applyFont="1" applyFill="1" applyBorder="1" applyAlignment="1">
      <alignment horizontal="left" shrinkToFit="1"/>
    </xf>
    <xf numFmtId="0" fontId="4" fillId="27" borderId="163" xfId="0" applyFont="1" applyFill="1" applyBorder="1" applyAlignment="1">
      <alignment horizontal="center" vertical="center" shrinkToFit="1"/>
    </xf>
    <xf numFmtId="38" fontId="4" fillId="0" borderId="238" xfId="0" applyNumberFormat="1" applyFont="1" applyFill="1" applyBorder="1" applyAlignment="1">
      <alignment horizontal="right" shrinkToFit="1"/>
    </xf>
    <xf numFmtId="0" fontId="4" fillId="0" borderId="239" xfId="0" applyFont="1" applyFill="1" applyBorder="1" applyAlignment="1">
      <alignment horizontal="right"/>
    </xf>
    <xf numFmtId="0" fontId="4" fillId="0" borderId="240" xfId="0" applyFont="1" applyFill="1" applyBorder="1" applyAlignment="1">
      <alignment horizontal="right"/>
    </xf>
    <xf numFmtId="0" fontId="4" fillId="0" borderId="240" xfId="0" applyFont="1" applyFill="1" applyBorder="1" applyAlignment="1">
      <alignment horizontal="left"/>
    </xf>
    <xf numFmtId="0" fontId="4" fillId="0" borderId="241" xfId="0" applyFont="1" applyFill="1" applyBorder="1" applyAlignment="1">
      <alignment horizontal="left"/>
    </xf>
    <xf numFmtId="0" fontId="4" fillId="0" borderId="241" xfId="0" applyFont="1" applyFill="1" applyBorder="1" applyAlignment="1">
      <alignment horizontal="right"/>
    </xf>
    <xf numFmtId="38" fontId="9" fillId="0" borderId="241" xfId="0" applyNumberFormat="1" applyFont="1" applyFill="1" applyBorder="1" applyAlignment="1">
      <alignment horizontal="right"/>
    </xf>
    <xf numFmtId="38" fontId="9" fillId="0" borderId="241" xfId="0" applyNumberFormat="1" applyFont="1" applyFill="1" applyBorder="1" applyAlignment="1">
      <alignment horizontal="right" shrinkToFit="1"/>
    </xf>
    <xf numFmtId="38" fontId="9" fillId="0" borderId="242" xfId="0" applyNumberFormat="1" applyFont="1" applyFill="1" applyBorder="1" applyAlignment="1">
      <alignment horizontal="right" shrinkToFit="1"/>
    </xf>
    <xf numFmtId="0" fontId="4" fillId="0" borderId="148" xfId="0" applyFont="1" applyFill="1" applyBorder="1" applyAlignment="1">
      <alignment horizontal="right"/>
    </xf>
    <xf numFmtId="0" fontId="4" fillId="0" borderId="149" xfId="0" applyFont="1" applyFill="1" applyBorder="1" applyAlignment="1">
      <alignment horizontal="right"/>
    </xf>
    <xf numFmtId="0" fontId="4" fillId="0" borderId="149" xfId="0" applyFont="1" applyFill="1" applyBorder="1" applyAlignment="1">
      <alignment horizontal="left"/>
    </xf>
    <xf numFmtId="0" fontId="4" fillId="0" borderId="77" xfId="0" applyFont="1" applyFill="1" applyBorder="1" applyAlignment="1">
      <alignment horizontal="left"/>
    </xf>
    <xf numFmtId="0" fontId="4" fillId="0" borderId="77" xfId="0" applyFont="1" applyFill="1" applyBorder="1" applyAlignment="1">
      <alignment horizontal="right"/>
    </xf>
    <xf numFmtId="0" fontId="36" fillId="0" borderId="178" xfId="0" applyFont="1" applyFill="1" applyBorder="1" applyAlignment="1">
      <alignment horizontal="center"/>
    </xf>
    <xf numFmtId="0" fontId="4" fillId="0" borderId="178" xfId="0" applyFont="1" applyFill="1" applyBorder="1" applyAlignment="1">
      <alignment horizontal="center"/>
    </xf>
    <xf numFmtId="0" fontId="9" fillId="0" borderId="178" xfId="0" applyFont="1" applyFill="1" applyBorder="1" applyAlignment="1">
      <alignment horizontal="center"/>
    </xf>
    <xf numFmtId="0" fontId="9" fillId="0" borderId="178" xfId="0" applyFont="1" applyFill="1" applyBorder="1" applyAlignment="1">
      <alignment horizontal="center" shrinkToFit="1"/>
    </xf>
    <xf numFmtId="0" fontId="9" fillId="0" borderId="178" xfId="0" applyFont="1" applyFill="1" applyBorder="1" applyAlignment="1">
      <alignment horizontal="right" shrinkToFit="1"/>
    </xf>
    <xf numFmtId="0" fontId="9" fillId="0" borderId="243" xfId="0" applyFont="1" applyFill="1" applyBorder="1" applyAlignment="1">
      <alignment horizontal="center" shrinkToFit="1"/>
    </xf>
    <xf numFmtId="0" fontId="9" fillId="0" borderId="194" xfId="0" applyFont="1" applyFill="1" applyBorder="1" applyAlignment="1">
      <alignment horizontal="right" shrinkToFit="1"/>
    </xf>
    <xf numFmtId="0" fontId="4" fillId="0" borderId="181" xfId="0" applyFont="1" applyFill="1" applyBorder="1" applyAlignment="1">
      <alignment horizontal="center" wrapText="1"/>
    </xf>
    <xf numFmtId="0" fontId="4" fillId="0" borderId="181" xfId="0" applyFont="1" applyFill="1" applyBorder="1" applyAlignment="1">
      <alignment horizontal="center"/>
    </xf>
    <xf numFmtId="0" fontId="10" fillId="0" borderId="81" xfId="0" applyFont="1" applyFill="1" applyBorder="1" applyAlignment="1">
      <alignment horizontal="center" wrapText="1"/>
    </xf>
    <xf numFmtId="0" fontId="4" fillId="0" borderId="81" xfId="0" applyFont="1" applyFill="1" applyBorder="1" applyAlignment="1">
      <alignment horizontal="right"/>
    </xf>
    <xf numFmtId="0" fontId="9" fillId="0" borderId="120" xfId="0" applyFont="1" applyFill="1" applyBorder="1" applyAlignment="1">
      <alignment horizontal="center"/>
    </xf>
    <xf numFmtId="0" fontId="9" fillId="0" borderId="81" xfId="0" applyFont="1" applyFill="1" applyBorder="1" applyAlignment="1">
      <alignment horizontal="center" shrinkToFit="1"/>
    </xf>
    <xf numFmtId="0" fontId="9" fillId="0" borderId="92" xfId="0" applyFont="1" applyFill="1" applyBorder="1" applyAlignment="1">
      <alignment horizontal="center" shrinkToFit="1"/>
    </xf>
    <xf numFmtId="0" fontId="4" fillId="0" borderId="151" xfId="0" applyFont="1" applyFill="1" applyBorder="1" applyAlignment="1">
      <alignment horizontal="right"/>
    </xf>
    <xf numFmtId="0" fontId="4" fillId="0" borderId="152" xfId="0" applyFont="1" applyFill="1" applyBorder="1" applyAlignment="1">
      <alignment horizontal="right"/>
    </xf>
    <xf numFmtId="0" fontId="4" fillId="0" borderId="182" xfId="0" applyFont="1" applyFill="1" applyBorder="1" applyAlignment="1">
      <alignment horizontal="left"/>
    </xf>
    <xf numFmtId="0" fontId="4" fillId="0" borderId="74" xfId="0" applyFont="1" applyFill="1" applyBorder="1" applyAlignment="1">
      <alignment horizontal="left"/>
    </xf>
    <xf numFmtId="0" fontId="4" fillId="0" borderId="75" xfId="0" applyFont="1" applyFill="1" applyBorder="1" applyAlignment="1">
      <alignment horizontal="center"/>
    </xf>
    <xf numFmtId="38" fontId="9" fillId="0" borderId="244" xfId="0" applyNumberFormat="1" applyFont="1" applyFill="1" applyBorder="1" applyAlignment="1">
      <alignment horizontal="right"/>
    </xf>
    <xf numFmtId="38" fontId="9" fillId="0" borderId="182" xfId="0" applyNumberFormat="1" applyFont="1" applyFill="1" applyBorder="1" applyAlignment="1">
      <alignment horizontal="right"/>
    </xf>
    <xf numFmtId="38" fontId="9" fillId="0" borderId="170" xfId="0" applyNumberFormat="1" applyFont="1" applyFill="1" applyBorder="1" applyAlignment="1">
      <alignment horizontal="right"/>
    </xf>
    <xf numFmtId="0" fontId="4" fillId="0" borderId="186" xfId="0" applyFont="1" applyFill="1" applyBorder="1" applyAlignment="1">
      <alignment horizontal="left"/>
    </xf>
    <xf numFmtId="0" fontId="4" fillId="0" borderId="120" xfId="0" applyFont="1" applyFill="1" applyBorder="1" applyAlignment="1">
      <alignment horizontal="left"/>
    </xf>
    <xf numFmtId="0" fontId="4" fillId="0" borderId="120" xfId="0" applyFont="1" applyFill="1" applyBorder="1" applyAlignment="1">
      <alignment horizontal="center"/>
    </xf>
    <xf numFmtId="0" fontId="4" fillId="0" borderId="181" xfId="0" applyFont="1" applyFill="1" applyBorder="1" applyAlignment="1">
      <alignment horizontal="right"/>
    </xf>
    <xf numFmtId="38" fontId="9" fillId="0" borderId="74" xfId="0" applyNumberFormat="1" applyFont="1" applyFill="1" applyBorder="1" applyAlignment="1">
      <alignment horizontal="right" shrinkToFit="1"/>
    </xf>
    <xf numFmtId="38" fontId="9" fillId="0" borderId="170" xfId="0" applyNumberFormat="1" applyFont="1" applyFill="1" applyBorder="1" applyAlignment="1">
      <alignment horizontal="right" shrinkToFit="1"/>
    </xf>
    <xf numFmtId="0" fontId="36" fillId="0" borderId="81" xfId="0" applyFont="1" applyFill="1" applyBorder="1" applyAlignment="1">
      <alignment horizontal="left"/>
    </xf>
    <xf numFmtId="0" fontId="4" fillId="0" borderId="77" xfId="0" applyFont="1" applyFill="1" applyBorder="1" applyAlignment="1">
      <alignment horizontal="center"/>
    </xf>
    <xf numFmtId="0" fontId="4" fillId="0" borderId="74" xfId="0" applyFont="1" applyFill="1" applyBorder="1" applyAlignment="1">
      <alignment horizontal="center" shrinkToFit="1"/>
    </xf>
    <xf numFmtId="0" fontId="4" fillId="0" borderId="74" xfId="0" applyFont="1" applyFill="1" applyBorder="1" applyAlignment="1">
      <alignment horizontal="left" shrinkToFit="1"/>
    </xf>
    <xf numFmtId="0" fontId="4" fillId="0" borderId="74" xfId="0" applyFont="1" applyFill="1" applyBorder="1" applyAlignment="1">
      <alignment shrinkToFit="1"/>
    </xf>
    <xf numFmtId="10" fontId="4" fillId="31" borderId="74" xfId="0" quotePrefix="1" applyNumberFormat="1" applyFont="1" applyFill="1" applyBorder="1" applyAlignment="1">
      <alignment horizontal="right" shrinkToFit="1"/>
    </xf>
    <xf numFmtId="38" fontId="9" fillId="0" borderId="74" xfId="0" applyNumberFormat="1" applyFont="1" applyFill="1" applyBorder="1" applyAlignment="1">
      <alignment horizontal="right"/>
    </xf>
    <xf numFmtId="0" fontId="4" fillId="0" borderId="23" xfId="0" applyNumberFormat="1" applyFont="1" applyFill="1" applyBorder="1" applyAlignment="1">
      <alignment shrinkToFit="1"/>
    </xf>
    <xf numFmtId="0" fontId="4" fillId="0" borderId="23" xfId="0" applyFont="1" applyFill="1" applyBorder="1" applyAlignment="1">
      <alignment horizontal="right" shrinkToFit="1"/>
    </xf>
    <xf numFmtId="0" fontId="4" fillId="0" borderId="23" xfId="0" applyFont="1" applyFill="1" applyBorder="1" applyAlignment="1">
      <alignment shrinkToFit="1"/>
    </xf>
    <xf numFmtId="9" fontId="4" fillId="0" borderId="23" xfId="0" applyNumberFormat="1" applyFont="1" applyFill="1" applyBorder="1" applyAlignment="1">
      <alignment horizontal="right" shrinkToFit="1"/>
    </xf>
    <xf numFmtId="0" fontId="4" fillId="0" borderId="23" xfId="0" applyFont="1" applyFill="1" applyBorder="1" applyAlignment="1">
      <alignment horizontal="left"/>
    </xf>
    <xf numFmtId="0" fontId="4" fillId="0" borderId="119" xfId="0" applyFont="1" applyFill="1" applyBorder="1" applyAlignment="1">
      <alignment horizontal="left"/>
    </xf>
    <xf numFmtId="0" fontId="4" fillId="0" borderId="77" xfId="0" applyFont="1" applyFill="1" applyBorder="1" applyAlignment="1">
      <alignment horizontal="left" shrinkToFit="1"/>
    </xf>
    <xf numFmtId="9" fontId="4" fillId="0" borderId="77" xfId="0" applyNumberFormat="1" applyFont="1" applyFill="1" applyBorder="1" applyAlignment="1">
      <alignment horizontal="right" shrinkToFit="1"/>
    </xf>
    <xf numFmtId="0" fontId="4" fillId="0" borderId="199" xfId="0" applyFont="1" applyFill="1" applyBorder="1" applyAlignment="1">
      <alignment horizontal="right"/>
    </xf>
    <xf numFmtId="0" fontId="4" fillId="0" borderId="181" xfId="0" applyFont="1" applyFill="1" applyBorder="1" applyAlignment="1">
      <alignment horizontal="right" shrinkToFit="1"/>
    </xf>
    <xf numFmtId="0" fontId="4" fillId="0" borderId="74" xfId="0" applyFont="1" applyFill="1" applyBorder="1" applyAlignment="1">
      <alignment horizontal="right" shrinkToFit="1"/>
    </xf>
    <xf numFmtId="0" fontId="36" fillId="0" borderId="81" xfId="0" applyFont="1" applyFill="1" applyBorder="1" applyAlignment="1">
      <alignment horizontal="left" shrinkToFit="1"/>
    </xf>
    <xf numFmtId="0" fontId="4" fillId="0" borderId="77" xfId="0" applyFont="1" applyFill="1" applyBorder="1" applyAlignment="1">
      <alignment horizontal="right" shrinkToFit="1"/>
    </xf>
    <xf numFmtId="38" fontId="56" fillId="0" borderId="77" xfId="0" applyNumberFormat="1" applyFont="1" applyFill="1" applyBorder="1" applyAlignment="1">
      <alignment horizontal="right" shrinkToFit="1"/>
    </xf>
    <xf numFmtId="0" fontId="4" fillId="0" borderId="87" xfId="0" applyFont="1" applyFill="1" applyBorder="1" applyAlignment="1">
      <alignment horizontal="center" shrinkToFit="1"/>
    </xf>
    <xf numFmtId="10" fontId="4" fillId="0" borderId="74" xfId="0" applyNumberFormat="1" applyFont="1" applyFill="1" applyBorder="1" applyAlignment="1">
      <alignment horizontal="right" shrinkToFit="1"/>
    </xf>
    <xf numFmtId="0" fontId="4" fillId="0" borderId="136" xfId="0" applyFont="1" applyFill="1" applyBorder="1" applyAlignment="1">
      <alignment horizontal="right"/>
    </xf>
    <xf numFmtId="0" fontId="4" fillId="30" borderId="87" xfId="0" applyFont="1" applyFill="1" applyBorder="1" applyAlignment="1">
      <alignment horizontal="left" shrinkToFit="1"/>
    </xf>
    <xf numFmtId="193" fontId="4" fillId="0" borderId="120" xfId="0" applyNumberFormat="1" applyFont="1" applyFill="1" applyBorder="1" applyAlignment="1">
      <alignment shrinkToFit="1"/>
    </xf>
    <xf numFmtId="10" fontId="4" fillId="0" borderId="120" xfId="0" applyNumberFormat="1" applyFont="1" applyFill="1" applyBorder="1" applyAlignment="1">
      <alignment horizontal="right" shrinkToFit="1"/>
    </xf>
    <xf numFmtId="38" fontId="4" fillId="0" borderId="87" xfId="0" applyNumberFormat="1" applyFont="1" applyFill="1" applyBorder="1" applyAlignment="1">
      <alignment horizontal="right"/>
    </xf>
    <xf numFmtId="38" fontId="9" fillId="29" borderId="87" xfId="0" applyNumberFormat="1" applyFont="1" applyFill="1" applyBorder="1" applyAlignment="1">
      <alignment horizontal="right" shrinkToFit="1"/>
    </xf>
    <xf numFmtId="38" fontId="9" fillId="29" borderId="91" xfId="0" applyNumberFormat="1" applyFont="1" applyFill="1" applyBorder="1" applyAlignment="1">
      <alignment horizontal="right" shrinkToFit="1"/>
    </xf>
    <xf numFmtId="0" fontId="65" fillId="30" borderId="23" xfId="0" applyFont="1" applyFill="1" applyBorder="1" applyAlignment="1">
      <alignment horizontal="left" shrinkToFit="1"/>
    </xf>
    <xf numFmtId="0" fontId="4" fillId="0" borderId="108" xfId="0" applyFont="1" applyFill="1" applyBorder="1" applyAlignment="1">
      <alignment horizontal="right"/>
    </xf>
    <xf numFmtId="0" fontId="4" fillId="0" borderId="245" xfId="0" applyFont="1" applyFill="1" applyBorder="1" applyAlignment="1">
      <alignment horizontal="right"/>
    </xf>
    <xf numFmtId="0" fontId="4" fillId="0" borderId="246" xfId="0" applyFont="1" applyFill="1" applyBorder="1" applyAlignment="1">
      <alignment horizontal="right"/>
    </xf>
    <xf numFmtId="0" fontId="4" fillId="0" borderId="246" xfId="0" applyFont="1" applyFill="1" applyBorder="1" applyAlignment="1">
      <alignment horizontal="left"/>
    </xf>
    <xf numFmtId="0" fontId="4" fillId="0" borderId="237" xfId="0" applyFont="1" applyFill="1" applyBorder="1" applyAlignment="1">
      <alignment horizontal="left"/>
    </xf>
    <xf numFmtId="0" fontId="4" fillId="0" borderId="237" xfId="0" applyFont="1" applyFill="1" applyBorder="1" applyAlignment="1">
      <alignment horizontal="right"/>
    </xf>
    <xf numFmtId="38" fontId="9" fillId="0" borderId="237" xfId="0" applyNumberFormat="1" applyFont="1" applyFill="1" applyBorder="1" applyAlignment="1">
      <alignment horizontal="right"/>
    </xf>
    <xf numFmtId="38" fontId="9" fillId="0" borderId="237" xfId="0" applyNumberFormat="1" applyFont="1" applyFill="1" applyBorder="1" applyAlignment="1">
      <alignment horizontal="right" shrinkToFit="1"/>
    </xf>
    <xf numFmtId="38" fontId="9" fillId="0" borderId="33" xfId="0" applyNumberFormat="1" applyFont="1" applyFill="1" applyBorder="1" applyAlignment="1">
      <alignment horizontal="right" shrinkToFit="1"/>
    </xf>
    <xf numFmtId="176" fontId="9" fillId="0" borderId="120" xfId="0" applyNumberFormat="1" applyFont="1" applyFill="1" applyBorder="1" applyAlignment="1">
      <alignment horizontal="right" shrinkToFit="1"/>
    </xf>
    <xf numFmtId="176" fontId="9" fillId="0" borderId="247" xfId="0" applyNumberFormat="1" applyFont="1" applyFill="1" applyBorder="1" applyAlignment="1">
      <alignment horizontal="right" shrinkToFit="1"/>
    </xf>
    <xf numFmtId="176" fontId="4" fillId="0" borderId="23" xfId="0" applyNumberFormat="1" applyFont="1" applyFill="1" applyBorder="1" applyAlignment="1">
      <alignment shrinkToFit="1"/>
    </xf>
    <xf numFmtId="38" fontId="4" fillId="0" borderId="23" xfId="0" applyNumberFormat="1" applyFont="1" applyFill="1" applyBorder="1" applyAlignment="1">
      <alignment shrinkToFit="1"/>
    </xf>
    <xf numFmtId="38" fontId="4" fillId="0" borderId="31" xfId="0" applyNumberFormat="1" applyFont="1" applyFill="1" applyBorder="1" applyAlignment="1">
      <alignment shrinkToFit="1"/>
    </xf>
    <xf numFmtId="0" fontId="4" fillId="0" borderId="108" xfId="0" applyFont="1" applyFill="1" applyBorder="1" applyAlignment="1"/>
    <xf numFmtId="0" fontId="4" fillId="0" borderId="209" xfId="0" applyFont="1" applyFill="1" applyBorder="1" applyAlignment="1"/>
    <xf numFmtId="0" fontId="4" fillId="0" borderId="23" xfId="0" applyFont="1" applyFill="1" applyBorder="1" applyAlignment="1"/>
    <xf numFmtId="38" fontId="4" fillId="0" borderId="23" xfId="0" applyNumberFormat="1" applyFont="1" applyFill="1" applyBorder="1" applyAlignment="1"/>
    <xf numFmtId="0" fontId="4" fillId="0" borderId="180" xfId="0" applyFont="1" applyFill="1" applyBorder="1" applyAlignment="1"/>
    <xf numFmtId="0" fontId="4" fillId="0" borderId="79" xfId="0" applyFont="1" applyFill="1" applyBorder="1" applyAlignment="1"/>
    <xf numFmtId="0" fontId="4" fillId="0" borderId="81" xfId="0" applyFont="1" applyFill="1" applyBorder="1" applyAlignment="1"/>
    <xf numFmtId="176" fontId="4" fillId="0" borderId="81" xfId="0" applyNumberFormat="1" applyFont="1" applyFill="1" applyBorder="1" applyAlignment="1">
      <alignment shrinkToFit="1"/>
    </xf>
    <xf numFmtId="176" fontId="4" fillId="0" borderId="81" xfId="0" applyNumberFormat="1" applyFont="1" applyFill="1" applyBorder="1" applyAlignment="1"/>
    <xf numFmtId="176" fontId="4" fillId="0" borderId="92" xfId="0" applyNumberFormat="1" applyFont="1" applyFill="1" applyBorder="1" applyAlignment="1">
      <alignment shrinkToFit="1"/>
    </xf>
    <xf numFmtId="38" fontId="4" fillId="0" borderId="0" xfId="1" applyFont="1" applyBorder="1" applyAlignment="1"/>
    <xf numFmtId="0" fontId="4" fillId="0" borderId="0" xfId="0" applyFont="1" applyBorder="1" applyAlignment="1">
      <alignment horizontal="center" vertical="center" shrinkToFit="1"/>
    </xf>
    <xf numFmtId="0" fontId="4" fillId="0" borderId="0" xfId="0" applyFont="1" applyBorder="1" applyAlignment="1">
      <alignment shrinkToFit="1"/>
    </xf>
    <xf numFmtId="0" fontId="4" fillId="0" borderId="124" xfId="0" applyFont="1" applyBorder="1" applyAlignment="1"/>
    <xf numFmtId="0" fontId="4" fillId="0" borderId="248" xfId="0" applyFont="1" applyBorder="1" applyAlignment="1"/>
    <xf numFmtId="0" fontId="59" fillId="0" borderId="49" xfId="0" applyFont="1" applyBorder="1" applyAlignment="1"/>
    <xf numFmtId="0" fontId="4" fillId="0" borderId="123" xfId="0" applyFont="1" applyBorder="1" applyAlignment="1"/>
    <xf numFmtId="0" fontId="4" fillId="0" borderId="103" xfId="0" applyFont="1" applyBorder="1" applyAlignment="1">
      <alignment horizontal="center" vertical="center" shrinkToFit="1"/>
    </xf>
    <xf numFmtId="188" fontId="4" fillId="0" borderId="103" xfId="0" applyNumberFormat="1" applyFont="1" applyFill="1" applyBorder="1" applyAlignment="1">
      <alignment horizontal="center"/>
    </xf>
    <xf numFmtId="188" fontId="4" fillId="0" borderId="57" xfId="0" applyNumberFormat="1" applyFont="1" applyFill="1" applyBorder="1" applyAlignment="1">
      <alignment horizontal="center"/>
    </xf>
    <xf numFmtId="0" fontId="28" fillId="0" borderId="50" xfId="0" applyFont="1" applyBorder="1" applyAlignment="1">
      <alignment shrinkToFit="1"/>
    </xf>
    <xf numFmtId="0" fontId="4" fillId="0" borderId="167" xfId="0" applyFont="1" applyBorder="1" applyAlignment="1"/>
    <xf numFmtId="0" fontId="4" fillId="0" borderId="23" xfId="0" applyFont="1" applyBorder="1" applyAlignment="1">
      <alignment horizontal="center" vertical="center"/>
    </xf>
    <xf numFmtId="193" fontId="4" fillId="19" borderId="23" xfId="0" applyNumberFormat="1" applyFont="1" applyFill="1" applyBorder="1" applyAlignment="1" applyProtection="1">
      <alignment horizontal="center" vertical="center"/>
    </xf>
    <xf numFmtId="193" fontId="4" fillId="19" borderId="58" xfId="0" applyNumberFormat="1" applyFont="1" applyFill="1" applyBorder="1" applyAlignment="1" applyProtection="1">
      <alignment horizontal="center" vertical="center"/>
    </xf>
    <xf numFmtId="0" fontId="4" fillId="0" borderId="198" xfId="0" applyFont="1" applyBorder="1" applyAlignment="1"/>
    <xf numFmtId="0" fontId="4" fillId="0" borderId="163" xfId="0" applyFont="1" applyBorder="1" applyAlignment="1"/>
    <xf numFmtId="193" fontId="4" fillId="0" borderId="23" xfId="3" applyNumberFormat="1" applyFont="1" applyBorder="1" applyAlignment="1" applyProtection="1">
      <alignment horizontal="center" vertical="center"/>
    </xf>
    <xf numFmtId="193" fontId="4" fillId="0" borderId="58" xfId="3" applyNumberFormat="1" applyFont="1" applyBorder="1" applyAlignment="1" applyProtection="1">
      <alignment horizontal="center" vertical="center"/>
    </xf>
    <xf numFmtId="0" fontId="4" fillId="0" borderId="165" xfId="0" applyFont="1" applyBorder="1" applyAlignment="1"/>
    <xf numFmtId="2" fontId="4" fillId="0" borderId="23" xfId="0" applyNumberFormat="1" applyFont="1" applyBorder="1" applyAlignment="1" applyProtection="1">
      <alignment horizontal="center" vertical="center"/>
    </xf>
    <xf numFmtId="2" fontId="4" fillId="0" borderId="58" xfId="0" applyNumberFormat="1" applyFont="1" applyBorder="1" applyAlignment="1" applyProtection="1">
      <alignment horizontal="center" vertical="center"/>
    </xf>
    <xf numFmtId="2" fontId="4" fillId="32" borderId="23" xfId="0" applyNumberFormat="1" applyFont="1" applyFill="1" applyBorder="1" applyAlignment="1" applyProtection="1">
      <alignment horizontal="center" vertical="center"/>
    </xf>
    <xf numFmtId="2" fontId="4" fillId="32" borderId="58" xfId="0" applyNumberFormat="1" applyFont="1" applyFill="1" applyBorder="1" applyAlignment="1" applyProtection="1">
      <alignment horizontal="center" vertical="center"/>
    </xf>
    <xf numFmtId="0" fontId="4" fillId="32" borderId="0" xfId="0" applyFont="1" applyFill="1" applyBorder="1" applyAlignment="1"/>
    <xf numFmtId="2" fontId="4" fillId="32" borderId="132" xfId="0" applyNumberFormat="1" applyFont="1" applyFill="1" applyBorder="1" applyAlignment="1" applyProtection="1">
      <alignment horizontal="center" vertical="center"/>
    </xf>
    <xf numFmtId="2" fontId="4" fillId="32" borderId="252" xfId="0" applyNumberFormat="1" applyFont="1" applyFill="1" applyBorder="1" applyAlignment="1" applyProtection="1">
      <alignment horizontal="center" vertical="center"/>
    </xf>
    <xf numFmtId="0" fontId="4" fillId="0" borderId="0" xfId="0" applyFont="1" applyFill="1" applyBorder="1" applyAlignment="1">
      <alignment horizontal="center" shrinkToFit="1"/>
    </xf>
    <xf numFmtId="0" fontId="4" fillId="0" borderId="124" xfId="0" applyFont="1" applyFill="1" applyBorder="1" applyAlignment="1"/>
    <xf numFmtId="0" fontId="4" fillId="0" borderId="248" xfId="0" applyFont="1" applyFill="1" applyBorder="1" applyAlignment="1"/>
    <xf numFmtId="0" fontId="59" fillId="0" borderId="49" xfId="0" applyFont="1" applyFill="1" applyBorder="1" applyAlignment="1"/>
    <xf numFmtId="0" fontId="4" fillId="0" borderId="123" xfId="0" applyFont="1" applyFill="1" applyBorder="1" applyAlignment="1"/>
    <xf numFmtId="0" fontId="4" fillId="0" borderId="103" xfId="0" applyFont="1" applyFill="1" applyBorder="1" applyAlignment="1">
      <alignment horizontal="center" vertical="center" shrinkToFit="1"/>
    </xf>
    <xf numFmtId="0" fontId="28" fillId="0" borderId="50" xfId="0" applyFont="1" applyFill="1" applyBorder="1" applyAlignment="1">
      <alignment shrinkToFit="1"/>
    </xf>
    <xf numFmtId="0" fontId="4" fillId="0" borderId="167" xfId="0" applyFont="1" applyFill="1" applyBorder="1" applyAlignment="1"/>
    <xf numFmtId="0" fontId="4" fillId="0" borderId="23" xfId="0" applyFont="1" applyFill="1" applyBorder="1" applyAlignment="1">
      <alignment horizontal="center" vertical="center"/>
    </xf>
    <xf numFmtId="0" fontId="4" fillId="0" borderId="163" xfId="0" applyFont="1" applyFill="1" applyBorder="1" applyAlignment="1"/>
    <xf numFmtId="193" fontId="4" fillId="0" borderId="23" xfId="3" applyNumberFormat="1" applyFont="1" applyFill="1" applyBorder="1" applyAlignment="1" applyProtection="1">
      <alignment horizontal="center" vertical="center"/>
    </xf>
    <xf numFmtId="193" fontId="4" fillId="0" borderId="58" xfId="3" applyNumberFormat="1" applyFont="1" applyFill="1" applyBorder="1" applyAlignment="1" applyProtection="1">
      <alignment horizontal="center" vertical="center"/>
    </xf>
    <xf numFmtId="0" fontId="4" fillId="0" borderId="165" xfId="0" applyFont="1" applyFill="1" applyBorder="1" applyAlignment="1"/>
    <xf numFmtId="2" fontId="4" fillId="0" borderId="23" xfId="0" applyNumberFormat="1" applyFont="1" applyFill="1" applyBorder="1" applyAlignment="1" applyProtection="1">
      <alignment horizontal="center" vertical="center"/>
    </xf>
    <xf numFmtId="2" fontId="4" fillId="0" borderId="58" xfId="0" applyNumberFormat="1" applyFont="1" applyFill="1" applyBorder="1" applyAlignment="1" applyProtection="1">
      <alignment horizontal="center" vertical="center"/>
    </xf>
    <xf numFmtId="0" fontId="4" fillId="32" borderId="23" xfId="0" applyFont="1" applyFill="1" applyBorder="1" applyAlignment="1" applyProtection="1">
      <alignment horizontal="center" vertical="center"/>
    </xf>
    <xf numFmtId="0" fontId="4" fillId="32" borderId="58" xfId="0" applyFont="1" applyFill="1" applyBorder="1" applyAlignment="1" applyProtection="1">
      <alignment horizontal="center" vertical="center"/>
    </xf>
    <xf numFmtId="0" fontId="4" fillId="0" borderId="0" xfId="0" applyFont="1" applyFill="1" applyBorder="1" applyAlignment="1">
      <alignment shrinkToFit="1"/>
    </xf>
    <xf numFmtId="0" fontId="4" fillId="33" borderId="153" xfId="0" applyFont="1" applyFill="1" applyBorder="1" applyAlignment="1"/>
    <xf numFmtId="0" fontId="4" fillId="33" borderId="125" xfId="0" applyFont="1" applyFill="1" applyBorder="1" applyAlignment="1"/>
    <xf numFmtId="2" fontId="4" fillId="33" borderId="116" xfId="0" applyNumberFormat="1" applyFont="1" applyFill="1" applyBorder="1" applyAlignment="1" applyProtection="1">
      <alignment horizontal="center" vertical="center"/>
    </xf>
    <xf numFmtId="0" fontId="4" fillId="33" borderId="116" xfId="0" applyFont="1" applyFill="1" applyBorder="1" applyAlignment="1" applyProtection="1">
      <alignment horizontal="center" vertical="center"/>
    </xf>
    <xf numFmtId="0" fontId="4" fillId="33" borderId="56" xfId="0" applyFont="1" applyFill="1" applyBorder="1" applyAlignment="1" applyProtection="1">
      <alignment horizontal="center" vertical="center"/>
    </xf>
    <xf numFmtId="0" fontId="4" fillId="33" borderId="0" xfId="0" applyFont="1" applyFill="1" applyBorder="1" applyAlignment="1"/>
    <xf numFmtId="0" fontId="4" fillId="33" borderId="220" xfId="0" applyFont="1" applyFill="1" applyBorder="1" applyAlignment="1"/>
    <xf numFmtId="188" fontId="4" fillId="0" borderId="49" xfId="0" applyNumberFormat="1" applyFont="1" applyFill="1" applyBorder="1" applyAlignment="1">
      <alignment horizontal="center"/>
    </xf>
    <xf numFmtId="188" fontId="4" fillId="0" borderId="253" xfId="0" applyNumberFormat="1" applyFont="1" applyFill="1" applyBorder="1" applyAlignment="1">
      <alignment horizontal="center"/>
    </xf>
    <xf numFmtId="188" fontId="4" fillId="0" borderId="0" xfId="0" applyNumberFormat="1" applyFont="1" applyFill="1" applyBorder="1" applyAlignment="1">
      <alignment horizontal="center"/>
    </xf>
    <xf numFmtId="0" fontId="4" fillId="0" borderId="0" xfId="0" applyFont="1" applyFill="1" applyAlignment="1">
      <alignment horizontal="center" vertical="center"/>
    </xf>
    <xf numFmtId="193" fontId="4" fillId="0" borderId="253" xfId="0" applyNumberFormat="1" applyFont="1" applyFill="1" applyBorder="1" applyAlignment="1" applyProtection="1">
      <alignment horizontal="center" vertical="center"/>
    </xf>
    <xf numFmtId="193" fontId="4" fillId="0" borderId="0" xfId="0" applyNumberFormat="1" applyFont="1" applyFill="1" applyBorder="1" applyAlignment="1" applyProtection="1">
      <alignment horizontal="center" vertical="center"/>
    </xf>
    <xf numFmtId="0" fontId="4" fillId="0" borderId="167" xfId="0" applyFont="1" applyFill="1" applyBorder="1" applyAlignment="1">
      <alignment horizontal="center" vertical="center"/>
    </xf>
    <xf numFmtId="193" fontId="4" fillId="0" borderId="50" xfId="3" applyNumberFormat="1" applyFont="1" applyFill="1" applyBorder="1" applyAlignment="1" applyProtection="1">
      <alignment horizontal="center" vertical="center"/>
    </xf>
    <xf numFmtId="193" fontId="4" fillId="0" borderId="253" xfId="3" applyNumberFormat="1" applyFont="1" applyFill="1" applyBorder="1" applyAlignment="1" applyProtection="1">
      <alignment horizontal="center" vertical="center"/>
    </xf>
    <xf numFmtId="193" fontId="4" fillId="0" borderId="0" xfId="3" applyNumberFormat="1" applyFont="1" applyFill="1" applyBorder="1" applyAlignment="1" applyProtection="1">
      <alignment horizontal="center" vertical="center"/>
    </xf>
    <xf numFmtId="2" fontId="4" fillId="0" borderId="253" xfId="0" applyNumberFormat="1" applyFont="1" applyFill="1" applyBorder="1" applyAlignment="1" applyProtection="1">
      <alignment horizontal="center" vertical="center"/>
    </xf>
    <xf numFmtId="2" fontId="4" fillId="0" borderId="0" xfId="0" applyNumberFormat="1" applyFont="1" applyFill="1" applyBorder="1" applyAlignment="1" applyProtection="1">
      <alignment horizontal="center" vertical="center"/>
    </xf>
    <xf numFmtId="0" fontId="4" fillId="19" borderId="220" xfId="0" applyFont="1" applyFill="1" applyBorder="1" applyAlignment="1"/>
    <xf numFmtId="0" fontId="4" fillId="19" borderId="125" xfId="0" applyFont="1" applyFill="1" applyBorder="1" applyAlignment="1"/>
    <xf numFmtId="0" fontId="4" fillId="19" borderId="115" xfId="0" applyFont="1" applyFill="1" applyBorder="1" applyAlignment="1" applyProtection="1">
      <alignment horizontal="center" vertical="center"/>
    </xf>
    <xf numFmtId="0" fontId="4" fillId="19" borderId="253" xfId="0" applyFont="1" applyFill="1" applyBorder="1" applyAlignment="1" applyProtection="1">
      <alignment horizontal="center" vertical="center"/>
    </xf>
    <xf numFmtId="0" fontId="4" fillId="19" borderId="0" xfId="0" applyFont="1" applyFill="1" applyBorder="1" applyAlignment="1" applyProtection="1">
      <alignment horizontal="center" vertical="center"/>
    </xf>
    <xf numFmtId="0" fontId="4" fillId="19" borderId="0" xfId="0" applyFont="1" applyFill="1" applyBorder="1" applyAlignment="1"/>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53" fillId="0" borderId="0" xfId="0" applyFont="1" applyFill="1" applyBorder="1" applyAlignment="1">
      <alignment horizontal="right" vertical="center"/>
    </xf>
    <xf numFmtId="0" fontId="53" fillId="0" borderId="0" xfId="0" applyFont="1" applyFill="1" applyBorder="1" applyAlignment="1">
      <alignment horizontal="left" vertical="center"/>
    </xf>
    <xf numFmtId="0" fontId="54"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55" fillId="0" borderId="0" xfId="0" applyFont="1" applyFill="1" applyBorder="1" applyAlignment="1">
      <alignment horizontal="right" vertical="center" shrinkToFit="1"/>
    </xf>
    <xf numFmtId="0" fontId="9" fillId="0" borderId="0" xfId="0" applyFont="1" applyFill="1" applyBorder="1" applyAlignment="1">
      <alignment horizontal="center" vertical="center" shrinkToFit="1"/>
    </xf>
    <xf numFmtId="0" fontId="4" fillId="0" borderId="0" xfId="0" applyFont="1" applyBorder="1" applyAlignment="1">
      <alignment vertical="center"/>
    </xf>
    <xf numFmtId="0" fontId="69" fillId="0" borderId="0" xfId="0" applyFont="1" applyFill="1" applyBorder="1" applyAlignment="1">
      <alignment horizontal="distributed" vertical="center"/>
    </xf>
    <xf numFmtId="0" fontId="11" fillId="0" borderId="0" xfId="0" applyFont="1" applyFill="1" applyBorder="1" applyAlignment="1">
      <alignment horizontal="center" vertical="center"/>
    </xf>
    <xf numFmtId="38" fontId="9" fillId="19" borderId="79" xfId="0" applyNumberFormat="1" applyFont="1" applyFill="1" applyBorder="1" applyAlignment="1">
      <alignment horizontal="center" vertical="center" shrinkToFit="1"/>
    </xf>
    <xf numFmtId="0" fontId="4" fillId="27" borderId="177" xfId="0" applyFont="1" applyFill="1" applyBorder="1" applyAlignment="1">
      <alignment horizontal="right" vertical="center"/>
    </xf>
    <xf numFmtId="0" fontId="4" fillId="27" borderId="178" xfId="0" applyFont="1" applyFill="1" applyBorder="1" applyAlignment="1">
      <alignment horizontal="right" vertical="center"/>
    </xf>
    <xf numFmtId="0" fontId="4" fillId="0" borderId="178" xfId="0" applyFont="1" applyFill="1" applyBorder="1" applyAlignment="1">
      <alignment horizontal="distributed" vertical="center"/>
    </xf>
    <xf numFmtId="0" fontId="36" fillId="0" borderId="178" xfId="0" applyFont="1" applyFill="1" applyBorder="1" applyAlignment="1">
      <alignment horizontal="center" vertical="center"/>
    </xf>
    <xf numFmtId="0" fontId="4" fillId="0" borderId="181" xfId="0" applyFont="1" applyFill="1" applyBorder="1" applyAlignment="1">
      <alignment horizontal="center" vertical="center"/>
    </xf>
    <xf numFmtId="0" fontId="4" fillId="0" borderId="181" xfId="0" applyFont="1" applyFill="1" applyBorder="1" applyAlignment="1">
      <alignment horizontal="right" vertical="center"/>
    </xf>
    <xf numFmtId="192" fontId="4" fillId="12" borderId="181" xfId="0" applyNumberFormat="1" applyFont="1" applyFill="1" applyBorder="1" applyAlignment="1">
      <alignment horizontal="center" shrinkToFit="1"/>
    </xf>
    <xf numFmtId="192" fontId="4" fillId="12" borderId="181" xfId="0" applyNumberFormat="1" applyFont="1" applyFill="1" applyBorder="1" applyAlignment="1">
      <alignment horizontal="center" vertical="center" shrinkToFit="1"/>
    </xf>
    <xf numFmtId="192" fontId="4" fillId="12" borderId="170" xfId="0" applyNumberFormat="1" applyFont="1" applyFill="1" applyBorder="1" applyAlignment="1">
      <alignment horizontal="center" vertical="center" shrinkToFit="1"/>
    </xf>
    <xf numFmtId="0" fontId="4" fillId="27" borderId="180" xfId="0" applyFont="1" applyFill="1" applyBorder="1" applyAlignment="1">
      <alignment horizontal="right" vertical="center"/>
    </xf>
    <xf numFmtId="0" fontId="4" fillId="27" borderId="79" xfId="0" applyFont="1" applyFill="1" applyBorder="1" applyAlignment="1">
      <alignment horizontal="right" vertical="center"/>
    </xf>
    <xf numFmtId="0" fontId="4" fillId="0" borderId="209" xfId="0" applyFont="1" applyFill="1" applyBorder="1" applyAlignment="1">
      <alignment horizontal="distributed" vertical="center"/>
    </xf>
    <xf numFmtId="0" fontId="36" fillId="0" borderId="209" xfId="0" applyFont="1" applyFill="1" applyBorder="1" applyAlignment="1">
      <alignment horizontal="center" vertical="center"/>
    </xf>
    <xf numFmtId="0" fontId="4" fillId="0" borderId="50" xfId="0" applyFont="1" applyFill="1" applyBorder="1" applyAlignment="1">
      <alignment horizontal="right" vertical="center"/>
    </xf>
    <xf numFmtId="0" fontId="9" fillId="28" borderId="23" xfId="0" applyFont="1" applyFill="1" applyBorder="1" applyAlignment="1">
      <alignment horizontal="center" shrinkToFit="1"/>
    </xf>
    <xf numFmtId="0" fontId="9" fillId="28" borderId="90" xfId="0" applyFont="1" applyFill="1" applyBorder="1" applyAlignment="1">
      <alignment horizontal="center" shrinkToFit="1"/>
    </xf>
    <xf numFmtId="0" fontId="9" fillId="27" borderId="177" xfId="0" applyFont="1" applyFill="1" applyBorder="1" applyAlignment="1">
      <alignment horizontal="right" vertical="center"/>
    </xf>
    <xf numFmtId="0" fontId="9" fillId="27" borderId="178" xfId="0" applyFont="1" applyFill="1" applyBorder="1" applyAlignment="1">
      <alignment horizontal="right" vertical="center"/>
    </xf>
    <xf numFmtId="0" fontId="9" fillId="12" borderId="181" xfId="0" applyFont="1" applyFill="1" applyBorder="1" applyAlignment="1">
      <alignment horizontal="center" vertical="center"/>
    </xf>
    <xf numFmtId="0" fontId="9" fillId="27" borderId="181" xfId="0" applyFont="1" applyFill="1" applyBorder="1" applyAlignment="1">
      <alignment horizontal="center" vertical="center"/>
    </xf>
    <xf numFmtId="0" fontId="9" fillId="27" borderId="181" xfId="0" applyFont="1" applyFill="1" applyBorder="1" applyAlignment="1">
      <alignment horizontal="center" shrinkToFit="1"/>
    </xf>
    <xf numFmtId="0" fontId="9" fillId="27" borderId="181" xfId="0" applyFont="1" applyFill="1" applyBorder="1" applyAlignment="1">
      <alignment horizontal="center" vertical="center" shrinkToFit="1"/>
    </xf>
    <xf numFmtId="0" fontId="9" fillId="27" borderId="193" xfId="0" applyFont="1" applyFill="1" applyBorder="1" applyAlignment="1">
      <alignment horizontal="center" vertical="center" shrinkToFit="1"/>
    </xf>
    <xf numFmtId="0" fontId="9" fillId="27" borderId="179" xfId="0" applyFont="1" applyFill="1" applyBorder="1" applyAlignment="1">
      <alignment horizontal="right" vertical="center"/>
    </xf>
    <xf numFmtId="0" fontId="9" fillId="27" borderId="0" xfId="0" applyFont="1" applyFill="1" applyBorder="1" applyAlignment="1">
      <alignment horizontal="right" vertical="center"/>
    </xf>
    <xf numFmtId="0" fontId="9" fillId="12" borderId="87" xfId="0" applyFont="1" applyFill="1" applyBorder="1" applyAlignment="1">
      <alignment horizontal="center" vertical="center"/>
    </xf>
    <xf numFmtId="0" fontId="70" fillId="27" borderId="87" xfId="0" applyFont="1" applyFill="1" applyBorder="1" applyAlignment="1">
      <alignment vertical="center"/>
    </xf>
    <xf numFmtId="0" fontId="9" fillId="27" borderId="87" xfId="0" applyFont="1" applyFill="1" applyBorder="1" applyAlignment="1">
      <alignment horizontal="center" vertical="center" shrinkToFit="1"/>
    </xf>
    <xf numFmtId="0" fontId="9" fillId="27" borderId="91" xfId="0" applyFont="1" applyFill="1" applyBorder="1" applyAlignment="1">
      <alignment horizontal="center" vertical="center" shrinkToFit="1"/>
    </xf>
    <xf numFmtId="38" fontId="58" fillId="12" borderId="23" xfId="0" applyNumberFormat="1" applyFont="1" applyFill="1" applyBorder="1" applyAlignment="1">
      <alignment horizontal="center" shrinkToFit="1"/>
    </xf>
    <xf numFmtId="38" fontId="58" fillId="12" borderId="31" xfId="0" applyNumberFormat="1" applyFont="1" applyFill="1" applyBorder="1" applyAlignment="1">
      <alignment horizontal="center" shrinkToFit="1"/>
    </xf>
    <xf numFmtId="38" fontId="4" fillId="12" borderId="91" xfId="0" applyNumberFormat="1" applyFont="1" applyFill="1" applyBorder="1" applyAlignment="1">
      <alignment horizontal="center" vertical="center" shrinkToFit="1"/>
    </xf>
    <xf numFmtId="0" fontId="9" fillId="27" borderId="178" xfId="0" applyFont="1" applyFill="1" applyBorder="1" applyAlignment="1">
      <alignment vertical="center"/>
    </xf>
    <xf numFmtId="0" fontId="9" fillId="27" borderId="15" xfId="0" applyFont="1" applyFill="1" applyBorder="1" applyAlignment="1">
      <alignment horizontal="right" vertical="center"/>
    </xf>
    <xf numFmtId="0" fontId="9" fillId="0" borderId="254" xfId="0" applyFont="1" applyFill="1" applyBorder="1" applyAlignment="1">
      <alignment horizontal="center" vertical="center"/>
    </xf>
    <xf numFmtId="38" fontId="9" fillId="27" borderId="138" xfId="0" applyNumberFormat="1" applyFont="1" applyFill="1" applyBorder="1" applyAlignment="1">
      <alignment horizontal="right" vertical="center"/>
    </xf>
    <xf numFmtId="179" fontId="9" fillId="12" borderId="138" xfId="0" applyNumberFormat="1" applyFont="1" applyFill="1" applyBorder="1" applyAlignment="1">
      <alignment shrinkToFit="1"/>
    </xf>
    <xf numFmtId="179" fontId="9" fillId="12" borderId="138" xfId="0" applyNumberFormat="1" applyFont="1" applyFill="1" applyBorder="1" applyAlignment="1">
      <alignment vertical="center" shrinkToFit="1"/>
    </xf>
    <xf numFmtId="179" fontId="9" fillId="12" borderId="139" xfId="0" applyNumberFormat="1" applyFont="1" applyFill="1" applyBorder="1" applyAlignment="1">
      <alignment vertical="center" shrinkToFit="1"/>
    </xf>
    <xf numFmtId="0" fontId="4" fillId="18" borderId="209" xfId="0" applyFont="1" applyFill="1" applyBorder="1" applyAlignment="1">
      <alignment horizontal="left" vertical="center"/>
    </xf>
    <xf numFmtId="0" fontId="9" fillId="27" borderId="152" xfId="0" applyFont="1" applyFill="1" applyBorder="1" applyAlignment="1">
      <alignment horizontal="right" vertical="center"/>
    </xf>
    <xf numFmtId="0" fontId="9" fillId="27" borderId="182" xfId="0" applyFont="1" applyFill="1" applyBorder="1" applyAlignment="1">
      <alignment horizontal="right" vertical="center"/>
    </xf>
    <xf numFmtId="0" fontId="9" fillId="0" borderId="75" xfId="0" applyFont="1" applyFill="1" applyBorder="1" applyAlignment="1">
      <alignment horizontal="center" vertical="center"/>
    </xf>
    <xf numFmtId="38" fontId="9" fillId="27" borderId="74" xfId="0" applyNumberFormat="1" applyFont="1" applyFill="1" applyBorder="1" applyAlignment="1">
      <alignment horizontal="right" vertical="center"/>
    </xf>
    <xf numFmtId="179" fontId="9" fillId="0" borderId="74" xfId="0" applyNumberFormat="1" applyFont="1" applyFill="1" applyBorder="1" applyAlignment="1">
      <alignment vertical="center" shrinkToFit="1"/>
    </xf>
    <xf numFmtId="179" fontId="9" fillId="0" borderId="170" xfId="0" applyNumberFormat="1" applyFont="1" applyFill="1" applyBorder="1" applyAlignment="1">
      <alignment vertical="center" shrinkToFit="1"/>
    </xf>
    <xf numFmtId="0" fontId="4" fillId="27" borderId="209" xfId="0" applyFont="1" applyFill="1" applyBorder="1" applyAlignment="1">
      <alignment horizontal="left" vertical="center"/>
    </xf>
    <xf numFmtId="0" fontId="9" fillId="0" borderId="88" xfId="0" applyFont="1" applyFill="1" applyBorder="1" applyAlignment="1">
      <alignment horizontal="center" vertical="center"/>
    </xf>
    <xf numFmtId="38" fontId="9" fillId="27" borderId="87" xfId="0" applyNumberFormat="1" applyFont="1" applyFill="1" applyBorder="1" applyAlignment="1">
      <alignment horizontal="right" vertical="center"/>
    </xf>
    <xf numFmtId="179" fontId="9" fillId="0" borderId="87" xfId="0" applyNumberFormat="1" applyFont="1" applyFill="1" applyBorder="1" applyAlignment="1">
      <alignment vertical="center" shrinkToFit="1"/>
    </xf>
    <xf numFmtId="179" fontId="9" fillId="0" borderId="91" xfId="0" applyNumberFormat="1" applyFont="1" applyFill="1" applyBorder="1" applyAlignment="1">
      <alignment vertical="center" shrinkToFit="1"/>
    </xf>
    <xf numFmtId="38" fontId="4" fillId="27" borderId="87" xfId="0" applyNumberFormat="1" applyFont="1" applyFill="1" applyBorder="1" applyAlignment="1">
      <alignment horizontal="right" vertical="center"/>
    </xf>
    <xf numFmtId="179" fontId="9" fillId="28" borderId="87" xfId="0" applyNumberFormat="1" applyFont="1" applyFill="1" applyBorder="1" applyAlignment="1">
      <alignment shrinkToFit="1"/>
    </xf>
    <xf numFmtId="179" fontId="9" fillId="28" borderId="87" xfId="0" applyNumberFormat="1" applyFont="1" applyFill="1" applyBorder="1" applyAlignment="1">
      <alignment vertical="center" shrinkToFit="1"/>
    </xf>
    <xf numFmtId="179" fontId="9" fillId="28" borderId="91" xfId="0" applyNumberFormat="1" applyFont="1" applyFill="1" applyBorder="1" applyAlignment="1">
      <alignment vertical="center" shrinkToFit="1"/>
    </xf>
    <xf numFmtId="0" fontId="4" fillId="27" borderId="198" xfId="0" applyFont="1" applyFill="1" applyBorder="1" applyAlignment="1">
      <alignment horizontal="left" vertical="center"/>
    </xf>
    <xf numFmtId="0" fontId="9" fillId="18" borderId="198" xfId="0" applyFont="1" applyFill="1" applyBorder="1" applyAlignment="1">
      <alignment horizontal="right" vertical="center"/>
    </xf>
    <xf numFmtId="0" fontId="9" fillId="0" borderId="157" xfId="0" applyFont="1" applyFill="1" applyBorder="1" applyAlignment="1">
      <alignment horizontal="center" vertical="center"/>
    </xf>
    <xf numFmtId="38" fontId="4" fillId="18" borderId="119" xfId="0" applyNumberFormat="1" applyFont="1" applyFill="1" applyBorder="1" applyAlignment="1">
      <alignment horizontal="right" vertical="center"/>
    </xf>
    <xf numFmtId="179" fontId="9" fillId="28" borderId="119" xfId="0" applyNumberFormat="1" applyFont="1" applyFill="1" applyBorder="1" applyAlignment="1">
      <alignment shrinkToFit="1"/>
    </xf>
    <xf numFmtId="179" fontId="9" fillId="28" borderId="119" xfId="0" applyNumberFormat="1" applyFont="1" applyFill="1" applyBorder="1" applyAlignment="1">
      <alignment vertical="center" shrinkToFit="1"/>
    </xf>
    <xf numFmtId="179" fontId="9" fillId="28" borderId="121" xfId="0" applyNumberFormat="1" applyFont="1" applyFill="1" applyBorder="1" applyAlignment="1">
      <alignment vertical="center" shrinkToFit="1"/>
    </xf>
    <xf numFmtId="0" fontId="9" fillId="0" borderId="108" xfId="0" applyFont="1" applyFill="1" applyBorder="1" applyAlignment="1">
      <alignment horizontal="right" vertical="center"/>
    </xf>
    <xf numFmtId="0" fontId="4" fillId="0" borderId="209" xfId="0" applyFont="1" applyFill="1" applyBorder="1" applyAlignment="1">
      <alignment vertical="center"/>
    </xf>
    <xf numFmtId="0" fontId="9" fillId="0" borderId="209" xfId="0" applyFont="1" applyFill="1" applyBorder="1" applyAlignment="1">
      <alignment horizontal="right" vertical="center"/>
    </xf>
    <xf numFmtId="0" fontId="9" fillId="0" borderId="50" xfId="0" applyFont="1" applyFill="1" applyBorder="1" applyAlignment="1">
      <alignment horizontal="center" vertical="center"/>
    </xf>
    <xf numFmtId="38" fontId="4" fillId="0" borderId="23" xfId="0" applyNumberFormat="1" applyFont="1" applyFill="1" applyBorder="1" applyAlignment="1">
      <alignment horizontal="right" vertical="center"/>
    </xf>
    <xf numFmtId="179" fontId="9" fillId="28" borderId="23" xfId="0" applyNumberFormat="1" applyFont="1" applyFill="1" applyBorder="1" applyAlignment="1">
      <alignment shrinkToFit="1"/>
    </xf>
    <xf numFmtId="179" fontId="9" fillId="28" borderId="23" xfId="0" applyNumberFormat="1" applyFont="1" applyFill="1" applyBorder="1" applyAlignment="1">
      <alignment vertical="center" shrinkToFit="1"/>
    </xf>
    <xf numFmtId="179" fontId="9" fillId="28" borderId="31" xfId="0" applyNumberFormat="1" applyFont="1" applyFill="1" applyBorder="1" applyAlignment="1">
      <alignment vertical="center" shrinkToFit="1"/>
    </xf>
    <xf numFmtId="0" fontId="4" fillId="0" borderId="198" xfId="0" applyFont="1" applyFill="1" applyBorder="1" applyAlignment="1">
      <alignment vertical="center"/>
    </xf>
    <xf numFmtId="0" fontId="4" fillId="0" borderId="198" xfId="0" applyFont="1" applyFill="1" applyBorder="1" applyAlignment="1">
      <alignment horizontal="left" vertical="center"/>
    </xf>
    <xf numFmtId="0" fontId="9" fillId="0" borderId="198" xfId="0" applyFont="1" applyFill="1" applyBorder="1" applyAlignment="1">
      <alignment horizontal="right" vertical="center"/>
    </xf>
    <xf numFmtId="38" fontId="4" fillId="0" borderId="119" xfId="0" applyNumberFormat="1" applyFont="1" applyFill="1" applyBorder="1" applyAlignment="1">
      <alignment horizontal="right" vertical="center"/>
    </xf>
    <xf numFmtId="0" fontId="9" fillId="0" borderId="148" xfId="0" applyFont="1" applyFill="1" applyBorder="1" applyAlignment="1">
      <alignment horizontal="right" vertical="center"/>
    </xf>
    <xf numFmtId="0" fontId="4" fillId="0" borderId="149" xfId="0" applyFont="1" applyFill="1" applyBorder="1" applyAlignment="1">
      <alignment vertical="center"/>
    </xf>
    <xf numFmtId="0" fontId="4" fillId="0" borderId="149" xfId="0" applyFont="1" applyFill="1" applyBorder="1" applyAlignment="1">
      <alignment horizontal="left" vertical="center"/>
    </xf>
    <xf numFmtId="0" fontId="9" fillId="0" borderId="149" xfId="0" applyFont="1" applyFill="1" applyBorder="1" applyAlignment="1">
      <alignment horizontal="right" vertical="center"/>
    </xf>
    <xf numFmtId="0" fontId="9" fillId="0" borderId="78" xfId="0" applyFont="1" applyFill="1" applyBorder="1" applyAlignment="1">
      <alignment horizontal="center" vertical="center"/>
    </xf>
    <xf numFmtId="38" fontId="4" fillId="0" borderId="77" xfId="0" applyNumberFormat="1" applyFont="1" applyFill="1" applyBorder="1" applyAlignment="1">
      <alignment horizontal="right" vertical="center"/>
    </xf>
    <xf numFmtId="179" fontId="9" fillId="28" borderId="77" xfId="0" applyNumberFormat="1" applyFont="1" applyFill="1" applyBorder="1" applyAlignment="1">
      <alignment shrinkToFit="1"/>
    </xf>
    <xf numFmtId="179" fontId="9" fillId="28" borderId="77" xfId="0" applyNumberFormat="1" applyFont="1" applyFill="1" applyBorder="1" applyAlignment="1">
      <alignment vertical="center" shrinkToFit="1"/>
    </xf>
    <xf numFmtId="179" fontId="9" fillId="28" borderId="90" xfId="0" applyNumberFormat="1" applyFont="1" applyFill="1" applyBorder="1" applyAlignment="1">
      <alignment vertical="center" shrinkToFit="1"/>
    </xf>
    <xf numFmtId="0" fontId="9" fillId="27" borderId="178" xfId="0" applyFont="1" applyFill="1" applyBorder="1" applyAlignment="1">
      <alignment horizontal="left" vertical="center"/>
    </xf>
    <xf numFmtId="0" fontId="9" fillId="27" borderId="15" xfId="0" applyFont="1" applyFill="1" applyBorder="1" applyAlignment="1">
      <alignment horizontal="left" vertical="center"/>
    </xf>
    <xf numFmtId="0" fontId="9" fillId="27" borderId="138" xfId="0" applyFont="1" applyFill="1" applyBorder="1" applyAlignment="1">
      <alignment horizontal="center" vertical="center"/>
    </xf>
    <xf numFmtId="38" fontId="9" fillId="0" borderId="138" xfId="0" applyNumberFormat="1" applyFont="1" applyFill="1" applyBorder="1" applyAlignment="1">
      <alignment horizontal="right" vertical="center" shrinkToFit="1"/>
    </xf>
    <xf numFmtId="0" fontId="4" fillId="27" borderId="152" xfId="0" applyFont="1" applyFill="1" applyBorder="1" applyAlignment="1">
      <alignment horizontal="left" vertical="center"/>
    </xf>
    <xf numFmtId="0" fontId="9" fillId="27" borderId="152" xfId="0" applyFont="1" applyFill="1" applyBorder="1" applyAlignment="1">
      <alignment horizontal="left" vertical="center" shrinkToFit="1"/>
    </xf>
    <xf numFmtId="0" fontId="9" fillId="27" borderId="74" xfId="0" applyFont="1" applyFill="1" applyBorder="1" applyAlignment="1">
      <alignment horizontal="center" vertical="center"/>
    </xf>
    <xf numFmtId="38" fontId="9" fillId="18" borderId="74" xfId="0" applyNumberFormat="1" applyFont="1" applyFill="1" applyBorder="1" applyAlignment="1">
      <alignment horizontal="right" vertical="center" shrinkToFit="1"/>
    </xf>
    <xf numFmtId="0" fontId="4" fillId="0" borderId="209" xfId="0" applyFont="1" applyBorder="1" applyAlignment="1">
      <alignment vertical="center"/>
    </xf>
    <xf numFmtId="0" fontId="9" fillId="27" borderId="23" xfId="0" applyFont="1" applyFill="1" applyBorder="1" applyAlignment="1">
      <alignment horizontal="right" vertical="center"/>
    </xf>
    <xf numFmtId="38" fontId="9" fillId="27" borderId="23" xfId="0" applyNumberFormat="1" applyFont="1" applyFill="1" applyBorder="1" applyAlignment="1">
      <alignment horizontal="right" vertical="center"/>
    </xf>
    <xf numFmtId="38" fontId="9" fillId="19" borderId="23" xfId="0" applyNumberFormat="1" applyFont="1" applyFill="1" applyBorder="1" applyAlignment="1">
      <alignment horizontal="right" vertical="center" shrinkToFit="1"/>
    </xf>
    <xf numFmtId="38" fontId="9" fillId="19" borderId="31" xfId="0" applyNumberFormat="1" applyFont="1" applyFill="1" applyBorder="1" applyAlignment="1">
      <alignment horizontal="right" vertical="center" shrinkToFit="1"/>
    </xf>
    <xf numFmtId="0" fontId="9" fillId="27" borderId="180" xfId="0" applyFont="1" applyFill="1" applyBorder="1" applyAlignment="1">
      <alignment horizontal="right" vertical="center"/>
    </xf>
    <xf numFmtId="0" fontId="9" fillId="27" borderId="79" xfId="0" applyFont="1" applyFill="1" applyBorder="1" applyAlignment="1">
      <alignment horizontal="right" vertical="center"/>
    </xf>
    <xf numFmtId="0" fontId="9" fillId="27" borderId="149" xfId="0" applyFont="1" applyFill="1" applyBorder="1" applyAlignment="1">
      <alignment horizontal="left" vertical="center"/>
    </xf>
    <xf numFmtId="0" fontId="9" fillId="27" borderId="77" xfId="0" applyFont="1" applyFill="1" applyBorder="1" applyAlignment="1">
      <alignment horizontal="right" vertical="center"/>
    </xf>
    <xf numFmtId="38" fontId="9" fillId="19" borderId="77" xfId="0" applyNumberFormat="1" applyFont="1" applyFill="1" applyBorder="1" applyAlignment="1">
      <alignment horizontal="right" vertical="center"/>
    </xf>
    <xf numFmtId="38" fontId="57" fillId="19" borderId="77" xfId="0" applyNumberFormat="1" applyFont="1" applyFill="1" applyBorder="1" applyAlignment="1">
      <alignment horizontal="right" vertical="center" shrinkToFit="1"/>
    </xf>
    <xf numFmtId="38" fontId="57" fillId="19" borderId="90" xfId="0" applyNumberFormat="1" applyFont="1" applyFill="1" applyBorder="1" applyAlignment="1">
      <alignment horizontal="right" vertical="center" shrinkToFit="1"/>
    </xf>
    <xf numFmtId="0" fontId="9" fillId="27" borderId="0" xfId="0" applyFont="1" applyFill="1" applyBorder="1" applyAlignment="1">
      <alignment horizontal="left" vertical="center"/>
    </xf>
    <xf numFmtId="0" fontId="9" fillId="27" borderId="120" xfId="0" applyFont="1" applyFill="1" applyBorder="1" applyAlignment="1">
      <alignment horizontal="right" vertical="center"/>
    </xf>
    <xf numFmtId="38" fontId="9" fillId="27" borderId="120" xfId="0" applyNumberFormat="1" applyFont="1" applyFill="1" applyBorder="1" applyAlignment="1">
      <alignment horizontal="right" vertical="center"/>
    </xf>
    <xf numFmtId="38" fontId="9" fillId="27" borderId="120" xfId="0" applyNumberFormat="1" applyFont="1" applyFill="1" applyBorder="1" applyAlignment="1">
      <alignment horizontal="right" vertical="center" shrinkToFit="1"/>
    </xf>
    <xf numFmtId="0" fontId="9" fillId="27" borderId="152" xfId="0" applyFont="1" applyFill="1" applyBorder="1" applyAlignment="1">
      <alignment horizontal="left" vertical="center"/>
    </xf>
    <xf numFmtId="0" fontId="9" fillId="27" borderId="74" xfId="0" applyFont="1" applyFill="1" applyBorder="1" applyAlignment="1">
      <alignment horizontal="right" vertical="center"/>
    </xf>
    <xf numFmtId="0" fontId="9" fillId="27" borderId="209" xfId="0" applyFont="1" applyFill="1" applyBorder="1" applyAlignment="1">
      <alignment horizontal="right" vertical="center"/>
    </xf>
    <xf numFmtId="38" fontId="9" fillId="19" borderId="23" xfId="0" applyNumberFormat="1" applyFont="1" applyFill="1" applyBorder="1" applyAlignment="1">
      <alignment horizontal="right" vertical="center"/>
    </xf>
    <xf numFmtId="0" fontId="4" fillId="18" borderId="0" xfId="0" applyFont="1" applyFill="1" applyBorder="1" applyAlignment="1">
      <alignment vertical="center"/>
    </xf>
    <xf numFmtId="0" fontId="9" fillId="18" borderId="179" xfId="0" applyFont="1" applyFill="1" applyBorder="1" applyAlignment="1">
      <alignment horizontal="right" vertical="center"/>
    </xf>
    <xf numFmtId="0" fontId="9" fillId="18" borderId="0" xfId="0" applyFont="1" applyFill="1" applyBorder="1" applyAlignment="1">
      <alignment horizontal="right" vertical="center"/>
    </xf>
    <xf numFmtId="0" fontId="9" fillId="18" borderId="209" xfId="0" applyFont="1" applyFill="1" applyBorder="1" applyAlignment="1">
      <alignment horizontal="left" vertical="center"/>
    </xf>
    <xf numFmtId="0" fontId="9" fillId="18" borderId="23" xfId="0" applyFont="1" applyFill="1" applyBorder="1" applyAlignment="1">
      <alignment horizontal="right" vertical="center"/>
    </xf>
    <xf numFmtId="38" fontId="9" fillId="18" borderId="23" xfId="0" applyNumberFormat="1" applyFont="1" applyFill="1" applyBorder="1" applyAlignment="1">
      <alignment horizontal="right" vertical="center"/>
    </xf>
    <xf numFmtId="38" fontId="9" fillId="18" borderId="23" xfId="0" applyNumberFormat="1" applyFont="1" applyFill="1" applyBorder="1" applyAlignment="1">
      <alignment horizontal="right" vertical="center" shrinkToFit="1"/>
    </xf>
    <xf numFmtId="0" fontId="9" fillId="18" borderId="209" xfId="0" applyFont="1" applyFill="1" applyBorder="1" applyAlignment="1">
      <alignment horizontal="right" vertical="center"/>
    </xf>
    <xf numFmtId="0" fontId="9" fillId="18" borderId="79" xfId="0" applyFont="1" applyFill="1" applyBorder="1" applyAlignment="1">
      <alignment horizontal="right" vertical="center"/>
    </xf>
    <xf numFmtId="0" fontId="9" fillId="18" borderId="119" xfId="0" applyFont="1" applyFill="1" applyBorder="1" applyAlignment="1">
      <alignment horizontal="right" vertical="center"/>
    </xf>
    <xf numFmtId="38" fontId="9" fillId="18" borderId="119" xfId="0" applyNumberFormat="1" applyFont="1" applyFill="1" applyBorder="1" applyAlignment="1">
      <alignment horizontal="right" vertical="center"/>
    </xf>
    <xf numFmtId="38" fontId="9" fillId="18" borderId="119" xfId="0" applyNumberFormat="1" applyFont="1" applyFill="1" applyBorder="1" applyAlignment="1">
      <alignment horizontal="right" vertical="center" shrinkToFit="1"/>
    </xf>
    <xf numFmtId="0" fontId="9" fillId="27" borderId="14" xfId="0" applyFont="1" applyFill="1" applyBorder="1" applyAlignment="1">
      <alignment horizontal="right" vertical="center"/>
    </xf>
    <xf numFmtId="0" fontId="9" fillId="27" borderId="14" xfId="0" applyFont="1" applyFill="1" applyBorder="1" applyAlignment="1">
      <alignment horizontal="left" vertical="center"/>
    </xf>
    <xf numFmtId="0" fontId="9" fillId="27" borderId="138" xfId="0" applyFont="1" applyFill="1" applyBorder="1" applyAlignment="1">
      <alignment horizontal="right" vertical="center"/>
    </xf>
    <xf numFmtId="38" fontId="9" fillId="27" borderId="138" xfId="0" applyNumberFormat="1" applyFont="1" applyFill="1" applyBorder="1" applyAlignment="1">
      <alignment horizontal="right" vertical="center" shrinkToFit="1"/>
    </xf>
    <xf numFmtId="38" fontId="9" fillId="27" borderId="139" xfId="0" applyNumberFormat="1" applyFont="1" applyFill="1" applyBorder="1" applyAlignment="1">
      <alignment horizontal="right" vertical="center" shrinkToFit="1"/>
    </xf>
    <xf numFmtId="0" fontId="11" fillId="27" borderId="0" xfId="0" applyFont="1" applyFill="1" applyBorder="1" applyAlignment="1">
      <alignment horizontal="left" vertical="center"/>
    </xf>
    <xf numFmtId="0" fontId="54" fillId="27" borderId="0" xfId="0" applyFont="1" applyFill="1" applyBorder="1" applyAlignment="1">
      <alignment horizontal="center" vertical="center"/>
    </xf>
    <xf numFmtId="0" fontId="9" fillId="27" borderId="0" xfId="0" applyFont="1" applyFill="1" applyBorder="1" applyAlignment="1">
      <alignment horizontal="center" vertical="center"/>
    </xf>
    <xf numFmtId="0" fontId="9" fillId="27" borderId="0" xfId="0" applyFont="1" applyFill="1" applyBorder="1" applyAlignment="1">
      <alignment horizontal="left" vertical="center" shrinkToFit="1"/>
    </xf>
    <xf numFmtId="0" fontId="9" fillId="27" borderId="0" xfId="0" applyFont="1" applyFill="1" applyBorder="1" applyAlignment="1">
      <alignment horizontal="right" vertical="center" shrinkToFit="1"/>
    </xf>
    <xf numFmtId="0" fontId="9" fillId="27" borderId="194" xfId="0" applyFont="1" applyFill="1" applyBorder="1" applyAlignment="1">
      <alignment horizontal="right" vertical="center" shrinkToFit="1"/>
    </xf>
    <xf numFmtId="0" fontId="11" fillId="27" borderId="180" xfId="0" applyFont="1" applyFill="1" applyBorder="1" applyAlignment="1">
      <alignment horizontal="left" vertical="center"/>
    </xf>
    <xf numFmtId="0" fontId="54" fillId="27" borderId="0" xfId="0" applyFont="1" applyFill="1" applyBorder="1" applyAlignment="1">
      <alignment horizontal="left" vertical="center"/>
    </xf>
    <xf numFmtId="0" fontId="54" fillId="27" borderId="79" xfId="0" applyFont="1" applyFill="1" applyBorder="1" applyAlignment="1">
      <alignment horizontal="left" vertical="center"/>
    </xf>
    <xf numFmtId="0" fontId="9" fillId="27" borderId="81" xfId="0" applyFont="1" applyFill="1" applyBorder="1" applyAlignment="1">
      <alignment horizontal="center" vertical="center"/>
    </xf>
    <xf numFmtId="0" fontId="9" fillId="27" borderId="81" xfId="0" applyFont="1" applyFill="1" applyBorder="1" applyAlignment="1">
      <alignment horizontal="right" vertical="center"/>
    </xf>
    <xf numFmtId="0" fontId="9" fillId="27" borderId="81" xfId="0" applyFont="1" applyFill="1" applyBorder="1" applyAlignment="1">
      <alignment horizontal="right" vertical="center" shrinkToFit="1"/>
    </xf>
    <xf numFmtId="0" fontId="9" fillId="27" borderId="92" xfId="0" applyFont="1" applyFill="1" applyBorder="1" applyAlignment="1">
      <alignment horizontal="right" vertical="center" shrinkToFit="1"/>
    </xf>
    <xf numFmtId="38" fontId="9" fillId="12" borderId="74" xfId="0" applyNumberFormat="1" applyFont="1" applyFill="1" applyBorder="1" applyAlignment="1">
      <alignment horizontal="right" vertical="center" shrinkToFit="1"/>
    </xf>
    <xf numFmtId="38" fontId="9" fillId="12" borderId="170" xfId="0" applyNumberFormat="1" applyFont="1" applyFill="1" applyBorder="1" applyAlignment="1">
      <alignment horizontal="right" vertical="center" shrinkToFit="1"/>
    </xf>
    <xf numFmtId="0" fontId="9" fillId="19" borderId="87" xfId="0" applyFont="1" applyFill="1" applyBorder="1" applyAlignment="1">
      <alignment horizontal="right" vertical="center"/>
    </xf>
    <xf numFmtId="38" fontId="9" fillId="19" borderId="87" xfId="0" applyNumberFormat="1" applyFont="1" applyFill="1" applyBorder="1" applyAlignment="1">
      <alignment horizontal="right" vertical="center"/>
    </xf>
    <xf numFmtId="38" fontId="4" fillId="19" borderId="87" xfId="0" applyNumberFormat="1" applyFont="1" applyFill="1" applyBorder="1" applyAlignment="1">
      <alignment horizontal="right" vertical="center" shrinkToFit="1"/>
    </xf>
    <xf numFmtId="38" fontId="4" fillId="19" borderId="91" xfId="0" applyNumberFormat="1" applyFont="1" applyFill="1" applyBorder="1" applyAlignment="1">
      <alignment horizontal="right" vertical="center" shrinkToFit="1"/>
    </xf>
    <xf numFmtId="0" fontId="9" fillId="19" borderId="209" xfId="0" applyFont="1" applyFill="1" applyBorder="1" applyAlignment="1">
      <alignment horizontal="left" vertical="center" shrinkToFit="1"/>
    </xf>
    <xf numFmtId="0" fontId="9" fillId="19" borderId="23" xfId="0" applyFont="1" applyFill="1" applyBorder="1" applyAlignment="1">
      <alignment horizontal="right" vertical="center"/>
    </xf>
    <xf numFmtId="0" fontId="71" fillId="27" borderId="209" xfId="0" applyFont="1" applyFill="1" applyBorder="1" applyAlignment="1">
      <alignment horizontal="left" vertical="center"/>
    </xf>
    <xf numFmtId="0" fontId="9" fillId="27" borderId="209" xfId="0" applyFont="1" applyFill="1" applyBorder="1" applyAlignment="1">
      <alignment horizontal="left" vertical="center" shrinkToFit="1"/>
    </xf>
    <xf numFmtId="38" fontId="57" fillId="22" borderId="23" xfId="0" applyNumberFormat="1" applyFont="1" applyFill="1" applyBorder="1" applyAlignment="1">
      <alignment horizontal="right" vertical="center" shrinkToFit="1"/>
    </xf>
    <xf numFmtId="38" fontId="57" fillId="22" borderId="31" xfId="0" applyNumberFormat="1" applyFont="1" applyFill="1" applyBorder="1" applyAlignment="1">
      <alignment horizontal="right" vertical="center" shrinkToFit="1"/>
    </xf>
    <xf numFmtId="38" fontId="57" fillId="19" borderId="23" xfId="0" applyNumberFormat="1" applyFont="1" applyFill="1" applyBorder="1" applyAlignment="1">
      <alignment horizontal="right" vertical="center" shrinkToFit="1"/>
    </xf>
    <xf numFmtId="38" fontId="57" fillId="19" borderId="31" xfId="0" applyNumberFormat="1" applyFont="1" applyFill="1" applyBorder="1" applyAlignment="1">
      <alignment horizontal="right" vertical="center" shrinkToFit="1"/>
    </xf>
    <xf numFmtId="38" fontId="9" fillId="12" borderId="23" xfId="0" applyNumberFormat="1" applyFont="1" applyFill="1" applyBorder="1" applyAlignment="1">
      <alignment horizontal="right" vertical="center" shrinkToFit="1"/>
    </xf>
    <xf numFmtId="38" fontId="9" fillId="12" borderId="31" xfId="0" applyNumberFormat="1" applyFont="1" applyFill="1" applyBorder="1" applyAlignment="1">
      <alignment horizontal="right" vertical="center" shrinkToFit="1"/>
    </xf>
    <xf numFmtId="0" fontId="63" fillId="27" borderId="209" xfId="0" applyFont="1" applyFill="1" applyBorder="1" applyAlignment="1">
      <alignment horizontal="left" vertical="center" shrinkToFit="1"/>
    </xf>
    <xf numFmtId="0" fontId="57" fillId="27" borderId="209" xfId="0" applyFont="1" applyFill="1" applyBorder="1" applyAlignment="1">
      <alignment horizontal="left" vertical="center" shrinkToFit="1"/>
    </xf>
    <xf numFmtId="38" fontId="9" fillId="0" borderId="23" xfId="0" applyNumberFormat="1" applyFont="1" applyFill="1" applyBorder="1" applyAlignment="1">
      <alignment horizontal="right" vertical="center" shrinkToFit="1"/>
    </xf>
    <xf numFmtId="38" fontId="9" fillId="0" borderId="31" xfId="0" applyNumberFormat="1" applyFont="1" applyFill="1" applyBorder="1" applyAlignment="1">
      <alignment horizontal="right" vertical="center" shrinkToFit="1"/>
    </xf>
    <xf numFmtId="0" fontId="9" fillId="27" borderId="50" xfId="0" applyFont="1" applyFill="1" applyBorder="1" applyAlignment="1">
      <alignment horizontal="left" vertical="center" shrinkToFit="1"/>
    </xf>
    <xf numFmtId="194" fontId="9" fillId="0" borderId="167" xfId="0" applyNumberFormat="1" applyFont="1" applyFill="1" applyBorder="1" applyAlignment="1">
      <alignment vertical="center" shrinkToFit="1"/>
    </xf>
    <xf numFmtId="10" fontId="9" fillId="0" borderId="23" xfId="0" applyNumberFormat="1" applyFont="1" applyFill="1" applyBorder="1" applyAlignment="1">
      <alignment horizontal="right" vertical="center" shrinkToFit="1"/>
    </xf>
    <xf numFmtId="0" fontId="9" fillId="32" borderId="209" xfId="0" applyFont="1" applyFill="1" applyBorder="1" applyAlignment="1">
      <alignment horizontal="left" vertical="center" shrinkToFit="1"/>
    </xf>
    <xf numFmtId="0" fontId="9" fillId="27" borderId="209" xfId="0" quotePrefix="1" applyFont="1" applyFill="1" applyBorder="1" applyAlignment="1">
      <alignment horizontal="left" vertical="center" shrinkToFit="1"/>
    </xf>
    <xf numFmtId="0" fontId="18" fillId="27" borderId="209" xfId="0" applyFont="1" applyFill="1" applyBorder="1" applyAlignment="1">
      <alignment horizontal="left" vertical="center"/>
    </xf>
    <xf numFmtId="0" fontId="18" fillId="32" borderId="209" xfId="0" applyFont="1" applyFill="1" applyBorder="1" applyAlignment="1">
      <alignment horizontal="left" vertical="center"/>
    </xf>
    <xf numFmtId="38" fontId="9" fillId="22" borderId="23" xfId="0" applyNumberFormat="1" applyFont="1" applyFill="1" applyBorder="1" applyAlignment="1">
      <alignment horizontal="right" vertical="center" shrinkToFit="1"/>
    </xf>
    <xf numFmtId="38" fontId="9" fillId="22" borderId="31" xfId="0" applyNumberFormat="1" applyFont="1" applyFill="1" applyBorder="1" applyAlignment="1">
      <alignment horizontal="right" vertical="center" shrinkToFit="1"/>
    </xf>
    <xf numFmtId="0" fontId="4" fillId="27" borderId="209" xfId="0" applyFont="1" applyFill="1" applyBorder="1" applyAlignment="1">
      <alignment horizontal="left" vertical="center" shrinkToFit="1"/>
    </xf>
    <xf numFmtId="0" fontId="4" fillId="27" borderId="23" xfId="0" applyFont="1" applyFill="1" applyBorder="1" applyAlignment="1">
      <alignment horizontal="right" vertical="center"/>
    </xf>
    <xf numFmtId="38" fontId="9" fillId="29" borderId="23" xfId="0" applyNumberFormat="1" applyFont="1" applyFill="1" applyBorder="1" applyAlignment="1">
      <alignment horizontal="right" vertical="center" shrinkToFit="1"/>
    </xf>
    <xf numFmtId="38" fontId="9" fillId="29" borderId="31" xfId="0" applyNumberFormat="1" applyFont="1" applyFill="1" applyBorder="1" applyAlignment="1">
      <alignment horizontal="right" vertical="center" shrinkToFit="1"/>
    </xf>
    <xf numFmtId="0" fontId="4" fillId="32" borderId="209" xfId="0" applyFont="1" applyFill="1" applyBorder="1" applyAlignment="1">
      <alignment horizontal="left" vertical="center" shrinkToFit="1"/>
    </xf>
    <xf numFmtId="0" fontId="18" fillId="32" borderId="149" xfId="0" applyFont="1" applyFill="1" applyBorder="1" applyAlignment="1">
      <alignment horizontal="left" vertical="center"/>
    </xf>
    <xf numFmtId="0" fontId="9" fillId="27" borderId="149" xfId="0" applyFont="1" applyFill="1" applyBorder="1" applyAlignment="1">
      <alignment horizontal="left" vertical="center" shrinkToFit="1"/>
    </xf>
    <xf numFmtId="38" fontId="9" fillId="27" borderId="77" xfId="0" applyNumberFormat="1" applyFont="1" applyFill="1" applyBorder="1" applyAlignment="1">
      <alignment horizontal="right" vertical="center"/>
    </xf>
    <xf numFmtId="38" fontId="9" fillId="22" borderId="77" xfId="0" applyNumberFormat="1" applyFont="1" applyFill="1" applyBorder="1" applyAlignment="1">
      <alignment horizontal="right" vertical="center" shrinkToFit="1"/>
    </xf>
    <xf numFmtId="0" fontId="4" fillId="0" borderId="0" xfId="0" applyFont="1" applyFill="1" applyBorder="1" applyAlignment="1">
      <alignment vertical="center"/>
    </xf>
    <xf numFmtId="0" fontId="58" fillId="0" borderId="0" xfId="0" applyFont="1" applyFill="1" applyBorder="1" applyAlignment="1">
      <alignment horizontal="right" vertical="center"/>
    </xf>
    <xf numFmtId="0" fontId="60" fillId="0" borderId="0" xfId="0" applyFont="1" applyFill="1" applyBorder="1" applyAlignment="1">
      <alignment horizontal="center" vertical="center"/>
    </xf>
    <xf numFmtId="0" fontId="58" fillId="0" borderId="0" xfId="0" applyFont="1" applyFill="1" applyBorder="1" applyAlignment="1">
      <alignment horizontal="center" vertical="center"/>
    </xf>
    <xf numFmtId="0" fontId="58" fillId="0" borderId="0" xfId="0" applyFont="1" applyFill="1" applyBorder="1" applyAlignment="1">
      <alignment horizontal="right" vertical="center" shrinkToFit="1"/>
    </xf>
    <xf numFmtId="0" fontId="58" fillId="34" borderId="194" xfId="0" applyFont="1" applyFill="1" applyBorder="1" applyAlignment="1">
      <alignment horizontal="center" vertical="center" shrinkToFit="1"/>
    </xf>
    <xf numFmtId="0" fontId="58" fillId="0" borderId="0" xfId="0" applyFont="1" applyFill="1" applyBorder="1" applyAlignment="1">
      <alignment horizontal="center" vertical="center" shrinkToFit="1"/>
    </xf>
    <xf numFmtId="0" fontId="58" fillId="0" borderId="0" xfId="0" applyFont="1" applyFill="1" applyBorder="1" applyAlignment="1">
      <alignment vertical="center"/>
    </xf>
    <xf numFmtId="0" fontId="61" fillId="0" borderId="0" xfId="0" applyFont="1" applyFill="1" applyBorder="1" applyAlignment="1">
      <alignment horizontal="left" vertical="center"/>
    </xf>
    <xf numFmtId="0" fontId="58" fillId="0" borderId="194" xfId="0" applyFont="1" applyFill="1" applyBorder="1" applyAlignment="1">
      <alignment horizontal="right" vertical="center" shrinkToFit="1"/>
    </xf>
    <xf numFmtId="0" fontId="58" fillId="0" borderId="177" xfId="0" applyFont="1" applyFill="1" applyBorder="1" applyAlignment="1">
      <alignment horizontal="right" vertical="center"/>
    </xf>
    <xf numFmtId="0" fontId="58" fillId="0" borderId="178" xfId="0" applyFont="1" applyFill="1" applyBorder="1" applyAlignment="1">
      <alignment horizontal="right" vertical="center"/>
    </xf>
    <xf numFmtId="0" fontId="58" fillId="0" borderId="181" xfId="0" applyFont="1" applyFill="1" applyBorder="1" applyAlignment="1">
      <alignment horizontal="center" vertical="center"/>
    </xf>
    <xf numFmtId="0" fontId="58" fillId="0" borderId="181" xfId="0" applyFont="1" applyFill="1" applyBorder="1" applyAlignment="1">
      <alignment horizontal="center" vertical="center" shrinkToFit="1"/>
    </xf>
    <xf numFmtId="0" fontId="58" fillId="0" borderId="193" xfId="0" applyFont="1" applyFill="1" applyBorder="1" applyAlignment="1">
      <alignment horizontal="center" vertical="center" shrinkToFit="1"/>
    </xf>
    <xf numFmtId="38" fontId="58" fillId="0" borderId="81" xfId="0" applyNumberFormat="1" applyFont="1" applyFill="1" applyBorder="1" applyAlignment="1">
      <alignment horizontal="right" vertical="center"/>
    </xf>
    <xf numFmtId="38" fontId="58" fillId="0" borderId="81" xfId="0" applyNumberFormat="1" applyFont="1" applyFill="1" applyBorder="1" applyAlignment="1">
      <alignment horizontal="right" vertical="center" shrinkToFit="1"/>
    </xf>
    <xf numFmtId="38" fontId="58" fillId="0" borderId="92" xfId="0" applyNumberFormat="1" applyFont="1" applyFill="1" applyBorder="1" applyAlignment="1">
      <alignment horizontal="right" vertical="center" shrinkToFit="1"/>
    </xf>
    <xf numFmtId="38" fontId="58" fillId="0" borderId="0" xfId="0" applyNumberFormat="1" applyFont="1" applyFill="1" applyBorder="1" applyAlignment="1">
      <alignment horizontal="right" vertical="center" shrinkToFit="1"/>
    </xf>
    <xf numFmtId="0" fontId="58" fillId="0" borderId="75" xfId="0" applyFont="1" applyFill="1" applyBorder="1" applyAlignment="1">
      <alignment vertical="center"/>
    </xf>
    <xf numFmtId="0" fontId="58" fillId="0" borderId="152" xfId="0" applyFont="1" applyFill="1" applyBorder="1" applyAlignment="1">
      <alignment vertical="center" shrinkToFit="1"/>
    </xf>
    <xf numFmtId="0" fontId="58" fillId="0" borderId="182" xfId="0" applyFont="1" applyFill="1" applyBorder="1" applyAlignment="1">
      <alignment vertical="center" shrinkToFit="1"/>
    </xf>
    <xf numFmtId="38" fontId="57" fillId="0" borderId="181" xfId="0" applyNumberFormat="1" applyFont="1" applyFill="1" applyBorder="1" applyAlignment="1">
      <alignment horizontal="right" vertical="center"/>
    </xf>
    <xf numFmtId="38" fontId="57" fillId="0" borderId="181" xfId="0" applyNumberFormat="1" applyFont="1" applyFill="1" applyBorder="1" applyAlignment="1">
      <alignment horizontal="right" vertical="center" shrinkToFit="1"/>
    </xf>
    <xf numFmtId="38" fontId="57" fillId="0" borderId="193" xfId="0" applyNumberFormat="1" applyFont="1" applyFill="1" applyBorder="1" applyAlignment="1">
      <alignment horizontal="right" vertical="center" shrinkToFit="1"/>
    </xf>
    <xf numFmtId="38" fontId="55" fillId="0" borderId="0" xfId="0" applyNumberFormat="1" applyFont="1" applyFill="1" applyBorder="1" applyAlignment="1">
      <alignment horizontal="right" vertical="center" shrinkToFit="1"/>
    </xf>
    <xf numFmtId="0" fontId="58" fillId="0" borderId="23" xfId="0" applyFont="1" applyFill="1" applyBorder="1" applyAlignment="1">
      <alignment horizontal="left" vertical="center" shrinkToFit="1"/>
    </xf>
    <xf numFmtId="193" fontId="58" fillId="0" borderId="23" xfId="0" applyNumberFormat="1" applyFont="1" applyFill="1" applyBorder="1" applyAlignment="1">
      <alignment horizontal="right" vertical="center" shrinkToFit="1"/>
    </xf>
    <xf numFmtId="10" fontId="58" fillId="0" borderId="23" xfId="0" quotePrefix="1" applyNumberFormat="1" applyFont="1" applyFill="1" applyBorder="1" applyAlignment="1">
      <alignment horizontal="center" vertical="center" shrinkToFit="1"/>
    </xf>
    <xf numFmtId="38" fontId="57" fillId="0" borderId="23" xfId="0" applyNumberFormat="1" applyFont="1" applyFill="1" applyBorder="1" applyAlignment="1">
      <alignment horizontal="right" vertical="center"/>
    </xf>
    <xf numFmtId="38" fontId="57" fillId="0" borderId="23" xfId="0" applyNumberFormat="1" applyFont="1" applyFill="1" applyBorder="1" applyAlignment="1">
      <alignment horizontal="right" vertical="center" shrinkToFit="1"/>
    </xf>
    <xf numFmtId="38" fontId="57" fillId="0" borderId="31" xfId="0" applyNumberFormat="1" applyFont="1" applyFill="1" applyBorder="1" applyAlignment="1">
      <alignment horizontal="right" vertical="center" shrinkToFit="1"/>
    </xf>
    <xf numFmtId="10" fontId="57" fillId="0" borderId="23" xfId="0" applyNumberFormat="1" applyFont="1" applyFill="1" applyBorder="1" applyAlignment="1">
      <alignment horizontal="right" vertical="center" shrinkToFit="1"/>
    </xf>
    <xf numFmtId="10" fontId="57" fillId="12" borderId="23" xfId="0" applyNumberFormat="1" applyFont="1" applyFill="1" applyBorder="1" applyAlignment="1">
      <alignment horizontal="right" vertical="center" shrinkToFit="1"/>
    </xf>
    <xf numFmtId="193" fontId="57" fillId="0" borderId="23" xfId="0" applyNumberFormat="1" applyFont="1" applyFill="1" applyBorder="1" applyAlignment="1">
      <alignment horizontal="right" vertical="center" shrinkToFit="1"/>
    </xf>
    <xf numFmtId="0" fontId="58" fillId="27" borderId="23" xfId="0" quotePrefix="1" applyFont="1" applyFill="1" applyBorder="1" applyAlignment="1">
      <alignment horizontal="left" vertical="center" shrinkToFit="1"/>
    </xf>
    <xf numFmtId="10" fontId="58" fillId="0" borderId="23" xfId="0" applyNumberFormat="1" applyFont="1" applyFill="1" applyBorder="1" applyAlignment="1">
      <alignment horizontal="right" vertical="center" shrinkToFit="1"/>
    </xf>
    <xf numFmtId="38" fontId="58" fillId="0" borderId="23" xfId="0" applyNumberFormat="1" applyFont="1" applyFill="1" applyBorder="1" applyAlignment="1">
      <alignment horizontal="right" vertical="center" shrinkToFit="1"/>
    </xf>
    <xf numFmtId="38" fontId="58" fillId="0" borderId="31" xfId="0" applyNumberFormat="1" applyFont="1" applyFill="1" applyBorder="1" applyAlignment="1">
      <alignment horizontal="right" vertical="center" shrinkToFit="1"/>
    </xf>
    <xf numFmtId="49" fontId="57" fillId="0" borderId="77" xfId="0" applyNumberFormat="1" applyFont="1" applyFill="1" applyBorder="1" applyAlignment="1">
      <alignment horizontal="left" vertical="center" shrinkToFit="1"/>
    </xf>
    <xf numFmtId="193" fontId="58" fillId="0" borderId="77" xfId="0" applyNumberFormat="1" applyFont="1" applyFill="1" applyBorder="1" applyAlignment="1">
      <alignment horizontal="right" vertical="center" shrinkToFit="1"/>
    </xf>
    <xf numFmtId="10" fontId="58" fillId="0" borderId="77" xfId="0" applyNumberFormat="1" applyFont="1" applyFill="1" applyBorder="1" applyAlignment="1">
      <alignment horizontal="right" vertical="center" shrinkToFit="1"/>
    </xf>
    <xf numFmtId="38" fontId="57" fillId="22" borderId="77" xfId="0" applyNumberFormat="1" applyFont="1" applyFill="1" applyBorder="1" applyAlignment="1">
      <alignment horizontal="right" vertical="center"/>
    </xf>
    <xf numFmtId="38" fontId="57" fillId="22" borderId="77" xfId="0" applyNumberFormat="1" applyFont="1" applyFill="1" applyBorder="1" applyAlignment="1">
      <alignment horizontal="right" vertical="center" shrinkToFit="1"/>
    </xf>
    <xf numFmtId="38" fontId="57" fillId="22" borderId="90" xfId="0" applyNumberFormat="1" applyFont="1" applyFill="1" applyBorder="1" applyAlignment="1">
      <alignment horizontal="right" vertical="center" shrinkToFit="1"/>
    </xf>
    <xf numFmtId="0" fontId="58" fillId="0" borderId="177" xfId="0" applyFont="1" applyFill="1" applyBorder="1" applyAlignment="1">
      <alignment horizontal="center" vertical="center" shrinkToFit="1"/>
    </xf>
    <xf numFmtId="0" fontId="58" fillId="27" borderId="178" xfId="0" applyFont="1" applyFill="1" applyBorder="1" applyAlignment="1">
      <alignment horizontal="left" vertical="center" shrinkToFit="1"/>
    </xf>
    <xf numFmtId="38" fontId="58" fillId="0" borderId="181" xfId="0" applyNumberFormat="1" applyFont="1" applyFill="1" applyBorder="1" applyAlignment="1">
      <alignment horizontal="right" vertical="center"/>
    </xf>
    <xf numFmtId="38" fontId="58" fillId="0" borderId="181" xfId="0" applyNumberFormat="1" applyFont="1" applyFill="1" applyBorder="1" applyAlignment="1">
      <alignment horizontal="right" vertical="center" shrinkToFit="1"/>
    </xf>
    <xf numFmtId="38" fontId="58" fillId="0" borderId="193" xfId="0" applyNumberFormat="1" applyFont="1" applyFill="1" applyBorder="1" applyAlignment="1">
      <alignment horizontal="right" vertical="center" shrinkToFit="1"/>
    </xf>
    <xf numFmtId="0" fontId="58" fillId="0" borderId="181" xfId="0" applyFont="1" applyFill="1" applyBorder="1" applyAlignment="1">
      <alignment horizontal="left" vertical="center" shrinkToFit="1"/>
    </xf>
    <xf numFmtId="38" fontId="62" fillId="0" borderId="74" xfId="0" applyNumberFormat="1" applyFont="1" applyFill="1" applyBorder="1" applyAlignment="1">
      <alignment horizontal="right" vertical="center"/>
    </xf>
    <xf numFmtId="10" fontId="58" fillId="0" borderId="0" xfId="0" applyNumberFormat="1" applyFont="1" applyFill="1" applyBorder="1" applyAlignment="1">
      <alignment horizontal="left" vertical="center" shrinkToFit="1"/>
    </xf>
    <xf numFmtId="0" fontId="58" fillId="0" borderId="87" xfId="0" applyFont="1" applyFill="1" applyBorder="1" applyAlignment="1">
      <alignment horizontal="left" vertical="center" shrinkToFit="1"/>
    </xf>
    <xf numFmtId="193" fontId="58" fillId="0" borderId="87" xfId="0" applyNumberFormat="1" applyFont="1" applyFill="1" applyBorder="1" applyAlignment="1">
      <alignment vertical="center" shrinkToFit="1"/>
    </xf>
    <xf numFmtId="38" fontId="58" fillId="0" borderId="23" xfId="0" applyNumberFormat="1" applyFont="1" applyFill="1" applyBorder="1" applyAlignment="1">
      <alignment horizontal="right" vertical="center"/>
    </xf>
    <xf numFmtId="38" fontId="58" fillId="0" borderId="87" xfId="0" applyNumberFormat="1" applyFont="1" applyFill="1" applyBorder="1" applyAlignment="1">
      <alignment horizontal="right" vertical="center" shrinkToFit="1"/>
    </xf>
    <xf numFmtId="0" fontId="58" fillId="0" borderId="119" xfId="0" applyFont="1" applyFill="1" applyBorder="1" applyAlignment="1">
      <alignment horizontal="left" vertical="center" shrinkToFit="1"/>
    </xf>
    <xf numFmtId="0" fontId="58" fillId="0" borderId="198" xfId="0" applyFont="1" applyFill="1" applyBorder="1" applyAlignment="1">
      <alignment vertical="center"/>
    </xf>
    <xf numFmtId="38" fontId="62" fillId="0" borderId="23" xfId="0" applyNumberFormat="1" applyFont="1" applyFill="1" applyBorder="1" applyAlignment="1">
      <alignment horizontal="right" vertical="center"/>
    </xf>
    <xf numFmtId="10" fontId="58" fillId="0" borderId="23" xfId="0" applyNumberFormat="1" applyFont="1" applyFill="1" applyBorder="1" applyAlignment="1">
      <alignment horizontal="left" vertical="center" shrinkToFit="1"/>
    </xf>
    <xf numFmtId="10" fontId="58" fillId="0" borderId="31" xfId="0" applyNumberFormat="1" applyFont="1" applyFill="1" applyBorder="1" applyAlignment="1">
      <alignment horizontal="left" vertical="center" shrinkToFit="1"/>
    </xf>
    <xf numFmtId="38" fontId="58" fillId="0" borderId="91" xfId="0" applyNumberFormat="1" applyFont="1" applyFill="1" applyBorder="1" applyAlignment="1">
      <alignment horizontal="right" vertical="center" shrinkToFit="1"/>
    </xf>
    <xf numFmtId="10" fontId="58" fillId="0" borderId="87" xfId="0" applyNumberFormat="1" applyFont="1" applyFill="1" applyBorder="1" applyAlignment="1">
      <alignment horizontal="center" vertical="center"/>
    </xf>
    <xf numFmtId="0" fontId="58" fillId="27" borderId="186" xfId="0" applyFont="1" applyFill="1" applyBorder="1" applyAlignment="1">
      <alignment horizontal="center" vertical="center" textRotation="255"/>
    </xf>
    <xf numFmtId="38" fontId="57" fillId="0" borderId="87" xfId="0" applyNumberFormat="1" applyFont="1" applyFill="1" applyBorder="1" applyAlignment="1">
      <alignment horizontal="right" vertical="center" shrinkToFit="1"/>
    </xf>
    <xf numFmtId="193" fontId="58" fillId="0" borderId="23" xfId="0" applyNumberFormat="1" applyFont="1" applyFill="1" applyBorder="1" applyAlignment="1">
      <alignment vertical="center" shrinkToFit="1"/>
    </xf>
    <xf numFmtId="0" fontId="58" fillId="0" borderId="183" xfId="0" applyFont="1" applyFill="1" applyBorder="1" applyAlignment="1">
      <alignment horizontal="right" vertical="center"/>
    </xf>
    <xf numFmtId="0" fontId="58" fillId="0" borderId="184" xfId="0" applyFont="1" applyFill="1" applyBorder="1" applyAlignment="1">
      <alignment horizontal="right" vertical="center"/>
    </xf>
    <xf numFmtId="0" fontId="58" fillId="0" borderId="184" xfId="0" applyFont="1" applyFill="1" applyBorder="1" applyAlignment="1">
      <alignment horizontal="left" vertical="center"/>
    </xf>
    <xf numFmtId="0" fontId="58" fillId="0" borderId="185" xfId="0" applyFont="1" applyFill="1" applyBorder="1" applyAlignment="1">
      <alignment horizontal="left" vertical="center"/>
    </xf>
    <xf numFmtId="0" fontId="58" fillId="0" borderId="185" xfId="0" applyFont="1" applyFill="1" applyBorder="1" applyAlignment="1">
      <alignment horizontal="right" vertical="center"/>
    </xf>
    <xf numFmtId="38" fontId="58" fillId="0" borderId="185" xfId="0" applyNumberFormat="1" applyFont="1" applyFill="1" applyBorder="1" applyAlignment="1">
      <alignment horizontal="right" vertical="center"/>
    </xf>
    <xf numFmtId="38" fontId="58" fillId="0" borderId="185" xfId="0" applyNumberFormat="1" applyFont="1" applyFill="1" applyBorder="1" applyAlignment="1">
      <alignment horizontal="right" vertical="center" shrinkToFit="1"/>
    </xf>
    <xf numFmtId="0" fontId="9" fillId="27" borderId="0" xfId="0" applyFont="1" applyFill="1" applyBorder="1" applyAlignment="1">
      <alignment horizontal="center" vertical="center" textRotation="255"/>
    </xf>
    <xf numFmtId="0" fontId="4" fillId="27" borderId="0" xfId="0" applyFont="1" applyFill="1" applyBorder="1" applyAlignment="1">
      <alignment horizontal="left" vertical="center" shrinkToFit="1"/>
    </xf>
    <xf numFmtId="38" fontId="9" fillId="27" borderId="0" xfId="0" applyNumberFormat="1" applyFont="1" applyFill="1" applyBorder="1" applyAlignment="1">
      <alignment horizontal="right" vertical="center"/>
    </xf>
    <xf numFmtId="38" fontId="9" fillId="12" borderId="0" xfId="0" applyNumberFormat="1" applyFont="1" applyFill="1" applyBorder="1" applyAlignment="1">
      <alignment horizontal="right" vertical="center" shrinkToFit="1"/>
    </xf>
    <xf numFmtId="0" fontId="9" fillId="34" borderId="0" xfId="0" applyFont="1" applyFill="1" applyBorder="1" applyAlignment="1">
      <alignment horizontal="center" vertical="center" shrinkToFit="1"/>
    </xf>
    <xf numFmtId="0" fontId="73" fillId="0" borderId="0" xfId="0" applyFont="1" applyFill="1" applyBorder="1" applyAlignment="1">
      <alignment horizontal="left" vertical="center"/>
    </xf>
    <xf numFmtId="0" fontId="9" fillId="0" borderId="177" xfId="0" applyFont="1" applyFill="1" applyBorder="1" applyAlignment="1">
      <alignment horizontal="right" vertical="center"/>
    </xf>
    <xf numFmtId="0" fontId="9" fillId="0" borderId="178" xfId="0" applyFont="1" applyFill="1" applyBorder="1" applyAlignment="1">
      <alignment horizontal="right" vertical="center"/>
    </xf>
    <xf numFmtId="0" fontId="9" fillId="0" borderId="181" xfId="0" applyFont="1" applyFill="1" applyBorder="1" applyAlignment="1">
      <alignment horizontal="center" vertical="center"/>
    </xf>
    <xf numFmtId="0" fontId="9" fillId="0" borderId="181" xfId="0" applyFont="1" applyFill="1" applyBorder="1" applyAlignment="1">
      <alignment horizontal="center" vertical="center" shrinkToFit="1"/>
    </xf>
    <xf numFmtId="0" fontId="9" fillId="0" borderId="243" xfId="0" applyFont="1" applyFill="1" applyBorder="1" applyAlignment="1">
      <alignment horizontal="center" vertical="center" shrinkToFit="1"/>
    </xf>
    <xf numFmtId="38" fontId="9" fillId="0" borderId="81" xfId="0" applyNumberFormat="1" applyFont="1" applyFill="1" applyBorder="1" applyAlignment="1">
      <alignment horizontal="right" vertical="center"/>
    </xf>
    <xf numFmtId="38" fontId="9" fillId="0" borderId="81" xfId="0" applyNumberFormat="1" applyFont="1" applyFill="1" applyBorder="1" applyAlignment="1">
      <alignment horizontal="right" vertical="center" shrinkToFit="1"/>
    </xf>
    <xf numFmtId="38" fontId="9" fillId="0" borderId="195" xfId="0" applyNumberFormat="1" applyFont="1" applyFill="1" applyBorder="1" applyAlignment="1">
      <alignment horizontal="right" vertical="center" shrinkToFit="1"/>
    </xf>
    <xf numFmtId="0" fontId="11" fillId="0" borderId="179" xfId="0" applyFont="1" applyFill="1" applyBorder="1" applyAlignment="1">
      <alignment horizontal="left" vertical="center" shrinkToFit="1"/>
    </xf>
    <xf numFmtId="0" fontId="9" fillId="0" borderId="75" xfId="0" applyFont="1" applyFill="1" applyBorder="1" applyAlignment="1">
      <alignment vertical="center"/>
    </xf>
    <xf numFmtId="0" fontId="9" fillId="0" borderId="182" xfId="0" applyFont="1" applyFill="1" applyBorder="1" applyAlignment="1">
      <alignment vertical="center"/>
    </xf>
    <xf numFmtId="10" fontId="9" fillId="0" borderId="181" xfId="0" applyNumberFormat="1" applyFont="1" applyFill="1" applyBorder="1" applyAlignment="1">
      <alignment horizontal="right" vertical="center" shrinkToFit="1"/>
    </xf>
    <xf numFmtId="38" fontId="9" fillId="0" borderId="181" xfId="0" applyNumberFormat="1" applyFont="1" applyFill="1" applyBorder="1" applyAlignment="1">
      <alignment horizontal="right" vertical="center"/>
    </xf>
    <xf numFmtId="38" fontId="57" fillId="22" borderId="181" xfId="0" applyNumberFormat="1" applyFont="1" applyFill="1" applyBorder="1" applyAlignment="1">
      <alignment horizontal="right" vertical="center" shrinkToFit="1"/>
    </xf>
    <xf numFmtId="0" fontId="9" fillId="0" borderId="234" xfId="0" applyFont="1" applyFill="1" applyBorder="1" applyAlignment="1">
      <alignment horizontal="center" vertical="center" shrinkToFit="1"/>
    </xf>
    <xf numFmtId="10" fontId="9" fillId="0" borderId="74" xfId="0" quotePrefix="1" applyNumberFormat="1" applyFont="1" applyFill="1" applyBorder="1" applyAlignment="1">
      <alignment horizontal="center" vertical="center" shrinkToFit="1"/>
    </xf>
    <xf numFmtId="38" fontId="9" fillId="0" borderId="74" xfId="0" applyNumberFormat="1" applyFont="1" applyFill="1" applyBorder="1" applyAlignment="1">
      <alignment horizontal="right" vertical="center" shrinkToFit="1"/>
    </xf>
    <xf numFmtId="38" fontId="9" fillId="0" borderId="170" xfId="0" applyNumberFormat="1" applyFont="1" applyFill="1" applyBorder="1" applyAlignment="1">
      <alignment horizontal="right" vertical="center" shrinkToFit="1"/>
    </xf>
    <xf numFmtId="0" fontId="9" fillId="0" borderId="136" xfId="0" applyFont="1" applyFill="1" applyBorder="1" applyAlignment="1">
      <alignment horizontal="center" vertical="center" shrinkToFit="1"/>
    </xf>
    <xf numFmtId="194" fontId="9" fillId="0" borderId="23" xfId="0" applyNumberFormat="1" applyFont="1" applyFill="1" applyBorder="1" applyAlignment="1">
      <alignment horizontal="right" vertical="center" shrinkToFit="1"/>
    </xf>
    <xf numFmtId="10" fontId="9" fillId="0" borderId="23" xfId="0" quotePrefix="1" applyNumberFormat="1" applyFont="1" applyFill="1" applyBorder="1" applyAlignment="1">
      <alignment horizontal="center" vertical="center" shrinkToFit="1"/>
    </xf>
    <xf numFmtId="38" fontId="9" fillId="0" borderId="23" xfId="0" applyNumberFormat="1" applyFont="1" applyFill="1" applyBorder="1" applyAlignment="1">
      <alignment horizontal="right" vertical="center"/>
    </xf>
    <xf numFmtId="0" fontId="24" fillId="27" borderId="209" xfId="0" applyFont="1" applyFill="1" applyBorder="1" applyAlignment="1">
      <alignment horizontal="left" vertical="center"/>
    </xf>
    <xf numFmtId="0" fontId="24" fillId="27" borderId="209" xfId="0" applyFont="1" applyFill="1" applyBorder="1" applyAlignment="1">
      <alignment horizontal="left" vertical="center" shrinkToFit="1"/>
    </xf>
    <xf numFmtId="10" fontId="9" fillId="12" borderId="23" xfId="0" applyNumberFormat="1" applyFont="1" applyFill="1" applyBorder="1" applyAlignment="1">
      <alignment horizontal="right" vertical="center" shrinkToFit="1"/>
    </xf>
    <xf numFmtId="0" fontId="9" fillId="27" borderId="166" xfId="0" applyFont="1" applyFill="1" applyBorder="1" applyAlignment="1">
      <alignment horizontal="center" vertical="center" shrinkToFit="1"/>
    </xf>
    <xf numFmtId="0" fontId="55" fillId="27" borderId="77" xfId="0" applyFont="1" applyFill="1" applyBorder="1" applyAlignment="1">
      <alignment horizontal="left" vertical="center" shrinkToFit="1"/>
    </xf>
    <xf numFmtId="38" fontId="9" fillId="0" borderId="77" xfId="0" applyNumberFormat="1" applyFont="1" applyFill="1" applyBorder="1" applyAlignment="1">
      <alignment horizontal="right" vertical="center" shrinkToFit="1"/>
    </xf>
    <xf numFmtId="0" fontId="11" fillId="0" borderId="14" xfId="0" applyFont="1" applyFill="1" applyBorder="1" applyAlignment="1">
      <alignment horizontal="left" vertical="center"/>
    </xf>
    <xf numFmtId="0" fontId="11" fillId="0" borderId="15" xfId="0" applyFont="1" applyFill="1" applyBorder="1" applyAlignment="1">
      <alignment horizontal="left" vertical="center"/>
    </xf>
    <xf numFmtId="0" fontId="11" fillId="0" borderId="15" xfId="0" applyFont="1" applyFill="1" applyBorder="1" applyAlignment="1">
      <alignment horizontal="left" vertical="center" shrinkToFit="1"/>
    </xf>
    <xf numFmtId="0" fontId="9" fillId="0" borderId="15" xfId="0" applyFont="1" applyFill="1" applyBorder="1" applyAlignment="1">
      <alignment vertical="center"/>
    </xf>
    <xf numFmtId="38" fontId="9" fillId="0" borderId="15" xfId="0" applyNumberFormat="1" applyFont="1" applyFill="1" applyBorder="1" applyAlignment="1">
      <alignment horizontal="right" vertical="center"/>
    </xf>
    <xf numFmtId="38" fontId="9" fillId="0" borderId="15" xfId="0" applyNumberFormat="1" applyFont="1" applyFill="1" applyBorder="1" applyAlignment="1">
      <alignment horizontal="right" vertical="center" shrinkToFit="1"/>
    </xf>
    <xf numFmtId="38" fontId="9" fillId="0" borderId="122" xfId="0" applyNumberFormat="1" applyFont="1" applyFill="1" applyBorder="1" applyAlignment="1">
      <alignment horizontal="right" vertical="center" shrinkToFit="1"/>
    </xf>
    <xf numFmtId="0" fontId="4" fillId="0" borderId="199" xfId="0" applyFont="1" applyFill="1" applyBorder="1" applyAlignment="1">
      <alignment horizontal="left" vertical="center" shrinkToFit="1"/>
    </xf>
    <xf numFmtId="38" fontId="18" fillId="0" borderId="74" xfId="0" applyNumberFormat="1" applyFont="1" applyFill="1" applyBorder="1" applyAlignment="1">
      <alignment horizontal="right" vertical="center"/>
    </xf>
    <xf numFmtId="0" fontId="4" fillId="0" borderId="165" xfId="0" applyFont="1" applyFill="1" applyBorder="1" applyAlignment="1">
      <alignment horizontal="left" vertical="center" shrinkToFit="1"/>
    </xf>
    <xf numFmtId="193" fontId="56" fillId="0" borderId="87" xfId="0" applyNumberFormat="1" applyFont="1" applyFill="1" applyBorder="1" applyAlignment="1">
      <alignment vertical="center" shrinkToFit="1"/>
    </xf>
    <xf numFmtId="38" fontId="4" fillId="0" borderId="87" xfId="0" applyNumberFormat="1" applyFont="1" applyFill="1" applyBorder="1" applyAlignment="1">
      <alignment horizontal="right" vertical="center" shrinkToFit="1"/>
    </xf>
    <xf numFmtId="38" fontId="4" fillId="0" borderId="91" xfId="0" applyNumberFormat="1" applyFont="1" applyFill="1" applyBorder="1" applyAlignment="1">
      <alignment horizontal="right" vertical="center" shrinkToFit="1"/>
    </xf>
    <xf numFmtId="0" fontId="4" fillId="0" borderId="163" xfId="0" applyFont="1" applyFill="1" applyBorder="1" applyAlignment="1">
      <alignment horizontal="left" vertical="center" shrinkToFit="1"/>
    </xf>
    <xf numFmtId="38" fontId="18" fillId="0" borderId="23" xfId="0" applyNumberFormat="1" applyFont="1" applyFill="1" applyBorder="1" applyAlignment="1">
      <alignment horizontal="right" vertical="center"/>
    </xf>
    <xf numFmtId="10" fontId="4" fillId="0" borderId="23" xfId="3" applyNumberFormat="1" applyFont="1" applyFill="1" applyBorder="1" applyAlignment="1">
      <alignment horizontal="left" vertical="center" shrinkToFit="1"/>
    </xf>
    <xf numFmtId="10" fontId="4" fillId="0" borderId="31" xfId="3" applyNumberFormat="1" applyFont="1" applyFill="1" applyBorder="1" applyAlignment="1">
      <alignment horizontal="left" vertical="center" shrinkToFit="1"/>
    </xf>
    <xf numFmtId="0" fontId="4" fillId="19" borderId="119" xfId="0" applyFont="1" applyFill="1" applyBorder="1" applyAlignment="1">
      <alignment horizontal="left" vertical="center" shrinkToFit="1"/>
    </xf>
    <xf numFmtId="193" fontId="56" fillId="19" borderId="119" xfId="0" applyNumberFormat="1" applyFont="1" applyFill="1" applyBorder="1" applyAlignment="1">
      <alignment vertical="center" shrinkToFit="1"/>
    </xf>
    <xf numFmtId="10" fontId="4" fillId="19" borderId="23" xfId="0" applyNumberFormat="1" applyFont="1" applyFill="1" applyBorder="1" applyAlignment="1">
      <alignment horizontal="center" vertical="center"/>
    </xf>
    <xf numFmtId="38" fontId="4" fillId="19" borderId="23" xfId="0" applyNumberFormat="1" applyFont="1" applyFill="1" applyBorder="1" applyAlignment="1">
      <alignment horizontal="right" vertical="center"/>
    </xf>
    <xf numFmtId="10" fontId="4" fillId="19" borderId="87" xfId="0" applyNumberFormat="1" applyFont="1" applyFill="1" applyBorder="1" applyAlignment="1">
      <alignment horizontal="left" vertical="center" shrinkToFit="1"/>
    </xf>
    <xf numFmtId="10" fontId="4" fillId="19" borderId="91" xfId="0" applyNumberFormat="1" applyFont="1" applyFill="1" applyBorder="1" applyAlignment="1">
      <alignment horizontal="left" vertical="center" shrinkToFit="1"/>
    </xf>
    <xf numFmtId="0" fontId="4" fillId="19" borderId="120" xfId="0" applyFont="1" applyFill="1" applyBorder="1" applyAlignment="1">
      <alignment horizontal="left" vertical="center" shrinkToFit="1"/>
    </xf>
    <xf numFmtId="193" fontId="56" fillId="19" borderId="120" xfId="0" applyNumberFormat="1" applyFont="1" applyFill="1" applyBorder="1" applyAlignment="1">
      <alignment vertical="center" shrinkToFit="1"/>
    </xf>
    <xf numFmtId="0" fontId="9" fillId="19" borderId="87" xfId="0" applyFont="1" applyFill="1" applyBorder="1" applyAlignment="1">
      <alignment horizontal="left" vertical="center" shrinkToFit="1"/>
    </xf>
    <xf numFmtId="194" fontId="9" fillId="19" borderId="87" xfId="0" applyNumberFormat="1" applyFont="1" applyFill="1" applyBorder="1" applyAlignment="1">
      <alignment vertical="center" shrinkToFit="1"/>
    </xf>
    <xf numFmtId="10" fontId="9" fillId="19" borderId="23" xfId="0" applyNumberFormat="1" applyFont="1" applyFill="1" applyBorder="1" applyAlignment="1">
      <alignment horizontal="right" vertical="center" shrinkToFit="1"/>
    </xf>
    <xf numFmtId="38" fontId="57" fillId="19" borderId="23" xfId="0" applyNumberFormat="1" applyFont="1" applyFill="1" applyBorder="1" applyAlignment="1">
      <alignment horizontal="right" vertical="center"/>
    </xf>
    <xf numFmtId="194" fontId="9" fillId="0" borderId="23" xfId="0" applyNumberFormat="1" applyFont="1" applyFill="1" applyBorder="1" applyAlignment="1">
      <alignment vertical="center" shrinkToFit="1"/>
    </xf>
    <xf numFmtId="10" fontId="55" fillId="0" borderId="23" xfId="0" applyNumberFormat="1" applyFont="1" applyFill="1" applyBorder="1" applyAlignment="1">
      <alignment horizontal="right" vertical="center" shrinkToFit="1"/>
    </xf>
    <xf numFmtId="38" fontId="9" fillId="0" borderId="83" xfId="0" applyNumberFormat="1" applyFont="1" applyFill="1" applyBorder="1" applyAlignment="1">
      <alignment horizontal="right" vertical="center" shrinkToFit="1"/>
    </xf>
    <xf numFmtId="9" fontId="9" fillId="0" borderId="23" xfId="0" applyNumberFormat="1" applyFont="1" applyFill="1" applyBorder="1" applyAlignment="1">
      <alignment horizontal="right" vertical="center" shrinkToFit="1"/>
    </xf>
    <xf numFmtId="0" fontId="55" fillId="27" borderId="120" xfId="0" applyFont="1" applyFill="1" applyBorder="1" applyAlignment="1">
      <alignment vertical="center" shrinkToFit="1"/>
    </xf>
    <xf numFmtId="0" fontId="55" fillId="29" borderId="23" xfId="0" applyFont="1" applyFill="1" applyBorder="1" applyAlignment="1">
      <alignment horizontal="left" vertical="center" shrinkToFit="1"/>
    </xf>
    <xf numFmtId="193" fontId="9" fillId="0" borderId="23" xfId="0" applyNumberFormat="1" applyFont="1" applyFill="1" applyBorder="1" applyAlignment="1">
      <alignment vertical="center" shrinkToFit="1"/>
    </xf>
    <xf numFmtId="38" fontId="4" fillId="29" borderId="23" xfId="0" applyNumberFormat="1" applyFont="1" applyFill="1" applyBorder="1" applyAlignment="1">
      <alignment horizontal="right" vertical="center"/>
    </xf>
    <xf numFmtId="0" fontId="55" fillId="27" borderId="87" xfId="0" applyFont="1" applyFill="1" applyBorder="1" applyAlignment="1">
      <alignment vertical="center" shrinkToFit="1"/>
    </xf>
    <xf numFmtId="0" fontId="65" fillId="29" borderId="23" xfId="0" applyFont="1" applyFill="1" applyBorder="1" applyAlignment="1">
      <alignment horizontal="left" vertical="center" shrinkToFit="1"/>
    </xf>
    <xf numFmtId="0" fontId="9" fillId="27" borderId="163" xfId="0" applyFont="1" applyFill="1" applyBorder="1" applyAlignment="1">
      <alignment horizontal="center" vertical="center" shrinkToFit="1"/>
    </xf>
    <xf numFmtId="0" fontId="55" fillId="27" borderId="119" xfId="0" applyFont="1" applyFill="1" applyBorder="1" applyAlignment="1">
      <alignment horizontal="left" vertical="center" shrinkToFit="1"/>
    </xf>
    <xf numFmtId="194" fontId="9" fillId="0" borderId="119" xfId="0" applyNumberFormat="1" applyFont="1" applyFill="1" applyBorder="1" applyAlignment="1">
      <alignment vertical="center" shrinkToFit="1"/>
    </xf>
    <xf numFmtId="10" fontId="9" fillId="0" borderId="119" xfId="0" applyNumberFormat="1" applyFont="1" applyFill="1" applyBorder="1" applyAlignment="1">
      <alignment horizontal="right" vertical="center" shrinkToFit="1"/>
    </xf>
    <xf numFmtId="0" fontId="9" fillId="0" borderId="235" xfId="0" applyFont="1" applyFill="1" applyBorder="1" applyAlignment="1">
      <alignment horizontal="center" vertical="center" shrinkToFit="1"/>
    </xf>
    <xf numFmtId="38" fontId="9" fillId="0" borderId="33" xfId="0" applyNumberFormat="1" applyFont="1" applyFill="1" applyBorder="1" applyAlignment="1">
      <alignment horizontal="right" vertical="center" shrinkToFit="1"/>
    </xf>
    <xf numFmtId="0" fontId="9" fillId="0" borderId="183" xfId="0" applyFont="1" applyFill="1" applyBorder="1" applyAlignment="1">
      <alignment horizontal="right" vertical="center"/>
    </xf>
    <xf numFmtId="0" fontId="9" fillId="0" borderId="184" xfId="0" applyFont="1" applyFill="1" applyBorder="1" applyAlignment="1">
      <alignment horizontal="right" vertical="center"/>
    </xf>
    <xf numFmtId="0" fontId="9" fillId="0" borderId="184" xfId="0" applyFont="1" applyFill="1" applyBorder="1" applyAlignment="1">
      <alignment horizontal="left" vertical="center"/>
    </xf>
    <xf numFmtId="0" fontId="9" fillId="0" borderId="185" xfId="0" applyFont="1" applyFill="1" applyBorder="1" applyAlignment="1">
      <alignment horizontal="left" vertical="center"/>
    </xf>
    <xf numFmtId="0" fontId="9" fillId="0" borderId="185" xfId="0" applyFont="1" applyFill="1" applyBorder="1" applyAlignment="1">
      <alignment horizontal="right" vertical="center"/>
    </xf>
    <xf numFmtId="38" fontId="9" fillId="0" borderId="185" xfId="0" applyNumberFormat="1" applyFont="1" applyFill="1" applyBorder="1" applyAlignment="1">
      <alignment horizontal="right" vertical="center" shrinkToFit="1"/>
    </xf>
    <xf numFmtId="38" fontId="9" fillId="0" borderId="197" xfId="0" applyNumberFormat="1" applyFont="1" applyFill="1" applyBorder="1" applyAlignment="1">
      <alignment horizontal="right" vertical="center" shrinkToFit="1"/>
    </xf>
    <xf numFmtId="0" fontId="9" fillId="0" borderId="180" xfId="0" applyFont="1" applyFill="1" applyBorder="1" applyAlignment="1">
      <alignment horizontal="right" vertical="center"/>
    </xf>
    <xf numFmtId="0" fontId="9" fillId="0" borderId="79" xfId="0" applyFont="1" applyFill="1" applyBorder="1" applyAlignment="1">
      <alignment horizontal="right" vertical="center"/>
    </xf>
    <xf numFmtId="0" fontId="9" fillId="0" borderId="79" xfId="0" applyFont="1" applyFill="1" applyBorder="1" applyAlignment="1">
      <alignment horizontal="left" vertical="center"/>
    </xf>
    <xf numFmtId="0" fontId="9" fillId="0" borderId="81" xfId="0" applyFont="1" applyFill="1" applyBorder="1" applyAlignment="1">
      <alignment horizontal="left" vertical="center"/>
    </xf>
    <xf numFmtId="0" fontId="9" fillId="0" borderId="81" xfId="0" applyFont="1" applyFill="1" applyBorder="1" applyAlignment="1">
      <alignment horizontal="right" vertical="center"/>
    </xf>
    <xf numFmtId="38" fontId="9" fillId="0" borderId="92" xfId="0" applyNumberFormat="1" applyFont="1" applyFill="1" applyBorder="1" applyAlignment="1">
      <alignment horizontal="right" vertical="center" shrinkToFit="1"/>
    </xf>
    <xf numFmtId="0" fontId="63" fillId="0" borderId="181" xfId="0" applyFont="1" applyFill="1" applyBorder="1" applyAlignment="1">
      <alignment horizontal="center" vertical="center" wrapText="1"/>
    </xf>
    <xf numFmtId="0" fontId="9" fillId="0" borderId="193" xfId="0" applyFont="1" applyFill="1" applyBorder="1" applyAlignment="1">
      <alignment horizontal="center" vertical="center" shrinkToFit="1"/>
    </xf>
    <xf numFmtId="0" fontId="10" fillId="0" borderId="81" xfId="0" applyFont="1" applyFill="1" applyBorder="1" applyAlignment="1">
      <alignment horizontal="center" vertical="center" wrapText="1"/>
    </xf>
    <xf numFmtId="0" fontId="9" fillId="0" borderId="81" xfId="0" applyFont="1" applyFill="1" applyBorder="1" applyAlignment="1">
      <alignment horizontal="center" vertical="center"/>
    </xf>
    <xf numFmtId="0" fontId="9" fillId="0" borderId="81" xfId="0" applyFont="1" applyFill="1" applyBorder="1" applyAlignment="1">
      <alignment horizontal="center" vertical="center" shrinkToFit="1"/>
    </xf>
    <xf numFmtId="0" fontId="9" fillId="0" borderId="92" xfId="0" applyFont="1" applyFill="1" applyBorder="1" applyAlignment="1">
      <alignment horizontal="center" vertical="center" shrinkToFit="1"/>
    </xf>
    <xf numFmtId="0" fontId="9" fillId="0" borderId="151" xfId="0" applyFont="1" applyFill="1" applyBorder="1" applyAlignment="1">
      <alignment horizontal="right" vertical="center"/>
    </xf>
    <xf numFmtId="0" fontId="9" fillId="0" borderId="152" xfId="0" applyFont="1" applyFill="1" applyBorder="1" applyAlignment="1">
      <alignment horizontal="right" vertical="center"/>
    </xf>
    <xf numFmtId="0" fontId="9" fillId="0" borderId="182" xfId="0" applyFont="1" applyFill="1" applyBorder="1" applyAlignment="1">
      <alignment horizontal="left" vertical="center"/>
    </xf>
    <xf numFmtId="0" fontId="9" fillId="0" borderId="74" xfId="0" applyFont="1" applyFill="1" applyBorder="1" applyAlignment="1">
      <alignment horizontal="left" vertical="center"/>
    </xf>
    <xf numFmtId="0" fontId="9" fillId="0" borderId="74" xfId="0" applyFont="1" applyFill="1" applyBorder="1" applyAlignment="1">
      <alignment horizontal="center" vertical="center"/>
    </xf>
    <xf numFmtId="38" fontId="9" fillId="0" borderId="74" xfId="0" applyNumberFormat="1" applyFont="1" applyFill="1" applyBorder="1" applyAlignment="1">
      <alignment horizontal="right" vertical="center"/>
    </xf>
    <xf numFmtId="0" fontId="8" fillId="0" borderId="167" xfId="0" applyFont="1" applyFill="1" applyBorder="1" applyAlignment="1">
      <alignment horizontal="left" vertical="center"/>
    </xf>
    <xf numFmtId="0" fontId="9" fillId="0" borderId="23" xfId="0" applyFont="1" applyFill="1" applyBorder="1" applyAlignment="1">
      <alignment horizontal="left" vertical="center"/>
    </xf>
    <xf numFmtId="0" fontId="24" fillId="0" borderId="23" xfId="0" applyFont="1" applyFill="1" applyBorder="1" applyAlignment="1">
      <alignment horizontal="right" vertical="center"/>
    </xf>
    <xf numFmtId="38" fontId="9" fillId="22" borderId="23" xfId="0" applyNumberFormat="1" applyFont="1" applyFill="1" applyBorder="1" applyAlignment="1">
      <alignment horizontal="right" vertical="center"/>
    </xf>
    <xf numFmtId="0" fontId="24" fillId="0" borderId="168" xfId="0" applyFont="1" applyFill="1" applyBorder="1" applyAlignment="1">
      <alignment horizontal="left" vertical="center"/>
    </xf>
    <xf numFmtId="0" fontId="9" fillId="0" borderId="77" xfId="0" applyFont="1" applyFill="1" applyBorder="1" applyAlignment="1">
      <alignment horizontal="left" vertical="center"/>
    </xf>
    <xf numFmtId="0" fontId="9" fillId="0" borderId="77" xfId="0" applyFont="1" applyFill="1" applyBorder="1" applyAlignment="1">
      <alignment horizontal="center" vertical="center"/>
    </xf>
    <xf numFmtId="38" fontId="9" fillId="0" borderId="77" xfId="0" applyNumberFormat="1" applyFont="1" applyFill="1" applyBorder="1" applyAlignment="1">
      <alignment horizontal="right" vertical="center"/>
    </xf>
    <xf numFmtId="38" fontId="9" fillId="0" borderId="90" xfId="0" applyNumberFormat="1" applyFont="1" applyFill="1" applyBorder="1" applyAlignment="1">
      <alignment horizontal="right" vertical="center" shrinkToFit="1"/>
    </xf>
    <xf numFmtId="0" fontId="9" fillId="0" borderId="181" xfId="0" applyFont="1" applyFill="1" applyBorder="1" applyAlignment="1">
      <alignment horizontal="right" vertical="center"/>
    </xf>
    <xf numFmtId="0" fontId="11" fillId="0" borderId="81" xfId="0" applyFont="1" applyFill="1" applyBorder="1" applyAlignment="1">
      <alignment horizontal="left" vertical="center"/>
    </xf>
    <xf numFmtId="0" fontId="9" fillId="0" borderId="74" xfId="0" applyFont="1" applyFill="1" applyBorder="1" applyAlignment="1">
      <alignment horizontal="center" vertical="center" shrinkToFit="1"/>
    </xf>
    <xf numFmtId="0" fontId="57" fillId="22" borderId="74" xfId="0" applyFont="1" applyFill="1" applyBorder="1" applyAlignment="1">
      <alignment horizontal="left" vertical="center" shrinkToFit="1"/>
    </xf>
    <xf numFmtId="0" fontId="9" fillId="0" borderId="74" xfId="0" applyFont="1" applyFill="1" applyBorder="1" applyAlignment="1">
      <alignment vertical="center" shrinkToFit="1"/>
    </xf>
    <xf numFmtId="10" fontId="9" fillId="0" borderId="181" xfId="0" quotePrefix="1" applyNumberFormat="1" applyFont="1" applyFill="1" applyBorder="1" applyAlignment="1">
      <alignment horizontal="right" vertical="center" shrinkToFit="1"/>
    </xf>
    <xf numFmtId="38" fontId="57" fillId="22" borderId="74" xfId="0" applyNumberFormat="1" applyFont="1" applyFill="1" applyBorder="1" applyAlignment="1">
      <alignment horizontal="right" vertical="center" shrinkToFit="1"/>
    </xf>
    <xf numFmtId="0" fontId="9" fillId="0" borderId="23" xfId="0" applyFont="1" applyFill="1" applyBorder="1" applyAlignment="1">
      <alignment horizontal="right" vertical="center"/>
    </xf>
    <xf numFmtId="10" fontId="57" fillId="22" borderId="23" xfId="0" quotePrefix="1" applyNumberFormat="1" applyFont="1" applyFill="1" applyBorder="1" applyAlignment="1">
      <alignment horizontal="right" vertical="center" shrinkToFit="1"/>
    </xf>
    <xf numFmtId="0" fontId="9" fillId="0" borderId="23" xfId="0" applyNumberFormat="1" applyFont="1" applyFill="1" applyBorder="1" applyAlignment="1">
      <alignment vertical="center" shrinkToFit="1"/>
    </xf>
    <xf numFmtId="0" fontId="9" fillId="0" borderId="23" xfId="0" applyFont="1" applyFill="1" applyBorder="1" applyAlignment="1">
      <alignment horizontal="right" vertical="center" shrinkToFit="1"/>
    </xf>
    <xf numFmtId="0" fontId="57" fillId="22" borderId="23" xfId="0" quotePrefix="1" applyFont="1" applyFill="1" applyBorder="1" applyAlignment="1">
      <alignment vertical="center"/>
    </xf>
    <xf numFmtId="0" fontId="4" fillId="0" borderId="23" xfId="0" applyFont="1" applyFill="1" applyBorder="1" applyAlignment="1">
      <alignment horizontal="left" vertical="center"/>
    </xf>
    <xf numFmtId="0" fontId="9" fillId="0" borderId="23" xfId="0" applyFont="1" applyFill="1" applyBorder="1" applyAlignment="1">
      <alignment vertical="center" shrinkToFit="1"/>
    </xf>
    <xf numFmtId="0" fontId="9" fillId="0" borderId="23" xfId="0" applyFont="1" applyFill="1" applyBorder="1" applyAlignment="1">
      <alignment horizontal="left" vertical="center" shrinkToFit="1"/>
    </xf>
    <xf numFmtId="0" fontId="9" fillId="0" borderId="119" xfId="0" applyFont="1" applyFill="1" applyBorder="1" applyAlignment="1">
      <alignment horizontal="left" vertical="center"/>
    </xf>
    <xf numFmtId="0" fontId="9" fillId="0" borderId="77" xfId="0" applyFont="1" applyFill="1" applyBorder="1" applyAlignment="1">
      <alignment horizontal="left" vertical="center" shrinkToFit="1"/>
    </xf>
    <xf numFmtId="9" fontId="9" fillId="0" borderId="77" xfId="0" applyNumberFormat="1" applyFont="1" applyFill="1" applyBorder="1" applyAlignment="1">
      <alignment horizontal="right" vertical="center" shrinkToFit="1"/>
    </xf>
    <xf numFmtId="0" fontId="9" fillId="0" borderId="199" xfId="0" applyFont="1" applyFill="1" applyBorder="1" applyAlignment="1">
      <alignment horizontal="right" vertical="center"/>
    </xf>
    <xf numFmtId="0" fontId="9" fillId="0" borderId="181" xfId="0" applyFont="1" applyFill="1" applyBorder="1" applyAlignment="1">
      <alignment horizontal="right" vertical="center" shrinkToFit="1"/>
    </xf>
    <xf numFmtId="0" fontId="9" fillId="0" borderId="74" xfId="0" applyFont="1" applyFill="1" applyBorder="1" applyAlignment="1">
      <alignment horizontal="right" vertical="center" shrinkToFit="1"/>
    </xf>
    <xf numFmtId="0" fontId="11" fillId="0" borderId="81" xfId="0" applyFont="1" applyFill="1" applyBorder="1" applyAlignment="1">
      <alignment horizontal="left" vertical="center" shrinkToFit="1"/>
    </xf>
    <xf numFmtId="0" fontId="9" fillId="0" borderId="77" xfId="0" applyFont="1" applyFill="1" applyBorder="1" applyAlignment="1">
      <alignment horizontal="right" vertical="center" shrinkToFit="1"/>
    </xf>
    <xf numFmtId="0" fontId="9" fillId="0" borderId="179" xfId="0" applyFont="1" applyFill="1" applyBorder="1" applyAlignment="1">
      <alignment horizontal="right" vertical="center"/>
    </xf>
    <xf numFmtId="0" fontId="9" fillId="0" borderId="87" xfId="0" applyFont="1" applyFill="1" applyBorder="1" applyAlignment="1">
      <alignment horizontal="center" vertical="center" shrinkToFit="1"/>
    </xf>
    <xf numFmtId="0" fontId="9" fillId="0" borderId="87" xfId="0" quotePrefix="1" applyFont="1" applyFill="1" applyBorder="1" applyAlignment="1">
      <alignment horizontal="left" vertical="center" shrinkToFit="1"/>
    </xf>
    <xf numFmtId="10" fontId="9" fillId="0" borderId="74" xfId="0" applyNumberFormat="1" applyFont="1" applyFill="1" applyBorder="1" applyAlignment="1">
      <alignment horizontal="right" vertical="center" shrinkToFit="1"/>
    </xf>
    <xf numFmtId="0" fontId="9" fillId="0" borderId="23" xfId="0" applyFont="1" applyFill="1" applyBorder="1" applyAlignment="1">
      <alignment vertical="center"/>
    </xf>
    <xf numFmtId="0" fontId="9" fillId="0" borderId="23" xfId="0" quotePrefix="1" applyFont="1" applyFill="1" applyBorder="1" applyAlignment="1">
      <alignment vertical="center"/>
    </xf>
    <xf numFmtId="0" fontId="9" fillId="0" borderId="74" xfId="0" applyFont="1" applyFill="1" applyBorder="1" applyAlignment="1">
      <alignment horizontal="right" vertical="center"/>
    </xf>
    <xf numFmtId="0" fontId="9" fillId="0" borderId="209" xfId="0" applyFont="1" applyFill="1" applyBorder="1" applyAlignment="1">
      <alignment horizontal="left" vertical="center"/>
    </xf>
    <xf numFmtId="0" fontId="9" fillId="0" borderId="120" xfId="0" applyFont="1" applyFill="1" applyBorder="1" applyAlignment="1">
      <alignment horizontal="right" vertical="center"/>
    </xf>
    <xf numFmtId="38" fontId="9" fillId="0" borderId="120" xfId="0" applyNumberFormat="1" applyFont="1" applyFill="1" applyBorder="1" applyAlignment="1">
      <alignment horizontal="right" vertical="center"/>
    </xf>
    <xf numFmtId="38" fontId="9" fillId="0" borderId="120" xfId="0" applyNumberFormat="1" applyFont="1" applyFill="1" applyBorder="1" applyAlignment="1">
      <alignment horizontal="right" vertical="center" shrinkToFit="1"/>
    </xf>
    <xf numFmtId="38" fontId="9" fillId="0" borderId="169" xfId="0" applyNumberFormat="1" applyFont="1" applyFill="1" applyBorder="1" applyAlignment="1">
      <alignment horizontal="right" vertical="center" shrinkToFit="1"/>
    </xf>
    <xf numFmtId="176" fontId="4" fillId="0" borderId="23" xfId="0" applyNumberFormat="1" applyFont="1" applyFill="1" applyBorder="1" applyAlignment="1">
      <alignment vertical="center"/>
    </xf>
    <xf numFmtId="0" fontId="4" fillId="0" borderId="108" xfId="0" applyFont="1" applyFill="1" applyBorder="1" applyAlignment="1">
      <alignment vertical="center"/>
    </xf>
    <xf numFmtId="0" fontId="4" fillId="0" borderId="23" xfId="0" applyFont="1" applyFill="1" applyBorder="1" applyAlignment="1">
      <alignment vertical="center"/>
    </xf>
    <xf numFmtId="38" fontId="4" fillId="0" borderId="23" xfId="0" applyNumberFormat="1" applyFont="1" applyFill="1" applyBorder="1" applyAlignment="1">
      <alignment vertical="center"/>
    </xf>
    <xf numFmtId="38" fontId="4" fillId="0" borderId="23" xfId="0" applyNumberFormat="1" applyFont="1" applyFill="1" applyBorder="1" applyAlignment="1">
      <alignment vertical="center" shrinkToFit="1"/>
    </xf>
    <xf numFmtId="38" fontId="4" fillId="0" borderId="31" xfId="0" applyNumberFormat="1" applyFont="1" applyFill="1" applyBorder="1" applyAlignment="1">
      <alignment vertical="center" shrinkToFit="1"/>
    </xf>
    <xf numFmtId="0" fontId="4" fillId="0" borderId="180" xfId="0" applyFont="1" applyFill="1" applyBorder="1" applyAlignment="1">
      <alignment vertical="center"/>
    </xf>
    <xf numFmtId="0" fontId="4" fillId="0" borderId="79" xfId="0" applyFont="1" applyFill="1" applyBorder="1" applyAlignment="1">
      <alignment vertical="center"/>
    </xf>
    <xf numFmtId="0" fontId="4" fillId="0" borderId="81" xfId="0" applyFont="1" applyFill="1" applyBorder="1" applyAlignment="1">
      <alignment vertical="center"/>
    </xf>
    <xf numFmtId="176" fontId="4" fillId="0" borderId="81" xfId="0" applyNumberFormat="1" applyFont="1" applyFill="1" applyBorder="1" applyAlignment="1">
      <alignment vertical="center"/>
    </xf>
    <xf numFmtId="176" fontId="4" fillId="0" borderId="81" xfId="0" applyNumberFormat="1" applyFont="1" applyFill="1" applyBorder="1" applyAlignment="1">
      <alignment vertical="center" shrinkToFit="1"/>
    </xf>
    <xf numFmtId="176" fontId="4" fillId="0" borderId="92" xfId="0" applyNumberFormat="1" applyFont="1" applyFill="1" applyBorder="1" applyAlignment="1">
      <alignment vertical="center" shrinkToFit="1"/>
    </xf>
    <xf numFmtId="0" fontId="4" fillId="0" borderId="178" xfId="0" applyFont="1" applyFill="1" applyBorder="1" applyAlignment="1">
      <alignment vertical="center"/>
    </xf>
    <xf numFmtId="176" fontId="4" fillId="0" borderId="178" xfId="0" applyNumberFormat="1" applyFont="1" applyFill="1" applyBorder="1" applyAlignment="1">
      <alignment vertical="center"/>
    </xf>
    <xf numFmtId="176" fontId="4" fillId="0" borderId="178" xfId="0" applyNumberFormat="1" applyFont="1" applyFill="1" applyBorder="1" applyAlignment="1">
      <alignment vertical="center" shrinkToFit="1"/>
    </xf>
    <xf numFmtId="0" fontId="4" fillId="0" borderId="124" xfId="0" applyFont="1" applyBorder="1" applyAlignment="1">
      <alignment vertical="center"/>
    </xf>
    <xf numFmtId="0" fontId="4" fillId="0" borderId="248" xfId="0" applyFont="1" applyBorder="1" applyAlignment="1">
      <alignment vertical="center"/>
    </xf>
    <xf numFmtId="0" fontId="59" fillId="0" borderId="49" xfId="0" applyFont="1" applyBorder="1" applyAlignment="1">
      <alignment vertical="center"/>
    </xf>
    <xf numFmtId="0" fontId="4" fillId="0" borderId="123" xfId="0" applyFont="1" applyBorder="1" applyAlignment="1">
      <alignment vertical="center"/>
    </xf>
    <xf numFmtId="188" fontId="4" fillId="0" borderId="103" xfId="0" applyNumberFormat="1" applyFont="1" applyFill="1" applyBorder="1" applyAlignment="1">
      <alignment horizontal="center" vertical="center"/>
    </xf>
    <xf numFmtId="188" fontId="4" fillId="0" borderId="57" xfId="0" applyNumberFormat="1" applyFont="1" applyFill="1" applyBorder="1" applyAlignment="1">
      <alignment horizontal="center" vertical="center"/>
    </xf>
    <xf numFmtId="188" fontId="4" fillId="0" borderId="0" xfId="0" applyNumberFormat="1" applyFont="1" applyFill="1" applyBorder="1" applyAlignment="1">
      <alignment horizontal="center" vertical="center"/>
    </xf>
    <xf numFmtId="0" fontId="28" fillId="0" borderId="50" xfId="0" applyFont="1" applyBorder="1" applyAlignment="1">
      <alignment vertical="center" shrinkToFit="1"/>
    </xf>
    <xf numFmtId="0" fontId="4" fillId="0" borderId="167" xfId="0" applyFont="1" applyBorder="1" applyAlignment="1">
      <alignment vertical="center"/>
    </xf>
    <xf numFmtId="193" fontId="4" fillId="19" borderId="0" xfId="0" applyNumberFormat="1" applyFont="1" applyFill="1" applyBorder="1" applyAlignment="1" applyProtection="1">
      <alignment horizontal="center" vertical="center"/>
    </xf>
    <xf numFmtId="0" fontId="4" fillId="0" borderId="198" xfId="0" applyFont="1" applyBorder="1" applyAlignment="1">
      <alignment vertical="center"/>
    </xf>
    <xf numFmtId="0" fontId="4" fillId="0" borderId="163" xfId="0" applyFont="1" applyBorder="1" applyAlignment="1">
      <alignment vertical="center"/>
    </xf>
    <xf numFmtId="193" fontId="4" fillId="0" borderId="0" xfId="3" applyNumberFormat="1" applyFont="1" applyBorder="1" applyAlignment="1" applyProtection="1">
      <alignment horizontal="center" vertical="center"/>
    </xf>
    <xf numFmtId="0" fontId="4" fillId="0" borderId="165" xfId="0" applyFont="1" applyBorder="1" applyAlignment="1">
      <alignment vertical="center"/>
    </xf>
    <xf numFmtId="2" fontId="4" fillId="0" borderId="0" xfId="0" applyNumberFormat="1" applyFont="1" applyBorder="1" applyAlignment="1" applyProtection="1">
      <alignment horizontal="center" vertical="center"/>
    </xf>
    <xf numFmtId="2" fontId="4" fillId="32" borderId="0" xfId="0" applyNumberFormat="1" applyFont="1" applyFill="1" applyBorder="1" applyAlignment="1" applyProtection="1">
      <alignment horizontal="center" vertical="center"/>
    </xf>
    <xf numFmtId="0" fontId="4" fillId="32" borderId="0" xfId="0" applyFont="1" applyFill="1" applyBorder="1" applyAlignment="1">
      <alignment vertical="center"/>
    </xf>
    <xf numFmtId="0" fontId="4" fillId="32" borderId="0" xfId="0" applyFont="1" applyFill="1" applyBorder="1" applyAlignment="1">
      <alignment horizontal="left" vertical="center"/>
    </xf>
    <xf numFmtId="0" fontId="0" fillId="32" borderId="0" xfId="0" applyFont="1" applyFill="1" applyBorder="1" applyAlignment="1">
      <alignment horizontal="left" vertical="center"/>
    </xf>
    <xf numFmtId="0" fontId="0" fillId="32" borderId="0" xfId="0" applyFill="1" applyBorder="1" applyAlignment="1">
      <alignment horizontal="left" vertical="center"/>
    </xf>
    <xf numFmtId="0" fontId="4" fillId="0" borderId="124" xfId="0" applyFont="1" applyFill="1" applyBorder="1" applyAlignment="1">
      <alignment vertical="center"/>
    </xf>
    <xf numFmtId="0" fontId="4" fillId="0" borderId="248" xfId="0" applyFont="1" applyFill="1" applyBorder="1" applyAlignment="1">
      <alignment vertical="center"/>
    </xf>
    <xf numFmtId="0" fontId="59" fillId="0" borderId="49" xfId="0" applyFont="1" applyFill="1" applyBorder="1" applyAlignment="1">
      <alignment vertical="center"/>
    </xf>
    <xf numFmtId="0" fontId="4" fillId="0" borderId="123" xfId="0" applyFont="1" applyFill="1" applyBorder="1" applyAlignment="1">
      <alignment vertical="center"/>
    </xf>
    <xf numFmtId="0" fontId="28" fillId="0" borderId="50" xfId="0" applyFont="1" applyFill="1" applyBorder="1" applyAlignment="1">
      <alignment vertical="center" shrinkToFit="1"/>
    </xf>
    <xf numFmtId="0" fontId="4" fillId="0" borderId="167" xfId="0" applyFont="1" applyFill="1" applyBorder="1" applyAlignment="1">
      <alignment vertical="center"/>
    </xf>
    <xf numFmtId="0" fontId="4" fillId="0" borderId="163" xfId="0" applyFont="1" applyFill="1" applyBorder="1" applyAlignment="1">
      <alignment vertical="center"/>
    </xf>
    <xf numFmtId="0" fontId="4" fillId="0" borderId="165" xfId="0" applyFont="1" applyFill="1" applyBorder="1" applyAlignment="1">
      <alignment vertical="center"/>
    </xf>
    <xf numFmtId="0" fontId="4" fillId="32" borderId="0" xfId="0" applyFont="1" applyFill="1" applyBorder="1" applyAlignment="1" applyProtection="1">
      <alignment horizontal="center" vertical="center"/>
    </xf>
    <xf numFmtId="176" fontId="4" fillId="0" borderId="0" xfId="0" applyNumberFormat="1" applyFont="1" applyFill="1" applyBorder="1" applyAlignment="1">
      <alignment vertical="center"/>
    </xf>
    <xf numFmtId="176" fontId="4" fillId="0" borderId="0" xfId="0" applyNumberFormat="1" applyFont="1" applyFill="1" applyBorder="1" applyAlignment="1">
      <alignment vertical="center" shrinkToFit="1"/>
    </xf>
    <xf numFmtId="188" fontId="4" fillId="35" borderId="103" xfId="0" applyNumberFormat="1" applyFont="1" applyFill="1" applyBorder="1" applyAlignment="1">
      <alignment horizontal="center" vertical="center"/>
    </xf>
    <xf numFmtId="188" fontId="4" fillId="35" borderId="57" xfId="0" applyNumberFormat="1" applyFont="1" applyFill="1" applyBorder="1" applyAlignment="1">
      <alignment horizontal="center" vertical="center"/>
    </xf>
    <xf numFmtId="193" fontId="4" fillId="35" borderId="23" xfId="3" applyNumberFormat="1" applyFont="1" applyFill="1" applyBorder="1" applyAlignment="1" applyProtection="1">
      <alignment horizontal="center" vertical="center"/>
    </xf>
    <xf numFmtId="193" fontId="4" fillId="35" borderId="58" xfId="3" applyNumberFormat="1" applyFont="1" applyFill="1" applyBorder="1" applyAlignment="1" applyProtection="1">
      <alignment horizontal="center" vertical="center"/>
    </xf>
    <xf numFmtId="2" fontId="4" fillId="35" borderId="23" xfId="0" applyNumberFormat="1" applyFont="1" applyFill="1" applyBorder="1" applyAlignment="1" applyProtection="1">
      <alignment horizontal="center" vertical="center"/>
    </xf>
    <xf numFmtId="2" fontId="4" fillId="35" borderId="58" xfId="0" applyNumberFormat="1" applyFont="1" applyFill="1" applyBorder="1" applyAlignment="1" applyProtection="1">
      <alignment horizontal="center" vertical="center"/>
    </xf>
    <xf numFmtId="0" fontId="4" fillId="33" borderId="153" xfId="0" applyFont="1" applyFill="1" applyBorder="1" applyAlignment="1">
      <alignment vertical="center"/>
    </xf>
    <xf numFmtId="0" fontId="4" fillId="33" borderId="125" xfId="0" applyFont="1" applyFill="1" applyBorder="1" applyAlignment="1">
      <alignment vertical="center"/>
    </xf>
    <xf numFmtId="2" fontId="4" fillId="35" borderId="116" xfId="0" applyNumberFormat="1" applyFont="1" applyFill="1" applyBorder="1" applyAlignment="1" applyProtection="1">
      <alignment horizontal="center" vertical="center"/>
    </xf>
    <xf numFmtId="2" fontId="4" fillId="35" borderId="56" xfId="0" applyNumberFormat="1" applyFont="1" applyFill="1" applyBorder="1" applyAlignment="1" applyProtection="1">
      <alignment horizontal="center" vertical="center"/>
    </xf>
    <xf numFmtId="0" fontId="4" fillId="0" borderId="0" xfId="0" applyFont="1" applyFill="1" applyBorder="1" applyAlignment="1">
      <alignment horizontal="center" vertical="center" shrinkToFit="1"/>
    </xf>
    <xf numFmtId="0" fontId="4" fillId="33" borderId="220" xfId="0" applyFont="1" applyFill="1" applyBorder="1" applyAlignment="1">
      <alignment vertical="center"/>
    </xf>
    <xf numFmtId="0" fontId="4" fillId="35" borderId="116" xfId="0" applyFont="1" applyFill="1" applyBorder="1" applyAlignment="1" applyProtection="1">
      <alignment horizontal="center" vertical="center"/>
    </xf>
    <xf numFmtId="0" fontId="4" fillId="35" borderId="56" xfId="0" applyFont="1" applyFill="1" applyBorder="1" applyAlignment="1" applyProtection="1">
      <alignment horizontal="center" vertical="center"/>
    </xf>
    <xf numFmtId="0" fontId="4" fillId="0" borderId="0" xfId="0" applyFont="1" applyFill="1" applyBorder="1" applyAlignment="1">
      <alignment vertical="center" shrinkToFit="1"/>
    </xf>
    <xf numFmtId="188" fontId="4" fillId="0" borderId="49" xfId="0" applyNumberFormat="1" applyFont="1" applyFill="1" applyBorder="1" applyAlignment="1">
      <alignment horizontal="center" vertical="center"/>
    </xf>
    <xf numFmtId="188" fontId="4" fillId="0" borderId="253" xfId="0" applyNumberFormat="1" applyFont="1" applyFill="1" applyBorder="1" applyAlignment="1">
      <alignment horizontal="center" vertical="center"/>
    </xf>
    <xf numFmtId="0" fontId="4" fillId="35" borderId="0" xfId="0" applyFont="1" applyFill="1" applyAlignment="1">
      <alignment horizontal="center" vertical="center"/>
    </xf>
    <xf numFmtId="193" fontId="4" fillId="35" borderId="50" xfId="3" applyNumberFormat="1" applyFont="1" applyFill="1" applyBorder="1" applyAlignment="1" applyProtection="1">
      <alignment horizontal="center" vertical="center"/>
    </xf>
    <xf numFmtId="0" fontId="0" fillId="0" borderId="0" xfId="0" applyFill="1" applyAlignment="1">
      <alignment vertical="center"/>
    </xf>
    <xf numFmtId="0" fontId="4" fillId="19" borderId="220" xfId="0" applyFont="1" applyFill="1" applyBorder="1" applyAlignment="1">
      <alignment vertical="center"/>
    </xf>
    <xf numFmtId="0" fontId="4" fillId="19" borderId="125" xfId="0" applyFont="1" applyFill="1" applyBorder="1" applyAlignment="1">
      <alignment vertical="center"/>
    </xf>
    <xf numFmtId="0" fontId="4" fillId="35" borderId="115" xfId="0" applyFont="1" applyFill="1" applyBorder="1" applyAlignment="1" applyProtection="1">
      <alignment horizontal="center" vertical="center"/>
    </xf>
    <xf numFmtId="0" fontId="4" fillId="0" borderId="0" xfId="0" applyFont="1" applyBorder="1" applyAlignment="1">
      <alignment vertical="center" shrinkToFit="1"/>
    </xf>
    <xf numFmtId="0" fontId="11" fillId="0" borderId="0" xfId="0" applyFont="1" applyFill="1" applyBorder="1" applyAlignment="1">
      <alignment horizontal="right" vertical="center"/>
    </xf>
    <xf numFmtId="0" fontId="55" fillId="0" borderId="0" xfId="0" applyFont="1" applyFill="1" applyBorder="1" applyAlignment="1">
      <alignment horizontal="center" shrinkToFit="1"/>
    </xf>
    <xf numFmtId="0" fontId="56" fillId="0" borderId="79" xfId="0" applyFont="1" applyFill="1" applyBorder="1" applyAlignment="1">
      <alignment horizontal="center" vertical="center" shrinkToFit="1"/>
    </xf>
    <xf numFmtId="0" fontId="4" fillId="0" borderId="178" xfId="0" applyFont="1" applyBorder="1" applyAlignment="1">
      <alignment vertical="center"/>
    </xf>
    <xf numFmtId="0" fontId="54" fillId="0" borderId="178" xfId="0" applyFont="1" applyFill="1" applyBorder="1" applyAlignment="1">
      <alignment horizontal="center" vertical="center"/>
    </xf>
    <xf numFmtId="0" fontId="9" fillId="0" borderId="178" xfId="0" applyFont="1" applyFill="1" applyBorder="1" applyAlignment="1">
      <alignment horizontal="center" vertical="center"/>
    </xf>
    <xf numFmtId="177" fontId="75" fillId="0" borderId="74" xfId="0" applyNumberFormat="1" applyFont="1" applyFill="1" applyBorder="1" applyAlignment="1">
      <alignment horizontal="center" vertical="center" shrinkToFit="1"/>
    </xf>
    <xf numFmtId="177" fontId="9" fillId="0" borderId="181" xfId="0" applyNumberFormat="1" applyFont="1" applyFill="1" applyBorder="1" applyAlignment="1">
      <alignment horizontal="right" vertical="center"/>
    </xf>
    <xf numFmtId="177" fontId="9" fillId="0" borderId="181" xfId="0" applyNumberFormat="1" applyFont="1" applyFill="1" applyBorder="1" applyAlignment="1">
      <alignment vertical="center" shrinkToFit="1"/>
    </xf>
    <xf numFmtId="177" fontId="9" fillId="0" borderId="181" xfId="0" applyNumberFormat="1" applyFont="1" applyFill="1" applyBorder="1" applyAlignment="1">
      <alignment horizontal="right" vertical="center" shrinkToFit="1"/>
    </xf>
    <xf numFmtId="177" fontId="9" fillId="0" borderId="243" xfId="0" applyNumberFormat="1" applyFont="1" applyFill="1" applyBorder="1" applyAlignment="1">
      <alignment vertical="center" shrinkToFit="1"/>
    </xf>
    <xf numFmtId="0" fontId="9" fillId="0" borderId="198" xfId="0" applyFont="1" applyFill="1" applyBorder="1" applyAlignment="1">
      <alignment horizontal="center" vertical="center"/>
    </xf>
    <xf numFmtId="177" fontId="9" fillId="0" borderId="119" xfId="0" applyNumberFormat="1" applyFont="1" applyFill="1" applyBorder="1" applyAlignment="1">
      <alignment horizontal="right" vertical="center"/>
    </xf>
    <xf numFmtId="177" fontId="9" fillId="0" borderId="119" xfId="0" applyNumberFormat="1" applyFont="1" applyFill="1" applyBorder="1" applyAlignment="1">
      <alignment vertical="center" shrinkToFit="1"/>
    </xf>
    <xf numFmtId="177" fontId="9" fillId="0" borderId="121" xfId="0" applyNumberFormat="1" applyFont="1" applyFill="1" applyBorder="1" applyAlignment="1">
      <alignment vertical="center" shrinkToFit="1"/>
    </xf>
    <xf numFmtId="0" fontId="9" fillId="0" borderId="14" xfId="0" applyFont="1" applyFill="1" applyBorder="1" applyAlignment="1">
      <alignment horizontal="right" vertical="center"/>
    </xf>
    <xf numFmtId="0" fontId="9" fillId="0" borderId="15" xfId="0" applyFont="1" applyFill="1" applyBorder="1" applyAlignment="1">
      <alignment horizontal="center" vertical="center"/>
    </xf>
    <xf numFmtId="177" fontId="9" fillId="0" borderId="138" xfId="0" applyNumberFormat="1" applyFont="1" applyFill="1" applyBorder="1" applyAlignment="1">
      <alignment horizontal="right" vertical="center"/>
    </xf>
    <xf numFmtId="177" fontId="9" fillId="0" borderId="138" xfId="0" applyNumberFormat="1" applyFont="1" applyFill="1" applyBorder="1" applyAlignment="1">
      <alignment horizontal="right" vertical="center" shrinkToFit="1"/>
    </xf>
    <xf numFmtId="177" fontId="9" fillId="0" borderId="139" xfId="0" applyNumberFormat="1" applyFont="1" applyFill="1" applyBorder="1" applyAlignment="1">
      <alignment horizontal="right" vertical="center" shrinkToFit="1"/>
    </xf>
    <xf numFmtId="0" fontId="11" fillId="0" borderId="0" xfId="0" applyFont="1" applyFill="1" applyBorder="1" applyAlignment="1">
      <alignment horizontal="distributed" vertical="center"/>
    </xf>
    <xf numFmtId="0" fontId="11" fillId="0" borderId="0" xfId="0" applyFont="1" applyFill="1" applyBorder="1" applyAlignment="1">
      <alignment horizontal="left" vertical="center"/>
    </xf>
    <xf numFmtId="0" fontId="54" fillId="0" borderId="0" xfId="0" applyFont="1" applyFill="1" applyBorder="1" applyAlignment="1">
      <alignment horizontal="center" vertical="center"/>
    </xf>
    <xf numFmtId="0" fontId="55" fillId="0" borderId="0" xfId="0" applyFont="1" applyFill="1" applyBorder="1" applyAlignment="1">
      <alignment horizontal="left" vertical="center"/>
    </xf>
    <xf numFmtId="0" fontId="9" fillId="0" borderId="0" xfId="0" applyFont="1" applyFill="1" applyBorder="1" applyAlignment="1">
      <alignment vertical="center"/>
    </xf>
    <xf numFmtId="0" fontId="9" fillId="0" borderId="194" xfId="0" applyFont="1" applyFill="1" applyBorder="1" applyAlignment="1">
      <alignment horizontal="center" vertical="center" shrinkToFit="1"/>
    </xf>
    <xf numFmtId="192" fontId="4" fillId="0" borderId="74" xfId="0" applyNumberFormat="1" applyFont="1" applyFill="1" applyBorder="1" applyAlignment="1">
      <alignment horizontal="center" shrinkToFit="1"/>
    </xf>
    <xf numFmtId="192" fontId="4" fillId="0" borderId="170" xfId="0" applyNumberFormat="1" applyFont="1" applyFill="1" applyBorder="1" applyAlignment="1">
      <alignment horizontal="center" shrinkToFit="1"/>
    </xf>
    <xf numFmtId="0" fontId="55" fillId="0" borderId="0" xfId="0" applyFont="1" applyFill="1" applyBorder="1" applyAlignment="1"/>
    <xf numFmtId="0" fontId="4" fillId="0" borderId="87" xfId="0" applyFont="1" applyFill="1" applyBorder="1" applyAlignment="1">
      <alignment horizontal="center"/>
    </xf>
    <xf numFmtId="0" fontId="4" fillId="0" borderId="87" xfId="0" applyFont="1" applyFill="1" applyBorder="1" applyAlignment="1">
      <alignment horizontal="right"/>
    </xf>
    <xf numFmtId="192" fontId="4" fillId="0" borderId="87" xfId="0" applyNumberFormat="1" applyFont="1" applyFill="1" applyBorder="1" applyAlignment="1">
      <alignment horizontal="center" shrinkToFit="1"/>
    </xf>
    <xf numFmtId="192" fontId="4" fillId="0" borderId="91" xfId="0" applyNumberFormat="1" applyFont="1" applyFill="1" applyBorder="1" applyAlignment="1">
      <alignment horizontal="center" shrinkToFit="1"/>
    </xf>
    <xf numFmtId="0" fontId="4" fillId="0" borderId="198" xfId="0" applyFont="1" applyFill="1" applyBorder="1" applyAlignment="1">
      <alignment horizontal="left"/>
    </xf>
    <xf numFmtId="0" fontId="3" fillId="0" borderId="198" xfId="0" applyFont="1" applyFill="1" applyBorder="1" applyAlignment="1">
      <alignment horizontal="right"/>
    </xf>
    <xf numFmtId="0" fontId="4" fillId="0" borderId="119" xfId="0" applyFont="1" applyFill="1" applyBorder="1" applyAlignment="1" applyProtection="1">
      <alignment horizontal="center"/>
      <protection locked="0"/>
    </xf>
    <xf numFmtId="0" fontId="4" fillId="0" borderId="119" xfId="0" applyFont="1" applyFill="1" applyBorder="1" applyAlignment="1"/>
    <xf numFmtId="38" fontId="9" fillId="0" borderId="119" xfId="0" applyNumberFormat="1" applyFont="1" applyFill="1" applyBorder="1" applyAlignment="1">
      <alignment horizontal="center" shrinkToFit="1"/>
    </xf>
    <xf numFmtId="38" fontId="9" fillId="0" borderId="121" xfId="0" applyNumberFormat="1" applyFont="1" applyFill="1" applyBorder="1" applyAlignment="1">
      <alignment horizontal="center" shrinkToFit="1"/>
    </xf>
    <xf numFmtId="0" fontId="4" fillId="0" borderId="180" xfId="0" applyFont="1" applyFill="1" applyBorder="1" applyAlignment="1">
      <alignment horizontal="right"/>
    </xf>
    <xf numFmtId="0" fontId="4" fillId="0" borderId="79" xfId="0" applyFont="1" applyFill="1" applyBorder="1" applyAlignment="1">
      <alignment horizontal="right"/>
    </xf>
    <xf numFmtId="0" fontId="4" fillId="0" borderId="79" xfId="0" applyFont="1" applyFill="1" applyBorder="1" applyAlignment="1">
      <alignment horizontal="left" vertical="center"/>
    </xf>
    <xf numFmtId="0" fontId="3" fillId="0" borderId="79" xfId="0" applyFont="1" applyFill="1" applyBorder="1" applyAlignment="1">
      <alignment horizontal="right"/>
    </xf>
    <xf numFmtId="0" fontId="4" fillId="0" borderId="81" xfId="0" applyFont="1" applyFill="1" applyBorder="1" applyAlignment="1" applyProtection="1">
      <alignment horizontal="center"/>
      <protection locked="0"/>
    </xf>
    <xf numFmtId="38" fontId="9" fillId="0" borderId="81" xfId="0" applyNumberFormat="1" applyFont="1" applyFill="1" applyBorder="1" applyAlignment="1">
      <alignment horizontal="center" shrinkToFit="1"/>
    </xf>
    <xf numFmtId="38" fontId="9" fillId="0" borderId="92" xfId="0" applyNumberFormat="1" applyFont="1" applyFill="1" applyBorder="1" applyAlignment="1">
      <alignment horizontal="center" shrinkToFit="1"/>
    </xf>
    <xf numFmtId="0" fontId="4" fillId="0" borderId="178" xfId="0" applyFont="1" applyFill="1" applyBorder="1" applyAlignment="1">
      <alignment horizontal="left"/>
    </xf>
    <xf numFmtId="0" fontId="4" fillId="0" borderId="15" xfId="0" applyFont="1" applyFill="1" applyBorder="1" applyAlignment="1">
      <alignment horizontal="left"/>
    </xf>
    <xf numFmtId="0" fontId="4" fillId="0" borderId="138" xfId="0" applyFont="1" applyFill="1" applyBorder="1" applyAlignment="1">
      <alignment horizontal="center"/>
    </xf>
    <xf numFmtId="38" fontId="9" fillId="0" borderId="138" xfId="0" applyNumberFormat="1" applyFont="1" applyFill="1" applyBorder="1" applyAlignment="1">
      <alignment horizontal="right"/>
    </xf>
    <xf numFmtId="38" fontId="9" fillId="0" borderId="138" xfId="0" applyNumberFormat="1" applyFont="1" applyFill="1" applyBorder="1" applyAlignment="1">
      <alignment horizontal="right" shrinkToFit="1"/>
    </xf>
    <xf numFmtId="38" fontId="9" fillId="0" borderId="139" xfId="0" applyNumberFormat="1" applyFont="1" applyFill="1" applyBorder="1" applyAlignment="1">
      <alignment horizontal="right" shrinkToFit="1"/>
    </xf>
    <xf numFmtId="38" fontId="9" fillId="24" borderId="74" xfId="0" applyNumberFormat="1" applyFont="1" applyFill="1" applyBorder="1" applyAlignment="1">
      <alignment horizontal="right" shrinkToFit="1"/>
    </xf>
    <xf numFmtId="38" fontId="9" fillId="24" borderId="170" xfId="0" applyNumberFormat="1" applyFont="1" applyFill="1" applyBorder="1" applyAlignment="1">
      <alignment horizontal="right" shrinkToFit="1"/>
    </xf>
    <xf numFmtId="0" fontId="4" fillId="0" borderId="209" xfId="0" applyFont="1" applyFill="1" applyBorder="1" applyAlignment="1">
      <alignment horizontal="center" vertical="center"/>
    </xf>
    <xf numFmtId="0" fontId="4" fillId="0" borderId="209" xfId="0" applyFont="1" applyFill="1" applyBorder="1" applyAlignment="1">
      <alignment horizontal="center" vertical="center" shrinkToFit="1"/>
    </xf>
    <xf numFmtId="177" fontId="24" fillId="0" borderId="23" xfId="0" applyNumberFormat="1" applyFont="1" applyFill="1" applyBorder="1" applyAlignment="1">
      <alignment horizontal="right" vertical="center" shrinkToFit="1"/>
    </xf>
    <xf numFmtId="177" fontId="24" fillId="0" borderId="31" xfId="0" applyNumberFormat="1" applyFont="1" applyFill="1" applyBorder="1" applyAlignment="1">
      <alignment horizontal="right" vertical="center" shrinkToFit="1"/>
    </xf>
    <xf numFmtId="177" fontId="24" fillId="0" borderId="0" xfId="0" applyNumberFormat="1" applyFont="1" applyFill="1" applyBorder="1" applyAlignment="1">
      <alignment horizontal="right" vertical="center" shrinkToFit="1"/>
    </xf>
    <xf numFmtId="38" fontId="9" fillId="24" borderId="23" xfId="0" applyNumberFormat="1" applyFont="1" applyFill="1" applyBorder="1" applyAlignment="1">
      <alignment horizontal="right" shrinkToFit="1"/>
    </xf>
    <xf numFmtId="38" fontId="9" fillId="24" borderId="31" xfId="0" applyNumberFormat="1" applyFont="1" applyFill="1" applyBorder="1" applyAlignment="1">
      <alignment horizontal="right" shrinkToFit="1"/>
    </xf>
    <xf numFmtId="38" fontId="9" fillId="24" borderId="120" xfId="0" applyNumberFormat="1" applyFont="1" applyFill="1" applyBorder="1" applyAlignment="1">
      <alignment horizontal="right" shrinkToFit="1"/>
    </xf>
    <xf numFmtId="38" fontId="9" fillId="24" borderId="169" xfId="0" applyNumberFormat="1" applyFont="1" applyFill="1" applyBorder="1" applyAlignment="1">
      <alignment horizontal="right" shrinkToFit="1"/>
    </xf>
    <xf numFmtId="0" fontId="36" fillId="0" borderId="179" xfId="0" applyFont="1" applyFill="1" applyBorder="1" applyAlignment="1">
      <alignment horizontal="left"/>
    </xf>
    <xf numFmtId="0" fontId="59" fillId="0" borderId="79" xfId="0" applyFont="1" applyFill="1" applyBorder="1" applyAlignment="1">
      <alignment horizontal="left"/>
    </xf>
    <xf numFmtId="0" fontId="4" fillId="0" borderId="81" xfId="0" applyFont="1" applyFill="1" applyBorder="1" applyAlignment="1">
      <alignment horizontal="center"/>
    </xf>
    <xf numFmtId="0" fontId="9" fillId="0" borderId="81" xfId="0" applyFont="1" applyFill="1" applyBorder="1" applyAlignment="1">
      <alignment horizontal="right"/>
    </xf>
    <xf numFmtId="0" fontId="9" fillId="0" borderId="81" xfId="0" applyFont="1" applyFill="1" applyBorder="1" applyAlignment="1">
      <alignment horizontal="right" shrinkToFit="1"/>
    </xf>
    <xf numFmtId="0" fontId="9" fillId="0" borderId="92" xfId="0" applyFont="1" applyFill="1" applyBorder="1" applyAlignment="1">
      <alignment horizontal="right" shrinkToFit="1"/>
    </xf>
    <xf numFmtId="0" fontId="18" fillId="0" borderId="209" xfId="0" applyFont="1" applyFill="1" applyBorder="1" applyAlignment="1">
      <alignment horizontal="left"/>
    </xf>
    <xf numFmtId="0" fontId="4" fillId="0" borderId="209" xfId="0" quotePrefix="1" applyFont="1" applyFill="1" applyBorder="1" applyAlignment="1">
      <alignment horizontal="left" shrinkToFit="1"/>
    </xf>
    <xf numFmtId="0" fontId="4" fillId="0" borderId="209" xfId="0" quotePrefix="1" applyFont="1" applyFill="1" applyBorder="1" applyAlignment="1">
      <alignment horizontal="left"/>
    </xf>
    <xf numFmtId="0" fontId="55" fillId="0" borderId="198" xfId="0" applyFont="1" applyFill="1" applyBorder="1" applyAlignment="1">
      <alignment horizontal="left" shrinkToFit="1"/>
    </xf>
    <xf numFmtId="0" fontId="4" fillId="0" borderId="198" xfId="0" applyFont="1" applyFill="1" applyBorder="1" applyAlignment="1">
      <alignment horizontal="left" shrinkToFit="1"/>
    </xf>
    <xf numFmtId="0" fontId="4" fillId="0" borderId="119" xfId="0" applyFont="1" applyFill="1" applyBorder="1" applyAlignment="1">
      <alignment horizontal="right"/>
    </xf>
    <xf numFmtId="177" fontId="24" fillId="32" borderId="23" xfId="0" applyNumberFormat="1" applyFont="1" applyFill="1" applyBorder="1" applyAlignment="1">
      <alignment horizontal="right" vertical="center" shrinkToFit="1"/>
    </xf>
    <xf numFmtId="177" fontId="24" fillId="32" borderId="31" xfId="0" applyNumberFormat="1" applyFont="1" applyFill="1" applyBorder="1" applyAlignment="1">
      <alignment horizontal="right" vertical="center" shrinkToFit="1"/>
    </xf>
    <xf numFmtId="0" fontId="4" fillId="0" borderId="149" xfId="0" applyFont="1" applyFill="1" applyBorder="1" applyAlignment="1">
      <alignment horizontal="left" shrinkToFit="1"/>
    </xf>
    <xf numFmtId="38" fontId="9" fillId="24" borderId="77" xfId="0" applyNumberFormat="1" applyFont="1" applyFill="1" applyBorder="1" applyAlignment="1">
      <alignment horizontal="right" shrinkToFit="1"/>
    </xf>
    <xf numFmtId="38" fontId="9" fillId="24" borderId="90" xfId="0" applyNumberFormat="1" applyFont="1" applyFill="1" applyBorder="1" applyAlignment="1">
      <alignment horizontal="right" shrinkToFit="1"/>
    </xf>
    <xf numFmtId="0" fontId="24" fillId="0" borderId="81" xfId="0" applyFont="1" applyFill="1" applyBorder="1" applyAlignment="1">
      <alignment horizontal="center" vertical="center" wrapText="1"/>
    </xf>
    <xf numFmtId="0" fontId="32" fillId="0" borderId="81" xfId="0" applyFont="1" applyFill="1" applyBorder="1" applyAlignment="1">
      <alignment horizontal="left" vertical="center"/>
    </xf>
    <xf numFmtId="38" fontId="24" fillId="0" borderId="81" xfId="0" applyNumberFormat="1" applyFont="1" applyFill="1" applyBorder="1" applyAlignment="1">
      <alignment horizontal="right" vertical="center"/>
    </xf>
    <xf numFmtId="38" fontId="24" fillId="0" borderId="81" xfId="0" applyNumberFormat="1" applyFont="1" applyFill="1" applyBorder="1" applyAlignment="1">
      <alignment horizontal="right" vertical="center" shrinkToFit="1"/>
    </xf>
    <xf numFmtId="38" fontId="24" fillId="0" borderId="195" xfId="0" applyNumberFormat="1" applyFont="1" applyFill="1" applyBorder="1" applyAlignment="1">
      <alignment horizontal="right" vertical="center" shrinkToFit="1"/>
    </xf>
    <xf numFmtId="0" fontId="24" fillId="0" borderId="74" xfId="0" applyFont="1" applyFill="1" applyBorder="1" applyAlignment="1">
      <alignment horizontal="left" vertical="center" shrinkToFit="1"/>
    </xf>
    <xf numFmtId="0" fontId="24" fillId="0" borderId="23" xfId="0" applyNumberFormat="1" applyFont="1" applyFill="1" applyBorder="1" applyAlignment="1">
      <alignment horizontal="right" vertical="center" shrinkToFit="1"/>
    </xf>
    <xf numFmtId="10" fontId="24" fillId="0" borderId="23" xfId="0" quotePrefix="1" applyNumberFormat="1" applyFont="1" applyFill="1" applyBorder="1" applyAlignment="1">
      <alignment horizontal="right" vertical="center" shrinkToFit="1"/>
    </xf>
    <xf numFmtId="177" fontId="24" fillId="0" borderId="23" xfId="0" applyNumberFormat="1" applyFont="1" applyFill="1" applyBorder="1" applyAlignment="1">
      <alignment horizontal="right" vertical="center"/>
    </xf>
    <xf numFmtId="177" fontId="24" fillId="0" borderId="31" xfId="0" applyNumberFormat="1" applyFont="1" applyFill="1" applyBorder="1" applyAlignment="1">
      <alignment horizontal="right" vertical="center"/>
    </xf>
    <xf numFmtId="0" fontId="24" fillId="0" borderId="23" xfId="0" applyFont="1" applyFill="1" applyBorder="1" applyAlignment="1">
      <alignment horizontal="left" vertical="center" shrinkToFit="1"/>
    </xf>
    <xf numFmtId="10" fontId="24" fillId="0" borderId="23" xfId="0" applyNumberFormat="1" applyFont="1" applyFill="1" applyBorder="1" applyAlignment="1">
      <alignment horizontal="right" vertical="center" shrinkToFit="1"/>
    </xf>
    <xf numFmtId="49" fontId="24" fillId="0" borderId="209" xfId="0" applyNumberFormat="1" applyFont="1" applyFill="1" applyBorder="1" applyAlignment="1">
      <alignment horizontal="left" vertical="center" shrinkToFit="1"/>
    </xf>
    <xf numFmtId="0" fontId="24" fillId="0" borderId="23" xfId="0" applyFont="1" applyFill="1" applyBorder="1" applyAlignment="1">
      <alignment vertical="center" shrinkToFit="1"/>
    </xf>
    <xf numFmtId="0" fontId="24" fillId="0" borderId="23" xfId="0" quotePrefix="1" applyFont="1" applyFill="1" applyBorder="1" applyAlignment="1">
      <alignment horizontal="left" vertical="center" shrinkToFit="1"/>
    </xf>
    <xf numFmtId="0" fontId="76" fillId="27" borderId="119" xfId="0" applyFont="1" applyFill="1" applyBorder="1" applyAlignment="1">
      <alignment horizontal="center" vertical="center" shrinkToFit="1"/>
    </xf>
    <xf numFmtId="0" fontId="76" fillId="27" borderId="23" xfId="0" applyFont="1" applyFill="1" applyBorder="1" applyAlignment="1">
      <alignment horizontal="left" vertical="center" shrinkToFit="1"/>
    </xf>
    <xf numFmtId="0" fontId="76" fillId="27" borderId="255" xfId="0" applyFont="1" applyFill="1" applyBorder="1" applyAlignment="1">
      <alignment horizontal="center" vertical="center" shrinkToFit="1"/>
    </xf>
    <xf numFmtId="0" fontId="65" fillId="27" borderId="119" xfId="0" applyFont="1" applyFill="1" applyBorder="1" applyAlignment="1">
      <alignment horizontal="left" vertical="center" shrinkToFit="1"/>
    </xf>
    <xf numFmtId="0" fontId="24" fillId="0" borderId="119" xfId="0" applyNumberFormat="1" applyFont="1" applyFill="1" applyBorder="1" applyAlignment="1">
      <alignment horizontal="right" vertical="center" shrinkToFit="1"/>
    </xf>
    <xf numFmtId="10" fontId="24" fillId="0" borderId="119" xfId="0" applyNumberFormat="1" applyFont="1" applyFill="1" applyBorder="1" applyAlignment="1">
      <alignment horizontal="right" vertical="center" shrinkToFit="1"/>
    </xf>
    <xf numFmtId="177" fontId="24" fillId="0" borderId="119" xfId="0" applyNumberFormat="1" applyFont="1" applyFill="1" applyBorder="1" applyAlignment="1">
      <alignment horizontal="right" vertical="center"/>
    </xf>
    <xf numFmtId="177" fontId="24" fillId="0" borderId="119" xfId="0" applyNumberFormat="1" applyFont="1" applyFill="1" applyBorder="1" applyAlignment="1">
      <alignment horizontal="right" vertical="center" shrinkToFit="1"/>
    </xf>
    <xf numFmtId="0" fontId="24" fillId="0" borderId="179" xfId="0" applyFont="1" applyFill="1" applyBorder="1" applyAlignment="1">
      <alignment horizontal="right" vertical="center"/>
    </xf>
    <xf numFmtId="0" fontId="24" fillId="0" borderId="258" xfId="0" applyFont="1" applyFill="1" applyBorder="1" applyAlignment="1">
      <alignment horizontal="left" vertical="center"/>
    </xf>
    <xf numFmtId="0" fontId="24" fillId="0" borderId="258" xfId="0" applyFont="1" applyFill="1" applyBorder="1" applyAlignment="1">
      <alignment horizontal="right" vertical="center"/>
    </xf>
    <xf numFmtId="177" fontId="24" fillId="0" borderId="258" xfId="0" applyNumberFormat="1" applyFont="1" applyFill="1" applyBorder="1" applyAlignment="1">
      <alignment horizontal="right" vertical="center"/>
    </xf>
    <xf numFmtId="177" fontId="24" fillId="0" borderId="258" xfId="0" applyNumberFormat="1" applyFont="1" applyFill="1" applyBorder="1" applyAlignment="1">
      <alignment horizontal="right" vertical="center" shrinkToFit="1"/>
    </xf>
    <xf numFmtId="177" fontId="24" fillId="0" borderId="259" xfId="0" applyNumberFormat="1" applyFont="1" applyFill="1" applyBorder="1" applyAlignment="1">
      <alignment horizontal="right" vertical="center" shrinkToFit="1"/>
    </xf>
    <xf numFmtId="177" fontId="24" fillId="20" borderId="258" xfId="0" applyNumberFormat="1" applyFont="1" applyFill="1" applyBorder="1" applyAlignment="1">
      <alignment horizontal="right" vertical="center" shrinkToFit="1"/>
    </xf>
    <xf numFmtId="177" fontId="18" fillId="19" borderId="258" xfId="0" applyNumberFormat="1" applyFont="1" applyFill="1" applyBorder="1" applyAlignment="1">
      <alignment horizontal="right" vertical="center" shrinkToFit="1"/>
    </xf>
    <xf numFmtId="0" fontId="24" fillId="0" borderId="262" xfId="0" applyFont="1" applyFill="1" applyBorder="1" applyAlignment="1">
      <alignment horizontal="left" vertical="center"/>
    </xf>
    <xf numFmtId="0" fontId="24" fillId="0" borderId="262" xfId="0" applyFont="1" applyFill="1" applyBorder="1" applyAlignment="1">
      <alignment horizontal="right" vertical="center"/>
    </xf>
    <xf numFmtId="177" fontId="24" fillId="0" borderId="262" xfId="0" applyNumberFormat="1" applyFont="1" applyFill="1" applyBorder="1" applyAlignment="1">
      <alignment horizontal="right" vertical="center" shrinkToFit="1"/>
    </xf>
    <xf numFmtId="0" fontId="59" fillId="0" borderId="177" xfId="0" applyFont="1" applyBorder="1" applyAlignment="1">
      <alignment vertical="center"/>
    </xf>
    <xf numFmtId="0" fontId="18" fillId="0" borderId="178" xfId="0" applyFont="1" applyBorder="1" applyAlignment="1">
      <alignment vertical="center"/>
    </xf>
    <xf numFmtId="0" fontId="18" fillId="0" borderId="181" xfId="0" applyFont="1" applyBorder="1" applyAlignment="1">
      <alignment vertical="center"/>
    </xf>
    <xf numFmtId="0" fontId="18" fillId="0" borderId="181" xfId="0" applyFont="1" applyFill="1" applyBorder="1" applyAlignment="1">
      <alignment horizontal="right" vertical="center"/>
    </xf>
    <xf numFmtId="177" fontId="18" fillId="0" borderId="181" xfId="0" applyNumberFormat="1" applyFont="1" applyBorder="1" applyAlignment="1">
      <alignment vertical="center"/>
    </xf>
    <xf numFmtId="177" fontId="18" fillId="0" borderId="181" xfId="0" applyNumberFormat="1" applyFont="1" applyBorder="1" applyAlignment="1">
      <alignment vertical="center" shrinkToFit="1"/>
    </xf>
    <xf numFmtId="0" fontId="18" fillId="0" borderId="179" xfId="0" applyFont="1" applyBorder="1" applyAlignment="1">
      <alignment vertical="center"/>
    </xf>
    <xf numFmtId="0" fontId="18" fillId="0" borderId="263" xfId="0" applyFont="1" applyBorder="1" applyAlignment="1">
      <alignment vertical="center"/>
    </xf>
    <xf numFmtId="0" fontId="18" fillId="0" borderId="264" xfId="0" applyFont="1" applyBorder="1" applyAlignment="1">
      <alignment vertical="center"/>
    </xf>
    <xf numFmtId="0" fontId="18" fillId="0" borderId="265" xfId="0" applyFont="1" applyBorder="1" applyAlignment="1">
      <alignment vertical="center"/>
    </xf>
    <xf numFmtId="0" fontId="18" fillId="0" borderId="265" xfId="0" applyFont="1" applyFill="1" applyBorder="1" applyAlignment="1">
      <alignment horizontal="right" vertical="center"/>
    </xf>
    <xf numFmtId="177" fontId="18" fillId="0" borderId="265" xfId="0" applyNumberFormat="1" applyFont="1" applyBorder="1" applyAlignment="1">
      <alignment vertical="center"/>
    </xf>
    <xf numFmtId="0" fontId="18" fillId="0" borderId="258" xfId="0" applyFont="1" applyFill="1" applyBorder="1" applyAlignment="1">
      <alignment horizontal="left" vertical="center"/>
    </xf>
    <xf numFmtId="0" fontId="18" fillId="0" borderId="258" xfId="0" applyFont="1" applyFill="1" applyBorder="1" applyAlignment="1">
      <alignment horizontal="right" vertical="center"/>
    </xf>
    <xf numFmtId="177" fontId="18" fillId="0" borderId="258" xfId="0" applyNumberFormat="1" applyFont="1" applyFill="1" applyBorder="1" applyAlignment="1">
      <alignment horizontal="right" vertical="center"/>
    </xf>
    <xf numFmtId="177" fontId="18" fillId="0" borderId="258" xfId="0" applyNumberFormat="1" applyFont="1" applyFill="1" applyBorder="1" applyAlignment="1">
      <alignment horizontal="right" vertical="center" shrinkToFit="1"/>
    </xf>
    <xf numFmtId="177" fontId="24" fillId="19" borderId="258" xfId="0" applyNumberFormat="1" applyFont="1" applyFill="1" applyBorder="1" applyAlignment="1">
      <alignment horizontal="right" vertical="center" shrinkToFit="1"/>
    </xf>
    <xf numFmtId="0" fontId="18" fillId="0" borderId="256" xfId="0" applyFont="1" applyBorder="1" applyAlignment="1">
      <alignment vertical="center"/>
    </xf>
    <xf numFmtId="0" fontId="18" fillId="0" borderId="161" xfId="0" applyFont="1" applyBorder="1" applyAlignment="1">
      <alignment vertical="center"/>
    </xf>
    <xf numFmtId="0" fontId="18" fillId="0" borderId="266" xfId="0" applyFont="1" applyBorder="1" applyAlignment="1">
      <alignment vertical="center"/>
    </xf>
    <xf numFmtId="0" fontId="18" fillId="0" borderId="266" xfId="0" applyFont="1" applyFill="1" applyBorder="1" applyAlignment="1">
      <alignment horizontal="right" vertical="center"/>
    </xf>
    <xf numFmtId="177" fontId="18" fillId="0" borderId="266" xfId="0" applyNumberFormat="1" applyFont="1" applyFill="1" applyBorder="1" applyAlignment="1">
      <alignment horizontal="right" vertical="center"/>
    </xf>
    <xf numFmtId="177" fontId="18" fillId="0" borderId="266" xfId="0" applyNumberFormat="1" applyFont="1" applyFill="1" applyBorder="1" applyAlignment="1">
      <alignment horizontal="right" vertical="center" shrinkToFit="1"/>
    </xf>
    <xf numFmtId="177" fontId="24" fillId="0" borderId="266" xfId="0" applyNumberFormat="1" applyFont="1" applyFill="1" applyBorder="1" applyAlignment="1">
      <alignment horizontal="right" vertical="center" shrinkToFit="1"/>
    </xf>
    <xf numFmtId="177" fontId="24" fillId="0" borderId="267" xfId="0" applyNumberFormat="1" applyFont="1" applyFill="1" applyBorder="1" applyAlignment="1">
      <alignment horizontal="right" vertical="center" shrinkToFit="1"/>
    </xf>
    <xf numFmtId="0" fontId="18" fillId="0" borderId="260" xfId="0" applyFont="1" applyBorder="1" applyAlignment="1">
      <alignment vertical="center"/>
    </xf>
    <xf numFmtId="0" fontId="18" fillId="0" borderId="268" xfId="0" applyFont="1" applyBorder="1" applyAlignment="1">
      <alignment vertical="center"/>
    </xf>
    <xf numFmtId="0" fontId="18" fillId="0" borderId="262" xfId="0" applyFont="1" applyBorder="1" applyAlignment="1">
      <alignment vertical="center"/>
    </xf>
    <xf numFmtId="0" fontId="18" fillId="0" borderId="262" xfId="0" applyFont="1" applyFill="1" applyBorder="1" applyAlignment="1">
      <alignment horizontal="right" vertical="center"/>
    </xf>
    <xf numFmtId="177" fontId="18" fillId="0" borderId="262" xfId="0" applyNumberFormat="1" applyFont="1" applyFill="1" applyBorder="1" applyAlignment="1">
      <alignment horizontal="right" vertical="center"/>
    </xf>
    <xf numFmtId="177" fontId="18" fillId="0" borderId="262" xfId="0" applyNumberFormat="1" applyFont="1" applyFill="1" applyBorder="1" applyAlignment="1">
      <alignment horizontal="right" vertical="center" shrinkToFit="1"/>
    </xf>
    <xf numFmtId="177" fontId="24" fillId="0" borderId="269" xfId="0" applyNumberFormat="1" applyFont="1" applyFill="1" applyBorder="1" applyAlignment="1">
      <alignment horizontal="right" vertical="center" shrinkToFit="1"/>
    </xf>
    <xf numFmtId="0" fontId="59" fillId="0" borderId="187" xfId="0" applyFont="1" applyBorder="1" applyAlignment="1">
      <alignment vertical="center"/>
    </xf>
    <xf numFmtId="0" fontId="66" fillId="0" borderId="188" xfId="0" applyFont="1" applyFill="1" applyBorder="1" applyAlignment="1">
      <alignment vertical="center" shrinkToFit="1"/>
    </xf>
    <xf numFmtId="0" fontId="18" fillId="0" borderId="188" xfId="0" applyFont="1" applyFill="1" applyBorder="1" applyAlignment="1">
      <alignment vertical="center" shrinkToFit="1"/>
    </xf>
    <xf numFmtId="194" fontId="18" fillId="0" borderId="189" xfId="0" applyNumberFormat="1" applyFont="1" applyFill="1" applyBorder="1" applyAlignment="1">
      <alignment horizontal="right" vertical="center" shrinkToFit="1"/>
    </xf>
    <xf numFmtId="10" fontId="18" fillId="0" borderId="189" xfId="0" quotePrefix="1" applyNumberFormat="1" applyFont="1" applyFill="1" applyBorder="1" applyAlignment="1">
      <alignment horizontal="right" vertical="center" shrinkToFit="1"/>
    </xf>
    <xf numFmtId="177" fontId="18" fillId="0" borderId="189" xfId="0" applyNumberFormat="1" applyFont="1" applyBorder="1" applyAlignment="1">
      <alignment vertical="center"/>
    </xf>
    <xf numFmtId="177" fontId="18" fillId="0" borderId="189" xfId="0" applyNumberFormat="1" applyFont="1" applyBorder="1" applyAlignment="1">
      <alignment vertical="center" shrinkToFit="1"/>
    </xf>
    <xf numFmtId="177" fontId="18" fillId="0" borderId="196" xfId="0" applyNumberFormat="1" applyFont="1" applyBorder="1" applyAlignment="1">
      <alignment vertical="center" shrinkToFit="1"/>
    </xf>
    <xf numFmtId="0" fontId="59" fillId="0" borderId="270" xfId="0" applyFont="1" applyBorder="1" applyAlignment="1">
      <alignment vertical="center"/>
    </xf>
    <xf numFmtId="0" fontId="18" fillId="0" borderId="271" xfId="0" applyFont="1" applyBorder="1" applyAlignment="1">
      <alignment vertical="center"/>
    </xf>
    <xf numFmtId="0" fontId="18" fillId="0" borderId="272" xfId="0" applyFont="1" applyBorder="1" applyAlignment="1">
      <alignment vertical="center"/>
    </xf>
    <xf numFmtId="0" fontId="28" fillId="0" borderId="272" xfId="0" applyFont="1" applyBorder="1" applyAlignment="1">
      <alignment horizontal="right" vertical="center"/>
    </xf>
    <xf numFmtId="177" fontId="18" fillId="0" borderId="272" xfId="0" applyNumberFormat="1" applyFont="1" applyBorder="1" applyAlignment="1">
      <alignment vertical="center"/>
    </xf>
    <xf numFmtId="177" fontId="18" fillId="0" borderId="272" xfId="0" applyNumberFormat="1" applyFont="1" applyBorder="1" applyAlignment="1">
      <alignment vertical="center" shrinkToFit="1"/>
    </xf>
    <xf numFmtId="177" fontId="18" fillId="0" borderId="273" xfId="0" applyNumberFormat="1" applyFont="1" applyBorder="1" applyAlignment="1">
      <alignment vertical="center" shrinkToFit="1"/>
    </xf>
    <xf numFmtId="0" fontId="59" fillId="0" borderId="179" xfId="0" applyFont="1" applyBorder="1" applyAlignment="1">
      <alignment vertical="center"/>
    </xf>
    <xf numFmtId="0" fontId="18" fillId="0" borderId="0" xfId="0" applyFont="1" applyBorder="1" applyAlignment="1">
      <alignment vertical="center"/>
    </xf>
    <xf numFmtId="0" fontId="18" fillId="0" borderId="120" xfId="0" applyFont="1" applyBorder="1" applyAlignment="1">
      <alignment vertical="center"/>
    </xf>
    <xf numFmtId="176" fontId="28" fillId="0" borderId="120" xfId="0" applyNumberFormat="1" applyFont="1" applyBorder="1" applyAlignment="1">
      <alignment horizontal="right" vertical="center"/>
    </xf>
    <xf numFmtId="177" fontId="18" fillId="0" borderId="120" xfId="0" applyNumberFormat="1" applyFont="1" applyBorder="1" applyAlignment="1">
      <alignment vertical="center"/>
    </xf>
    <xf numFmtId="38" fontId="18" fillId="0" borderId="120" xfId="1" applyFont="1" applyBorder="1" applyAlignment="1">
      <alignment vertical="center" shrinkToFit="1"/>
    </xf>
    <xf numFmtId="38" fontId="4" fillId="0" borderId="119" xfId="1" applyFont="1" applyFill="1" applyBorder="1" applyAlignment="1">
      <alignment shrinkToFit="1"/>
    </xf>
    <xf numFmtId="38" fontId="4" fillId="0" borderId="121" xfId="1" applyFont="1" applyFill="1" applyBorder="1" applyAlignment="1">
      <alignment shrinkToFit="1"/>
    </xf>
    <xf numFmtId="0" fontId="66" fillId="0" borderId="274" xfId="0" applyFont="1" applyBorder="1" applyAlignment="1">
      <alignment vertical="center"/>
    </xf>
    <xf numFmtId="0" fontId="18" fillId="0" borderId="274" xfId="0" applyFont="1" applyBorder="1" applyAlignment="1">
      <alignment vertical="center"/>
    </xf>
    <xf numFmtId="0" fontId="18" fillId="0" borderId="275" xfId="0" applyFont="1" applyBorder="1" applyAlignment="1">
      <alignment vertical="center"/>
    </xf>
    <xf numFmtId="177" fontId="18" fillId="0" borderId="275" xfId="0" applyNumberFormat="1" applyFont="1" applyBorder="1" applyAlignment="1">
      <alignment vertical="center"/>
    </xf>
    <xf numFmtId="177" fontId="18" fillId="0" borderId="275" xfId="0" applyNumberFormat="1" applyFont="1" applyBorder="1" applyAlignment="1">
      <alignment vertical="center" shrinkToFit="1"/>
    </xf>
    <xf numFmtId="177" fontId="18" fillId="0" borderId="276" xfId="0" applyNumberFormat="1" applyFont="1" applyBorder="1" applyAlignment="1">
      <alignment vertical="center" shrinkToFit="1"/>
    </xf>
    <xf numFmtId="177" fontId="18" fillId="0" borderId="262" xfId="0" applyNumberFormat="1" applyFont="1" applyBorder="1" applyAlignment="1">
      <alignment vertical="center"/>
    </xf>
    <xf numFmtId="177" fontId="18" fillId="0" borderId="262" xfId="0" applyNumberFormat="1" applyFont="1" applyBorder="1" applyAlignment="1">
      <alignment vertical="center" shrinkToFit="1"/>
    </xf>
    <xf numFmtId="177" fontId="18" fillId="0" borderId="260" xfId="0" applyNumberFormat="1" applyFont="1" applyBorder="1" applyAlignment="1">
      <alignment vertical="center" shrinkToFit="1"/>
    </xf>
    <xf numFmtId="0" fontId="77" fillId="0" borderId="0" xfId="0" applyFont="1" applyBorder="1" applyAlignment="1">
      <alignment vertical="center"/>
    </xf>
    <xf numFmtId="0" fontId="78" fillId="0" borderId="0" xfId="0" applyFont="1" applyBorder="1" applyAlignment="1">
      <alignment vertical="center"/>
    </xf>
    <xf numFmtId="177" fontId="78" fillId="0" borderId="0" xfId="0" applyNumberFormat="1" applyFont="1" applyBorder="1" applyAlignment="1">
      <alignment vertical="center"/>
    </xf>
    <xf numFmtId="0" fontId="79" fillId="0" borderId="0" xfId="0" applyFont="1" applyBorder="1" applyAlignment="1">
      <alignment horizontal="right" vertical="center"/>
    </xf>
    <xf numFmtId="177" fontId="78" fillId="0" borderId="0" xfId="0" applyNumberFormat="1" applyFont="1" applyBorder="1" applyAlignment="1">
      <alignment vertical="center" shrinkToFit="1"/>
    </xf>
    <xf numFmtId="0" fontId="80" fillId="0" borderId="0" xfId="0" applyFont="1" applyBorder="1" applyAlignment="1">
      <alignment vertical="center"/>
    </xf>
    <xf numFmtId="0" fontId="55" fillId="0" borderId="0" xfId="0" applyFont="1" applyFill="1" applyBorder="1" applyAlignment="1">
      <alignment horizontal="right"/>
    </xf>
    <xf numFmtId="0" fontId="55" fillId="0" borderId="0" xfId="0" applyFont="1" applyFill="1" applyBorder="1" applyAlignment="1">
      <alignment horizontal="center"/>
    </xf>
    <xf numFmtId="0" fontId="81" fillId="0" borderId="0" xfId="0" applyFont="1" applyFill="1" applyBorder="1" applyAlignment="1">
      <alignment horizontal="center"/>
    </xf>
    <xf numFmtId="0" fontId="82" fillId="0" borderId="0" xfId="0" applyFont="1" applyFill="1" applyBorder="1" applyAlignment="1">
      <alignment horizontal="right"/>
    </xf>
    <xf numFmtId="0" fontId="83" fillId="0" borderId="0" xfId="0" applyFont="1" applyFill="1" applyBorder="1" applyAlignment="1">
      <alignment horizontal="left"/>
    </xf>
    <xf numFmtId="0" fontId="84" fillId="0" borderId="0" xfId="0" applyFont="1" applyFill="1" applyBorder="1" applyAlignment="1">
      <alignment horizontal="center"/>
    </xf>
    <xf numFmtId="0" fontId="84" fillId="0" borderId="0" xfId="0" applyFont="1" applyFill="1" applyBorder="1" applyAlignment="1">
      <alignment horizontal="left"/>
    </xf>
    <xf numFmtId="0" fontId="81" fillId="0" borderId="0" xfId="0" applyFont="1" applyFill="1" applyBorder="1" applyAlignment="1">
      <alignment horizontal="right" shrinkToFit="1"/>
    </xf>
    <xf numFmtId="0" fontId="83" fillId="0" borderId="0" xfId="0" applyFont="1" applyFill="1" applyBorder="1" applyAlignment="1">
      <alignment horizontal="distributed"/>
    </xf>
    <xf numFmtId="0" fontId="9" fillId="0" borderId="12" xfId="0" applyFont="1" applyFill="1" applyBorder="1" applyAlignment="1">
      <alignment horizontal="center" shrinkToFit="1"/>
    </xf>
    <xf numFmtId="0" fontId="9" fillId="0" borderId="179" xfId="0" applyFont="1" applyFill="1" applyBorder="1" applyAlignment="1">
      <alignment horizontal="right" shrinkToFit="1"/>
    </xf>
    <xf numFmtId="192" fontId="4" fillId="17" borderId="74" xfId="0" applyNumberFormat="1" applyFont="1" applyFill="1" applyBorder="1" applyAlignment="1">
      <alignment horizontal="center" shrinkToFit="1"/>
    </xf>
    <xf numFmtId="192" fontId="4" fillId="17" borderId="170" xfId="0" applyNumberFormat="1" applyFont="1" applyFill="1" applyBorder="1" applyAlignment="1">
      <alignment horizontal="center" shrinkToFit="1"/>
    </xf>
    <xf numFmtId="192" fontId="4" fillId="17" borderId="87" xfId="0" applyNumberFormat="1" applyFont="1" applyFill="1" applyBorder="1" applyAlignment="1">
      <alignment horizontal="center" shrinkToFit="1"/>
    </xf>
    <xf numFmtId="192" fontId="4" fillId="17" borderId="31" xfId="0" applyNumberFormat="1" applyFont="1" applyFill="1" applyBorder="1" applyAlignment="1">
      <alignment horizontal="center" shrinkToFit="1"/>
    </xf>
    <xf numFmtId="0" fontId="4" fillId="17" borderId="120" xfId="0" applyFont="1" applyFill="1" applyBorder="1" applyAlignment="1">
      <alignment horizontal="center"/>
    </xf>
    <xf numFmtId="192" fontId="4" fillId="0" borderId="120" xfId="0" applyNumberFormat="1" applyFont="1" applyFill="1" applyBorder="1" applyAlignment="1">
      <alignment horizontal="center" shrinkToFit="1"/>
    </xf>
    <xf numFmtId="192" fontId="4" fillId="0" borderId="119" xfId="0" applyNumberFormat="1" applyFont="1" applyFill="1" applyBorder="1" applyAlignment="1">
      <alignment horizontal="center" shrinkToFit="1"/>
    </xf>
    <xf numFmtId="192" fontId="4" fillId="0" borderId="121" xfId="0" applyNumberFormat="1" applyFont="1" applyFill="1" applyBorder="1" applyAlignment="1">
      <alignment horizontal="center" shrinkToFit="1"/>
    </xf>
    <xf numFmtId="0" fontId="56" fillId="0" borderId="87" xfId="0" applyFont="1" applyFill="1" applyBorder="1" applyAlignment="1"/>
    <xf numFmtId="0" fontId="9" fillId="0" borderId="87" xfId="0" applyFont="1" applyFill="1" applyBorder="1" applyAlignment="1">
      <alignment horizontal="center" shrinkToFit="1"/>
    </xf>
    <xf numFmtId="0" fontId="9" fillId="0" borderId="91" xfId="0" applyFont="1" applyFill="1" applyBorder="1" applyAlignment="1">
      <alignment horizontal="center" shrinkToFit="1"/>
    </xf>
    <xf numFmtId="38" fontId="9" fillId="17" borderId="74" xfId="0" applyNumberFormat="1" applyFont="1" applyFill="1" applyBorder="1" applyAlignment="1">
      <alignment horizontal="right" shrinkToFit="1"/>
    </xf>
    <xf numFmtId="38" fontId="9" fillId="17" borderId="170" xfId="0" applyNumberFormat="1" applyFont="1" applyFill="1" applyBorder="1" applyAlignment="1">
      <alignment horizontal="right" shrinkToFit="1"/>
    </xf>
    <xf numFmtId="38" fontId="9" fillId="17" borderId="23" xfId="0" applyNumberFormat="1" applyFont="1" applyFill="1" applyBorder="1" applyAlignment="1">
      <alignment horizontal="right" shrinkToFit="1"/>
    </xf>
    <xf numFmtId="38" fontId="9" fillId="17" borderId="31" xfId="0" applyNumberFormat="1" applyFont="1" applyFill="1" applyBorder="1" applyAlignment="1">
      <alignment horizontal="right" shrinkToFit="1"/>
    </xf>
    <xf numFmtId="38" fontId="9" fillId="17" borderId="120" xfId="0" applyNumberFormat="1" applyFont="1" applyFill="1" applyBorder="1" applyAlignment="1">
      <alignment horizontal="right" shrinkToFit="1"/>
    </xf>
    <xf numFmtId="38" fontId="9" fillId="17" borderId="169" xfId="0" applyNumberFormat="1" applyFont="1" applyFill="1" applyBorder="1" applyAlignment="1">
      <alignment horizontal="right" shrinkToFit="1"/>
    </xf>
    <xf numFmtId="0" fontId="4" fillId="0" borderId="149" xfId="0" applyFont="1" applyFill="1" applyBorder="1" applyAlignment="1">
      <alignment horizontal="center"/>
    </xf>
    <xf numFmtId="38" fontId="9" fillId="0" borderId="120" xfId="0" applyNumberFormat="1" applyFont="1" applyFill="1" applyBorder="1" applyAlignment="1">
      <alignment horizontal="right" shrinkToFit="1"/>
    </xf>
    <xf numFmtId="38" fontId="9" fillId="0" borderId="169" xfId="0" applyNumberFormat="1" applyFont="1" applyFill="1" applyBorder="1" applyAlignment="1">
      <alignment horizontal="right" shrinkToFit="1"/>
    </xf>
    <xf numFmtId="0" fontId="4" fillId="0" borderId="14" xfId="0" applyFont="1" applyFill="1" applyBorder="1" applyAlignment="1">
      <alignment horizontal="right"/>
    </xf>
    <xf numFmtId="0" fontId="4" fillId="0" borderId="138" xfId="0" applyFont="1" applyFill="1" applyBorder="1" applyAlignment="1">
      <alignment horizontal="right"/>
    </xf>
    <xf numFmtId="0" fontId="4" fillId="0" borderId="15" xfId="0" applyFont="1" applyFill="1" applyBorder="1" applyAlignment="1">
      <alignment horizontal="right"/>
    </xf>
    <xf numFmtId="0" fontId="36" fillId="0" borderId="0" xfId="0" applyFont="1" applyFill="1" applyBorder="1" applyAlignment="1">
      <alignment horizontal="left"/>
    </xf>
    <xf numFmtId="0" fontId="59" fillId="0" borderId="0" xfId="0" applyFont="1" applyFill="1" applyBorder="1" applyAlignment="1">
      <alignment horizontal="center"/>
    </xf>
    <xf numFmtId="0" fontId="9" fillId="0" borderId="0" xfId="0" applyFont="1" applyFill="1" applyBorder="1" applyAlignment="1">
      <alignment horizontal="left" shrinkToFit="1"/>
    </xf>
    <xf numFmtId="0" fontId="9" fillId="0" borderId="0" xfId="0" applyFont="1" applyFill="1" applyBorder="1" applyAlignment="1"/>
    <xf numFmtId="177" fontId="24" fillId="29" borderId="23" xfId="0" applyNumberFormat="1" applyFont="1" applyFill="1" applyBorder="1" applyAlignment="1">
      <alignment horizontal="right" vertical="center" shrinkToFit="1"/>
    </xf>
    <xf numFmtId="177" fontId="24" fillId="29" borderId="31" xfId="0" applyNumberFormat="1" applyFont="1" applyFill="1" applyBorder="1" applyAlignment="1">
      <alignment horizontal="right" vertical="center" shrinkToFit="1"/>
    </xf>
    <xf numFmtId="38" fontId="9" fillId="17" borderId="77" xfId="0" applyNumberFormat="1" applyFont="1" applyFill="1" applyBorder="1" applyAlignment="1">
      <alignment horizontal="right" shrinkToFit="1"/>
    </xf>
    <xf numFmtId="38" fontId="9" fillId="17" borderId="90" xfId="0" applyNumberFormat="1" applyFont="1" applyFill="1" applyBorder="1" applyAlignment="1">
      <alignment horizontal="right" shrinkToFit="1"/>
    </xf>
    <xf numFmtId="0" fontId="4" fillId="0" borderId="23" xfId="0" quotePrefix="1" applyFont="1" applyFill="1" applyBorder="1" applyAlignment="1">
      <alignment horizontal="left" shrinkToFit="1"/>
    </xf>
    <xf numFmtId="0" fontId="4" fillId="0" borderId="166" xfId="0" applyFont="1" applyFill="1" applyBorder="1" applyAlignment="1">
      <alignment horizontal="center" vertical="center" shrinkToFit="1"/>
    </xf>
    <xf numFmtId="0" fontId="4" fillId="0" borderId="178" xfId="0" applyFont="1" applyFill="1" applyBorder="1" applyAlignment="1">
      <alignment horizontal="center" vertical="center" shrinkToFit="1"/>
    </xf>
    <xf numFmtId="0" fontId="4" fillId="0" borderId="178" xfId="0" applyFont="1" applyFill="1" applyBorder="1" applyAlignment="1">
      <alignment horizontal="left" shrinkToFit="1"/>
    </xf>
    <xf numFmtId="0" fontId="4" fillId="0" borderId="23" xfId="0" applyFont="1" applyFill="1" applyBorder="1" applyAlignment="1">
      <alignment horizontal="left" vertical="center" shrinkToFit="1"/>
    </xf>
    <xf numFmtId="49" fontId="4" fillId="0" borderId="77" xfId="0" applyNumberFormat="1" applyFont="1" applyFill="1" applyBorder="1" applyAlignment="1">
      <alignment horizontal="left" shrinkToFit="1"/>
    </xf>
    <xf numFmtId="0" fontId="4" fillId="0" borderId="183" xfId="0" applyFont="1" applyFill="1" applyBorder="1" applyAlignment="1">
      <alignment horizontal="right"/>
    </xf>
    <xf numFmtId="0" fontId="4" fillId="0" borderId="184" xfId="0" applyFont="1" applyFill="1" applyBorder="1" applyAlignment="1">
      <alignment horizontal="right"/>
    </xf>
    <xf numFmtId="0" fontId="4" fillId="0" borderId="184" xfId="0" applyFont="1" applyFill="1" applyBorder="1" applyAlignment="1">
      <alignment horizontal="left"/>
    </xf>
    <xf numFmtId="0" fontId="4" fillId="0" borderId="185" xfId="0" applyFont="1" applyFill="1" applyBorder="1" applyAlignment="1">
      <alignment horizontal="left"/>
    </xf>
    <xf numFmtId="0" fontId="4" fillId="0" borderId="185" xfId="0" applyFont="1" applyFill="1" applyBorder="1" applyAlignment="1">
      <alignment horizontal="right"/>
    </xf>
    <xf numFmtId="38" fontId="9" fillId="0" borderId="185" xfId="0" applyNumberFormat="1" applyFont="1" applyFill="1" applyBorder="1" applyAlignment="1">
      <alignment horizontal="right"/>
    </xf>
    <xf numFmtId="38" fontId="9" fillId="0" borderId="185" xfId="0" applyNumberFormat="1" applyFont="1" applyFill="1" applyBorder="1" applyAlignment="1">
      <alignment horizontal="right" shrinkToFit="1"/>
    </xf>
    <xf numFmtId="38" fontId="9" fillId="0" borderId="197" xfId="0" applyNumberFormat="1" applyFont="1" applyFill="1" applyBorder="1" applyAlignment="1">
      <alignment horizontal="right" shrinkToFit="1"/>
    </xf>
    <xf numFmtId="10" fontId="4" fillId="0" borderId="23" xfId="3" applyNumberFormat="1" applyFont="1" applyFill="1" applyBorder="1" applyAlignment="1">
      <alignment horizontal="left" shrinkToFit="1"/>
    </xf>
    <xf numFmtId="38" fontId="9" fillId="32" borderId="23" xfId="0" applyNumberFormat="1" applyFont="1" applyFill="1" applyBorder="1" applyAlignment="1">
      <alignment horizontal="right" shrinkToFit="1"/>
    </xf>
    <xf numFmtId="38" fontId="9" fillId="32" borderId="31" xfId="0" applyNumberFormat="1" applyFont="1" applyFill="1" applyBorder="1" applyAlignment="1">
      <alignment horizontal="right" shrinkToFit="1"/>
    </xf>
    <xf numFmtId="0" fontId="28" fillId="0" borderId="23" xfId="0" applyFont="1" applyFill="1" applyBorder="1" applyAlignment="1">
      <alignment horizontal="left" shrinkToFit="1"/>
    </xf>
    <xf numFmtId="0" fontId="4" fillId="0" borderId="163" xfId="0" applyFont="1" applyFill="1" applyBorder="1" applyAlignment="1">
      <alignment horizontal="center" vertical="center" shrinkToFit="1"/>
    </xf>
    <xf numFmtId="0" fontId="9" fillId="0" borderId="79" xfId="0" applyFont="1" applyFill="1" applyBorder="1" applyAlignment="1">
      <alignment horizontal="right" shrinkToFit="1"/>
    </xf>
    <xf numFmtId="38" fontId="9" fillId="0" borderId="169" xfId="0" applyNumberFormat="1" applyFont="1" applyFill="1" applyBorder="1" applyAlignment="1">
      <alignment horizontal="right"/>
    </xf>
    <xf numFmtId="10" fontId="4" fillId="0" borderId="74" xfId="0" quotePrefix="1" applyNumberFormat="1" applyFont="1" applyFill="1" applyBorder="1" applyAlignment="1">
      <alignment horizontal="right" shrinkToFit="1"/>
    </xf>
    <xf numFmtId="38" fontId="9" fillId="32" borderId="87" xfId="0" applyNumberFormat="1" applyFont="1" applyFill="1" applyBorder="1" applyAlignment="1">
      <alignment horizontal="right" shrinkToFit="1"/>
    </xf>
    <xf numFmtId="38" fontId="9" fillId="32" borderId="91" xfId="0" applyNumberFormat="1" applyFont="1" applyFill="1" applyBorder="1" applyAlignment="1">
      <alignment horizontal="right" shrinkToFit="1"/>
    </xf>
    <xf numFmtId="0" fontId="65" fillId="0" borderId="23" xfId="0" applyFont="1" applyFill="1" applyBorder="1" applyAlignment="1">
      <alignment horizontal="left" shrinkToFit="1"/>
    </xf>
    <xf numFmtId="38" fontId="4" fillId="0" borderId="0" xfId="1" applyFont="1" applyFill="1" applyBorder="1" applyAlignment="1"/>
    <xf numFmtId="2" fontId="4" fillId="0" borderId="132" xfId="0" applyNumberFormat="1" applyFont="1" applyFill="1" applyBorder="1" applyAlignment="1" applyProtection="1">
      <alignment horizontal="center" vertical="center"/>
    </xf>
    <xf numFmtId="2" fontId="4" fillId="0" borderId="252" xfId="0" applyNumberFormat="1" applyFont="1" applyFill="1" applyBorder="1" applyAlignment="1" applyProtection="1">
      <alignment horizontal="center" vertical="center"/>
    </xf>
    <xf numFmtId="0" fontId="4" fillId="0" borderId="23" xfId="0" applyFont="1" applyFill="1" applyBorder="1" applyAlignment="1" applyProtection="1">
      <alignment horizontal="center" vertical="center"/>
    </xf>
    <xf numFmtId="0" fontId="4" fillId="0" borderId="153" xfId="0" applyFont="1" applyFill="1" applyBorder="1" applyAlignment="1"/>
    <xf numFmtId="0" fontId="4" fillId="0" borderId="125" xfId="0" applyFont="1" applyFill="1" applyBorder="1" applyAlignment="1"/>
    <xf numFmtId="2" fontId="4" fillId="0" borderId="116" xfId="0" applyNumberFormat="1" applyFont="1" applyFill="1" applyBorder="1" applyAlignment="1" applyProtection="1">
      <alignment horizontal="center" vertical="center"/>
    </xf>
    <xf numFmtId="0" fontId="4" fillId="0" borderId="220" xfId="0" applyFont="1" applyFill="1" applyBorder="1" applyAlignment="1"/>
    <xf numFmtId="0" fontId="4" fillId="0" borderId="116" xfId="0" applyFont="1" applyFill="1" applyBorder="1" applyAlignment="1" applyProtection="1">
      <alignment horizontal="center" vertical="center"/>
    </xf>
    <xf numFmtId="0" fontId="4" fillId="0" borderId="115" xfId="0" applyFont="1" applyFill="1" applyBorder="1" applyAlignment="1" applyProtection="1">
      <alignment horizontal="center" vertical="center"/>
    </xf>
    <xf numFmtId="0" fontId="4" fillId="0" borderId="253" xfId="0"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38" fontId="9" fillId="0" borderId="12" xfId="0" applyNumberFormat="1" applyFont="1" applyFill="1" applyBorder="1" applyAlignment="1">
      <alignment horizontal="center" vertical="center" shrinkToFit="1"/>
    </xf>
    <xf numFmtId="192" fontId="4" fillId="0" borderId="23" xfId="0" applyNumberFormat="1" applyFont="1" applyFill="1" applyBorder="1" applyAlignment="1">
      <alignment horizontal="center" shrinkToFit="1"/>
    </xf>
    <xf numFmtId="177" fontId="4" fillId="0" borderId="120" xfId="0" applyNumberFormat="1" applyFont="1" applyFill="1" applyBorder="1" applyAlignment="1">
      <alignment horizontal="center" shrinkToFit="1"/>
    </xf>
    <xf numFmtId="177" fontId="4" fillId="0" borderId="169" xfId="0" applyNumberFormat="1" applyFont="1" applyFill="1" applyBorder="1" applyAlignment="1">
      <alignment horizontal="center" shrinkToFit="1"/>
    </xf>
    <xf numFmtId="0" fontId="9" fillId="0" borderId="120" xfId="0" applyFont="1" applyFill="1" applyBorder="1" applyAlignment="1">
      <alignment horizontal="center" shrinkToFit="1"/>
    </xf>
    <xf numFmtId="0" fontId="9" fillId="0" borderId="169" xfId="0" applyFont="1" applyFill="1" applyBorder="1" applyAlignment="1">
      <alignment horizontal="center" shrinkToFit="1"/>
    </xf>
    <xf numFmtId="38" fontId="9" fillId="35" borderId="74" xfId="0" applyNumberFormat="1" applyFont="1" applyFill="1" applyBorder="1" applyAlignment="1">
      <alignment horizontal="right" shrinkToFit="1"/>
    </xf>
    <xf numFmtId="38" fontId="9" fillId="35" borderId="170" xfId="0" applyNumberFormat="1" applyFont="1" applyFill="1" applyBorder="1" applyAlignment="1">
      <alignment horizontal="right" shrinkToFit="1"/>
    </xf>
    <xf numFmtId="38" fontId="9" fillId="35" borderId="23" xfId="0" applyNumberFormat="1" applyFont="1" applyFill="1" applyBorder="1" applyAlignment="1">
      <alignment horizontal="right" shrinkToFit="1"/>
    </xf>
    <xf numFmtId="38" fontId="9" fillId="35" borderId="31" xfId="0" applyNumberFormat="1" applyFont="1" applyFill="1" applyBorder="1" applyAlignment="1">
      <alignment horizontal="right" shrinkToFit="1"/>
    </xf>
    <xf numFmtId="177" fontId="9" fillId="0" borderId="181" xfId="0" applyNumberFormat="1" applyFont="1" applyFill="1" applyBorder="1" applyAlignment="1">
      <alignment horizontal="center" shrinkToFit="1"/>
    </xf>
    <xf numFmtId="0" fontId="9" fillId="0" borderId="120" xfId="0" applyFont="1" applyFill="1" applyBorder="1" applyAlignment="1">
      <alignment horizontal="right"/>
    </xf>
    <xf numFmtId="0" fontId="9" fillId="0" borderId="120" xfId="0" applyFont="1" applyFill="1" applyBorder="1" applyAlignment="1">
      <alignment horizontal="right" shrinkToFit="1"/>
    </xf>
    <xf numFmtId="0" fontId="9" fillId="0" borderId="169" xfId="0" applyFont="1" applyFill="1" applyBorder="1" applyAlignment="1">
      <alignment horizontal="right" shrinkToFit="1"/>
    </xf>
    <xf numFmtId="38" fontId="9" fillId="35" borderId="77" xfId="0" applyNumberFormat="1" applyFont="1" applyFill="1" applyBorder="1" applyAlignment="1">
      <alignment horizontal="right" shrinkToFit="1"/>
    </xf>
    <xf numFmtId="38" fontId="9" fillId="35" borderId="90" xfId="0" applyNumberFormat="1" applyFont="1" applyFill="1" applyBorder="1" applyAlignment="1">
      <alignment horizontal="right" shrinkToFit="1"/>
    </xf>
    <xf numFmtId="38" fontId="9" fillId="0" borderId="87" xfId="0" applyNumberFormat="1" applyFont="1" applyFill="1" applyBorder="1" applyAlignment="1">
      <alignment horizontal="right" shrinkToFit="1"/>
    </xf>
    <xf numFmtId="38" fontId="9" fillId="0" borderId="91" xfId="0" applyNumberFormat="1" applyFont="1" applyFill="1" applyBorder="1" applyAlignment="1">
      <alignment horizontal="right" shrinkToFit="1"/>
    </xf>
    <xf numFmtId="0" fontId="4" fillId="0" borderId="58" xfId="0" applyFont="1" applyFill="1" applyBorder="1" applyAlignment="1" applyProtection="1">
      <alignment horizontal="center" vertical="center"/>
    </xf>
    <xf numFmtId="2" fontId="4" fillId="0" borderId="56" xfId="0" applyNumberFormat="1" applyFont="1" applyFill="1" applyBorder="1" applyAlignment="1" applyProtection="1">
      <alignment horizontal="center" vertical="center"/>
    </xf>
    <xf numFmtId="0" fontId="4" fillId="0" borderId="56" xfId="0" applyFont="1" applyFill="1" applyBorder="1" applyAlignment="1" applyProtection="1">
      <alignment horizontal="center" vertical="center"/>
    </xf>
    <xf numFmtId="180" fontId="13" fillId="0" borderId="230" xfId="0" applyNumberFormat="1" applyFont="1" applyBorder="1" applyAlignment="1" applyProtection="1">
      <alignment horizontal="right" vertical="center" shrinkToFit="1"/>
      <protection locked="0"/>
    </xf>
    <xf numFmtId="38" fontId="13" fillId="0" borderId="210" xfId="0" applyNumberFormat="1" applyFont="1" applyBorder="1" applyAlignment="1" applyProtection="1">
      <alignment horizontal="right" vertical="center" shrinkToFit="1"/>
      <protection locked="0"/>
    </xf>
    <xf numFmtId="177" fontId="13" fillId="0" borderId="210" xfId="0" applyNumberFormat="1" applyFont="1" applyBorder="1" applyAlignment="1" applyProtection="1">
      <alignment vertical="center" shrinkToFit="1"/>
      <protection locked="0"/>
    </xf>
    <xf numFmtId="38" fontId="4" fillId="19" borderId="23" xfId="0" applyNumberFormat="1" applyFont="1" applyFill="1" applyBorder="1" applyAlignment="1">
      <alignment horizontal="right" shrinkToFit="1"/>
    </xf>
    <xf numFmtId="38" fontId="4" fillId="20" borderId="23" xfId="0" applyNumberFormat="1" applyFont="1" applyFill="1" applyBorder="1" applyAlignment="1">
      <alignment horizontal="right" shrinkToFit="1"/>
    </xf>
    <xf numFmtId="0" fontId="13" fillId="0" borderId="217" xfId="0" applyFont="1" applyBorder="1" applyAlignment="1" applyProtection="1">
      <alignment vertical="center" wrapText="1"/>
      <protection locked="0"/>
    </xf>
    <xf numFmtId="186" fontId="13" fillId="0" borderId="217" xfId="0" applyNumberFormat="1" applyFont="1" applyBorder="1" applyAlignment="1" applyProtection="1">
      <alignment vertical="center" shrinkToFit="1"/>
      <protection locked="0"/>
    </xf>
    <xf numFmtId="0" fontId="13" fillId="0" borderId="212" xfId="0" applyFont="1" applyBorder="1" applyAlignment="1" applyProtection="1">
      <alignment vertical="center"/>
      <protection locked="0"/>
    </xf>
    <xf numFmtId="186" fontId="13" fillId="0" borderId="222" xfId="0" applyNumberFormat="1" applyFont="1" applyBorder="1" applyAlignment="1" applyProtection="1">
      <alignment vertical="center"/>
      <protection locked="0"/>
    </xf>
    <xf numFmtId="0" fontId="13" fillId="0" borderId="222" xfId="0" applyFont="1" applyBorder="1" applyAlignment="1" applyProtection="1">
      <alignment horizontal="center" vertical="center"/>
      <protection locked="0"/>
    </xf>
    <xf numFmtId="38" fontId="4" fillId="20" borderId="74" xfId="0" applyNumberFormat="1" applyFont="1" applyFill="1" applyBorder="1" applyAlignment="1">
      <alignment horizontal="right" shrinkToFit="1"/>
    </xf>
    <xf numFmtId="0" fontId="18" fillId="20" borderId="18" xfId="0" applyFont="1" applyFill="1" applyBorder="1" applyAlignment="1" applyProtection="1">
      <alignment horizontal="center" vertical="center"/>
      <protection locked="0"/>
    </xf>
    <xf numFmtId="178" fontId="18" fillId="20" borderId="65" xfId="0" applyNumberFormat="1" applyFont="1" applyFill="1" applyBorder="1" applyAlignment="1" applyProtection="1">
      <alignment horizontal="center" vertical="center"/>
      <protection locked="0"/>
    </xf>
    <xf numFmtId="178" fontId="18" fillId="20" borderId="40" xfId="0" applyNumberFormat="1" applyFont="1" applyFill="1" applyBorder="1" applyAlignment="1" applyProtection="1">
      <alignment horizontal="center" vertical="center"/>
      <protection locked="0"/>
    </xf>
    <xf numFmtId="0" fontId="18" fillId="20" borderId="40" xfId="0" applyFont="1" applyFill="1" applyBorder="1" applyAlignment="1" applyProtection="1">
      <alignment vertical="center" shrinkToFit="1"/>
      <protection locked="0"/>
    </xf>
    <xf numFmtId="0" fontId="18" fillId="20" borderId="50" xfId="0" applyFont="1" applyFill="1" applyBorder="1" applyAlignment="1" applyProtection="1">
      <alignment vertical="center" shrinkToFit="1"/>
      <protection locked="0"/>
    </xf>
    <xf numFmtId="0" fontId="18" fillId="20" borderId="24" xfId="0" applyFont="1" applyFill="1" applyBorder="1" applyAlignment="1" applyProtection="1">
      <alignment vertical="center"/>
      <protection locked="0"/>
    </xf>
    <xf numFmtId="0" fontId="18" fillId="20" borderId="45" xfId="0" applyFont="1" applyFill="1" applyBorder="1" applyAlignment="1" applyProtection="1">
      <alignment horizontal="center" vertical="center"/>
      <protection locked="0"/>
    </xf>
    <xf numFmtId="179" fontId="18" fillId="20" borderId="30" xfId="0" applyNumberFormat="1" applyFont="1" applyFill="1" applyBorder="1" applyAlignment="1" applyProtection="1">
      <alignment vertical="center" shrinkToFit="1"/>
      <protection locked="0"/>
    </xf>
    <xf numFmtId="179" fontId="18" fillId="20" borderId="31" xfId="0" applyNumberFormat="1" applyFont="1" applyFill="1" applyBorder="1" applyAlignment="1">
      <alignment vertical="center" shrinkToFit="1"/>
    </xf>
    <xf numFmtId="0" fontId="18" fillId="35" borderId="18" xfId="0" applyFont="1" applyFill="1" applyBorder="1" applyAlignment="1" applyProtection="1">
      <alignment horizontal="center" vertical="center"/>
      <protection locked="0"/>
    </xf>
    <xf numFmtId="178" fontId="18" fillId="35" borderId="65" xfId="0" applyNumberFormat="1" applyFont="1" applyFill="1" applyBorder="1" applyAlignment="1" applyProtection="1">
      <alignment horizontal="center" vertical="center"/>
      <protection locked="0"/>
    </xf>
    <xf numFmtId="178" fontId="18" fillId="35" borderId="40" xfId="0" applyNumberFormat="1" applyFont="1" applyFill="1" applyBorder="1" applyAlignment="1" applyProtection="1">
      <alignment horizontal="center" vertical="center"/>
      <protection locked="0"/>
    </xf>
    <xf numFmtId="0" fontId="18" fillId="35" borderId="40" xfId="0" applyFont="1" applyFill="1" applyBorder="1" applyAlignment="1" applyProtection="1">
      <alignment vertical="center"/>
      <protection locked="0"/>
    </xf>
    <xf numFmtId="0" fontId="18" fillId="35" borderId="50" xfId="0" applyFont="1" applyFill="1" applyBorder="1" applyAlignment="1" applyProtection="1">
      <alignment vertical="center"/>
      <protection locked="0"/>
    </xf>
    <xf numFmtId="0" fontId="18" fillId="35" borderId="24" xfId="0" applyFont="1" applyFill="1" applyBorder="1" applyAlignment="1" applyProtection="1">
      <alignment vertical="center"/>
      <protection locked="0"/>
    </xf>
    <xf numFmtId="0" fontId="18" fillId="35" borderId="45" xfId="0" applyFont="1" applyFill="1" applyBorder="1" applyAlignment="1" applyProtection="1">
      <alignment horizontal="center" vertical="center"/>
      <protection locked="0"/>
    </xf>
    <xf numFmtId="179" fontId="18" fillId="35" borderId="30" xfId="0" applyNumberFormat="1" applyFont="1" applyFill="1" applyBorder="1" applyAlignment="1" applyProtection="1">
      <alignment vertical="center" shrinkToFit="1"/>
      <protection locked="0"/>
    </xf>
    <xf numFmtId="179" fontId="18" fillId="35" borderId="31" xfId="0" applyNumberFormat="1" applyFont="1" applyFill="1" applyBorder="1" applyAlignment="1">
      <alignment vertical="center" shrinkToFit="1"/>
    </xf>
    <xf numFmtId="180" fontId="13" fillId="19" borderId="230" xfId="0" applyNumberFormat="1" applyFont="1" applyFill="1" applyBorder="1" applyAlignment="1" applyProtection="1">
      <alignment horizontal="right" vertical="center" shrinkToFit="1"/>
      <protection locked="0"/>
    </xf>
    <xf numFmtId="180" fontId="13" fillId="0" borderId="230" xfId="0" applyNumberFormat="1" applyFont="1" applyFill="1" applyBorder="1" applyAlignment="1" applyProtection="1">
      <alignment horizontal="right" vertical="center" shrinkToFit="1"/>
      <protection locked="0"/>
    </xf>
    <xf numFmtId="0" fontId="13" fillId="0" borderId="210" xfId="0" applyFont="1" applyFill="1" applyBorder="1" applyAlignment="1" applyProtection="1">
      <alignment vertical="center" shrinkToFit="1"/>
      <protection locked="0"/>
    </xf>
    <xf numFmtId="186" fontId="13" fillId="0" borderId="210" xfId="0" applyNumberFormat="1" applyFont="1" applyFill="1" applyBorder="1" applyAlignment="1" applyProtection="1">
      <alignment vertical="center" shrinkToFit="1"/>
      <protection locked="0"/>
    </xf>
    <xf numFmtId="0" fontId="13" fillId="0" borderId="210" xfId="0" applyFont="1" applyFill="1" applyBorder="1" applyAlignment="1" applyProtection="1">
      <alignment horizontal="center" vertical="center" shrinkToFit="1"/>
      <protection locked="0"/>
    </xf>
    <xf numFmtId="38" fontId="13" fillId="0" borderId="210" xfId="0" applyNumberFormat="1" applyFont="1" applyFill="1" applyBorder="1" applyAlignment="1" applyProtection="1">
      <alignment horizontal="right" vertical="center" shrinkToFit="1"/>
      <protection locked="0"/>
    </xf>
    <xf numFmtId="183" fontId="23" fillId="0" borderId="277" xfId="0" quotePrefix="1" applyNumberFormat="1" applyFont="1" applyBorder="1" applyAlignment="1">
      <alignment vertical="center" shrinkToFit="1"/>
    </xf>
    <xf numFmtId="0" fontId="85" fillId="0" borderId="203" xfId="0" applyFont="1" applyBorder="1" applyAlignment="1">
      <alignment vertical="center"/>
    </xf>
    <xf numFmtId="38" fontId="4" fillId="35" borderId="74" xfId="0" applyNumberFormat="1" applyFont="1" applyFill="1" applyBorder="1" applyAlignment="1">
      <alignment horizontal="right" shrinkToFit="1"/>
    </xf>
    <xf numFmtId="177" fontId="13" fillId="0" borderId="210" xfId="0" applyNumberFormat="1" applyFont="1" applyFill="1" applyBorder="1" applyAlignment="1" applyProtection="1">
      <alignment vertical="center" shrinkToFit="1"/>
      <protection locked="0"/>
    </xf>
    <xf numFmtId="0" fontId="13" fillId="0" borderId="280" xfId="0" applyFont="1" applyBorder="1" applyAlignment="1" applyProtection="1">
      <alignment vertical="center" shrinkToFit="1"/>
      <protection locked="0"/>
    </xf>
    <xf numFmtId="0" fontId="13" fillId="17" borderId="283" xfId="0" applyFont="1" applyFill="1" applyBorder="1" applyAlignment="1" applyProtection="1">
      <alignment vertical="center" shrinkToFit="1"/>
      <protection locked="0"/>
    </xf>
    <xf numFmtId="178" fontId="4" fillId="17" borderId="283" xfId="0" applyNumberFormat="1" applyFont="1" applyFill="1" applyBorder="1" applyAlignment="1" applyProtection="1">
      <alignment vertical="center" shrinkToFit="1"/>
      <protection locked="0"/>
    </xf>
    <xf numFmtId="186" fontId="13" fillId="17" borderId="284" xfId="0" applyNumberFormat="1" applyFont="1" applyFill="1" applyBorder="1" applyAlignment="1" applyProtection="1">
      <alignment horizontal="center" vertical="center" shrinkToFit="1"/>
      <protection locked="0"/>
    </xf>
    <xf numFmtId="191" fontId="3" fillId="17" borderId="283" xfId="0" applyNumberFormat="1" applyFont="1" applyFill="1" applyBorder="1" applyAlignment="1">
      <alignment horizontal="center" vertical="center" shrinkToFit="1"/>
    </xf>
    <xf numFmtId="3" fontId="13" fillId="17" borderId="284" xfId="4" applyNumberFormat="1" applyFont="1" applyFill="1" applyBorder="1" applyAlignment="1" applyProtection="1">
      <alignment horizontal="center" vertical="center" shrinkToFit="1"/>
      <protection locked="0"/>
    </xf>
    <xf numFmtId="177" fontId="13" fillId="17" borderId="285" xfId="0" applyNumberFormat="1" applyFont="1" applyFill="1" applyBorder="1" applyAlignment="1" applyProtection="1">
      <alignment vertical="center" shrinkToFit="1"/>
      <protection locked="0"/>
    </xf>
    <xf numFmtId="3" fontId="13" fillId="17" borderId="288" xfId="4" applyNumberFormat="1" applyFont="1" applyFill="1" applyBorder="1" applyAlignment="1" applyProtection="1">
      <alignment horizontal="center" vertical="center" shrinkToFit="1"/>
      <protection locked="0"/>
    </xf>
    <xf numFmtId="0" fontId="13" fillId="17" borderId="223" xfId="0" applyFont="1" applyFill="1" applyBorder="1" applyAlignment="1" applyProtection="1">
      <alignment vertical="center" shrinkToFit="1"/>
      <protection locked="0"/>
    </xf>
    <xf numFmtId="179" fontId="18" fillId="0" borderId="30" xfId="0" applyNumberFormat="1" applyFont="1" applyFill="1" applyBorder="1" applyAlignment="1" applyProtection="1">
      <alignment vertical="center" shrinkToFit="1"/>
      <protection locked="0"/>
    </xf>
    <xf numFmtId="178" fontId="4" fillId="0" borderId="222" xfId="0" applyNumberFormat="1" applyFont="1" applyFill="1" applyBorder="1" applyAlignment="1" applyProtection="1">
      <alignment vertical="center" shrinkToFit="1"/>
      <protection locked="0"/>
    </xf>
    <xf numFmtId="186" fontId="13" fillId="0" borderId="294" xfId="0" applyNumberFormat="1" applyFont="1" applyBorder="1" applyAlignment="1" applyProtection="1">
      <alignment horizontal="center" vertical="center" shrinkToFit="1"/>
      <protection locked="0"/>
    </xf>
    <xf numFmtId="191" fontId="3" fillId="0" borderId="222" xfId="0" applyNumberFormat="1" applyFont="1" applyBorder="1" applyAlignment="1">
      <alignment horizontal="center" vertical="center" shrinkToFit="1"/>
    </xf>
    <xf numFmtId="0" fontId="13" fillId="0" borderId="215" xfId="4" applyNumberFormat="1" applyFont="1" applyBorder="1" applyAlignment="1" applyProtection="1">
      <alignment horizontal="center" vertical="center" shrinkToFit="1"/>
      <protection locked="0"/>
    </xf>
    <xf numFmtId="178" fontId="4" fillId="0" borderId="222" xfId="0" applyNumberFormat="1" applyFont="1" applyBorder="1" applyAlignment="1" applyProtection="1">
      <alignment vertical="center" shrinkToFit="1"/>
      <protection locked="0"/>
    </xf>
    <xf numFmtId="0" fontId="48" fillId="19" borderId="295" xfId="0" applyFont="1" applyFill="1" applyBorder="1" applyAlignment="1" applyProtection="1">
      <alignment horizontal="center" vertical="center" wrapText="1"/>
    </xf>
    <xf numFmtId="0" fontId="48" fillId="19" borderId="296" xfId="0" applyFont="1" applyFill="1" applyBorder="1" applyAlignment="1" applyProtection="1">
      <alignment horizontal="center" vertical="center" shrinkToFit="1"/>
    </xf>
    <xf numFmtId="0" fontId="48" fillId="19" borderId="297" xfId="0" applyFont="1" applyFill="1" applyBorder="1" applyAlignment="1" applyProtection="1">
      <alignment horizontal="center" vertical="center" shrinkToFit="1"/>
    </xf>
    <xf numFmtId="0" fontId="13" fillId="14" borderId="298" xfId="0" applyFont="1" applyFill="1" applyBorder="1" applyAlignment="1" applyProtection="1">
      <alignment horizontal="center" vertical="center" wrapText="1"/>
    </xf>
    <xf numFmtId="0" fontId="13" fillId="14" borderId="299" xfId="0" applyFont="1" applyFill="1" applyBorder="1" applyAlignment="1" applyProtection="1">
      <alignment horizontal="center" vertical="center" wrapText="1"/>
    </xf>
    <xf numFmtId="0" fontId="18" fillId="14" borderId="299" xfId="0" applyFont="1" applyFill="1" applyBorder="1" applyAlignment="1">
      <alignment horizontal="center" vertical="center" wrapText="1"/>
    </xf>
    <xf numFmtId="0" fontId="3" fillId="14" borderId="299" xfId="0" applyFont="1" applyFill="1" applyBorder="1" applyAlignment="1">
      <alignment horizontal="center" vertical="center" shrinkToFit="1"/>
    </xf>
    <xf numFmtId="177" fontId="13" fillId="14" borderId="300" xfId="0" applyNumberFormat="1" applyFont="1" applyFill="1" applyBorder="1" applyAlignment="1" applyProtection="1">
      <alignment horizontal="center" vertical="center" shrinkToFit="1"/>
    </xf>
    <xf numFmtId="177" fontId="13" fillId="14" borderId="301" xfId="0" applyNumberFormat="1" applyFont="1" applyFill="1" applyBorder="1" applyAlignment="1" applyProtection="1">
      <alignment horizontal="center" vertical="center" shrinkToFit="1"/>
    </xf>
    <xf numFmtId="3" fontId="13" fillId="25" borderId="294" xfId="4" applyNumberFormat="1" applyFont="1" applyFill="1" applyBorder="1" applyAlignment="1" applyProtection="1">
      <alignment horizontal="right" vertical="center" shrinkToFit="1"/>
      <protection locked="0"/>
    </xf>
    <xf numFmtId="178" fontId="4" fillId="0" borderId="306" xfId="0" applyNumberFormat="1" applyFont="1" applyBorder="1" applyAlignment="1" applyProtection="1">
      <alignment vertical="center" shrinkToFit="1"/>
      <protection locked="0"/>
    </xf>
    <xf numFmtId="0" fontId="3" fillId="0" borderId="307" xfId="0" applyFont="1" applyBorder="1" applyAlignment="1">
      <alignment horizontal="center" vertical="center" shrinkToFit="1"/>
    </xf>
    <xf numFmtId="191" fontId="3" fillId="0" borderId="306" xfId="0" applyNumberFormat="1" applyFont="1" applyBorder="1" applyAlignment="1">
      <alignment horizontal="center" vertical="center" shrinkToFit="1"/>
    </xf>
    <xf numFmtId="3" fontId="13" fillId="25" borderId="307" xfId="4" applyNumberFormat="1" applyFont="1" applyFill="1" applyBorder="1" applyAlignment="1" applyProtection="1">
      <alignment horizontal="center" vertical="center" shrinkToFit="1"/>
      <protection locked="0"/>
    </xf>
    <xf numFmtId="0" fontId="13" fillId="0" borderId="312" xfId="0" applyFont="1" applyBorder="1" applyAlignment="1" applyProtection="1">
      <alignment vertical="center" shrinkToFit="1"/>
      <protection locked="0"/>
    </xf>
    <xf numFmtId="178" fontId="4" fillId="0" borderId="312" xfId="0" applyNumberFormat="1" applyFont="1" applyFill="1" applyBorder="1" applyAlignment="1" applyProtection="1">
      <alignment vertical="center" shrinkToFit="1"/>
      <protection locked="0"/>
    </xf>
    <xf numFmtId="186" fontId="13" fillId="0" borderId="313" xfId="0" applyNumberFormat="1" applyFont="1" applyBorder="1" applyAlignment="1" applyProtection="1">
      <alignment horizontal="center" vertical="center" shrinkToFit="1"/>
      <protection locked="0"/>
    </xf>
    <xf numFmtId="191" fontId="3" fillId="0" borderId="312" xfId="0" applyNumberFormat="1" applyFont="1" applyBorder="1" applyAlignment="1">
      <alignment horizontal="center" vertical="center" shrinkToFit="1"/>
    </xf>
    <xf numFmtId="3" fontId="13" fillId="25" borderId="313" xfId="4" applyNumberFormat="1" applyFont="1" applyFill="1" applyBorder="1" applyAlignment="1" applyProtection="1">
      <alignment horizontal="right" vertical="center" shrinkToFit="1"/>
      <protection locked="0"/>
    </xf>
    <xf numFmtId="0" fontId="13" fillId="0" borderId="314" xfId="4" applyNumberFormat="1" applyFont="1" applyBorder="1" applyAlignment="1" applyProtection="1">
      <alignment horizontal="center" vertical="center" shrinkToFit="1"/>
      <protection locked="0"/>
    </xf>
    <xf numFmtId="0" fontId="3" fillId="0" borderId="306" xfId="0" applyFont="1" applyBorder="1" applyAlignment="1">
      <alignment horizontal="center" vertical="center" shrinkToFit="1"/>
    </xf>
    <xf numFmtId="186" fontId="13" fillId="0" borderId="307" xfId="0" applyNumberFormat="1" applyFont="1" applyBorder="1" applyAlignment="1" applyProtection="1">
      <alignment horizontal="center" vertical="center" shrinkToFit="1"/>
      <protection locked="0"/>
    </xf>
    <xf numFmtId="3" fontId="13" fillId="25" borderId="307" xfId="4" applyNumberFormat="1" applyFont="1" applyFill="1" applyBorder="1" applyAlignment="1" applyProtection="1">
      <alignment horizontal="right" vertical="center" shrinkToFit="1"/>
      <protection locked="0"/>
    </xf>
    <xf numFmtId="0" fontId="13" fillId="0" borderId="317" xfId="4" applyNumberFormat="1" applyFont="1" applyBorder="1" applyAlignment="1" applyProtection="1">
      <alignment horizontal="center" vertical="center" shrinkToFit="1"/>
      <protection locked="0"/>
    </xf>
    <xf numFmtId="178" fontId="4" fillId="0" borderId="306" xfId="0" applyNumberFormat="1" applyFont="1" applyFill="1" applyBorder="1" applyAlignment="1" applyProtection="1">
      <alignment vertical="center" shrinkToFit="1"/>
      <protection locked="0"/>
    </xf>
    <xf numFmtId="178" fontId="4" fillId="0" borderId="320" xfId="0" applyNumberFormat="1" applyFont="1" applyFill="1" applyBorder="1" applyAlignment="1" applyProtection="1">
      <alignment vertical="center" shrinkToFit="1"/>
      <protection locked="0"/>
    </xf>
    <xf numFmtId="191" fontId="3" fillId="0" borderId="320" xfId="0" applyNumberFormat="1" applyFont="1" applyBorder="1" applyAlignment="1">
      <alignment horizontal="center" vertical="center" shrinkToFit="1"/>
    </xf>
    <xf numFmtId="3" fontId="13" fillId="25" borderId="321" xfId="4" applyNumberFormat="1" applyFont="1" applyFill="1" applyBorder="1" applyAlignment="1" applyProtection="1">
      <alignment horizontal="right" vertical="center" shrinkToFit="1"/>
      <protection locked="0"/>
    </xf>
    <xf numFmtId="0" fontId="13" fillId="0" borderId="322" xfId="4" applyNumberFormat="1" applyFont="1" applyBorder="1" applyAlignment="1" applyProtection="1">
      <alignment horizontal="center" vertical="center" shrinkToFit="1"/>
      <protection locked="0"/>
    </xf>
    <xf numFmtId="177" fontId="13" fillId="0" borderId="317" xfId="0" applyNumberFormat="1" applyFont="1" applyBorder="1" applyAlignment="1" applyProtection="1">
      <alignment vertical="center" shrinkToFit="1"/>
      <protection locked="0"/>
    </xf>
    <xf numFmtId="0" fontId="13" fillId="0" borderId="223" xfId="0" applyFont="1" applyBorder="1" applyAlignment="1" applyProtection="1">
      <alignment vertical="center" shrinkToFit="1"/>
      <protection locked="0"/>
    </xf>
    <xf numFmtId="178" fontId="4" fillId="0" borderId="223" xfId="0" applyNumberFormat="1" applyFont="1" applyFill="1" applyBorder="1" applyAlignment="1" applyProtection="1">
      <alignment vertical="center" shrinkToFit="1"/>
      <protection locked="0"/>
    </xf>
    <xf numFmtId="186" fontId="13" fillId="0" borderId="326" xfId="0" applyNumberFormat="1" applyFont="1" applyBorder="1" applyAlignment="1" applyProtection="1">
      <alignment horizontal="center" vertical="center" shrinkToFit="1"/>
      <protection locked="0"/>
    </xf>
    <xf numFmtId="191" fontId="3" fillId="0" borderId="223" xfId="0" applyNumberFormat="1" applyFont="1" applyBorder="1" applyAlignment="1">
      <alignment horizontal="center" vertical="center" shrinkToFit="1"/>
    </xf>
    <xf numFmtId="3" fontId="13" fillId="25" borderId="326" xfId="4" applyNumberFormat="1" applyFont="1" applyFill="1" applyBorder="1" applyAlignment="1" applyProtection="1">
      <alignment horizontal="right" vertical="center" shrinkToFit="1"/>
      <protection locked="0"/>
    </xf>
    <xf numFmtId="0" fontId="13" fillId="0" borderId="327" xfId="4" applyNumberFormat="1" applyFont="1" applyBorder="1" applyAlignment="1" applyProtection="1">
      <alignment horizontal="center" vertical="center" shrinkToFit="1"/>
      <protection locked="0"/>
    </xf>
    <xf numFmtId="186" fontId="13" fillId="0" borderId="313" xfId="0" applyNumberFormat="1" applyFont="1" applyFill="1" applyBorder="1" applyAlignment="1" applyProtection="1">
      <alignment horizontal="center" vertical="center" shrinkToFit="1"/>
      <protection locked="0"/>
    </xf>
    <xf numFmtId="186" fontId="13" fillId="0" borderId="294" xfId="0" applyNumberFormat="1" applyFont="1" applyFill="1" applyBorder="1" applyAlignment="1" applyProtection="1">
      <alignment horizontal="center" vertical="center" shrinkToFit="1"/>
      <protection locked="0"/>
    </xf>
    <xf numFmtId="0" fontId="13" fillId="17" borderId="329" xfId="0" applyFont="1" applyFill="1" applyBorder="1" applyAlignment="1" applyProtection="1">
      <alignment vertical="center" shrinkToFit="1"/>
      <protection locked="0"/>
    </xf>
    <xf numFmtId="0" fontId="13" fillId="17" borderId="330" xfId="0" applyFont="1" applyFill="1" applyBorder="1" applyAlignment="1" applyProtection="1">
      <alignment vertical="center" shrinkToFit="1"/>
      <protection locked="0"/>
    </xf>
    <xf numFmtId="179" fontId="18" fillId="0" borderId="32" xfId="0" applyNumberFormat="1" applyFont="1" applyFill="1" applyBorder="1" applyAlignment="1" applyProtection="1">
      <alignment vertical="center" shrinkToFit="1"/>
      <protection locked="0"/>
    </xf>
    <xf numFmtId="179" fontId="18" fillId="0" borderId="34" xfId="0" applyNumberFormat="1" applyFont="1" applyFill="1" applyBorder="1" applyAlignment="1">
      <alignment vertical="center" shrinkToFit="1"/>
    </xf>
    <xf numFmtId="0" fontId="13" fillId="0" borderId="322" xfId="4" applyNumberFormat="1" applyFont="1" applyFill="1" applyBorder="1" applyAlignment="1" applyProtection="1">
      <alignment horizontal="center" vertical="center" shrinkToFit="1"/>
      <protection locked="0"/>
    </xf>
    <xf numFmtId="0" fontId="18" fillId="0" borderId="24" xfId="0" applyFont="1" applyFill="1" applyBorder="1" applyAlignment="1" applyProtection="1">
      <alignment vertical="center"/>
      <protection locked="0"/>
    </xf>
    <xf numFmtId="0" fontId="18" fillId="0" borderId="45" xfId="0" applyFont="1" applyFill="1" applyBorder="1" applyAlignment="1" applyProtection="1">
      <alignment horizontal="center" vertical="center"/>
      <protection locked="0"/>
    </xf>
    <xf numFmtId="0" fontId="39" fillId="0" borderId="308" xfId="0" applyFont="1" applyBorder="1" applyAlignment="1" applyProtection="1">
      <alignment vertical="center" shrinkToFit="1"/>
      <protection locked="0"/>
    </xf>
    <xf numFmtId="186" fontId="13" fillId="0" borderId="306" xfId="0" applyNumberFormat="1" applyFont="1" applyBorder="1" applyAlignment="1" applyProtection="1">
      <alignment vertical="center" shrinkToFit="1"/>
      <protection locked="0"/>
    </xf>
    <xf numFmtId="177" fontId="13" fillId="0" borderId="306" xfId="0" applyNumberFormat="1" applyFont="1" applyBorder="1" applyAlignment="1" applyProtection="1">
      <alignment vertical="center" shrinkToFit="1"/>
      <protection locked="0"/>
    </xf>
    <xf numFmtId="181" fontId="13" fillId="0" borderId="308" xfId="0" applyNumberFormat="1" applyFont="1" applyBorder="1" applyAlignment="1" applyProtection="1">
      <alignment horizontal="left" vertical="center"/>
      <protection locked="0"/>
    </xf>
    <xf numFmtId="0" fontId="13" fillId="0" borderId="308" xfId="0" applyFont="1" applyBorder="1" applyAlignment="1" applyProtection="1">
      <alignment vertical="center"/>
      <protection locked="0"/>
    </xf>
    <xf numFmtId="0" fontId="13" fillId="0" borderId="289" xfId="0" applyFont="1" applyBorder="1" applyAlignment="1" applyProtection="1">
      <alignment vertical="center"/>
      <protection locked="0"/>
    </xf>
    <xf numFmtId="0" fontId="22" fillId="0" borderId="0" xfId="0" applyFont="1" applyBorder="1" applyAlignment="1" applyProtection="1">
      <alignment vertical="center" wrapText="1"/>
      <protection locked="0"/>
    </xf>
    <xf numFmtId="0" fontId="24" fillId="0" borderId="0" xfId="0" applyFont="1" applyBorder="1" applyAlignment="1" applyProtection="1">
      <alignment horizontal="center" vertical="center" shrinkToFit="1"/>
    </xf>
    <xf numFmtId="0" fontId="16" fillId="0" borderId="0" xfId="0"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3" fillId="0" borderId="0" xfId="0" applyFont="1" applyBorder="1" applyAlignment="1">
      <alignment horizontal="center" vertical="center"/>
    </xf>
    <xf numFmtId="178" fontId="4" fillId="0" borderId="250" xfId="0" applyNumberFormat="1" applyFont="1" applyBorder="1" applyAlignment="1" applyProtection="1">
      <alignment horizontal="center" vertical="center" shrinkToFit="1"/>
      <protection locked="0"/>
    </xf>
    <xf numFmtId="178" fontId="4" fillId="0" borderId="293" xfId="0" applyNumberFormat="1" applyFont="1" applyBorder="1" applyAlignment="1" applyProtection="1">
      <alignment horizontal="center" vertical="center" shrinkToFit="1"/>
      <protection locked="0"/>
    </xf>
    <xf numFmtId="0" fontId="28" fillId="25" borderId="294" xfId="0" applyFont="1" applyFill="1" applyBorder="1" applyAlignment="1">
      <alignment horizontal="left" vertical="center" wrapText="1"/>
    </xf>
    <xf numFmtId="0" fontId="28" fillId="25" borderId="228" xfId="0" applyFont="1" applyFill="1" applyBorder="1" applyAlignment="1">
      <alignment horizontal="left" vertical="center" wrapText="1"/>
    </xf>
    <xf numFmtId="0" fontId="28" fillId="25" borderId="304" xfId="0" applyFont="1" applyFill="1" applyBorder="1" applyAlignment="1">
      <alignment horizontal="left" vertical="center" wrapText="1"/>
    </xf>
    <xf numFmtId="178" fontId="4" fillId="0" borderId="310" xfId="0" applyNumberFormat="1" applyFont="1" applyBorder="1" applyAlignment="1" applyProtection="1">
      <alignment horizontal="center" vertical="center" shrinkToFit="1"/>
      <protection locked="0"/>
    </xf>
    <xf numFmtId="178" fontId="4" fillId="0" borderId="311" xfId="0" applyNumberFormat="1" applyFont="1" applyBorder="1" applyAlignment="1" applyProtection="1">
      <alignment horizontal="center" vertical="center" shrinkToFit="1"/>
      <protection locked="0"/>
    </xf>
    <xf numFmtId="0" fontId="28" fillId="25" borderId="313" xfId="0" applyFont="1" applyFill="1" applyBorder="1" applyAlignment="1">
      <alignment horizontal="left" vertical="center" wrapText="1"/>
    </xf>
    <xf numFmtId="0" fontId="28" fillId="25" borderId="315" xfId="0" applyFont="1" applyFill="1" applyBorder="1" applyAlignment="1">
      <alignment horizontal="left" vertical="center" wrapText="1"/>
    </xf>
    <xf numFmtId="0" fontId="28" fillId="25" borderId="316" xfId="0" applyFont="1" applyFill="1" applyBorder="1" applyAlignment="1">
      <alignment horizontal="left" vertical="center" wrapText="1"/>
    </xf>
    <xf numFmtId="178" fontId="4" fillId="0" borderId="278" xfId="0" applyNumberFormat="1" applyFont="1" applyBorder="1" applyAlignment="1" applyProtection="1">
      <alignment horizontal="center" vertical="center" shrinkToFit="1"/>
      <protection locked="0"/>
    </xf>
    <xf numFmtId="178" fontId="4" fillId="0" borderId="305" xfId="0" applyNumberFormat="1" applyFont="1" applyBorder="1" applyAlignment="1" applyProtection="1">
      <alignment horizontal="center" vertical="center" shrinkToFit="1"/>
      <protection locked="0"/>
    </xf>
    <xf numFmtId="0" fontId="28" fillId="25" borderId="307" xfId="0" applyFont="1" applyFill="1" applyBorder="1" applyAlignment="1">
      <alignment horizontal="left" vertical="center" wrapText="1"/>
    </xf>
    <xf numFmtId="0" fontId="28" fillId="25" borderId="308" xfId="0" applyFont="1" applyFill="1" applyBorder="1" applyAlignment="1">
      <alignment horizontal="left" vertical="center" wrapText="1"/>
    </xf>
    <xf numFmtId="0" fontId="28" fillId="25" borderId="309" xfId="0" applyFont="1" applyFill="1" applyBorder="1" applyAlignment="1">
      <alignment horizontal="left" vertical="center" wrapText="1"/>
    </xf>
    <xf numFmtId="0" fontId="4" fillId="0" borderId="157" xfId="0" applyFont="1" applyFill="1" applyBorder="1" applyAlignment="1">
      <alignment vertical="center"/>
    </xf>
    <xf numFmtId="179" fontId="18" fillId="0" borderId="93" xfId="0" applyNumberFormat="1" applyFont="1" applyBorder="1" applyAlignment="1" applyProtection="1">
      <alignment horizontal="center" vertical="center" shrinkToFit="1"/>
      <protection locked="0"/>
    </xf>
    <xf numFmtId="179" fontId="18" fillId="0" borderId="94" xfId="0" applyNumberFormat="1" applyFont="1" applyBorder="1" applyAlignment="1" applyProtection="1">
      <alignment horizontal="center" vertical="center" shrinkToFit="1"/>
      <protection locked="0"/>
    </xf>
    <xf numFmtId="0" fontId="4" fillId="0" borderId="209" xfId="0" applyFont="1" applyFill="1" applyBorder="1" applyAlignment="1">
      <alignment horizontal="left" vertical="center"/>
    </xf>
    <xf numFmtId="0" fontId="18" fillId="0" borderId="123" xfId="0" applyFont="1" applyBorder="1" applyAlignment="1">
      <alignment horizontal="center" vertical="center" shrinkToFit="1"/>
    </xf>
    <xf numFmtId="0" fontId="36" fillId="0" borderId="334" xfId="0" applyFont="1" applyBorder="1" applyAlignment="1" applyProtection="1">
      <alignment vertical="center"/>
      <protection locked="0"/>
    </xf>
    <xf numFmtId="0" fontId="3" fillId="0" borderId="323" xfId="0" applyFont="1" applyBorder="1" applyAlignment="1" applyProtection="1">
      <alignment vertical="center"/>
      <protection locked="0"/>
    </xf>
    <xf numFmtId="0" fontId="3" fillId="0" borderId="323" xfId="0" applyFont="1" applyBorder="1" applyAlignment="1" applyProtection="1">
      <alignment vertical="center" wrapText="1"/>
      <protection locked="0"/>
    </xf>
    <xf numFmtId="186" fontId="3" fillId="0" borderId="323" xfId="0" applyNumberFormat="1" applyFont="1" applyBorder="1" applyAlignment="1" applyProtection="1">
      <alignment vertical="center"/>
      <protection locked="0"/>
    </xf>
    <xf numFmtId="0" fontId="3" fillId="0" borderId="323" xfId="0" applyFont="1" applyBorder="1" applyAlignment="1" applyProtection="1">
      <alignment horizontal="center" vertical="center"/>
      <protection locked="0"/>
    </xf>
    <xf numFmtId="177" fontId="28" fillId="0" borderId="323" xfId="0" applyNumberFormat="1" applyFont="1" applyBorder="1" applyAlignment="1" applyProtection="1">
      <alignment horizontal="right" vertical="top" shrinkToFit="1"/>
    </xf>
    <xf numFmtId="0" fontId="3" fillId="0" borderId="281" xfId="0" applyFont="1" applyBorder="1" applyAlignment="1" applyProtection="1">
      <alignment vertical="center"/>
      <protection locked="0"/>
    </xf>
    <xf numFmtId="0" fontId="9" fillId="26" borderId="337" xfId="0" applyFont="1" applyFill="1" applyBorder="1" applyAlignment="1" applyProtection="1">
      <alignment horizontal="center" vertical="center" shrinkToFit="1"/>
    </xf>
    <xf numFmtId="177" fontId="9" fillId="26" borderId="337" xfId="0" applyNumberFormat="1" applyFont="1" applyFill="1" applyBorder="1" applyAlignment="1" applyProtection="1">
      <alignment horizontal="center" vertical="center" shrinkToFit="1"/>
    </xf>
    <xf numFmtId="177" fontId="9" fillId="19" borderId="337" xfId="0" applyNumberFormat="1" applyFont="1" applyFill="1" applyBorder="1" applyAlignment="1" applyProtection="1">
      <alignment vertical="center" shrinkToFit="1"/>
    </xf>
    <xf numFmtId="0" fontId="9" fillId="19" borderId="337" xfId="0" applyFont="1" applyFill="1" applyBorder="1" applyAlignment="1" applyProtection="1">
      <alignment vertical="center" shrinkToFit="1"/>
      <protection locked="0"/>
    </xf>
    <xf numFmtId="0" fontId="9" fillId="19" borderId="337" xfId="0" applyFont="1" applyFill="1" applyBorder="1" applyAlignment="1" applyProtection="1">
      <alignment vertical="center" shrinkToFit="1"/>
    </xf>
    <xf numFmtId="0" fontId="9" fillId="26" borderId="337" xfId="0" applyFont="1" applyFill="1" applyBorder="1" applyAlignment="1" applyProtection="1">
      <alignment horizontal="right" vertical="center" shrinkToFit="1"/>
    </xf>
    <xf numFmtId="0" fontId="11" fillId="14" borderId="227" xfId="2" applyFont="1" applyFill="1" applyBorder="1" applyAlignment="1" applyProtection="1">
      <alignment vertical="center"/>
      <protection locked="0"/>
    </xf>
    <xf numFmtId="0" fontId="13" fillId="14" borderId="228" xfId="2" applyFont="1" applyFill="1" applyBorder="1" applyAlignment="1" applyProtection="1">
      <alignment vertical="center"/>
      <protection locked="0"/>
    </xf>
    <xf numFmtId="0" fontId="13" fillId="14" borderId="222" xfId="2" applyFont="1" applyFill="1" applyBorder="1" applyAlignment="1" applyProtection="1">
      <alignment vertical="center" wrapText="1"/>
      <protection locked="0"/>
    </xf>
    <xf numFmtId="186" fontId="13" fillId="0" borderId="222" xfId="2" applyNumberFormat="1" applyFont="1" applyBorder="1" applyAlignment="1" applyProtection="1">
      <alignment vertical="center"/>
      <protection locked="0"/>
    </xf>
    <xf numFmtId="0" fontId="13" fillId="0" borderId="222" xfId="2" applyFont="1" applyBorder="1" applyAlignment="1" applyProtection="1">
      <alignment horizontal="center" vertical="center"/>
      <protection locked="0"/>
    </xf>
    <xf numFmtId="177" fontId="8" fillId="0" borderId="222" xfId="2" applyNumberFormat="1" applyFont="1" applyBorder="1" applyAlignment="1" applyProtection="1">
      <alignment horizontal="right" vertical="top" shrinkToFit="1"/>
    </xf>
    <xf numFmtId="0" fontId="13" fillId="0" borderId="228" xfId="2" applyFont="1" applyBorder="1" applyAlignment="1" applyProtection="1">
      <alignment vertical="center"/>
      <protection locked="0"/>
    </xf>
    <xf numFmtId="0" fontId="13" fillId="0" borderId="229" xfId="2" applyFont="1" applyBorder="1" applyAlignment="1" applyProtection="1">
      <alignment vertical="center"/>
      <protection locked="0"/>
    </xf>
    <xf numFmtId="0" fontId="33" fillId="0" borderId="227" xfId="2" applyFont="1" applyFill="1" applyBorder="1" applyAlignment="1" applyProtection="1">
      <alignment vertical="center"/>
      <protection locked="0"/>
    </xf>
    <xf numFmtId="0" fontId="13" fillId="0" borderId="228" xfId="2" applyFont="1" applyFill="1" applyBorder="1" applyAlignment="1" applyProtection="1">
      <alignment vertical="center"/>
      <protection locked="0"/>
    </xf>
    <xf numFmtId="0" fontId="13" fillId="0" borderId="222" xfId="2" applyFont="1" applyFill="1" applyBorder="1" applyAlignment="1" applyProtection="1">
      <alignment vertical="center" wrapText="1"/>
      <protection locked="0"/>
    </xf>
    <xf numFmtId="186" fontId="13" fillId="0" borderId="222" xfId="2" applyNumberFormat="1" applyFont="1" applyFill="1" applyBorder="1" applyAlignment="1" applyProtection="1">
      <alignment vertical="center"/>
      <protection locked="0"/>
    </xf>
    <xf numFmtId="0" fontId="13" fillId="0" borderId="222" xfId="2" applyFont="1" applyFill="1" applyBorder="1" applyAlignment="1" applyProtection="1">
      <alignment horizontal="center" vertical="center"/>
      <protection locked="0"/>
    </xf>
    <xf numFmtId="177" fontId="8" fillId="0" borderId="222" xfId="2" applyNumberFormat="1" applyFont="1" applyFill="1" applyBorder="1" applyAlignment="1" applyProtection="1">
      <alignment horizontal="right" vertical="top" shrinkToFit="1"/>
    </xf>
    <xf numFmtId="0" fontId="13" fillId="0" borderId="229" xfId="2" applyFont="1" applyFill="1" applyBorder="1" applyAlignment="1" applyProtection="1">
      <alignment vertical="center"/>
      <protection locked="0"/>
    </xf>
    <xf numFmtId="0" fontId="13" fillId="0" borderId="331" xfId="2" quotePrefix="1" applyFont="1" applyBorder="1" applyAlignment="1" applyProtection="1">
      <alignment horizontal="right" vertical="center"/>
      <protection locked="0"/>
    </xf>
    <xf numFmtId="0" fontId="13" fillId="0" borderId="308" xfId="2" applyFont="1" applyBorder="1" applyAlignment="1" applyProtection="1">
      <alignment vertical="center"/>
      <protection locked="0"/>
    </xf>
    <xf numFmtId="0" fontId="13" fillId="0" borderId="306" xfId="2" applyFont="1" applyBorder="1" applyAlignment="1" applyProtection="1">
      <alignment vertical="center" wrapText="1"/>
      <protection locked="0"/>
    </xf>
    <xf numFmtId="186" fontId="13" fillId="0" borderId="306" xfId="2" applyNumberFormat="1" applyFont="1" applyBorder="1" applyAlignment="1" applyProtection="1">
      <alignment vertical="center" shrinkToFit="1"/>
      <protection locked="0"/>
    </xf>
    <xf numFmtId="0" fontId="13" fillId="0" borderId="306" xfId="2" applyFont="1" applyBorder="1" applyAlignment="1" applyProtection="1">
      <alignment horizontal="center" vertical="center"/>
      <protection locked="0"/>
    </xf>
    <xf numFmtId="177" fontId="13" fillId="0" borderId="306" xfId="2" applyNumberFormat="1" applyFont="1" applyBorder="1" applyAlignment="1" applyProtection="1">
      <alignment vertical="center" shrinkToFit="1"/>
      <protection locked="0"/>
    </xf>
    <xf numFmtId="0" fontId="13" fillId="0" borderId="289" xfId="2" applyFont="1" applyBorder="1" applyAlignment="1" applyProtection="1">
      <alignment vertical="center"/>
      <protection locked="0"/>
    </xf>
    <xf numFmtId="0" fontId="13" fillId="0" borderId="331" xfId="2" applyFont="1" applyBorder="1" applyAlignment="1" applyProtection="1">
      <alignment horizontal="right" vertical="center"/>
      <protection locked="0"/>
    </xf>
    <xf numFmtId="0" fontId="13" fillId="0" borderId="308" xfId="2" applyFont="1" applyBorder="1" applyAlignment="1" applyProtection="1">
      <alignment horizontal="left" vertical="center"/>
      <protection locked="0"/>
    </xf>
    <xf numFmtId="0" fontId="13" fillId="0" borderId="308" xfId="0" applyFont="1" applyBorder="1" applyAlignment="1" applyProtection="1">
      <alignment horizontal="left" vertical="center"/>
      <protection locked="0"/>
    </xf>
    <xf numFmtId="0" fontId="9" fillId="0" borderId="308" xfId="2" applyFont="1" applyBorder="1" applyAlignment="1" applyProtection="1">
      <alignment vertical="center"/>
      <protection locked="0"/>
    </xf>
    <xf numFmtId="177" fontId="9" fillId="0" borderId="308" xfId="2" applyNumberFormat="1" applyFont="1" applyBorder="1" applyAlignment="1" applyProtection="1">
      <alignment vertical="center"/>
      <protection locked="0"/>
    </xf>
    <xf numFmtId="9" fontId="13" fillId="0" borderId="308" xfId="2" quotePrefix="1" applyNumberFormat="1" applyFont="1" applyBorder="1" applyAlignment="1" applyProtection="1">
      <alignment horizontal="center" vertical="center"/>
      <protection locked="0"/>
    </xf>
    <xf numFmtId="0" fontId="5" fillId="0" borderId="308" xfId="2" applyFont="1" applyBorder="1" applyAlignment="1" applyProtection="1">
      <alignment vertical="center"/>
      <protection locked="0"/>
    </xf>
    <xf numFmtId="0" fontId="5" fillId="0" borderId="289" xfId="2" applyFont="1" applyBorder="1" applyAlignment="1" applyProtection="1">
      <alignment vertical="center"/>
      <protection locked="0"/>
    </xf>
    <xf numFmtId="0" fontId="13" fillId="0" borderId="341" xfId="2" applyFont="1" applyBorder="1" applyAlignment="1" applyProtection="1">
      <alignment vertical="center"/>
      <protection locked="0"/>
    </xf>
    <xf numFmtId="0" fontId="13" fillId="0" borderId="291" xfId="2" applyFont="1" applyBorder="1" applyAlignment="1" applyProtection="1">
      <alignment vertical="center"/>
      <protection locked="0"/>
    </xf>
    <xf numFmtId="0" fontId="13" fillId="0" borderId="290" xfId="2" applyFont="1" applyBorder="1" applyAlignment="1" applyProtection="1">
      <alignment vertical="center" wrapText="1"/>
      <protection locked="0"/>
    </xf>
    <xf numFmtId="186" fontId="13" fillId="0" borderId="290" xfId="2" applyNumberFormat="1" applyFont="1" applyBorder="1" applyAlignment="1" applyProtection="1">
      <alignment vertical="center" shrinkToFit="1"/>
      <protection locked="0"/>
    </xf>
    <xf numFmtId="0" fontId="13" fillId="0" borderId="290" xfId="2" applyFont="1" applyBorder="1" applyAlignment="1" applyProtection="1">
      <alignment horizontal="center" vertical="center"/>
      <protection locked="0"/>
    </xf>
    <xf numFmtId="177" fontId="13" fillId="0" borderId="290" xfId="2" applyNumberFormat="1" applyFont="1" applyBorder="1" applyAlignment="1" applyProtection="1">
      <alignment vertical="center" shrinkToFit="1"/>
      <protection locked="0"/>
    </xf>
    <xf numFmtId="0" fontId="11" fillId="0" borderId="227" xfId="0" applyFont="1" applyBorder="1" applyAlignment="1" applyProtection="1">
      <alignment vertical="center"/>
      <protection locked="0"/>
    </xf>
    <xf numFmtId="177" fontId="8" fillId="0" borderId="222" xfId="0" applyNumberFormat="1" applyFont="1" applyBorder="1" applyAlignment="1" applyProtection="1">
      <alignment horizontal="right" vertical="top" shrinkToFit="1"/>
    </xf>
    <xf numFmtId="0" fontId="13" fillId="0" borderId="331" xfId="0" quotePrefix="1" applyFont="1" applyBorder="1" applyAlignment="1" applyProtection="1">
      <alignment horizontal="right" vertical="center"/>
      <protection locked="0"/>
    </xf>
    <xf numFmtId="0" fontId="13" fillId="0" borderId="306" xfId="0" applyFont="1" applyBorder="1" applyAlignment="1" applyProtection="1">
      <alignment vertical="center" wrapText="1"/>
      <protection locked="0"/>
    </xf>
    <xf numFmtId="0" fontId="13" fillId="0" borderId="306" xfId="0" applyFont="1" applyBorder="1" applyAlignment="1" applyProtection="1">
      <alignment horizontal="center" vertical="center"/>
      <protection locked="0"/>
    </xf>
    <xf numFmtId="0" fontId="13" fillId="0" borderId="331" xfId="0" applyFont="1" applyBorder="1" applyAlignment="1" applyProtection="1">
      <alignment horizontal="right" vertical="center"/>
      <protection locked="0"/>
    </xf>
    <xf numFmtId="0" fontId="9" fillId="0" borderId="308" xfId="0" applyFont="1" applyBorder="1" applyAlignment="1" applyProtection="1">
      <alignment vertical="center"/>
      <protection locked="0"/>
    </xf>
    <xf numFmtId="9" fontId="13" fillId="0" borderId="308" xfId="0" quotePrefix="1" applyNumberFormat="1" applyFont="1" applyBorder="1" applyAlignment="1" applyProtection="1">
      <alignment horizontal="center" vertical="center"/>
      <protection locked="0"/>
    </xf>
    <xf numFmtId="0" fontId="5" fillId="0" borderId="308" xfId="0" applyFont="1" applyBorder="1" applyAlignment="1" applyProtection="1">
      <alignment vertical="center"/>
      <protection locked="0"/>
    </xf>
    <xf numFmtId="0" fontId="5" fillId="0" borderId="289" xfId="0" applyFont="1" applyBorder="1" applyAlignment="1" applyProtection="1">
      <alignment vertical="center"/>
      <protection locked="0"/>
    </xf>
    <xf numFmtId="0" fontId="13" fillId="0" borderId="341" xfId="0" applyFont="1" applyBorder="1" applyAlignment="1" applyProtection="1">
      <alignment vertical="center"/>
      <protection locked="0"/>
    </xf>
    <xf numFmtId="0" fontId="13" fillId="0" borderId="290" xfId="0" applyFont="1" applyBorder="1" applyAlignment="1" applyProtection="1">
      <alignment vertical="center" wrapText="1"/>
      <protection locked="0"/>
    </xf>
    <xf numFmtId="186" fontId="13" fillId="0" borderId="290" xfId="0" applyNumberFormat="1" applyFont="1" applyBorder="1" applyAlignment="1" applyProtection="1">
      <alignment vertical="center" shrinkToFit="1"/>
      <protection locked="0"/>
    </xf>
    <xf numFmtId="0" fontId="13" fillId="0" borderId="290" xfId="0" applyFont="1" applyBorder="1" applyAlignment="1" applyProtection="1">
      <alignment horizontal="center" vertical="center"/>
      <protection locked="0"/>
    </xf>
    <xf numFmtId="177" fontId="13" fillId="0" borderId="290" xfId="0" applyNumberFormat="1" applyFont="1" applyBorder="1" applyAlignment="1" applyProtection="1">
      <alignment vertical="center" shrinkToFit="1"/>
      <protection locked="0"/>
    </xf>
    <xf numFmtId="0" fontId="13" fillId="0" borderId="291" xfId="0" applyFont="1" applyBorder="1" applyAlignment="1" applyProtection="1">
      <alignment vertical="center"/>
      <protection locked="0"/>
    </xf>
    <xf numFmtId="179" fontId="13" fillId="0" borderId="308" xfId="0" applyNumberFormat="1" applyFont="1" applyBorder="1" applyAlignment="1" applyProtection="1">
      <alignment vertical="center"/>
      <protection locked="0"/>
    </xf>
    <xf numFmtId="177" fontId="13" fillId="0" borderId="317" xfId="0" applyNumberFormat="1" applyFont="1" applyFill="1" applyBorder="1" applyAlignment="1" applyProtection="1">
      <alignment vertical="center" shrinkToFit="1"/>
      <protection locked="0"/>
    </xf>
    <xf numFmtId="186" fontId="13" fillId="0" borderId="321" xfId="0" applyNumberFormat="1" applyFont="1" applyBorder="1" applyAlignment="1" applyProtection="1">
      <alignment horizontal="center" vertical="center" shrinkToFit="1"/>
      <protection locked="0"/>
    </xf>
    <xf numFmtId="186" fontId="13" fillId="0" borderId="307" xfId="0" applyNumberFormat="1" applyFont="1" applyFill="1" applyBorder="1" applyAlignment="1" applyProtection="1">
      <alignment horizontal="center" vertical="center" shrinkToFit="1"/>
      <protection locked="0"/>
    </xf>
    <xf numFmtId="191" fontId="3" fillId="0" borderId="306" xfId="0" applyNumberFormat="1" applyFont="1" applyFill="1" applyBorder="1" applyAlignment="1">
      <alignment horizontal="center" vertical="center" shrinkToFit="1"/>
    </xf>
    <xf numFmtId="178" fontId="4" fillId="0" borderId="320" xfId="0" applyNumberFormat="1" applyFont="1" applyBorder="1" applyAlignment="1" applyProtection="1">
      <alignment vertical="center" shrinkToFit="1"/>
      <protection locked="0"/>
    </xf>
    <xf numFmtId="191" fontId="3" fillId="0" borderId="320" xfId="0" applyNumberFormat="1" applyFont="1" applyFill="1" applyBorder="1" applyAlignment="1">
      <alignment horizontal="center" vertical="center" shrinkToFit="1"/>
    </xf>
    <xf numFmtId="0" fontId="13" fillId="17" borderId="306" xfId="0" applyFont="1" applyFill="1" applyBorder="1" applyAlignment="1" applyProtection="1">
      <alignment vertical="center" shrinkToFit="1"/>
      <protection locked="0"/>
    </xf>
    <xf numFmtId="178" fontId="4" fillId="17" borderId="306" xfId="0" applyNumberFormat="1" applyFont="1" applyFill="1" applyBorder="1" applyAlignment="1" applyProtection="1">
      <alignment vertical="center" shrinkToFit="1"/>
      <protection locked="0"/>
    </xf>
    <xf numFmtId="186" fontId="13" fillId="17" borderId="306" xfId="0" applyNumberFormat="1" applyFont="1" applyFill="1" applyBorder="1" applyAlignment="1" applyProtection="1">
      <alignment horizontal="center" vertical="center" shrinkToFit="1"/>
      <protection locked="0"/>
    </xf>
    <xf numFmtId="191" fontId="3" fillId="17" borderId="306" xfId="0" applyNumberFormat="1" applyFont="1" applyFill="1" applyBorder="1" applyAlignment="1">
      <alignment horizontal="center" vertical="center" shrinkToFit="1"/>
    </xf>
    <xf numFmtId="177" fontId="13" fillId="17" borderId="317" xfId="0" applyNumberFormat="1" applyFont="1" applyFill="1" applyBorder="1" applyAlignment="1" applyProtection="1">
      <alignment vertical="center" shrinkToFit="1"/>
      <protection locked="0"/>
    </xf>
    <xf numFmtId="0" fontId="13" fillId="17" borderId="344" xfId="0" applyFont="1" applyFill="1" applyBorder="1" applyAlignment="1" applyProtection="1">
      <alignment vertical="center" shrinkToFit="1"/>
      <protection locked="0"/>
    </xf>
    <xf numFmtId="178" fontId="4" fillId="17" borderId="344" xfId="0" applyNumberFormat="1" applyFont="1" applyFill="1" applyBorder="1" applyAlignment="1" applyProtection="1">
      <alignment vertical="center" shrinkToFit="1"/>
      <protection locked="0"/>
    </xf>
    <xf numFmtId="186" fontId="13" fillId="17" borderId="344" xfId="0" applyNumberFormat="1" applyFont="1" applyFill="1" applyBorder="1" applyAlignment="1" applyProtection="1">
      <alignment horizontal="center" vertical="center" shrinkToFit="1"/>
      <protection locked="0"/>
    </xf>
    <xf numFmtId="191" fontId="3" fillId="17" borderId="344" xfId="0" applyNumberFormat="1" applyFont="1" applyFill="1" applyBorder="1" applyAlignment="1">
      <alignment horizontal="center" vertical="center" shrinkToFit="1"/>
    </xf>
    <xf numFmtId="3" fontId="13" fillId="17" borderId="345" xfId="4" applyNumberFormat="1" applyFont="1" applyFill="1" applyBorder="1" applyAlignment="1" applyProtection="1">
      <alignment horizontal="center" vertical="center" shrinkToFit="1"/>
      <protection locked="0"/>
    </xf>
    <xf numFmtId="177" fontId="13" fillId="17" borderId="346" xfId="0" applyNumberFormat="1" applyFont="1" applyFill="1" applyBorder="1" applyAlignment="1" applyProtection="1">
      <alignment vertical="center" shrinkToFit="1"/>
      <protection locked="0"/>
    </xf>
    <xf numFmtId="0" fontId="3" fillId="18" borderId="350" xfId="0" applyFont="1" applyFill="1" applyBorder="1" applyAlignment="1"/>
    <xf numFmtId="0" fontId="36" fillId="18" borderId="350" xfId="0" applyFont="1" applyFill="1" applyBorder="1" applyAlignment="1"/>
    <xf numFmtId="0" fontId="3" fillId="0" borderId="351" xfId="0" applyFont="1" applyFill="1" applyBorder="1" applyAlignment="1">
      <alignment horizontal="right"/>
    </xf>
    <xf numFmtId="38" fontId="3" fillId="0" borderId="352" xfId="4" applyFont="1" applyFill="1" applyBorder="1" applyAlignment="1">
      <alignment horizontal="right"/>
    </xf>
    <xf numFmtId="0" fontId="3" fillId="0" borderId="233" xfId="0" applyFont="1" applyFill="1" applyBorder="1" applyAlignment="1">
      <alignment horizontal="right"/>
    </xf>
    <xf numFmtId="0" fontId="3" fillId="0" borderId="353" xfId="0" applyFont="1" applyFill="1" applyBorder="1" applyAlignment="1">
      <alignment horizontal="right"/>
    </xf>
    <xf numFmtId="38" fontId="3" fillId="0" borderId="233" xfId="0" applyNumberFormat="1" applyFont="1" applyFill="1" applyBorder="1" applyAlignment="1">
      <alignment horizontal="right"/>
    </xf>
    <xf numFmtId="38" fontId="3" fillId="0" borderId="354" xfId="4" applyFont="1" applyFill="1" applyBorder="1" applyAlignment="1">
      <alignment horizontal="right"/>
    </xf>
    <xf numFmtId="0" fontId="3" fillId="0" borderId="353" xfId="0" applyFont="1" applyFill="1" applyBorder="1" applyAlignment="1">
      <alignment horizontal="right" shrinkToFit="1"/>
    </xf>
    <xf numFmtId="38" fontId="3" fillId="0" borderId="351" xfId="0" applyNumberFormat="1" applyFont="1" applyFill="1" applyBorder="1" applyAlignment="1">
      <alignment horizontal="right"/>
    </xf>
    <xf numFmtId="0" fontId="3" fillId="18" borderId="355" xfId="0" applyFont="1" applyFill="1" applyBorder="1" applyAlignment="1"/>
    <xf numFmtId="0" fontId="36" fillId="18" borderId="355" xfId="0" applyFont="1" applyFill="1" applyBorder="1" applyAlignment="1"/>
    <xf numFmtId="0" fontId="3" fillId="18" borderId="233" xfId="0" applyFont="1" applyFill="1" applyBorder="1" applyAlignment="1">
      <alignment horizontal="right"/>
    </xf>
    <xf numFmtId="38" fontId="3" fillId="18" borderId="233" xfId="0" applyNumberFormat="1" applyFont="1" applyFill="1" applyBorder="1" applyAlignment="1">
      <alignment horizontal="right"/>
    </xf>
    <xf numFmtId="38" fontId="3" fillId="19" borderId="332" xfId="0" applyNumberFormat="1" applyFont="1" applyFill="1" applyBorder="1" applyAlignment="1">
      <alignment horizontal="right" shrinkToFit="1"/>
    </xf>
    <xf numFmtId="0" fontId="3" fillId="18" borderId="351" xfId="0" applyFont="1" applyFill="1" applyBorder="1" applyAlignment="1">
      <alignment horizontal="right"/>
    </xf>
    <xf numFmtId="38" fontId="3" fillId="18" borderId="351" xfId="0" applyNumberFormat="1" applyFont="1" applyFill="1" applyBorder="1" applyAlignment="1">
      <alignment horizontal="right"/>
    </xf>
    <xf numFmtId="38" fontId="3" fillId="19" borderId="352" xfId="0" applyNumberFormat="1" applyFont="1" applyFill="1" applyBorder="1" applyAlignment="1">
      <alignment horizontal="right" shrinkToFit="1"/>
    </xf>
    <xf numFmtId="49" fontId="3" fillId="18" borderId="277" xfId="0" applyNumberFormat="1" applyFont="1" applyFill="1" applyBorder="1" applyAlignment="1">
      <alignment horizontal="right"/>
    </xf>
    <xf numFmtId="49" fontId="3" fillId="18" borderId="325" xfId="0" applyNumberFormat="1" applyFont="1" applyFill="1" applyBorder="1" applyAlignment="1">
      <alignment horizontal="right"/>
    </xf>
    <xf numFmtId="0" fontId="3" fillId="18" borderId="355" xfId="0" applyFont="1" applyFill="1" applyBorder="1" applyAlignment="1">
      <alignment horizontal="left"/>
    </xf>
    <xf numFmtId="0" fontId="3" fillId="18" borderId="355" xfId="0" applyFont="1" applyFill="1" applyBorder="1" applyAlignment="1">
      <alignment horizontal="center"/>
    </xf>
    <xf numFmtId="0" fontId="3" fillId="18" borderId="233" xfId="0" applyFont="1" applyFill="1" applyBorder="1" applyAlignment="1">
      <alignment horizontal="left" shrinkToFit="1"/>
    </xf>
    <xf numFmtId="38" fontId="13" fillId="18" borderId="233" xfId="0" applyNumberFormat="1" applyFont="1" applyFill="1" applyBorder="1" applyAlignment="1">
      <alignment horizontal="right"/>
    </xf>
    <xf numFmtId="38" fontId="3" fillId="21" borderId="332" xfId="0" applyNumberFormat="1" applyFont="1" applyFill="1" applyBorder="1" applyAlignment="1">
      <alignment horizontal="right" shrinkToFit="1"/>
    </xf>
    <xf numFmtId="0" fontId="3" fillId="18" borderId="355" xfId="0" applyFont="1" applyFill="1" applyBorder="1" applyAlignment="1">
      <alignment horizontal="right"/>
    </xf>
    <xf numFmtId="0" fontId="3" fillId="0" borderId="233" xfId="0" applyFont="1" applyFill="1" applyBorder="1" applyAlignment="1">
      <alignment horizontal="left" shrinkToFit="1"/>
    </xf>
    <xf numFmtId="38" fontId="13" fillId="0" borderId="233" xfId="0" applyNumberFormat="1" applyFont="1" applyFill="1" applyBorder="1" applyAlignment="1">
      <alignment horizontal="right"/>
    </xf>
    <xf numFmtId="38" fontId="3" fillId="0" borderId="332" xfId="0" applyNumberFormat="1" applyFont="1" applyFill="1" applyBorder="1" applyAlignment="1">
      <alignment horizontal="right" shrinkToFit="1"/>
    </xf>
    <xf numFmtId="0" fontId="3" fillId="18" borderId="355" xfId="0" applyFont="1" applyFill="1" applyBorder="1" applyAlignment="1">
      <alignment horizontal="center" shrinkToFit="1"/>
    </xf>
    <xf numFmtId="49" fontId="3" fillId="21" borderId="277" xfId="0" applyNumberFormat="1" applyFont="1" applyFill="1" applyBorder="1" applyAlignment="1">
      <alignment horizontal="right"/>
    </xf>
    <xf numFmtId="0" fontId="3" fillId="21" borderId="355" xfId="0" applyFont="1" applyFill="1" applyBorder="1" applyAlignment="1">
      <alignment horizontal="left"/>
    </xf>
    <xf numFmtId="0" fontId="3" fillId="21" borderId="355" xfId="0" applyFont="1" applyFill="1" applyBorder="1" applyAlignment="1">
      <alignment horizontal="center" shrinkToFit="1"/>
    </xf>
    <xf numFmtId="0" fontId="3" fillId="21" borderId="233" xfId="0" applyFont="1" applyFill="1" applyBorder="1" applyAlignment="1">
      <alignment horizontal="left" shrinkToFit="1"/>
    </xf>
    <xf numFmtId="38" fontId="13" fillId="21" borderId="233" xfId="0" applyNumberFormat="1" applyFont="1" applyFill="1" applyBorder="1" applyAlignment="1">
      <alignment horizontal="right"/>
    </xf>
    <xf numFmtId="49" fontId="3" fillId="18" borderId="356" xfId="0" applyNumberFormat="1" applyFont="1" applyFill="1" applyBorder="1" applyAlignment="1">
      <alignment horizontal="right"/>
    </xf>
    <xf numFmtId="0" fontId="3" fillId="18" borderId="357" xfId="0" applyFont="1" applyFill="1" applyBorder="1" applyAlignment="1">
      <alignment horizontal="left"/>
    </xf>
    <xf numFmtId="0" fontId="3" fillId="18" borderId="357" xfId="0" applyFont="1" applyFill="1" applyBorder="1" applyAlignment="1">
      <alignment horizontal="center"/>
    </xf>
    <xf numFmtId="0" fontId="3" fillId="18" borderId="358" xfId="0" applyFont="1" applyFill="1" applyBorder="1" applyAlignment="1">
      <alignment horizontal="left" shrinkToFit="1"/>
    </xf>
    <xf numFmtId="38" fontId="13" fillId="18" borderId="358" xfId="0" applyNumberFormat="1" applyFont="1" applyFill="1" applyBorder="1" applyAlignment="1">
      <alignment horizontal="right"/>
    </xf>
    <xf numFmtId="38" fontId="3" fillId="21" borderId="354" xfId="0" applyNumberFormat="1" applyFont="1" applyFill="1" applyBorder="1" applyAlignment="1">
      <alignment horizontal="right" shrinkToFit="1"/>
    </xf>
    <xf numFmtId="0" fontId="3" fillId="18" borderId="277" xfId="0" applyFont="1" applyFill="1" applyBorder="1" applyAlignment="1"/>
    <xf numFmtId="0" fontId="3" fillId="18" borderId="233" xfId="0" applyFont="1" applyFill="1" applyBorder="1" applyAlignment="1">
      <alignment horizontal="left"/>
    </xf>
    <xf numFmtId="0" fontId="3" fillId="0" borderId="355" xfId="0" applyFont="1" applyFill="1" applyBorder="1" applyAlignment="1">
      <alignment horizontal="center"/>
    </xf>
    <xf numFmtId="0" fontId="3" fillId="0" borderId="233" xfId="0" applyFont="1" applyFill="1" applyBorder="1" applyAlignment="1">
      <alignment horizontal="left"/>
    </xf>
    <xf numFmtId="0" fontId="3" fillId="0" borderId="355" xfId="0" applyFont="1" applyFill="1" applyBorder="1" applyAlignment="1">
      <alignment horizontal="left"/>
    </xf>
    <xf numFmtId="0" fontId="3" fillId="18" borderId="325" xfId="0" applyFont="1" applyFill="1" applyBorder="1" applyAlignment="1">
      <alignment vertical="center"/>
    </xf>
    <xf numFmtId="0" fontId="3" fillId="18" borderId="325" xfId="0" quotePrefix="1" applyFont="1" applyFill="1" applyBorder="1" applyAlignment="1">
      <alignment vertical="center"/>
    </xf>
    <xf numFmtId="0" fontId="3" fillId="21" borderId="325" xfId="0" applyFont="1" applyFill="1" applyBorder="1" applyAlignment="1"/>
    <xf numFmtId="0" fontId="3" fillId="21" borderId="355" xfId="0" applyFont="1" applyFill="1" applyBorder="1" applyAlignment="1">
      <alignment horizontal="center"/>
    </xf>
    <xf numFmtId="0" fontId="3" fillId="21" borderId="233" xfId="0" applyFont="1" applyFill="1" applyBorder="1" applyAlignment="1">
      <alignment horizontal="left"/>
    </xf>
    <xf numFmtId="38" fontId="13" fillId="21" borderId="351" xfId="0" applyNumberFormat="1" applyFont="1" applyFill="1" applyBorder="1" applyAlignment="1">
      <alignment horizontal="right"/>
    </xf>
    <xf numFmtId="0" fontId="3" fillId="0" borderId="325" xfId="0" applyFont="1" applyFill="1" applyBorder="1" applyAlignment="1">
      <alignment horizontal="left" shrinkToFit="1"/>
    </xf>
    <xf numFmtId="0" fontId="4" fillId="0" borderId="325" xfId="0" applyFont="1" applyFill="1" applyBorder="1" applyAlignment="1">
      <alignment horizontal="left"/>
    </xf>
    <xf numFmtId="0" fontId="4" fillId="0" borderId="325" xfId="0" applyFont="1" applyFill="1" applyBorder="1" applyAlignment="1">
      <alignment horizontal="left" shrinkToFit="1"/>
    </xf>
    <xf numFmtId="0" fontId="4" fillId="0" borderId="355" xfId="0" applyFont="1" applyFill="1" applyBorder="1" applyAlignment="1">
      <alignment horizontal="right"/>
    </xf>
    <xf numFmtId="0" fontId="3" fillId="18" borderId="325" xfId="0" applyFont="1" applyFill="1" applyBorder="1" applyAlignment="1">
      <alignment horizontal="left" shrinkToFit="1"/>
    </xf>
    <xf numFmtId="0" fontId="4" fillId="18" borderId="325" xfId="0" applyFont="1" applyFill="1" applyBorder="1" applyAlignment="1">
      <alignment horizontal="left"/>
    </xf>
    <xf numFmtId="0" fontId="4" fillId="18" borderId="325" xfId="0" applyFont="1" applyFill="1" applyBorder="1" applyAlignment="1">
      <alignment horizontal="left" shrinkToFit="1"/>
    </xf>
    <xf numFmtId="0" fontId="4" fillId="18" borderId="355" xfId="0" applyFont="1" applyFill="1" applyBorder="1" applyAlignment="1">
      <alignment horizontal="right"/>
    </xf>
    <xf numFmtId="38" fontId="3" fillId="18" borderId="332" xfId="0" applyNumberFormat="1" applyFont="1" applyFill="1" applyBorder="1" applyAlignment="1">
      <alignment horizontal="right" shrinkToFit="1"/>
    </xf>
    <xf numFmtId="0" fontId="3" fillId="21" borderId="325" xfId="0" quotePrefix="1" applyFont="1" applyFill="1" applyBorder="1" applyAlignment="1">
      <alignment vertical="center"/>
    </xf>
    <xf numFmtId="0" fontId="3" fillId="21" borderId="325" xfId="0" applyFont="1" applyFill="1" applyBorder="1" applyAlignment="1">
      <alignment horizontal="left"/>
    </xf>
    <xf numFmtId="0" fontId="3" fillId="21" borderId="325" xfId="0" applyFont="1" applyFill="1" applyBorder="1" applyAlignment="1">
      <alignment horizontal="center"/>
    </xf>
    <xf numFmtId="0" fontId="3" fillId="21" borderId="355" xfId="0" applyFont="1" applyFill="1" applyBorder="1" applyAlignment="1">
      <alignment horizontal="right"/>
    </xf>
    <xf numFmtId="0" fontId="3" fillId="21" borderId="332" xfId="0" applyFont="1" applyFill="1" applyBorder="1" applyAlignment="1">
      <alignment horizontal="right"/>
    </xf>
    <xf numFmtId="38" fontId="13" fillId="18" borderId="332" xfId="0" applyNumberFormat="1" applyFont="1" applyFill="1" applyBorder="1" applyAlignment="1">
      <alignment horizontal="right" shrinkToFit="1"/>
    </xf>
    <xf numFmtId="0" fontId="3" fillId="21" borderId="352" xfId="0" applyFont="1" applyFill="1" applyBorder="1" applyAlignment="1">
      <alignment horizontal="right"/>
    </xf>
    <xf numFmtId="0" fontId="3" fillId="18" borderId="277" xfId="0" applyFont="1" applyFill="1" applyBorder="1" applyAlignment="1">
      <alignment horizontal="left"/>
    </xf>
    <xf numFmtId="0" fontId="3" fillId="18" borderId="325" xfId="0" applyFont="1" applyFill="1" applyBorder="1" applyAlignment="1">
      <alignment horizontal="left" vertical="center"/>
    </xf>
    <xf numFmtId="0" fontId="3" fillId="18" borderId="325" xfId="0" applyFont="1" applyFill="1" applyBorder="1" applyAlignment="1">
      <alignment horizontal="left"/>
    </xf>
    <xf numFmtId="0" fontId="3" fillId="18" borderId="325" xfId="0" quotePrefix="1" applyFont="1" applyFill="1" applyBorder="1" applyAlignment="1">
      <alignment horizontal="left" vertical="center"/>
    </xf>
    <xf numFmtId="0" fontId="4" fillId="0" borderId="325" xfId="0" applyFont="1" applyFill="1" applyBorder="1" applyAlignment="1">
      <alignment horizontal="distributed"/>
    </xf>
    <xf numFmtId="0" fontId="36" fillId="0" borderId="325" xfId="0" applyFont="1" applyFill="1" applyBorder="1" applyAlignment="1">
      <alignment horizontal="center"/>
    </xf>
    <xf numFmtId="0" fontId="4" fillId="0" borderId="233" xfId="0" applyFont="1" applyFill="1" applyBorder="1" applyAlignment="1">
      <alignment horizontal="center"/>
    </xf>
    <xf numFmtId="0" fontId="4" fillId="0" borderId="231" xfId="0" applyFont="1" applyFill="1" applyBorder="1" applyAlignment="1">
      <alignment horizontal="right"/>
    </xf>
    <xf numFmtId="0" fontId="4" fillId="28" borderId="233" xfId="0" applyFont="1" applyFill="1" applyBorder="1" applyAlignment="1">
      <alignment horizontal="center" shrinkToFit="1"/>
    </xf>
    <xf numFmtId="0" fontId="4" fillId="28" borderId="332" xfId="0" applyFont="1" applyFill="1" applyBorder="1" applyAlignment="1">
      <alignment horizontal="center" shrinkToFit="1"/>
    </xf>
    <xf numFmtId="0" fontId="4" fillId="27" borderId="358" xfId="0" applyFont="1" applyFill="1" applyBorder="1" applyAlignment="1">
      <alignment horizontal="center" shrinkToFit="1"/>
    </xf>
    <xf numFmtId="38" fontId="4" fillId="12" borderId="233" xfId="0" applyNumberFormat="1" applyFont="1" applyFill="1" applyBorder="1" applyAlignment="1">
      <alignment horizontal="center" shrinkToFit="1"/>
    </xf>
    <xf numFmtId="38" fontId="4" fillId="12" borderId="332" xfId="0" applyNumberFormat="1" applyFont="1" applyFill="1" applyBorder="1" applyAlignment="1">
      <alignment horizontal="center" shrinkToFit="1"/>
    </xf>
    <xf numFmtId="38" fontId="4" fillId="12" borderId="332" xfId="0" applyNumberFormat="1" applyFont="1" applyFill="1" applyBorder="1" applyAlignment="1">
      <alignment horizontal="center" vertical="center" shrinkToFit="1"/>
    </xf>
    <xf numFmtId="0" fontId="4" fillId="0" borderId="325" xfId="0" applyFont="1" applyBorder="1" applyAlignment="1"/>
    <xf numFmtId="0" fontId="4" fillId="27" borderId="233" xfId="0" applyFont="1" applyFill="1" applyBorder="1" applyAlignment="1">
      <alignment horizontal="right"/>
    </xf>
    <xf numFmtId="38" fontId="9" fillId="27" borderId="233" xfId="0" applyNumberFormat="1" applyFont="1" applyFill="1" applyBorder="1" applyAlignment="1">
      <alignment horizontal="right"/>
    </xf>
    <xf numFmtId="38" fontId="4" fillId="27" borderId="233" xfId="0" applyNumberFormat="1" applyFont="1" applyFill="1" applyBorder="1" applyAlignment="1">
      <alignment horizontal="right" shrinkToFit="1"/>
    </xf>
    <xf numFmtId="38" fontId="4" fillId="27" borderId="332" xfId="0" applyNumberFormat="1" applyFont="1" applyFill="1" applyBorder="1" applyAlignment="1">
      <alignment horizontal="right" shrinkToFit="1"/>
    </xf>
    <xf numFmtId="38" fontId="4" fillId="27" borderId="233" xfId="0" applyNumberFormat="1" applyFont="1" applyFill="1" applyBorder="1" applyAlignment="1">
      <alignment horizontal="right"/>
    </xf>
    <xf numFmtId="0" fontId="4" fillId="18" borderId="233" xfId="0" applyFont="1" applyFill="1" applyBorder="1" applyAlignment="1">
      <alignment horizontal="right"/>
    </xf>
    <xf numFmtId="38" fontId="9" fillId="18" borderId="233" xfId="0" applyNumberFormat="1" applyFont="1" applyFill="1" applyBorder="1" applyAlignment="1">
      <alignment horizontal="right"/>
    </xf>
    <xf numFmtId="38" fontId="4" fillId="18" borderId="233" xfId="0" applyNumberFormat="1" applyFont="1" applyFill="1" applyBorder="1" applyAlignment="1">
      <alignment horizontal="right" shrinkToFit="1"/>
    </xf>
    <xf numFmtId="38" fontId="4" fillId="18" borderId="332" xfId="0" applyNumberFormat="1" applyFont="1" applyFill="1" applyBorder="1" applyAlignment="1">
      <alignment horizontal="right" shrinkToFit="1"/>
    </xf>
    <xf numFmtId="0" fontId="4" fillId="27" borderId="325" xfId="0" applyFont="1" applyFill="1" applyBorder="1" applyAlignment="1">
      <alignment horizontal="center" vertical="center"/>
    </xf>
    <xf numFmtId="38" fontId="4" fillId="19" borderId="233" xfId="0" applyNumberFormat="1" applyFont="1" applyFill="1" applyBorder="1" applyAlignment="1">
      <alignment horizontal="right" shrinkToFit="1"/>
    </xf>
    <xf numFmtId="38" fontId="4" fillId="12" borderId="233" xfId="0" applyNumberFormat="1" applyFont="1" applyFill="1" applyBorder="1" applyAlignment="1">
      <alignment horizontal="right" shrinkToFit="1"/>
    </xf>
    <xf numFmtId="38" fontId="4" fillId="12" borderId="332" xfId="0" applyNumberFormat="1" applyFont="1" applyFill="1" applyBorder="1" applyAlignment="1">
      <alignment horizontal="right" shrinkToFit="1"/>
    </xf>
    <xf numFmtId="0" fontId="4" fillId="0" borderId="325" xfId="0" applyFont="1" applyFill="1" applyBorder="1" applyAlignment="1">
      <alignment horizontal="center"/>
    </xf>
    <xf numFmtId="0" fontId="4" fillId="27" borderId="359" xfId="0" applyFont="1" applyFill="1" applyBorder="1" applyAlignment="1">
      <alignment horizontal="center"/>
    </xf>
    <xf numFmtId="0" fontId="4" fillId="27" borderId="359" xfId="0" applyFont="1" applyFill="1" applyBorder="1" applyAlignment="1">
      <alignment horizontal="left"/>
    </xf>
    <xf numFmtId="0" fontId="4" fillId="27" borderId="351" xfId="0" applyFont="1" applyFill="1" applyBorder="1" applyAlignment="1">
      <alignment horizontal="right"/>
    </xf>
    <xf numFmtId="38" fontId="9" fillId="27" borderId="351" xfId="0" applyNumberFormat="1" applyFont="1" applyFill="1" applyBorder="1" applyAlignment="1">
      <alignment horizontal="right"/>
    </xf>
    <xf numFmtId="38" fontId="4" fillId="0" borderId="351" xfId="0" applyNumberFormat="1" applyFont="1" applyFill="1" applyBorder="1" applyAlignment="1">
      <alignment horizontal="right" shrinkToFit="1"/>
    </xf>
    <xf numFmtId="38" fontId="4" fillId="0" borderId="352" xfId="0" applyNumberFormat="1" applyFont="1" applyFill="1" applyBorder="1" applyAlignment="1">
      <alignment horizontal="right" shrinkToFit="1"/>
    </xf>
    <xf numFmtId="0" fontId="4" fillId="18" borderId="277" xfId="0" applyFont="1" applyFill="1" applyBorder="1" applyAlignment="1">
      <alignment horizontal="left"/>
    </xf>
    <xf numFmtId="0" fontId="4" fillId="18" borderId="325" xfId="0" applyFont="1" applyFill="1" applyBorder="1" applyAlignment="1">
      <alignment horizontal="right"/>
    </xf>
    <xf numFmtId="38" fontId="4" fillId="0" borderId="233" xfId="0" applyNumberFormat="1" applyFont="1" applyFill="1" applyBorder="1" applyAlignment="1">
      <alignment horizontal="right" shrinkToFit="1"/>
    </xf>
    <xf numFmtId="0" fontId="4" fillId="0" borderId="233" xfId="0" applyFont="1" applyFill="1" applyBorder="1" applyAlignment="1">
      <alignment horizontal="right"/>
    </xf>
    <xf numFmtId="38" fontId="9" fillId="0" borderId="233" xfId="0" applyNumberFormat="1" applyFont="1" applyFill="1" applyBorder="1" applyAlignment="1">
      <alignment horizontal="right"/>
    </xf>
    <xf numFmtId="38" fontId="4" fillId="0" borderId="332" xfId="0" applyNumberFormat="1" applyFont="1" applyFill="1" applyBorder="1" applyAlignment="1">
      <alignment horizontal="right" shrinkToFit="1"/>
    </xf>
    <xf numFmtId="0" fontId="4" fillId="0" borderId="325" xfId="0" applyFont="1" applyFill="1" applyBorder="1" applyAlignment="1">
      <alignment horizontal="right"/>
    </xf>
    <xf numFmtId="0" fontId="4" fillId="27" borderId="325" xfId="0" applyFont="1" applyFill="1" applyBorder="1" applyAlignment="1">
      <alignment horizontal="left" shrinkToFit="1"/>
    </xf>
    <xf numFmtId="0" fontId="18" fillId="27" borderId="325" xfId="0" applyFont="1" applyFill="1" applyBorder="1" applyAlignment="1">
      <alignment horizontal="left"/>
    </xf>
    <xf numFmtId="38" fontId="9" fillId="12" borderId="233" xfId="0" applyNumberFormat="1" applyFont="1" applyFill="1" applyBorder="1" applyAlignment="1">
      <alignment horizontal="right" shrinkToFit="1"/>
    </xf>
    <xf numFmtId="38" fontId="9" fillId="12" borderId="332" xfId="0" applyNumberFormat="1" applyFont="1" applyFill="1" applyBorder="1" applyAlignment="1">
      <alignment horizontal="right" shrinkToFit="1"/>
    </xf>
    <xf numFmtId="38" fontId="9" fillId="0" borderId="233" xfId="0" applyNumberFormat="1" applyFont="1" applyFill="1" applyBorder="1" applyAlignment="1">
      <alignment horizontal="right" shrinkToFit="1"/>
    </xf>
    <xf numFmtId="38" fontId="9" fillId="0" borderId="332" xfId="0" applyNumberFormat="1" applyFont="1" applyFill="1" applyBorder="1" applyAlignment="1">
      <alignment horizontal="right" shrinkToFit="1"/>
    </xf>
    <xf numFmtId="0" fontId="4" fillId="27" borderId="325" xfId="0" quotePrefix="1" applyFont="1" applyFill="1" applyBorder="1" applyAlignment="1">
      <alignment horizontal="left" shrinkToFit="1"/>
    </xf>
    <xf numFmtId="0" fontId="4" fillId="27" borderId="325" xfId="0" quotePrefix="1" applyFont="1" applyFill="1" applyBorder="1" applyAlignment="1">
      <alignment horizontal="left"/>
    </xf>
    <xf numFmtId="0" fontId="4" fillId="27" borderId="279" xfId="0" applyFont="1" applyFill="1" applyBorder="1" applyAlignment="1">
      <alignment horizontal="left" shrinkToFit="1"/>
    </xf>
    <xf numFmtId="0" fontId="4" fillId="27" borderId="358" xfId="0" applyFont="1" applyFill="1" applyBorder="1" applyAlignment="1">
      <alignment horizontal="right"/>
    </xf>
    <xf numFmtId="38" fontId="9" fillId="29" borderId="233" xfId="0" applyNumberFormat="1" applyFont="1" applyFill="1" applyBorder="1" applyAlignment="1">
      <alignment horizontal="right" shrinkToFit="1"/>
    </xf>
    <xf numFmtId="38" fontId="9" fillId="29" borderId="332" xfId="0" applyNumberFormat="1" applyFont="1" applyFill="1" applyBorder="1" applyAlignment="1">
      <alignment horizontal="right" shrinkToFit="1"/>
    </xf>
    <xf numFmtId="0" fontId="4" fillId="27" borderId="359" xfId="0" applyFont="1" applyFill="1" applyBorder="1" applyAlignment="1">
      <alignment horizontal="left" shrinkToFit="1"/>
    </xf>
    <xf numFmtId="38" fontId="9" fillId="12" borderId="351" xfId="0" applyNumberFormat="1" applyFont="1" applyFill="1" applyBorder="1" applyAlignment="1">
      <alignment horizontal="right" shrinkToFit="1"/>
    </xf>
    <xf numFmtId="38" fontId="9" fillId="12" borderId="352" xfId="0" applyNumberFormat="1" applyFont="1" applyFill="1" applyBorder="1" applyAlignment="1">
      <alignment horizontal="right" shrinkToFit="1"/>
    </xf>
    <xf numFmtId="0" fontId="58" fillId="0" borderId="233" xfId="0" applyFont="1" applyFill="1" applyBorder="1" applyAlignment="1">
      <alignment horizontal="left" shrinkToFit="1"/>
    </xf>
    <xf numFmtId="193" fontId="58" fillId="0" borderId="233" xfId="0" applyNumberFormat="1" applyFont="1" applyFill="1" applyBorder="1" applyAlignment="1">
      <alignment horizontal="right" shrinkToFit="1"/>
    </xf>
    <xf numFmtId="10" fontId="58" fillId="0" borderId="233" xfId="0" quotePrefix="1" applyNumberFormat="1" applyFont="1" applyFill="1" applyBorder="1" applyAlignment="1">
      <alignment horizontal="center" shrinkToFit="1"/>
    </xf>
    <xf numFmtId="38" fontId="58" fillId="0" borderId="233" xfId="0" applyNumberFormat="1" applyFont="1" applyFill="1" applyBorder="1" applyAlignment="1">
      <alignment horizontal="right"/>
    </xf>
    <xf numFmtId="38" fontId="58" fillId="0" borderId="233" xfId="0" applyNumberFormat="1" applyFont="1" applyFill="1" applyBorder="1" applyAlignment="1">
      <alignment horizontal="right" shrinkToFit="1"/>
    </xf>
    <xf numFmtId="38" fontId="58" fillId="0" borderId="332" xfId="0" applyNumberFormat="1" applyFont="1" applyFill="1" applyBorder="1" applyAlignment="1">
      <alignment horizontal="right" shrinkToFit="1"/>
    </xf>
    <xf numFmtId="0" fontId="58" fillId="27" borderId="233" xfId="0" applyFont="1" applyFill="1" applyBorder="1" applyAlignment="1">
      <alignment horizontal="left" shrinkToFit="1"/>
    </xf>
    <xf numFmtId="10" fontId="58" fillId="0" borderId="233" xfId="0" applyNumberFormat="1" applyFont="1" applyFill="1" applyBorder="1" applyAlignment="1">
      <alignment horizontal="right" shrinkToFit="1"/>
    </xf>
    <xf numFmtId="0" fontId="58" fillId="27" borderId="233" xfId="0" quotePrefix="1" applyFont="1" applyFill="1" applyBorder="1" applyAlignment="1">
      <alignment horizontal="left" shrinkToFit="1"/>
    </xf>
    <xf numFmtId="0" fontId="58" fillId="27" borderId="350" xfId="0" applyFont="1" applyFill="1" applyBorder="1" applyAlignment="1">
      <alignment horizontal="center" vertical="center" shrinkToFit="1"/>
    </xf>
    <xf numFmtId="49" fontId="55" fillId="0" borderId="351" xfId="0" applyNumberFormat="1" applyFont="1" applyFill="1" applyBorder="1" applyAlignment="1">
      <alignment horizontal="left" shrinkToFit="1"/>
    </xf>
    <xf numFmtId="193" fontId="58" fillId="0" borderId="351" xfId="0" applyNumberFormat="1" applyFont="1" applyFill="1" applyBorder="1" applyAlignment="1">
      <alignment horizontal="right" shrinkToFit="1"/>
    </xf>
    <xf numFmtId="10" fontId="58" fillId="0" borderId="351" xfId="0" applyNumberFormat="1" applyFont="1" applyFill="1" applyBorder="1" applyAlignment="1">
      <alignment horizontal="right" shrinkToFit="1"/>
    </xf>
    <xf numFmtId="38" fontId="58" fillId="0" borderId="351" xfId="0" applyNumberFormat="1" applyFont="1" applyFill="1" applyBorder="1" applyAlignment="1">
      <alignment horizontal="right"/>
    </xf>
    <xf numFmtId="38" fontId="58" fillId="0" borderId="351" xfId="0" applyNumberFormat="1" applyFont="1" applyFill="1" applyBorder="1" applyAlignment="1">
      <alignment horizontal="right" shrinkToFit="1"/>
    </xf>
    <xf numFmtId="38" fontId="58" fillId="0" borderId="352" xfId="0" applyNumberFormat="1" applyFont="1" applyFill="1" applyBorder="1" applyAlignment="1">
      <alignment horizontal="right" shrinkToFit="1"/>
    </xf>
    <xf numFmtId="10" fontId="58" fillId="0" borderId="233" xfId="0" applyNumberFormat="1" applyFont="1" applyFill="1" applyBorder="1" applyAlignment="1">
      <alignment horizontal="center" vertical="center"/>
    </xf>
    <xf numFmtId="0" fontId="58" fillId="0" borderId="358" xfId="0" applyFont="1" applyFill="1" applyBorder="1" applyAlignment="1">
      <alignment horizontal="left" shrinkToFit="1"/>
    </xf>
    <xf numFmtId="0" fontId="58" fillId="0" borderId="279" xfId="0" applyFont="1" applyFill="1" applyBorder="1" applyAlignment="1"/>
    <xf numFmtId="38" fontId="62" fillId="0" borderId="233" xfId="0" applyNumberFormat="1" applyFont="1" applyFill="1" applyBorder="1" applyAlignment="1">
      <alignment horizontal="right"/>
    </xf>
    <xf numFmtId="10" fontId="58" fillId="0" borderId="233" xfId="0" applyNumberFormat="1" applyFont="1" applyFill="1" applyBorder="1" applyAlignment="1">
      <alignment horizontal="left" shrinkToFit="1"/>
    </xf>
    <xf numFmtId="10" fontId="58" fillId="0" borderId="332" xfId="0" applyNumberFormat="1" applyFont="1" applyFill="1" applyBorder="1" applyAlignment="1">
      <alignment horizontal="left" shrinkToFit="1"/>
    </xf>
    <xf numFmtId="193" fontId="58" fillId="0" borderId="233" xfId="0" applyNumberFormat="1" applyFont="1" applyFill="1" applyBorder="1" applyAlignment="1">
      <alignment shrinkToFit="1"/>
    </xf>
    <xf numFmtId="0" fontId="58" fillId="27" borderId="233" xfId="0" applyFont="1" applyFill="1" applyBorder="1" applyAlignment="1">
      <alignment horizontal="left" vertical="center" shrinkToFit="1"/>
    </xf>
    <xf numFmtId="49" fontId="58" fillId="27" borderId="351" xfId="0" applyNumberFormat="1" applyFont="1" applyFill="1" applyBorder="1" applyAlignment="1">
      <alignment horizontal="left" shrinkToFit="1"/>
    </xf>
    <xf numFmtId="0" fontId="4" fillId="0" borderId="233" xfId="0" applyFont="1" applyFill="1" applyBorder="1" applyAlignment="1">
      <alignment horizontal="left" shrinkToFit="1"/>
    </xf>
    <xf numFmtId="193" fontId="4" fillId="0" borderId="233" xfId="0" applyNumberFormat="1" applyFont="1" applyFill="1" applyBorder="1" applyAlignment="1">
      <alignment horizontal="right" shrinkToFit="1"/>
    </xf>
    <xf numFmtId="10" fontId="4" fillId="0" borderId="233" xfId="0" quotePrefix="1" applyNumberFormat="1" applyFont="1" applyFill="1" applyBorder="1" applyAlignment="1">
      <alignment horizontal="center" shrinkToFit="1"/>
    </xf>
    <xf numFmtId="0" fontId="4" fillId="18" borderId="233" xfId="0" applyFont="1" applyFill="1" applyBorder="1" applyAlignment="1">
      <alignment horizontal="left" shrinkToFit="1"/>
    </xf>
    <xf numFmtId="193" fontId="4" fillId="18" borderId="233" xfId="0" applyNumberFormat="1" applyFont="1" applyFill="1" applyBorder="1" applyAlignment="1">
      <alignment horizontal="right" shrinkToFit="1"/>
    </xf>
    <xf numFmtId="10" fontId="4" fillId="18" borderId="233" xfId="0" quotePrefix="1" applyNumberFormat="1" applyFont="1" applyFill="1" applyBorder="1" applyAlignment="1">
      <alignment horizontal="center" shrinkToFit="1"/>
    </xf>
    <xf numFmtId="38" fontId="9" fillId="18" borderId="233" xfId="0" applyNumberFormat="1" applyFont="1" applyFill="1" applyBorder="1" applyAlignment="1">
      <alignment horizontal="right" shrinkToFit="1"/>
    </xf>
    <xf numFmtId="38" fontId="9" fillId="18" borderId="332" xfId="0" applyNumberFormat="1" applyFont="1" applyFill="1" applyBorder="1" applyAlignment="1">
      <alignment horizontal="right" shrinkToFit="1"/>
    </xf>
    <xf numFmtId="0" fontId="4" fillId="27" borderId="233" xfId="0" applyFont="1" applyFill="1" applyBorder="1" applyAlignment="1">
      <alignment horizontal="left" shrinkToFit="1"/>
    </xf>
    <xf numFmtId="10" fontId="4" fillId="0" borderId="233" xfId="0" applyNumberFormat="1" applyFont="1" applyFill="1" applyBorder="1" applyAlignment="1">
      <alignment horizontal="right" shrinkToFit="1"/>
    </xf>
    <xf numFmtId="0" fontId="4" fillId="27" borderId="233" xfId="0" quotePrefix="1" applyFont="1" applyFill="1" applyBorder="1" applyAlignment="1">
      <alignment horizontal="left" shrinkToFit="1"/>
    </xf>
    <xf numFmtId="0" fontId="4" fillId="27" borderId="350" xfId="0" applyFont="1" applyFill="1" applyBorder="1" applyAlignment="1">
      <alignment horizontal="center" vertical="center" shrinkToFit="1"/>
    </xf>
    <xf numFmtId="0" fontId="4" fillId="27" borderId="351" xfId="0" applyFont="1" applyFill="1" applyBorder="1" applyAlignment="1">
      <alignment horizontal="left" shrinkToFit="1"/>
    </xf>
    <xf numFmtId="193" fontId="4" fillId="0" borderId="351" xfId="0" applyNumberFormat="1" applyFont="1" applyFill="1" applyBorder="1" applyAlignment="1">
      <alignment horizontal="right" shrinkToFit="1"/>
    </xf>
    <xf numFmtId="10" fontId="4" fillId="0" borderId="351" xfId="0" applyNumberFormat="1" applyFont="1" applyFill="1" applyBorder="1" applyAlignment="1">
      <alignment horizontal="right" shrinkToFit="1"/>
    </xf>
    <xf numFmtId="38" fontId="9" fillId="0" borderId="351" xfId="0" applyNumberFormat="1" applyFont="1" applyFill="1" applyBorder="1" applyAlignment="1">
      <alignment horizontal="right"/>
    </xf>
    <xf numFmtId="38" fontId="9" fillId="0" borderId="351" xfId="0" applyNumberFormat="1" applyFont="1" applyFill="1" applyBorder="1" applyAlignment="1">
      <alignment horizontal="right" shrinkToFit="1"/>
    </xf>
    <xf numFmtId="38" fontId="9" fillId="0" borderId="352" xfId="0" applyNumberFormat="1" applyFont="1" applyFill="1" applyBorder="1" applyAlignment="1">
      <alignment horizontal="right" shrinkToFit="1"/>
    </xf>
    <xf numFmtId="10" fontId="4" fillId="0" borderId="233" xfId="0" applyNumberFormat="1" applyFont="1" applyFill="1" applyBorder="1" applyAlignment="1">
      <alignment horizontal="center" vertical="center"/>
    </xf>
    <xf numFmtId="38" fontId="4" fillId="0" borderId="233" xfId="0" applyNumberFormat="1" applyFont="1" applyFill="1" applyBorder="1" applyAlignment="1">
      <alignment horizontal="right"/>
    </xf>
    <xf numFmtId="0" fontId="4" fillId="0" borderId="358" xfId="0" applyFont="1" applyFill="1" applyBorder="1" applyAlignment="1">
      <alignment horizontal="left" shrinkToFit="1"/>
    </xf>
    <xf numFmtId="0" fontId="4" fillId="0" borderId="279" xfId="0" applyFont="1" applyFill="1" applyBorder="1" applyAlignment="1"/>
    <xf numFmtId="38" fontId="18" fillId="0" borderId="233" xfId="0" applyNumberFormat="1" applyFont="1" applyFill="1" applyBorder="1" applyAlignment="1">
      <alignment horizontal="right"/>
    </xf>
    <xf numFmtId="10" fontId="4" fillId="14" borderId="233" xfId="3" applyNumberFormat="1" applyFont="1" applyFill="1" applyBorder="1" applyAlignment="1">
      <alignment horizontal="left" shrinkToFit="1"/>
    </xf>
    <xf numFmtId="10" fontId="4" fillId="0" borderId="233" xfId="0" applyNumberFormat="1" applyFont="1" applyFill="1" applyBorder="1" applyAlignment="1">
      <alignment horizontal="left" shrinkToFit="1"/>
    </xf>
    <xf numFmtId="10" fontId="4" fillId="0" borderId="332" xfId="0" applyNumberFormat="1" applyFont="1" applyFill="1" applyBorder="1" applyAlignment="1">
      <alignment horizontal="left" shrinkToFit="1"/>
    </xf>
    <xf numFmtId="193" fontId="4" fillId="0" borderId="233" xfId="0" applyNumberFormat="1" applyFont="1" applyFill="1" applyBorder="1" applyAlignment="1">
      <alignment shrinkToFit="1"/>
    </xf>
    <xf numFmtId="0" fontId="4" fillId="27" borderId="233" xfId="0" applyFont="1" applyFill="1" applyBorder="1" applyAlignment="1">
      <alignment horizontal="left" vertical="center" shrinkToFit="1"/>
    </xf>
    <xf numFmtId="0" fontId="4" fillId="30" borderId="233" xfId="0" applyFont="1" applyFill="1" applyBorder="1" applyAlignment="1">
      <alignment horizontal="left" shrinkToFit="1"/>
    </xf>
    <xf numFmtId="193" fontId="4" fillId="0" borderId="358" xfId="0" applyNumberFormat="1" applyFont="1" applyFill="1" applyBorder="1" applyAlignment="1">
      <alignment shrinkToFit="1"/>
    </xf>
    <xf numFmtId="10" fontId="4" fillId="0" borderId="358" xfId="0" applyNumberFormat="1" applyFont="1" applyFill="1" applyBorder="1" applyAlignment="1">
      <alignment horizontal="right" shrinkToFit="1"/>
    </xf>
    <xf numFmtId="0" fontId="28" fillId="30" borderId="233" xfId="0" applyFont="1" applyFill="1" applyBorder="1" applyAlignment="1">
      <alignment horizontal="left" shrinkToFit="1"/>
    </xf>
    <xf numFmtId="0" fontId="4" fillId="27" borderId="360" xfId="0" applyFont="1" applyFill="1" applyBorder="1" applyAlignment="1">
      <alignment horizontal="center" vertical="center" shrinkToFit="1"/>
    </xf>
    <xf numFmtId="0" fontId="4" fillId="0" borderId="361" xfId="0" applyFont="1" applyFill="1" applyBorder="1" applyAlignment="1">
      <alignment horizontal="right"/>
    </xf>
    <xf numFmtId="0" fontId="4" fillId="0" borderId="359" xfId="0" applyFont="1" applyFill="1" applyBorder="1" applyAlignment="1">
      <alignment horizontal="right"/>
    </xf>
    <xf numFmtId="0" fontId="4" fillId="0" borderId="359" xfId="0" applyFont="1" applyFill="1" applyBorder="1" applyAlignment="1">
      <alignment horizontal="left"/>
    </xf>
    <xf numFmtId="0" fontId="4" fillId="0" borderId="351" xfId="0" applyFont="1" applyFill="1" applyBorder="1" applyAlignment="1">
      <alignment horizontal="left"/>
    </xf>
    <xf numFmtId="0" fontId="4" fillId="0" borderId="351" xfId="0" applyFont="1" applyFill="1" applyBorder="1" applyAlignment="1">
      <alignment horizontal="right"/>
    </xf>
    <xf numFmtId="0" fontId="4" fillId="0" borderId="351" xfId="0" applyFont="1" applyFill="1" applyBorder="1" applyAlignment="1">
      <alignment horizontal="center"/>
    </xf>
    <xf numFmtId="0" fontId="4" fillId="0" borderId="233" xfId="0" applyNumberFormat="1" applyFont="1" applyFill="1" applyBorder="1" applyAlignment="1">
      <alignment shrinkToFit="1"/>
    </xf>
    <xf numFmtId="0" fontId="4" fillId="0" borderId="233" xfId="0" applyFont="1" applyFill="1" applyBorder="1" applyAlignment="1">
      <alignment horizontal="right" shrinkToFit="1"/>
    </xf>
    <xf numFmtId="0" fontId="4" fillId="0" borderId="233" xfId="0" applyFont="1" applyFill="1" applyBorder="1" applyAlignment="1">
      <alignment shrinkToFit="1"/>
    </xf>
    <xf numFmtId="9" fontId="4" fillId="0" borderId="233" xfId="0" applyNumberFormat="1" applyFont="1" applyFill="1" applyBorder="1" applyAlignment="1">
      <alignment horizontal="right" shrinkToFit="1"/>
    </xf>
    <xf numFmtId="0" fontId="4" fillId="0" borderId="233" xfId="0" applyFont="1" applyFill="1" applyBorder="1" applyAlignment="1">
      <alignment horizontal="left"/>
    </xf>
    <xf numFmtId="0" fontId="4" fillId="0" borderId="358" xfId="0" applyFont="1" applyFill="1" applyBorder="1" applyAlignment="1">
      <alignment horizontal="left"/>
    </xf>
    <xf numFmtId="0" fontId="4" fillId="0" borderId="351" xfId="0" applyFont="1" applyFill="1" applyBorder="1" applyAlignment="1">
      <alignment horizontal="left" shrinkToFit="1"/>
    </xf>
    <xf numFmtId="9" fontId="4" fillId="0" borderId="351" xfId="0" applyNumberFormat="1" applyFont="1" applyFill="1" applyBorder="1" applyAlignment="1">
      <alignment horizontal="right" shrinkToFit="1"/>
    </xf>
    <xf numFmtId="0" fontId="4" fillId="0" borderId="351" xfId="0" applyFont="1" applyFill="1" applyBorder="1" applyAlignment="1">
      <alignment horizontal="right" shrinkToFit="1"/>
    </xf>
    <xf numFmtId="38" fontId="56" fillId="0" borderId="351" xfId="0" applyNumberFormat="1" applyFont="1" applyFill="1" applyBorder="1" applyAlignment="1">
      <alignment horizontal="right" shrinkToFit="1"/>
    </xf>
    <xf numFmtId="0" fontId="65" fillId="30" borderId="233" xfId="0" applyFont="1" applyFill="1" applyBorder="1" applyAlignment="1">
      <alignment horizontal="left" shrinkToFit="1"/>
    </xf>
    <xf numFmtId="0" fontId="4" fillId="0" borderId="362" xfId="0" applyFont="1" applyFill="1" applyBorder="1" applyAlignment="1">
      <alignment horizontal="right"/>
    </xf>
    <xf numFmtId="38" fontId="9" fillId="0" borderId="363" xfId="0" applyNumberFormat="1" applyFont="1" applyFill="1" applyBorder="1" applyAlignment="1">
      <alignment horizontal="right" shrinkToFit="1"/>
    </xf>
    <xf numFmtId="176" fontId="4" fillId="0" borderId="233" xfId="0" applyNumberFormat="1" applyFont="1" applyFill="1" applyBorder="1" applyAlignment="1">
      <alignment shrinkToFit="1"/>
    </xf>
    <xf numFmtId="38" fontId="4" fillId="0" borderId="233" xfId="0" applyNumberFormat="1" applyFont="1" applyFill="1" applyBorder="1" applyAlignment="1">
      <alignment shrinkToFit="1"/>
    </xf>
    <xf numFmtId="38" fontId="4" fillId="0" borderId="332" xfId="0" applyNumberFormat="1" applyFont="1" applyFill="1" applyBorder="1" applyAlignment="1">
      <alignment shrinkToFit="1"/>
    </xf>
    <xf numFmtId="0" fontId="4" fillId="0" borderId="362" xfId="0" applyFont="1" applyFill="1" applyBorder="1" applyAlignment="1"/>
    <xf numFmtId="0" fontId="4" fillId="0" borderId="325" xfId="0" applyFont="1" applyFill="1" applyBorder="1" applyAlignment="1"/>
    <xf numFmtId="0" fontId="4" fillId="0" borderId="233" xfId="0" applyFont="1" applyFill="1" applyBorder="1" applyAlignment="1"/>
    <xf numFmtId="38" fontId="4" fillId="0" borderId="233" xfId="0" applyNumberFormat="1" applyFont="1" applyFill="1" applyBorder="1" applyAlignment="1"/>
    <xf numFmtId="0" fontId="28" fillId="0" borderId="231" xfId="0" applyFont="1" applyBorder="1" applyAlignment="1">
      <alignment shrinkToFit="1"/>
    </xf>
    <xf numFmtId="0" fontId="4" fillId="0" borderId="355" xfId="0" applyFont="1" applyBorder="1" applyAlignment="1"/>
    <xf numFmtId="0" fontId="4" fillId="0" borderId="233" xfId="0" applyFont="1" applyBorder="1" applyAlignment="1">
      <alignment horizontal="center" vertical="center"/>
    </xf>
    <xf numFmtId="193" fontId="4" fillId="19" borderId="233" xfId="0" applyNumberFormat="1" applyFont="1" applyFill="1" applyBorder="1" applyAlignment="1" applyProtection="1">
      <alignment horizontal="center" vertical="center"/>
    </xf>
    <xf numFmtId="193" fontId="4" fillId="19" borderId="333" xfId="0" applyNumberFormat="1" applyFont="1" applyFill="1" applyBorder="1" applyAlignment="1" applyProtection="1">
      <alignment horizontal="center" vertical="center"/>
    </xf>
    <xf numFmtId="0" fontId="4" fillId="0" borderId="279" xfId="0" applyFont="1" applyBorder="1" applyAlignment="1"/>
    <xf numFmtId="0" fontId="4" fillId="0" borderId="360" xfId="0" applyFont="1" applyBorder="1" applyAlignment="1"/>
    <xf numFmtId="193" fontId="4" fillId="0" borderId="233" xfId="3" applyNumberFormat="1" applyFont="1" applyBorder="1" applyAlignment="1" applyProtection="1">
      <alignment horizontal="center" vertical="center"/>
    </xf>
    <xf numFmtId="193" fontId="4" fillId="0" borderId="333" xfId="3" applyNumberFormat="1" applyFont="1" applyBorder="1" applyAlignment="1" applyProtection="1">
      <alignment horizontal="center" vertical="center"/>
    </xf>
    <xf numFmtId="0" fontId="4" fillId="0" borderId="277" xfId="0" applyFont="1" applyBorder="1" applyAlignment="1"/>
    <xf numFmtId="2" fontId="4" fillId="0" borderId="233" xfId="0" applyNumberFormat="1" applyFont="1" applyBorder="1" applyAlignment="1" applyProtection="1">
      <alignment horizontal="center" vertical="center"/>
    </xf>
    <xf numFmtId="2" fontId="4" fillId="0" borderId="333" xfId="0" applyNumberFormat="1" applyFont="1" applyBorder="1" applyAlignment="1" applyProtection="1">
      <alignment horizontal="center" vertical="center"/>
    </xf>
    <xf numFmtId="2" fontId="4" fillId="32" borderId="233" xfId="0" applyNumberFormat="1" applyFont="1" applyFill="1" applyBorder="1" applyAlignment="1" applyProtection="1">
      <alignment horizontal="center" vertical="center"/>
    </xf>
    <xf numFmtId="2" fontId="4" fillId="32" borderId="333" xfId="0" applyNumberFormat="1" applyFont="1" applyFill="1" applyBorder="1" applyAlignment="1" applyProtection="1">
      <alignment horizontal="center" vertical="center"/>
    </xf>
    <xf numFmtId="0" fontId="28" fillId="0" borderId="231" xfId="0" applyFont="1" applyFill="1" applyBorder="1" applyAlignment="1">
      <alignment shrinkToFit="1"/>
    </xf>
    <xf numFmtId="0" fontId="4" fillId="0" borderId="355" xfId="0" applyFont="1" applyFill="1" applyBorder="1" applyAlignment="1"/>
    <xf numFmtId="0" fontId="4" fillId="0" borderId="233" xfId="0" applyFont="1" applyFill="1" applyBorder="1" applyAlignment="1">
      <alignment horizontal="center" vertical="center"/>
    </xf>
    <xf numFmtId="0" fontId="4" fillId="0" borderId="360" xfId="0" applyFont="1" applyFill="1" applyBorder="1" applyAlignment="1"/>
    <xf numFmtId="193" fontId="4" fillId="0" borderId="233" xfId="3" applyNumberFormat="1" applyFont="1" applyFill="1" applyBorder="1" applyAlignment="1" applyProtection="1">
      <alignment horizontal="center" vertical="center"/>
    </xf>
    <xf numFmtId="193" fontId="4" fillId="0" borderId="333" xfId="3" applyNumberFormat="1" applyFont="1" applyFill="1" applyBorder="1" applyAlignment="1" applyProtection="1">
      <alignment horizontal="center" vertical="center"/>
    </xf>
    <xf numFmtId="0" fontId="4" fillId="0" borderId="277" xfId="0" applyFont="1" applyFill="1" applyBorder="1" applyAlignment="1"/>
    <xf numFmtId="2" fontId="4" fillId="0" borderId="233" xfId="0" applyNumberFormat="1" applyFont="1" applyFill="1" applyBorder="1" applyAlignment="1" applyProtection="1">
      <alignment horizontal="center" vertical="center"/>
    </xf>
    <xf numFmtId="2" fontId="4" fillId="0" borderId="333" xfId="0" applyNumberFormat="1" applyFont="1" applyFill="1" applyBorder="1" applyAlignment="1" applyProtection="1">
      <alignment horizontal="center" vertical="center"/>
    </xf>
    <xf numFmtId="0" fontId="4" fillId="32" borderId="233" xfId="0" applyFont="1" applyFill="1" applyBorder="1" applyAlignment="1" applyProtection="1">
      <alignment horizontal="center" vertical="center"/>
    </xf>
    <xf numFmtId="0" fontId="4" fillId="32" borderId="333" xfId="0" applyFont="1" applyFill="1" applyBorder="1" applyAlignment="1" applyProtection="1">
      <alignment horizontal="center" vertical="center"/>
    </xf>
    <xf numFmtId="0" fontId="4" fillId="33" borderId="364" xfId="0" applyFont="1" applyFill="1" applyBorder="1" applyAlignment="1"/>
    <xf numFmtId="2" fontId="4" fillId="33" borderId="365" xfId="0" applyNumberFormat="1" applyFont="1" applyFill="1" applyBorder="1" applyAlignment="1" applyProtection="1">
      <alignment horizontal="center" vertical="center"/>
    </xf>
    <xf numFmtId="0" fontId="4" fillId="33" borderId="365" xfId="0" applyFont="1" applyFill="1" applyBorder="1" applyAlignment="1" applyProtection="1">
      <alignment horizontal="center" vertical="center"/>
    </xf>
    <xf numFmtId="0" fontId="4" fillId="33" borderId="366" xfId="0" applyFont="1" applyFill="1" applyBorder="1" applyAlignment="1" applyProtection="1">
      <alignment horizontal="center" vertical="center"/>
    </xf>
    <xf numFmtId="0" fontId="4" fillId="33" borderId="343" xfId="0" applyFont="1" applyFill="1" applyBorder="1" applyAlignment="1"/>
    <xf numFmtId="0" fontId="4" fillId="0" borderId="208" xfId="0" applyFont="1" applyFill="1" applyBorder="1" applyAlignment="1">
      <alignment vertical="center"/>
    </xf>
    <xf numFmtId="0" fontId="4" fillId="0" borderId="355" xfId="0" applyFont="1" applyFill="1" applyBorder="1" applyAlignment="1">
      <alignment horizontal="center" vertical="center"/>
    </xf>
    <xf numFmtId="193" fontId="4" fillId="0" borderId="231" xfId="3" applyNumberFormat="1" applyFont="1" applyFill="1" applyBorder="1" applyAlignment="1" applyProtection="1">
      <alignment horizontal="center" vertical="center"/>
    </xf>
    <xf numFmtId="0" fontId="4" fillId="19" borderId="343" xfId="0" applyFont="1" applyFill="1" applyBorder="1" applyAlignment="1"/>
    <xf numFmtId="0" fontId="4" fillId="19" borderId="364" xfId="0" applyFont="1" applyFill="1" applyBorder="1" applyAlignment="1"/>
    <xf numFmtId="0" fontId="4" fillId="19" borderId="367" xfId="0" applyFont="1" applyFill="1" applyBorder="1" applyAlignment="1" applyProtection="1">
      <alignment horizontal="center" vertical="center"/>
    </xf>
    <xf numFmtId="0" fontId="4" fillId="27" borderId="205" xfId="0" applyFont="1" applyFill="1" applyBorder="1" applyAlignment="1">
      <alignment horizontal="center" shrinkToFit="1"/>
    </xf>
    <xf numFmtId="38" fontId="4" fillId="20" borderId="233" xfId="0" applyNumberFormat="1" applyFont="1" applyFill="1" applyBorder="1" applyAlignment="1">
      <alignment horizontal="right" shrinkToFit="1"/>
    </xf>
    <xf numFmtId="0" fontId="4" fillId="27" borderId="205" xfId="0" applyFont="1" applyFill="1" applyBorder="1" applyAlignment="1">
      <alignment horizontal="right"/>
    </xf>
    <xf numFmtId="0" fontId="58" fillId="0" borderId="205" xfId="0" applyFont="1" applyFill="1" applyBorder="1" applyAlignment="1">
      <alignment horizontal="left" shrinkToFit="1"/>
    </xf>
    <xf numFmtId="0" fontId="4" fillId="0" borderId="205" xfId="0" applyFont="1" applyFill="1" applyBorder="1" applyAlignment="1">
      <alignment horizontal="left" shrinkToFit="1"/>
    </xf>
    <xf numFmtId="193" fontId="4" fillId="0" borderId="205" xfId="0" applyNumberFormat="1" applyFont="1" applyFill="1" applyBorder="1" applyAlignment="1">
      <alignment shrinkToFit="1"/>
    </xf>
    <xf numFmtId="10" fontId="4" fillId="0" borderId="205" xfId="0" applyNumberFormat="1" applyFont="1" applyFill="1" applyBorder="1" applyAlignment="1">
      <alignment horizontal="right" shrinkToFit="1"/>
    </xf>
    <xf numFmtId="0" fontId="4" fillId="0" borderId="205" xfId="0" applyFont="1" applyFill="1" applyBorder="1" applyAlignment="1">
      <alignment horizontal="left"/>
    </xf>
    <xf numFmtId="0" fontId="11" fillId="0" borderId="227" xfId="0" applyFont="1" applyBorder="1" applyAlignment="1" applyProtection="1">
      <alignment vertical="center"/>
    </xf>
    <xf numFmtId="0" fontId="13" fillId="0" borderId="228" xfId="0" applyFont="1" applyBorder="1" applyAlignment="1" applyProtection="1">
      <alignment vertical="center"/>
    </xf>
    <xf numFmtId="0" fontId="13" fillId="0" borderId="222" xfId="0" applyFont="1" applyBorder="1" applyAlignment="1" applyProtection="1">
      <alignment horizontal="center" vertical="center"/>
    </xf>
    <xf numFmtId="0" fontId="13" fillId="0" borderId="371" xfId="0" applyFont="1" applyBorder="1" applyAlignment="1" applyProtection="1">
      <alignment vertical="center"/>
      <protection locked="0"/>
    </xf>
    <xf numFmtId="0" fontId="13" fillId="0" borderId="369" xfId="0" applyFont="1" applyBorder="1" applyAlignment="1" applyProtection="1">
      <alignment vertical="center"/>
      <protection locked="0"/>
    </xf>
    <xf numFmtId="0" fontId="13" fillId="0" borderId="372" xfId="0" applyFont="1" applyBorder="1" applyAlignment="1" applyProtection="1">
      <alignment vertical="center" wrapText="1"/>
      <protection locked="0"/>
    </xf>
    <xf numFmtId="186" fontId="13" fillId="0" borderId="372" xfId="0" applyNumberFormat="1" applyFont="1" applyBorder="1" applyAlignment="1" applyProtection="1">
      <alignment vertical="center" shrinkToFit="1"/>
      <protection locked="0"/>
    </xf>
    <xf numFmtId="0" fontId="13" fillId="0" borderId="372" xfId="0" applyFont="1" applyBorder="1" applyAlignment="1" applyProtection="1">
      <alignment horizontal="center" vertical="center" shrinkToFit="1"/>
      <protection locked="0"/>
    </xf>
    <xf numFmtId="177" fontId="13" fillId="0" borderId="372" xfId="0" applyNumberFormat="1" applyFont="1" applyBorder="1" applyAlignment="1" applyProtection="1">
      <alignment vertical="center" shrinkToFit="1"/>
      <protection locked="0"/>
    </xf>
    <xf numFmtId="0" fontId="13" fillId="0" borderId="370" xfId="0" applyFont="1" applyBorder="1" applyAlignment="1" applyProtection="1">
      <alignment vertical="center"/>
      <protection locked="0"/>
    </xf>
    <xf numFmtId="0" fontId="13" fillId="0" borderId="371" xfId="0" applyFont="1" applyBorder="1" applyAlignment="1" applyProtection="1">
      <alignment horizontal="right" vertical="center"/>
      <protection locked="0"/>
    </xf>
    <xf numFmtId="0" fontId="13" fillId="23" borderId="369" xfId="0" applyFont="1" applyFill="1" applyBorder="1" applyAlignment="1" applyProtection="1">
      <alignment vertical="center"/>
      <protection locked="0"/>
    </xf>
    <xf numFmtId="38" fontId="13" fillId="23" borderId="369" xfId="4" applyFont="1" applyFill="1" applyBorder="1" applyAlignment="1" applyProtection="1">
      <alignment vertical="center" shrinkToFit="1"/>
      <protection locked="0"/>
    </xf>
    <xf numFmtId="0" fontId="13" fillId="0" borderId="369" xfId="0" quotePrefix="1" applyFont="1" applyBorder="1" applyAlignment="1" applyProtection="1">
      <alignment vertical="center"/>
      <protection locked="0"/>
    </xf>
    <xf numFmtId="177" fontId="13" fillId="0" borderId="369" xfId="0" applyNumberFormat="1" applyFont="1" applyBorder="1" applyAlignment="1" applyProtection="1">
      <alignment vertical="center"/>
      <protection locked="0"/>
    </xf>
    <xf numFmtId="0" fontId="13" fillId="0" borderId="373" xfId="0" applyFont="1" applyBorder="1" applyAlignment="1" applyProtection="1">
      <alignment vertical="center"/>
      <protection locked="0"/>
    </xf>
    <xf numFmtId="0" fontId="13" fillId="0" borderId="348" xfId="0" applyFont="1" applyBorder="1" applyAlignment="1" applyProtection="1">
      <alignment vertical="center"/>
      <protection locked="0"/>
    </xf>
    <xf numFmtId="0" fontId="13" fillId="0" borderId="344" xfId="0" applyFont="1" applyBorder="1" applyAlignment="1" applyProtection="1">
      <alignment vertical="center" wrapText="1"/>
      <protection locked="0"/>
    </xf>
    <xf numFmtId="186" fontId="13" fillId="0" borderId="344" xfId="0" applyNumberFormat="1" applyFont="1" applyBorder="1" applyAlignment="1" applyProtection="1">
      <alignment vertical="center" shrinkToFit="1"/>
      <protection locked="0"/>
    </xf>
    <xf numFmtId="0" fontId="13" fillId="0" borderId="344" xfId="0" applyFont="1" applyBorder="1" applyAlignment="1" applyProtection="1">
      <alignment horizontal="center" vertical="center" shrinkToFit="1"/>
      <protection locked="0"/>
    </xf>
    <xf numFmtId="177" fontId="13" fillId="0" borderId="344" xfId="0" applyNumberFormat="1" applyFont="1" applyBorder="1" applyAlignment="1" applyProtection="1">
      <alignment horizontal="right" vertical="center" shrinkToFit="1"/>
      <protection locked="0"/>
    </xf>
    <xf numFmtId="177" fontId="13" fillId="0" borderId="344" xfId="0" applyNumberFormat="1" applyFont="1" applyBorder="1" applyAlignment="1" applyProtection="1">
      <alignment vertical="center" shrinkToFit="1"/>
      <protection locked="0"/>
    </xf>
    <xf numFmtId="0" fontId="13" fillId="0" borderId="349" xfId="0" applyFont="1" applyBorder="1" applyAlignment="1" applyProtection="1">
      <alignment vertical="center"/>
      <protection locked="0"/>
    </xf>
    <xf numFmtId="182" fontId="11" fillId="0" borderId="227" xfId="0" applyNumberFormat="1" applyFont="1" applyBorder="1" applyAlignment="1" applyProtection="1">
      <alignment vertical="center"/>
      <protection locked="0"/>
    </xf>
    <xf numFmtId="38" fontId="8" fillId="0" borderId="222" xfId="0" applyNumberFormat="1" applyFont="1" applyBorder="1" applyAlignment="1" applyProtection="1">
      <alignment horizontal="right" vertical="top" shrinkToFit="1"/>
      <protection locked="0"/>
    </xf>
    <xf numFmtId="38" fontId="13" fillId="0" borderId="372" xfId="0" applyNumberFormat="1" applyFont="1" applyBorder="1" applyAlignment="1" applyProtection="1">
      <alignment vertical="center" shrinkToFit="1"/>
      <protection locked="0"/>
    </xf>
    <xf numFmtId="0" fontId="13" fillId="0" borderId="374" xfId="0" applyNumberFormat="1" applyFont="1" applyBorder="1" applyAlignment="1" applyProtection="1">
      <alignment horizontal="right" vertical="center"/>
      <protection locked="0"/>
    </xf>
    <xf numFmtId="0" fontId="13" fillId="0" borderId="375" xfId="0" applyFont="1" applyBorder="1" applyAlignment="1" applyProtection="1">
      <alignment vertical="center"/>
      <protection locked="0"/>
    </xf>
    <xf numFmtId="0" fontId="13" fillId="0" borderId="376" xfId="0" applyFont="1" applyBorder="1" applyAlignment="1" applyProtection="1">
      <alignment vertical="center" wrapText="1"/>
      <protection locked="0"/>
    </xf>
    <xf numFmtId="186" fontId="13" fillId="0" borderId="376" xfId="0" applyNumberFormat="1" applyFont="1" applyBorder="1" applyAlignment="1" applyProtection="1">
      <alignment vertical="center" shrinkToFit="1"/>
      <protection locked="0"/>
    </xf>
    <xf numFmtId="0" fontId="13" fillId="0" borderId="376" xfId="0" applyFont="1" applyBorder="1" applyAlignment="1" applyProtection="1">
      <alignment horizontal="center" vertical="center" shrinkToFit="1"/>
      <protection locked="0"/>
    </xf>
    <xf numFmtId="38" fontId="13" fillId="0" borderId="376" xfId="0" applyNumberFormat="1" applyFont="1" applyBorder="1" applyAlignment="1" applyProtection="1">
      <alignment vertical="center" shrinkToFit="1"/>
      <protection locked="0"/>
    </xf>
    <xf numFmtId="177" fontId="13" fillId="0" borderId="376" xfId="0" applyNumberFormat="1" applyFont="1" applyBorder="1" applyAlignment="1" applyProtection="1">
      <alignment vertical="center" shrinkToFit="1"/>
      <protection locked="0"/>
    </xf>
    <xf numFmtId="0" fontId="13" fillId="0" borderId="377" xfId="0" applyFont="1" applyBorder="1" applyAlignment="1" applyProtection="1">
      <alignment vertical="center"/>
      <protection locked="0"/>
    </xf>
    <xf numFmtId="0" fontId="13" fillId="0" borderId="374" xfId="0" applyFont="1" applyBorder="1" applyAlignment="1" applyProtection="1">
      <alignment horizontal="right" vertical="center"/>
      <protection locked="0"/>
    </xf>
    <xf numFmtId="38" fontId="13" fillId="0" borderId="344" xfId="0" applyNumberFormat="1" applyFont="1" applyBorder="1" applyAlignment="1" applyProtection="1">
      <alignment horizontal="right" vertical="center" shrinkToFit="1"/>
      <protection locked="0"/>
    </xf>
    <xf numFmtId="0" fontId="13" fillId="24" borderId="348" xfId="0" applyFont="1" applyFill="1" applyBorder="1" applyAlignment="1" applyProtection="1">
      <alignment vertical="center"/>
      <protection locked="0"/>
    </xf>
    <xf numFmtId="176" fontId="13" fillId="24" borderId="349" xfId="0" applyNumberFormat="1" applyFont="1" applyFill="1" applyBorder="1" applyAlignment="1" applyProtection="1">
      <alignment vertical="center"/>
      <protection locked="0"/>
    </xf>
    <xf numFmtId="0" fontId="13" fillId="0" borderId="228" xfId="0" applyFont="1" applyBorder="1" applyAlignment="1" applyProtection="1">
      <alignment vertical="center" shrinkToFit="1"/>
      <protection locked="0"/>
    </xf>
    <xf numFmtId="38" fontId="8" fillId="0" borderId="222" xfId="0" applyNumberFormat="1" applyFont="1" applyBorder="1" applyAlignment="1" applyProtection="1">
      <alignment horizontal="right" vertical="top"/>
      <protection locked="0"/>
    </xf>
    <xf numFmtId="180" fontId="13" fillId="0" borderId="371" xfId="0" applyNumberFormat="1" applyFont="1" applyBorder="1" applyAlignment="1" applyProtection="1">
      <alignment horizontal="right" vertical="center" shrinkToFit="1"/>
      <protection locked="0"/>
    </xf>
    <xf numFmtId="0" fontId="13" fillId="0" borderId="369" xfId="0" applyFont="1" applyBorder="1" applyAlignment="1" applyProtection="1">
      <alignment vertical="center" shrinkToFit="1"/>
      <protection locked="0"/>
    </xf>
    <xf numFmtId="0" fontId="13" fillId="0" borderId="372" xfId="0" applyFont="1" applyBorder="1" applyAlignment="1" applyProtection="1">
      <alignment vertical="center" shrinkToFit="1"/>
      <protection locked="0"/>
    </xf>
    <xf numFmtId="38" fontId="13" fillId="0" borderId="372" xfId="0" applyNumberFormat="1" applyFont="1" applyBorder="1" applyAlignment="1" applyProtection="1">
      <alignment horizontal="right" vertical="center" shrinkToFit="1"/>
      <protection locked="0"/>
    </xf>
    <xf numFmtId="181" fontId="13" fillId="0" borderId="369" xfId="0" applyNumberFormat="1" applyFont="1" applyBorder="1" applyAlignment="1" applyProtection="1">
      <alignment horizontal="left" vertical="center"/>
      <protection locked="0"/>
    </xf>
    <xf numFmtId="0" fontId="13" fillId="0" borderId="378" xfId="0" applyFont="1" applyBorder="1" applyAlignment="1" applyProtection="1">
      <alignment vertical="center"/>
      <protection locked="0"/>
    </xf>
    <xf numFmtId="179" fontId="13" fillId="24" borderId="348" xfId="0" applyNumberFormat="1" applyFont="1" applyFill="1" applyBorder="1" applyAlignment="1" applyProtection="1">
      <alignment vertical="center"/>
      <protection locked="0"/>
    </xf>
    <xf numFmtId="0" fontId="3" fillId="0" borderId="379" xfId="0" applyFont="1" applyBorder="1" applyAlignment="1">
      <alignment vertical="center"/>
    </xf>
    <xf numFmtId="0" fontId="3" fillId="0" borderId="380" xfId="0" applyFont="1" applyBorder="1" applyAlignment="1" applyProtection="1">
      <alignment vertical="center"/>
      <protection locked="0"/>
    </xf>
    <xf numFmtId="0" fontId="3" fillId="0" borderId="381" xfId="0" applyFont="1" applyBorder="1" applyAlignment="1" applyProtection="1">
      <alignment vertical="center"/>
      <protection locked="0"/>
    </xf>
    <xf numFmtId="0" fontId="3" fillId="0" borderId="380" xfId="0" applyFont="1" applyBorder="1" applyAlignment="1">
      <alignment vertical="center"/>
    </xf>
    <xf numFmtId="0" fontId="0" fillId="0" borderId="381" xfId="0" applyBorder="1" applyAlignment="1">
      <alignment vertical="center" shrinkToFit="1"/>
    </xf>
    <xf numFmtId="0" fontId="39" fillId="0" borderId="369" xfId="0" applyFont="1" applyBorder="1" applyAlignment="1" applyProtection="1">
      <alignment vertical="center" shrinkToFit="1"/>
      <protection locked="0"/>
    </xf>
    <xf numFmtId="0" fontId="0" fillId="0" borderId="382" xfId="0" applyBorder="1"/>
    <xf numFmtId="180" fontId="13" fillId="0" borderId="371" xfId="0" applyNumberFormat="1" applyFont="1" applyFill="1" applyBorder="1" applyAlignment="1" applyProtection="1">
      <alignment horizontal="right" vertical="center" shrinkToFit="1"/>
      <protection locked="0"/>
    </xf>
    <xf numFmtId="0" fontId="39" fillId="0" borderId="369" xfId="0" applyFont="1" applyFill="1" applyBorder="1" applyAlignment="1" applyProtection="1">
      <alignment vertical="center" shrinkToFit="1"/>
      <protection locked="0"/>
    </xf>
    <xf numFmtId="0" fontId="13" fillId="0" borderId="372" xfId="0" applyFont="1" applyFill="1" applyBorder="1" applyAlignment="1" applyProtection="1">
      <alignment vertical="center" shrinkToFit="1"/>
      <protection locked="0"/>
    </xf>
    <xf numFmtId="186" fontId="13" fillId="0" borderId="372" xfId="0" applyNumberFormat="1" applyFont="1" applyFill="1" applyBorder="1" applyAlignment="1" applyProtection="1">
      <alignment vertical="center" shrinkToFit="1"/>
      <protection locked="0"/>
    </xf>
    <xf numFmtId="0" fontId="13" fillId="0" borderId="372" xfId="0" applyFont="1" applyFill="1" applyBorder="1" applyAlignment="1" applyProtection="1">
      <alignment horizontal="center" vertical="center" shrinkToFit="1"/>
      <protection locked="0"/>
    </xf>
    <xf numFmtId="38" fontId="13" fillId="0" borderId="372" xfId="0" applyNumberFormat="1" applyFont="1" applyFill="1" applyBorder="1" applyAlignment="1" applyProtection="1">
      <alignment horizontal="right" vertical="center" shrinkToFit="1"/>
      <protection locked="0"/>
    </xf>
    <xf numFmtId="177" fontId="13" fillId="0" borderId="372" xfId="0" applyNumberFormat="1" applyFont="1" applyFill="1" applyBorder="1" applyAlignment="1" applyProtection="1">
      <alignment vertical="center" shrinkToFit="1"/>
      <protection locked="0"/>
    </xf>
    <xf numFmtId="0" fontId="13" fillId="0" borderId="369" xfId="0" applyFont="1" applyFill="1" applyBorder="1" applyAlignment="1" applyProtection="1">
      <alignment vertical="center"/>
      <protection locked="0"/>
    </xf>
    <xf numFmtId="0" fontId="13" fillId="0" borderId="370" xfId="0" applyFont="1" applyFill="1" applyBorder="1" applyAlignment="1" applyProtection="1">
      <alignment vertical="center"/>
      <protection locked="0"/>
    </xf>
    <xf numFmtId="0" fontId="13" fillId="0" borderId="369" xfId="0" applyFont="1" applyFill="1" applyBorder="1" applyAlignment="1" applyProtection="1">
      <alignment vertical="center" shrinkToFit="1"/>
      <protection locked="0"/>
    </xf>
    <xf numFmtId="181" fontId="13" fillId="0" borderId="369" xfId="0" applyNumberFormat="1" applyFont="1" applyFill="1" applyBorder="1" applyAlignment="1" applyProtection="1">
      <alignment horizontal="left" vertical="center"/>
      <protection locked="0"/>
    </xf>
    <xf numFmtId="0" fontId="33" fillId="0" borderId="369" xfId="0" applyFont="1" applyFill="1" applyBorder="1" applyAlignment="1" applyProtection="1">
      <alignment vertical="center" shrinkToFit="1"/>
      <protection locked="0"/>
    </xf>
    <xf numFmtId="180" fontId="13" fillId="19" borderId="371" xfId="0" applyNumberFormat="1" applyFont="1" applyFill="1" applyBorder="1" applyAlignment="1" applyProtection="1">
      <alignment horizontal="right" vertical="center" shrinkToFit="1"/>
      <protection locked="0"/>
    </xf>
    <xf numFmtId="0" fontId="85" fillId="0" borderId="380" xfId="0" applyFont="1" applyBorder="1" applyAlignment="1">
      <alignment vertical="center"/>
    </xf>
    <xf numFmtId="0" fontId="33" fillId="0" borderId="369" xfId="0" applyFont="1" applyBorder="1" applyAlignment="1" applyProtection="1">
      <alignment vertical="center" shrinkToFit="1"/>
      <protection locked="0"/>
    </xf>
    <xf numFmtId="176" fontId="13" fillId="0" borderId="344" xfId="0" applyNumberFormat="1" applyFont="1" applyBorder="1" applyAlignment="1" applyProtection="1">
      <alignment vertical="center" shrinkToFit="1"/>
      <protection locked="0"/>
    </xf>
    <xf numFmtId="179" fontId="13" fillId="7" borderId="228" xfId="0" applyNumberFormat="1" applyFont="1" applyFill="1" applyBorder="1" applyAlignment="1" applyProtection="1">
      <alignment vertical="center" shrinkToFit="1"/>
      <protection locked="0"/>
    </xf>
    <xf numFmtId="179" fontId="13" fillId="7" borderId="222" xfId="0" applyNumberFormat="1" applyFont="1" applyFill="1" applyBorder="1" applyAlignment="1" applyProtection="1">
      <alignment vertical="center" shrinkToFit="1"/>
      <protection locked="0"/>
    </xf>
    <xf numFmtId="179" fontId="13" fillId="7" borderId="222" xfId="0" applyNumberFormat="1" applyFont="1" applyFill="1" applyBorder="1" applyAlignment="1" applyProtection="1">
      <alignment vertical="center"/>
      <protection locked="0"/>
    </xf>
    <xf numFmtId="179" fontId="13" fillId="7" borderId="222" xfId="0" applyNumberFormat="1" applyFont="1" applyFill="1" applyBorder="1" applyAlignment="1" applyProtection="1">
      <alignment horizontal="center" vertical="center"/>
      <protection locked="0"/>
    </xf>
    <xf numFmtId="0" fontId="3" fillId="0" borderId="233" xfId="0" applyFont="1" applyBorder="1" applyAlignment="1">
      <alignment vertical="center"/>
    </xf>
    <xf numFmtId="21" fontId="13" fillId="0" borderId="210" xfId="0" applyNumberFormat="1" applyFont="1" applyBorder="1" applyAlignment="1" applyProtection="1">
      <alignment vertical="center" wrapText="1"/>
      <protection locked="0"/>
    </xf>
    <xf numFmtId="177" fontId="13" fillId="0" borderId="211" xfId="0" applyNumberFormat="1" applyFont="1" applyBorder="1" applyAlignment="1" applyProtection="1">
      <alignment vertical="center"/>
      <protection locked="0"/>
    </xf>
    <xf numFmtId="0" fontId="13" fillId="0" borderId="217" xfId="0" applyFont="1" applyBorder="1" applyAlignment="1" applyProtection="1">
      <alignment horizontal="center" vertical="center" shrinkToFit="1"/>
      <protection locked="0"/>
    </xf>
    <xf numFmtId="38" fontId="13" fillId="0" borderId="217" xfId="0" applyNumberFormat="1" applyFont="1" applyBorder="1" applyAlignment="1" applyProtection="1">
      <alignment horizontal="right" vertical="center" shrinkToFit="1"/>
      <protection locked="0"/>
    </xf>
    <xf numFmtId="179" fontId="13" fillId="7" borderId="217" xfId="0" applyNumberFormat="1" applyFont="1" applyFill="1" applyBorder="1" applyAlignment="1" applyProtection="1">
      <alignment vertical="center" shrinkToFit="1"/>
      <protection locked="0"/>
    </xf>
    <xf numFmtId="0" fontId="29" fillId="0" borderId="369" xfId="0" applyFont="1" applyBorder="1" applyAlignment="1" applyProtection="1">
      <alignment vertical="center"/>
      <protection locked="0"/>
    </xf>
    <xf numFmtId="0" fontId="39" fillId="0" borderId="369" xfId="0" applyFont="1" applyBorder="1" applyAlignment="1" applyProtection="1">
      <alignment vertical="center"/>
      <protection locked="0"/>
    </xf>
    <xf numFmtId="0" fontId="33" fillId="0" borderId="369" xfId="0" applyFont="1" applyBorder="1" applyAlignment="1" applyProtection="1">
      <alignment vertical="center"/>
      <protection locked="0"/>
    </xf>
    <xf numFmtId="21" fontId="13" fillId="0" borderId="210" xfId="0" quotePrefix="1" applyNumberFormat="1" applyFont="1" applyBorder="1" applyAlignment="1" applyProtection="1">
      <alignment vertical="center" wrapText="1"/>
      <protection locked="0"/>
    </xf>
    <xf numFmtId="0" fontId="13" fillId="0" borderId="210" xfId="0" applyFont="1" applyBorder="1" applyAlignment="1" applyProtection="1">
      <alignment vertical="center"/>
      <protection locked="0"/>
    </xf>
    <xf numFmtId="0" fontId="29" fillId="0" borderId="210" xfId="0" applyFont="1" applyBorder="1" applyAlignment="1" applyProtection="1">
      <alignment vertical="center"/>
      <protection locked="0"/>
    </xf>
    <xf numFmtId="0" fontId="23" fillId="0" borderId="209" xfId="0" applyNumberFormat="1" applyFont="1" applyBorder="1" applyAlignment="1">
      <alignment shrinkToFit="1"/>
    </xf>
    <xf numFmtId="183" fontId="23" fillId="0" borderId="209" xfId="0" quotePrefix="1" applyNumberFormat="1" applyFont="1" applyBorder="1" applyAlignment="1">
      <alignment vertical="center" shrinkToFit="1"/>
    </xf>
    <xf numFmtId="0" fontId="13" fillId="0" borderId="230" xfId="0" applyFont="1" applyBorder="1" applyAlignment="1" applyProtection="1">
      <alignment vertical="center"/>
      <protection locked="0"/>
    </xf>
    <xf numFmtId="179" fontId="13" fillId="24" borderId="348" xfId="0" applyNumberFormat="1" applyFont="1" applyFill="1" applyBorder="1" applyAlignment="1" applyProtection="1">
      <alignment vertical="center" shrinkToFit="1"/>
      <protection locked="0"/>
    </xf>
    <xf numFmtId="38" fontId="13" fillId="23" borderId="369" xfId="4" applyFont="1" applyFill="1" applyBorder="1" applyAlignment="1" applyProtection="1">
      <alignment vertical="center"/>
      <protection locked="0"/>
    </xf>
    <xf numFmtId="0" fontId="58" fillId="27" borderId="383" xfId="0" applyFont="1" applyFill="1" applyBorder="1" applyAlignment="1">
      <alignment horizontal="center" vertical="center" shrinkToFit="1"/>
    </xf>
    <xf numFmtId="193" fontId="58" fillId="0" borderId="384" xfId="0" applyNumberFormat="1" applyFont="1" applyFill="1" applyBorder="1" applyAlignment="1">
      <alignment shrinkToFit="1"/>
    </xf>
    <xf numFmtId="10" fontId="58" fillId="0" borderId="384" xfId="0" applyNumberFormat="1" applyFont="1" applyFill="1" applyBorder="1" applyAlignment="1">
      <alignment horizontal="right" shrinkToFit="1"/>
    </xf>
    <xf numFmtId="38" fontId="58" fillId="0" borderId="384" xfId="0" applyNumberFormat="1" applyFont="1" applyFill="1" applyBorder="1" applyAlignment="1">
      <alignment horizontal="right"/>
    </xf>
    <xf numFmtId="0" fontId="4" fillId="0" borderId="385" xfId="0" applyFont="1" applyFill="1" applyBorder="1" applyAlignment="1">
      <alignment horizontal="right"/>
    </xf>
    <xf numFmtId="0" fontId="4" fillId="0" borderId="386" xfId="0" applyFont="1" applyFill="1" applyBorder="1" applyAlignment="1">
      <alignment horizontal="right"/>
    </xf>
    <xf numFmtId="0" fontId="4" fillId="0" borderId="386" xfId="0" applyFont="1" applyFill="1" applyBorder="1" applyAlignment="1">
      <alignment horizontal="left"/>
    </xf>
    <xf numFmtId="0" fontId="4" fillId="0" borderId="384" xfId="0" applyFont="1" applyFill="1" applyBorder="1" applyAlignment="1">
      <alignment horizontal="left"/>
    </xf>
    <xf numFmtId="0" fontId="4" fillId="0" borderId="384" xfId="0" applyFont="1" applyFill="1" applyBorder="1" applyAlignment="1">
      <alignment horizontal="right"/>
    </xf>
    <xf numFmtId="38" fontId="9" fillId="0" borderId="384" xfId="0" applyNumberFormat="1" applyFont="1" applyFill="1" applyBorder="1" applyAlignment="1">
      <alignment horizontal="right"/>
    </xf>
    <xf numFmtId="38" fontId="9" fillId="0" borderId="384" xfId="0" applyNumberFormat="1" applyFont="1" applyFill="1" applyBorder="1" applyAlignment="1">
      <alignment horizontal="right" shrinkToFit="1"/>
    </xf>
    <xf numFmtId="0" fontId="13" fillId="23" borderId="308" xfId="0" applyFont="1" applyFill="1" applyBorder="1" applyAlignment="1" applyProtection="1">
      <alignment vertical="center"/>
      <protection locked="0"/>
    </xf>
    <xf numFmtId="38" fontId="13" fillId="23" borderId="308" xfId="4" applyFont="1" applyFill="1" applyBorder="1" applyAlignment="1" applyProtection="1">
      <alignment vertical="center" shrinkToFit="1"/>
      <protection locked="0"/>
    </xf>
    <xf numFmtId="0" fontId="13" fillId="0" borderId="308" xfId="0" quotePrefix="1" applyFont="1" applyBorder="1" applyAlignment="1" applyProtection="1">
      <alignment vertical="center"/>
      <protection locked="0"/>
    </xf>
    <xf numFmtId="177" fontId="13" fillId="0" borderId="308" xfId="0" applyNumberFormat="1" applyFont="1" applyBorder="1" applyAlignment="1" applyProtection="1">
      <alignment vertical="center"/>
      <protection locked="0"/>
    </xf>
    <xf numFmtId="0" fontId="13" fillId="0" borderId="290" xfId="0" applyFont="1" applyBorder="1" applyAlignment="1" applyProtection="1">
      <alignment horizontal="center" vertical="center" shrinkToFit="1"/>
      <protection locked="0"/>
    </xf>
    <xf numFmtId="177" fontId="13" fillId="0" borderId="290" xfId="0" applyNumberFormat="1" applyFont="1" applyBorder="1" applyAlignment="1" applyProtection="1">
      <alignment horizontal="right" vertical="center" shrinkToFit="1"/>
      <protection locked="0"/>
    </xf>
    <xf numFmtId="0" fontId="13" fillId="0" borderId="292" xfId="0" applyFont="1" applyBorder="1" applyAlignment="1" applyProtection="1">
      <alignment vertical="center"/>
      <protection locked="0"/>
    </xf>
    <xf numFmtId="0" fontId="13" fillId="0" borderId="388" xfId="0" applyNumberFormat="1" applyFont="1" applyBorder="1" applyAlignment="1" applyProtection="1">
      <alignment horizontal="right" vertical="center"/>
      <protection locked="0"/>
    </xf>
    <xf numFmtId="0" fontId="13" fillId="0" borderId="389" xfId="0" applyFont="1" applyBorder="1" applyAlignment="1" applyProtection="1">
      <alignment vertical="center"/>
      <protection locked="0"/>
    </xf>
    <xf numFmtId="0" fontId="13" fillId="0" borderId="390" xfId="0" applyFont="1" applyBorder="1" applyAlignment="1" applyProtection="1">
      <alignment vertical="center" wrapText="1"/>
      <protection locked="0"/>
    </xf>
    <xf numFmtId="186" fontId="13" fillId="0" borderId="390" xfId="0" applyNumberFormat="1" applyFont="1" applyBorder="1" applyAlignment="1" applyProtection="1">
      <alignment vertical="center" shrinkToFit="1"/>
      <protection locked="0"/>
    </xf>
    <xf numFmtId="0" fontId="13" fillId="0" borderId="390" xfId="0" applyFont="1" applyBorder="1" applyAlignment="1" applyProtection="1">
      <alignment horizontal="center" vertical="center" shrinkToFit="1"/>
      <protection locked="0"/>
    </xf>
    <xf numFmtId="38" fontId="13" fillId="0" borderId="390" xfId="0" applyNumberFormat="1" applyFont="1" applyBorder="1" applyAlignment="1" applyProtection="1">
      <alignment vertical="center" shrinkToFit="1"/>
      <protection locked="0"/>
    </xf>
    <xf numFmtId="177" fontId="13" fillId="0" borderId="390" xfId="0" applyNumberFormat="1" applyFont="1" applyBorder="1" applyAlignment="1" applyProtection="1">
      <alignment vertical="center" shrinkToFit="1"/>
      <protection locked="0"/>
    </xf>
    <xf numFmtId="0" fontId="13" fillId="0" borderId="391" xfId="0" applyFont="1" applyBorder="1" applyAlignment="1" applyProtection="1">
      <alignment vertical="center"/>
      <protection locked="0"/>
    </xf>
    <xf numFmtId="0" fontId="13" fillId="0" borderId="388" xfId="0" applyFont="1" applyBorder="1" applyAlignment="1" applyProtection="1">
      <alignment horizontal="right" vertical="center"/>
      <protection locked="0"/>
    </xf>
    <xf numFmtId="38" fontId="13" fillId="0" borderId="290" xfId="0" applyNumberFormat="1" applyFont="1" applyBorder="1" applyAlignment="1" applyProtection="1">
      <alignment horizontal="right" vertical="center" shrinkToFit="1"/>
      <protection locked="0"/>
    </xf>
    <xf numFmtId="0" fontId="13" fillId="0" borderId="308" xfId="0" applyFont="1" applyBorder="1" applyAlignment="1" applyProtection="1">
      <alignment vertical="center" shrinkToFit="1"/>
      <protection locked="0"/>
    </xf>
    <xf numFmtId="0" fontId="13" fillId="24" borderId="291" xfId="0" applyFont="1" applyFill="1" applyBorder="1" applyAlignment="1" applyProtection="1">
      <alignment vertical="center"/>
      <protection locked="0"/>
    </xf>
    <xf numFmtId="179" fontId="13" fillId="24" borderId="291" xfId="0" applyNumberFormat="1" applyFont="1" applyFill="1" applyBorder="1" applyAlignment="1" applyProtection="1">
      <alignment vertical="center"/>
      <protection locked="0"/>
    </xf>
    <xf numFmtId="176" fontId="13" fillId="24" borderId="292" xfId="0" applyNumberFormat="1" applyFont="1" applyFill="1" applyBorder="1" applyAlignment="1" applyProtection="1">
      <alignment vertical="center"/>
      <protection locked="0"/>
    </xf>
    <xf numFmtId="0" fontId="3" fillId="0" borderId="392" xfId="0" applyFont="1" applyBorder="1" applyAlignment="1">
      <alignment vertical="center"/>
    </xf>
    <xf numFmtId="0" fontId="0" fillId="0" borderId="393" xfId="0" applyBorder="1"/>
    <xf numFmtId="0" fontId="39" fillId="0" borderId="308" xfId="0" applyFont="1" applyFill="1" applyBorder="1" applyAlignment="1" applyProtection="1">
      <alignment vertical="center" shrinkToFit="1"/>
      <protection locked="0"/>
    </xf>
    <xf numFmtId="0" fontId="13" fillId="0" borderId="308" xfId="0" applyFont="1" applyFill="1" applyBorder="1" applyAlignment="1" applyProtection="1">
      <alignment vertical="center"/>
      <protection locked="0"/>
    </xf>
    <xf numFmtId="0" fontId="33" fillId="0" borderId="308" xfId="0" applyFont="1" applyBorder="1" applyAlignment="1" applyProtection="1">
      <alignment vertical="center" shrinkToFit="1"/>
      <protection locked="0"/>
    </xf>
    <xf numFmtId="181" fontId="13" fillId="0" borderId="308" xfId="0" applyNumberFormat="1" applyFont="1" applyFill="1" applyBorder="1" applyAlignment="1" applyProtection="1">
      <alignment horizontal="left" vertical="center"/>
      <protection locked="0"/>
    </xf>
    <xf numFmtId="176" fontId="13" fillId="0" borderId="290" xfId="0" applyNumberFormat="1" applyFont="1" applyBorder="1" applyAlignment="1" applyProtection="1">
      <alignment vertical="center" shrinkToFit="1"/>
      <protection locked="0"/>
    </xf>
    <xf numFmtId="179" fontId="13" fillId="24" borderId="291" xfId="0" applyNumberFormat="1" applyFont="1" applyFill="1" applyBorder="1" applyAlignment="1" applyProtection="1">
      <alignment vertical="center" shrinkToFit="1"/>
      <protection locked="0"/>
    </xf>
    <xf numFmtId="0" fontId="13" fillId="24" borderId="291" xfId="0" applyFont="1" applyFill="1" applyBorder="1" applyAlignment="1" applyProtection="1">
      <alignment vertical="center" shrinkToFit="1"/>
      <protection locked="0"/>
    </xf>
    <xf numFmtId="0" fontId="9" fillId="27" borderId="277" xfId="0" applyFont="1" applyFill="1" applyBorder="1" applyAlignment="1">
      <alignment horizontal="right" vertical="center"/>
    </xf>
    <xf numFmtId="0" fontId="9" fillId="0" borderId="394" xfId="0" applyFont="1" applyFill="1" applyBorder="1" applyAlignment="1">
      <alignment horizontal="right" vertical="center"/>
    </xf>
    <xf numFmtId="0" fontId="9" fillId="19" borderId="277" xfId="0" applyFont="1" applyFill="1" applyBorder="1" applyAlignment="1">
      <alignment horizontal="left" vertical="center" shrinkToFit="1"/>
    </xf>
    <xf numFmtId="193" fontId="58" fillId="0" borderId="384" xfId="0" applyNumberFormat="1" applyFont="1" applyFill="1" applyBorder="1" applyAlignment="1">
      <alignment vertical="center" shrinkToFit="1"/>
    </xf>
    <xf numFmtId="10" fontId="58" fillId="0" borderId="384" xfId="0" applyNumberFormat="1" applyFont="1" applyFill="1" applyBorder="1" applyAlignment="1">
      <alignment horizontal="right" vertical="center" shrinkToFit="1"/>
    </xf>
    <xf numFmtId="0" fontId="9" fillId="27" borderId="383" xfId="0" applyFont="1" applyFill="1" applyBorder="1" applyAlignment="1">
      <alignment horizontal="center" vertical="center" shrinkToFit="1"/>
    </xf>
    <xf numFmtId="0" fontId="9" fillId="27" borderId="384" xfId="0" applyFont="1" applyFill="1" applyBorder="1" applyAlignment="1">
      <alignment horizontal="left" vertical="center" shrinkToFit="1"/>
    </xf>
    <xf numFmtId="194" fontId="9" fillId="0" borderId="384" xfId="0" applyNumberFormat="1" applyFont="1" applyFill="1" applyBorder="1" applyAlignment="1">
      <alignment vertical="center" shrinkToFit="1"/>
    </xf>
    <xf numFmtId="38" fontId="9" fillId="0" borderId="384" xfId="0" applyNumberFormat="1" applyFont="1" applyFill="1" applyBorder="1" applyAlignment="1">
      <alignment horizontal="right" vertical="center"/>
    </xf>
    <xf numFmtId="38" fontId="9" fillId="0" borderId="384" xfId="0" applyNumberFormat="1" applyFont="1" applyFill="1" applyBorder="1" applyAlignment="1">
      <alignment horizontal="right" vertical="center" shrinkToFit="1"/>
    </xf>
    <xf numFmtId="0" fontId="9" fillId="0" borderId="385" xfId="0" applyFont="1" applyFill="1" applyBorder="1" applyAlignment="1">
      <alignment horizontal="right" vertical="center"/>
    </xf>
    <xf numFmtId="0" fontId="9" fillId="0" borderId="386" xfId="0" applyFont="1" applyFill="1" applyBorder="1" applyAlignment="1">
      <alignment horizontal="right" vertical="center"/>
    </xf>
    <xf numFmtId="0" fontId="9" fillId="0" borderId="386" xfId="0" applyFont="1" applyFill="1" applyBorder="1" applyAlignment="1">
      <alignment horizontal="left" vertical="center"/>
    </xf>
    <xf numFmtId="0" fontId="9" fillId="0" borderId="384" xfId="0" applyFont="1" applyFill="1" applyBorder="1" applyAlignment="1">
      <alignment horizontal="left" vertical="center"/>
    </xf>
    <xf numFmtId="0" fontId="9" fillId="0" borderId="384" xfId="0" applyFont="1" applyFill="1" applyBorder="1" applyAlignment="1">
      <alignment horizontal="right" vertical="center"/>
    </xf>
    <xf numFmtId="0" fontId="4" fillId="0" borderId="277" xfId="0" applyFont="1" applyBorder="1" applyAlignment="1">
      <alignment vertical="center"/>
    </xf>
    <xf numFmtId="0" fontId="4" fillId="0" borderId="277" xfId="0" applyFont="1" applyFill="1" applyBorder="1" applyAlignment="1">
      <alignment vertical="center"/>
    </xf>
    <xf numFmtId="0" fontId="4" fillId="0" borderId="277" xfId="0" applyFont="1" applyFill="1" applyBorder="1" applyAlignment="1">
      <alignment horizontal="distributed"/>
    </xf>
    <xf numFmtId="0" fontId="36" fillId="0" borderId="277" xfId="0" applyFont="1" applyFill="1" applyBorder="1" applyAlignment="1">
      <alignment horizontal="center"/>
    </xf>
    <xf numFmtId="177" fontId="24" fillId="0" borderId="395" xfId="0" applyNumberFormat="1" applyFont="1" applyFill="1" applyBorder="1" applyAlignment="1">
      <alignment horizontal="right" vertical="center" shrinkToFit="1"/>
    </xf>
    <xf numFmtId="0" fontId="18" fillId="0" borderId="398" xfId="0" applyNumberFormat="1" applyFont="1" applyFill="1" applyBorder="1" applyAlignment="1">
      <alignment horizontal="right" vertical="center" shrinkToFit="1"/>
    </xf>
    <xf numFmtId="10" fontId="18" fillId="0" borderId="398" xfId="0" quotePrefix="1" applyNumberFormat="1" applyFont="1" applyFill="1" applyBorder="1" applyAlignment="1">
      <alignment horizontal="right" vertical="center" shrinkToFit="1"/>
    </xf>
    <xf numFmtId="177" fontId="18" fillId="0" borderId="398" xfId="0" applyNumberFormat="1" applyFont="1" applyBorder="1" applyAlignment="1">
      <alignment vertical="center"/>
    </xf>
    <xf numFmtId="177" fontId="18" fillId="32" borderId="398" xfId="0" applyNumberFormat="1" applyFont="1" applyFill="1" applyBorder="1" applyAlignment="1">
      <alignment vertical="center" shrinkToFit="1"/>
    </xf>
    <xf numFmtId="177" fontId="18" fillId="32" borderId="399" xfId="0" applyNumberFormat="1" applyFont="1" applyFill="1" applyBorder="1" applyAlignment="1">
      <alignment vertical="center" shrinkToFit="1"/>
    </xf>
    <xf numFmtId="0" fontId="4" fillId="0" borderId="277" xfId="0" applyFont="1" applyFill="1" applyBorder="1" applyAlignment="1">
      <alignment horizontal="left"/>
    </xf>
    <xf numFmtId="0" fontId="4" fillId="0" borderId="383" xfId="0" applyFont="1" applyFill="1" applyBorder="1" applyAlignment="1">
      <alignment horizontal="center" vertical="center" shrinkToFit="1"/>
    </xf>
    <xf numFmtId="193" fontId="4" fillId="0" borderId="384" xfId="0" applyNumberFormat="1" applyFont="1" applyFill="1" applyBorder="1" applyAlignment="1">
      <alignment shrinkToFit="1"/>
    </xf>
    <xf numFmtId="10" fontId="4" fillId="0" borderId="384" xfId="0" applyNumberFormat="1" applyFont="1" applyFill="1" applyBorder="1" applyAlignment="1">
      <alignment horizontal="right" shrinkToFit="1"/>
    </xf>
    <xf numFmtId="0" fontId="13" fillId="0" borderId="210" xfId="0" applyFont="1" applyBorder="1" applyAlignment="1" applyProtection="1">
      <alignment horizontal="right" vertical="center" shrinkToFit="1"/>
      <protection locked="0"/>
    </xf>
    <xf numFmtId="0" fontId="18" fillId="0" borderId="219" xfId="0" applyFont="1" applyBorder="1" applyAlignment="1" applyProtection="1">
      <alignment horizontal="center" vertical="center" shrinkToFit="1"/>
      <protection locked="0"/>
    </xf>
    <xf numFmtId="178" fontId="18" fillId="0" borderId="220" xfId="0" applyNumberFormat="1" applyFont="1" applyBorder="1" applyAlignment="1" applyProtection="1">
      <alignment horizontal="center" vertical="center" shrinkToFit="1"/>
      <protection locked="0"/>
    </xf>
    <xf numFmtId="0" fontId="18" fillId="0" borderId="220" xfId="0" applyFont="1" applyBorder="1" applyAlignment="1" applyProtection="1">
      <alignment vertical="center" shrinkToFit="1"/>
      <protection locked="0"/>
    </xf>
    <xf numFmtId="38" fontId="13" fillId="23" borderId="308" xfId="4" applyFont="1" applyFill="1" applyBorder="1" applyAlignment="1" applyProtection="1">
      <alignment vertical="center"/>
      <protection locked="0"/>
    </xf>
    <xf numFmtId="0" fontId="39" fillId="0" borderId="400" xfId="0" applyFont="1" applyBorder="1" applyAlignment="1" applyProtection="1">
      <alignment vertical="center"/>
      <protection locked="0"/>
    </xf>
    <xf numFmtId="14" fontId="3" fillId="0" borderId="0" xfId="0" applyNumberFormat="1" applyFont="1" applyAlignment="1">
      <alignment vertical="center"/>
    </xf>
    <xf numFmtId="177" fontId="27" fillId="0" borderId="141" xfId="0" applyNumberFormat="1" applyFont="1" applyBorder="1" applyAlignment="1" applyProtection="1">
      <alignment horizontal="right" vertical="center"/>
      <protection locked="0"/>
    </xf>
    <xf numFmtId="0" fontId="27" fillId="0" borderId="174" xfId="0" applyFont="1" applyBorder="1" applyAlignment="1" applyProtection="1">
      <alignment horizontal="right" vertical="center"/>
      <protection locked="0"/>
    </xf>
    <xf numFmtId="0" fontId="7" fillId="0" borderId="141" xfId="0" applyFont="1" applyBorder="1" applyAlignment="1" applyProtection="1">
      <alignment horizontal="center" vertical="center"/>
    </xf>
    <xf numFmtId="0" fontId="35" fillId="0" borderId="61" xfId="0" applyFont="1" applyBorder="1" applyAlignment="1" applyProtection="1">
      <alignment horizontal="center" vertical="center"/>
    </xf>
    <xf numFmtId="0" fontId="34" fillId="0" borderId="62" xfId="0" applyFont="1" applyBorder="1" applyAlignment="1">
      <alignment vertical="center"/>
    </xf>
    <xf numFmtId="0" fontId="34" fillId="0" borderId="63" xfId="0" applyFont="1" applyBorder="1" applyAlignment="1">
      <alignment vertical="center"/>
    </xf>
    <xf numFmtId="0" fontId="35" fillId="0" borderId="171" xfId="0" quotePrefix="1" applyFont="1" applyBorder="1" applyAlignment="1" applyProtection="1">
      <alignment horizontal="center" vertical="center"/>
      <protection locked="0"/>
    </xf>
    <xf numFmtId="0" fontId="34" fillId="0" borderId="0" xfId="0" applyFont="1" applyBorder="1" applyAlignment="1">
      <alignment horizontal="center" vertical="center"/>
    </xf>
    <xf numFmtId="0" fontId="34" fillId="0" borderId="172" xfId="0" applyFont="1" applyBorder="1" applyAlignment="1">
      <alignment horizontal="center" vertical="center"/>
    </xf>
    <xf numFmtId="0" fontId="35" fillId="15" borderId="175" xfId="0" applyFont="1" applyFill="1" applyBorder="1" applyAlignment="1" applyProtection="1">
      <alignment horizontal="center" vertical="center"/>
      <protection locked="0"/>
    </xf>
    <xf numFmtId="0" fontId="34" fillId="15" borderId="175" xfId="0" applyFont="1" applyFill="1" applyBorder="1" applyAlignment="1">
      <alignment horizontal="center" vertical="center"/>
    </xf>
    <xf numFmtId="0" fontId="22" fillId="0" borderId="0" xfId="0" applyFont="1" applyBorder="1" applyAlignment="1" applyProtection="1">
      <alignment vertical="center" wrapText="1"/>
      <protection locked="0"/>
    </xf>
    <xf numFmtId="0" fontId="0" fillId="0" borderId="0" xfId="0" applyFont="1" applyAlignment="1">
      <alignment vertical="center"/>
    </xf>
    <xf numFmtId="0" fontId="0" fillId="0" borderId="0" xfId="0" applyFont="1" applyAlignment="1">
      <alignment vertical="center" wrapText="1"/>
    </xf>
    <xf numFmtId="177" fontId="27" fillId="0" borderId="0" xfId="0" applyNumberFormat="1" applyFont="1" applyBorder="1" applyAlignment="1" applyProtection="1">
      <alignment horizontal="right" vertical="center"/>
      <protection locked="0"/>
    </xf>
    <xf numFmtId="0" fontId="27" fillId="0" borderId="172" xfId="0" applyFont="1" applyBorder="1" applyAlignment="1" applyProtection="1">
      <alignment horizontal="right" vertical="center"/>
      <protection locked="0"/>
    </xf>
    <xf numFmtId="0" fontId="3" fillId="0" borderId="0" xfId="0" applyFont="1" applyBorder="1" applyAlignment="1">
      <alignment horizontal="center" vertical="center"/>
    </xf>
    <xf numFmtId="189" fontId="9" fillId="0" borderId="335" xfId="0" applyNumberFormat="1" applyFont="1" applyFill="1" applyBorder="1" applyAlignment="1" applyProtection="1">
      <alignment horizontal="center" vertical="center" shrinkToFit="1"/>
      <protection locked="0"/>
    </xf>
    <xf numFmtId="189" fontId="9" fillId="0" borderId="336" xfId="0" applyNumberFormat="1" applyFont="1" applyFill="1" applyBorder="1" applyAlignment="1" applyProtection="1">
      <alignment horizontal="center" vertical="center" shrinkToFit="1"/>
      <protection locked="0"/>
    </xf>
    <xf numFmtId="189" fontId="9" fillId="19" borderId="335" xfId="0" applyNumberFormat="1" applyFont="1" applyFill="1" applyBorder="1" applyAlignment="1" applyProtection="1">
      <alignment horizontal="center" vertical="center" shrinkToFit="1"/>
      <protection locked="0"/>
    </xf>
    <xf numFmtId="189" fontId="9" fillId="19" borderId="336" xfId="0" applyNumberFormat="1" applyFont="1" applyFill="1" applyBorder="1" applyAlignment="1" applyProtection="1">
      <alignment horizontal="center" vertical="center" shrinkToFit="1"/>
      <protection locked="0"/>
    </xf>
    <xf numFmtId="179" fontId="13" fillId="0" borderId="308" xfId="0" applyNumberFormat="1" applyFont="1" applyBorder="1" applyAlignment="1" applyProtection="1">
      <alignment horizontal="right" vertical="center"/>
      <protection locked="0"/>
    </xf>
    <xf numFmtId="179" fontId="13" fillId="0" borderId="289" xfId="0" applyNumberFormat="1" applyFont="1" applyBorder="1" applyAlignment="1" applyProtection="1">
      <alignment horizontal="right" vertical="center"/>
      <protection locked="0"/>
    </xf>
    <xf numFmtId="177" fontId="12" fillId="0" borderId="308" xfId="0" applyNumberFormat="1" applyFont="1" applyBorder="1" applyAlignment="1" applyProtection="1">
      <alignment horizontal="right" vertical="center"/>
      <protection locked="0"/>
    </xf>
    <xf numFmtId="0" fontId="12" fillId="0" borderId="289" xfId="0" applyFont="1" applyBorder="1" applyAlignment="1" applyProtection="1">
      <alignment horizontal="right" vertical="center"/>
      <protection locked="0"/>
    </xf>
    <xf numFmtId="190" fontId="9" fillId="0" borderId="337" xfId="0" applyNumberFormat="1" applyFont="1" applyFill="1" applyBorder="1" applyAlignment="1" applyProtection="1">
      <alignment horizontal="center" vertical="center" shrinkToFit="1"/>
      <protection locked="0"/>
    </xf>
    <xf numFmtId="49" fontId="9" fillId="0" borderId="335" xfId="0" applyNumberFormat="1" applyFont="1" applyBorder="1" applyAlignment="1" applyProtection="1">
      <alignment horizontal="center" vertical="center" shrinkToFit="1"/>
    </xf>
    <xf numFmtId="49" fontId="9" fillId="0" borderId="336" xfId="0" applyNumberFormat="1" applyFont="1" applyBorder="1" applyAlignment="1" applyProtection="1">
      <alignment horizontal="center" vertical="center" shrinkToFit="1"/>
    </xf>
    <xf numFmtId="0" fontId="15" fillId="0" borderId="153" xfId="0" applyFont="1" applyFill="1" applyBorder="1" applyAlignment="1" applyProtection="1">
      <alignment horizontal="distributed" vertical="center" justifyLastLine="1"/>
      <protection locked="0"/>
    </xf>
    <xf numFmtId="0" fontId="9" fillId="26" borderId="338" xfId="0" applyFont="1" applyFill="1" applyBorder="1" applyAlignment="1" applyProtection="1">
      <alignment horizontal="center" vertical="center" shrinkToFit="1"/>
    </xf>
    <xf numFmtId="0" fontId="9" fillId="26" borderId="87" xfId="0" applyFont="1" applyFill="1" applyBorder="1" applyAlignment="1" applyProtection="1">
      <alignment horizontal="center" vertical="center" shrinkToFit="1"/>
    </xf>
    <xf numFmtId="195" fontId="46" fillId="19" borderId="339" xfId="0" applyNumberFormat="1" applyFont="1" applyFill="1" applyBorder="1" applyAlignment="1" applyProtection="1">
      <alignment horizontal="center" vertical="center" shrinkToFit="1"/>
      <protection locked="0"/>
    </xf>
    <xf numFmtId="195" fontId="46" fillId="19" borderId="340" xfId="0" applyNumberFormat="1" applyFont="1" applyFill="1" applyBorder="1" applyAlignment="1" applyProtection="1">
      <alignment horizontal="center" vertical="center" shrinkToFit="1"/>
      <protection locked="0"/>
    </xf>
    <xf numFmtId="195" fontId="46" fillId="19" borderId="88" xfId="0" applyNumberFormat="1" applyFont="1" applyFill="1" applyBorder="1" applyAlignment="1" applyProtection="1">
      <alignment horizontal="center" vertical="center" shrinkToFit="1"/>
      <protection locked="0"/>
    </xf>
    <xf numFmtId="195" fontId="46" fillId="19" borderId="232" xfId="0" applyNumberFormat="1" applyFont="1" applyFill="1" applyBorder="1" applyAlignment="1" applyProtection="1">
      <alignment horizontal="center" vertical="center" shrinkToFit="1"/>
      <protection locked="0"/>
    </xf>
    <xf numFmtId="177" fontId="12" fillId="0" borderId="291" xfId="0" applyNumberFormat="1" applyFont="1" applyBorder="1" applyAlignment="1" applyProtection="1">
      <alignment horizontal="right" vertical="center"/>
      <protection locked="0"/>
    </xf>
    <xf numFmtId="0" fontId="12" fillId="0" borderId="292" xfId="0" applyFont="1" applyBorder="1" applyAlignment="1" applyProtection="1">
      <alignment horizontal="right" vertical="center"/>
      <protection locked="0"/>
    </xf>
    <xf numFmtId="0" fontId="12" fillId="0" borderId="140" xfId="0" applyFont="1" applyBorder="1" applyAlignment="1" applyProtection="1">
      <alignment horizontal="center" vertical="center"/>
    </xf>
    <xf numFmtId="0" fontId="12" fillId="0" borderId="62" xfId="0" applyFont="1" applyBorder="1" applyAlignment="1" applyProtection="1">
      <alignment horizontal="center" vertical="center"/>
    </xf>
    <xf numFmtId="0" fontId="12" fillId="0" borderId="63" xfId="0" applyFont="1" applyBorder="1" applyAlignment="1" applyProtection="1">
      <alignment horizontal="center" vertical="center"/>
    </xf>
    <xf numFmtId="179" fontId="13" fillId="0" borderId="308" xfId="2" applyNumberFormat="1" applyFont="1" applyBorder="1" applyAlignment="1" applyProtection="1">
      <alignment horizontal="right" vertical="center"/>
      <protection locked="0"/>
    </xf>
    <xf numFmtId="179" fontId="13" fillId="0" borderId="289" xfId="2" applyNumberFormat="1" applyFont="1" applyBorder="1" applyAlignment="1" applyProtection="1">
      <alignment horizontal="right" vertical="center"/>
      <protection locked="0"/>
    </xf>
    <xf numFmtId="177" fontId="12" fillId="0" borderId="308" xfId="2" applyNumberFormat="1" applyFont="1" applyBorder="1" applyAlignment="1" applyProtection="1">
      <alignment horizontal="right" vertical="center"/>
      <protection locked="0"/>
    </xf>
    <xf numFmtId="0" fontId="12" fillId="0" borderId="289" xfId="2" applyFont="1" applyBorder="1" applyAlignment="1" applyProtection="1">
      <alignment horizontal="right" vertical="center"/>
      <protection locked="0"/>
    </xf>
    <xf numFmtId="177" fontId="12" fillId="0" borderId="291" xfId="2" applyNumberFormat="1" applyFont="1" applyBorder="1" applyAlignment="1" applyProtection="1">
      <alignment horizontal="right" vertical="center"/>
      <protection locked="0"/>
    </xf>
    <xf numFmtId="0" fontId="12" fillId="0" borderId="292" xfId="2" applyFont="1" applyBorder="1" applyAlignment="1" applyProtection="1">
      <alignment horizontal="right" vertical="center"/>
      <protection locked="0"/>
    </xf>
    <xf numFmtId="187" fontId="9" fillId="0" borderId="0" xfId="0" applyNumberFormat="1" applyFont="1" applyFill="1" applyBorder="1" applyAlignment="1" applyProtection="1">
      <alignment horizontal="left" vertical="center"/>
      <protection locked="0"/>
    </xf>
    <xf numFmtId="0" fontId="27" fillId="0" borderId="0" xfId="0" applyFont="1" applyBorder="1" applyAlignment="1" applyProtection="1">
      <alignment vertical="center" shrinkToFit="1"/>
    </xf>
    <xf numFmtId="0" fontId="0" fillId="0" borderId="0" xfId="0" applyFont="1" applyAlignment="1">
      <alignment vertical="center" shrinkToFit="1"/>
    </xf>
    <xf numFmtId="177" fontId="52" fillId="26" borderId="335" xfId="0" applyNumberFormat="1" applyFont="1" applyFill="1" applyBorder="1" applyAlignment="1" applyProtection="1">
      <alignment horizontal="center" vertical="center"/>
    </xf>
    <xf numFmtId="177" fontId="52" fillId="26" borderId="336" xfId="0" applyNumberFormat="1" applyFont="1" applyFill="1" applyBorder="1" applyAlignment="1" applyProtection="1">
      <alignment horizontal="center" vertical="center"/>
    </xf>
    <xf numFmtId="0" fontId="24" fillId="0" borderId="0" xfId="0" applyFont="1" applyBorder="1" applyAlignment="1" applyProtection="1">
      <alignment horizontal="center" vertical="center" shrinkToFit="1"/>
    </xf>
    <xf numFmtId="0" fontId="16" fillId="0" borderId="0" xfId="0" applyFont="1" applyFill="1" applyBorder="1" applyAlignment="1" applyProtection="1">
      <alignment horizontal="center" vertical="center"/>
    </xf>
    <xf numFmtId="0" fontId="24" fillId="0" borderId="142" xfId="0" applyFont="1" applyBorder="1" applyAlignment="1" applyProtection="1">
      <alignment horizontal="center" vertical="center" shrinkToFit="1"/>
    </xf>
    <xf numFmtId="0" fontId="24" fillId="0" borderId="161" xfId="0" applyFont="1" applyBorder="1" applyAlignment="1" applyProtection="1">
      <alignment horizontal="center" vertical="center" shrinkToFit="1"/>
    </xf>
    <xf numFmtId="0" fontId="24" fillId="0" borderId="143" xfId="0" applyFont="1" applyBorder="1" applyAlignment="1" applyProtection="1">
      <alignment horizontal="center" vertical="center" shrinkToFit="1"/>
    </xf>
    <xf numFmtId="0" fontId="5" fillId="0" borderId="0" xfId="0" applyFont="1" applyFill="1" applyBorder="1" applyAlignment="1" applyProtection="1">
      <alignment horizontal="center" vertical="center"/>
    </xf>
    <xf numFmtId="0" fontId="12" fillId="0" borderId="200" xfId="0" applyFont="1" applyFill="1" applyBorder="1" applyAlignment="1" applyProtection="1">
      <alignment horizontal="center" vertical="center"/>
    </xf>
    <xf numFmtId="0" fontId="18" fillId="0" borderId="206" xfId="0" applyFont="1" applyBorder="1" applyAlignment="1">
      <alignment horizontal="center" vertical="center" shrinkToFit="1"/>
    </xf>
    <xf numFmtId="0" fontId="18" fillId="0" borderId="207" xfId="0" applyFont="1" applyBorder="1" applyAlignment="1">
      <alignment horizontal="center" vertical="center" shrinkToFit="1"/>
    </xf>
    <xf numFmtId="0" fontId="16" fillId="0" borderId="176" xfId="0" applyFont="1" applyFill="1" applyBorder="1" applyAlignment="1" applyProtection="1">
      <alignment horizontal="center" vertical="center"/>
    </xf>
    <xf numFmtId="178" fontId="4" fillId="0" borderId="251" xfId="0" applyNumberFormat="1" applyFont="1" applyBorder="1" applyAlignment="1" applyProtection="1">
      <alignment horizontal="center" vertical="center" shrinkToFit="1"/>
      <protection locked="0"/>
    </xf>
    <xf numFmtId="178" fontId="4" fillId="0" borderId="153" xfId="0" applyNumberFormat="1" applyFont="1" applyBorder="1" applyAlignment="1" applyProtection="1">
      <alignment horizontal="center" vertical="center" shrinkToFit="1"/>
      <protection locked="0"/>
    </xf>
    <xf numFmtId="0" fontId="28" fillId="25" borderId="326" xfId="0" applyFont="1" applyFill="1" applyBorder="1" applyAlignment="1">
      <alignment horizontal="left" vertical="center" wrapText="1"/>
    </xf>
    <xf numFmtId="0" fontId="28" fillId="25" borderId="153" xfId="0" applyFont="1" applyFill="1" applyBorder="1" applyAlignment="1">
      <alignment horizontal="left" vertical="center" wrapText="1"/>
    </xf>
    <xf numFmtId="0" fontId="28" fillId="25" borderId="328" xfId="0" applyFont="1" applyFill="1" applyBorder="1" applyAlignment="1">
      <alignment horizontal="left" vertical="center" wrapText="1"/>
    </xf>
    <xf numFmtId="178" fontId="4" fillId="0" borderId="305" xfId="0" applyNumberFormat="1" applyFont="1" applyBorder="1" applyAlignment="1" applyProtection="1">
      <alignment horizontal="center" vertical="center" shrinkToFit="1"/>
      <protection locked="0"/>
    </xf>
    <xf numFmtId="178" fontId="4" fillId="0" borderId="278" xfId="0" applyNumberFormat="1" applyFont="1" applyBorder="1" applyAlignment="1" applyProtection="1">
      <alignment horizontal="center" vertical="center" shrinkToFit="1"/>
      <protection locked="0"/>
    </xf>
    <xf numFmtId="0" fontId="28" fillId="25" borderId="307" xfId="0" applyFont="1" applyFill="1" applyBorder="1" applyAlignment="1">
      <alignment horizontal="left" vertical="center" wrapText="1"/>
    </xf>
    <xf numFmtId="0" fontId="28" fillId="25" borderId="308" xfId="0" applyFont="1" applyFill="1" applyBorder="1" applyAlignment="1">
      <alignment horizontal="left" vertical="center" wrapText="1"/>
    </xf>
    <xf numFmtId="0" fontId="28" fillId="25" borderId="309" xfId="0" applyFont="1" applyFill="1" applyBorder="1" applyAlignment="1">
      <alignment horizontal="left" vertical="center" wrapText="1"/>
    </xf>
    <xf numFmtId="178" fontId="4" fillId="0" borderId="250" xfId="0" applyNumberFormat="1" applyFont="1" applyBorder="1" applyAlignment="1" applyProtection="1">
      <alignment horizontal="center" vertical="center" shrinkToFit="1"/>
      <protection locked="0"/>
    </xf>
    <xf numFmtId="178" fontId="4" fillId="0" borderId="293" xfId="0" applyNumberFormat="1" applyFont="1" applyBorder="1" applyAlignment="1" applyProtection="1">
      <alignment horizontal="center" vertical="center" shrinkToFit="1"/>
      <protection locked="0"/>
    </xf>
    <xf numFmtId="0" fontId="28" fillId="25" borderId="294" xfId="0" applyFont="1" applyFill="1" applyBorder="1" applyAlignment="1">
      <alignment horizontal="left" vertical="center" wrapText="1"/>
    </xf>
    <xf numFmtId="0" fontId="28" fillId="25" borderId="228" xfId="0" applyFont="1" applyFill="1" applyBorder="1" applyAlignment="1">
      <alignment horizontal="left" vertical="center" wrapText="1"/>
    </xf>
    <xf numFmtId="0" fontId="28" fillId="25" borderId="304" xfId="0" applyFont="1" applyFill="1" applyBorder="1" applyAlignment="1">
      <alignment horizontal="left" vertical="center" wrapText="1"/>
    </xf>
    <xf numFmtId="178" fontId="4" fillId="0" borderId="318" xfId="0" applyNumberFormat="1" applyFont="1" applyBorder="1" applyAlignment="1" applyProtection="1">
      <alignment horizontal="center" vertical="center" shrinkToFit="1"/>
      <protection locked="0"/>
    </xf>
    <xf numFmtId="178" fontId="4" fillId="0" borderId="319" xfId="0" applyNumberFormat="1" applyFont="1" applyBorder="1" applyAlignment="1" applyProtection="1">
      <alignment horizontal="center" vertical="center" shrinkToFit="1"/>
      <protection locked="0"/>
    </xf>
    <xf numFmtId="0" fontId="28" fillId="25" borderId="321" xfId="0" applyFont="1" applyFill="1" applyBorder="1" applyAlignment="1">
      <alignment horizontal="left" vertical="center" wrapText="1"/>
    </xf>
    <xf numFmtId="0" fontId="28" fillId="25" borderId="323" xfId="0" applyFont="1" applyFill="1" applyBorder="1" applyAlignment="1">
      <alignment horizontal="left" vertical="center" wrapText="1"/>
    </xf>
    <xf numFmtId="0" fontId="28" fillId="25" borderId="324" xfId="0" applyFont="1" applyFill="1" applyBorder="1" applyAlignment="1">
      <alignment horizontal="left" vertical="center" wrapText="1"/>
    </xf>
    <xf numFmtId="178" fontId="4" fillId="0" borderId="277" xfId="0" applyNumberFormat="1" applyFont="1" applyBorder="1" applyAlignment="1" applyProtection="1">
      <alignment horizontal="center" vertical="center" shrinkToFit="1"/>
      <protection locked="0"/>
    </xf>
    <xf numFmtId="178" fontId="4" fillId="0" borderId="325" xfId="0" applyNumberFormat="1" applyFont="1" applyBorder="1" applyAlignment="1" applyProtection="1">
      <alignment horizontal="center" vertical="center" shrinkToFit="1"/>
      <protection locked="0"/>
    </xf>
    <xf numFmtId="178" fontId="4" fillId="0" borderId="310" xfId="0" applyNumberFormat="1" applyFont="1" applyBorder="1" applyAlignment="1" applyProtection="1">
      <alignment horizontal="center" vertical="center" shrinkToFit="1"/>
      <protection locked="0"/>
    </xf>
    <xf numFmtId="178" fontId="4" fillId="0" borderId="311" xfId="0" applyNumberFormat="1" applyFont="1" applyBorder="1" applyAlignment="1" applyProtection="1">
      <alignment horizontal="center" vertical="center" shrinkToFit="1"/>
      <protection locked="0"/>
    </xf>
    <xf numFmtId="0" fontId="28" fillId="25" borderId="313" xfId="0" applyFont="1" applyFill="1" applyBorder="1" applyAlignment="1">
      <alignment horizontal="left" vertical="center" wrapText="1"/>
    </xf>
    <xf numFmtId="0" fontId="28" fillId="25" borderId="315" xfId="0" applyFont="1" applyFill="1" applyBorder="1" applyAlignment="1">
      <alignment horizontal="left" vertical="center" wrapText="1"/>
    </xf>
    <xf numFmtId="0" fontId="28" fillId="25" borderId="316" xfId="0" applyFont="1" applyFill="1" applyBorder="1" applyAlignment="1">
      <alignment horizontal="left" vertical="center" wrapText="1"/>
    </xf>
    <xf numFmtId="0" fontId="51" fillId="0" borderId="0" xfId="0" applyFont="1" applyFill="1" applyBorder="1" applyAlignment="1" applyProtection="1">
      <alignment horizontal="center" vertical="center"/>
    </xf>
    <xf numFmtId="0" fontId="13" fillId="14" borderId="124" xfId="0" applyFont="1" applyFill="1" applyBorder="1" applyAlignment="1" applyProtection="1">
      <alignment horizontal="center" vertical="center"/>
    </xf>
    <xf numFmtId="0" fontId="13" fillId="14" borderId="123" xfId="0" applyFont="1" applyFill="1" applyBorder="1" applyAlignment="1" applyProtection="1">
      <alignment horizontal="center" vertical="center"/>
    </xf>
    <xf numFmtId="0" fontId="13" fillId="14" borderId="302" xfId="0" applyFont="1" applyFill="1" applyBorder="1" applyAlignment="1" applyProtection="1">
      <alignment horizontal="center" vertical="center"/>
    </xf>
    <xf numFmtId="0" fontId="13" fillId="14" borderId="300" xfId="0" applyFont="1" applyFill="1" applyBorder="1" applyAlignment="1" applyProtection="1">
      <alignment horizontal="center" vertical="center"/>
    </xf>
    <xf numFmtId="0" fontId="13" fillId="14" borderId="303" xfId="0" applyFont="1" applyFill="1" applyBorder="1" applyAlignment="1" applyProtection="1">
      <alignment horizontal="center" vertical="center"/>
    </xf>
    <xf numFmtId="178" fontId="4" fillId="17" borderId="305" xfId="0" applyNumberFormat="1" applyFont="1" applyFill="1" applyBorder="1" applyAlignment="1" applyProtection="1">
      <alignment horizontal="center" vertical="center" shrinkToFit="1"/>
      <protection locked="0"/>
    </xf>
    <xf numFmtId="178" fontId="4" fillId="17" borderId="325" xfId="0" applyNumberFormat="1" applyFont="1" applyFill="1" applyBorder="1" applyAlignment="1" applyProtection="1">
      <alignment horizontal="center" vertical="center" shrinkToFit="1"/>
      <protection locked="0"/>
    </xf>
    <xf numFmtId="178" fontId="4" fillId="17" borderId="342" xfId="0" applyNumberFormat="1" applyFont="1" applyFill="1" applyBorder="1" applyAlignment="1" applyProtection="1">
      <alignment horizontal="center" vertical="center" shrinkToFit="1"/>
      <protection locked="0"/>
    </xf>
    <xf numFmtId="178" fontId="4" fillId="17" borderId="343" xfId="0" applyNumberFormat="1" applyFont="1" applyFill="1" applyBorder="1" applyAlignment="1" applyProtection="1">
      <alignment horizontal="center" vertical="center" shrinkToFit="1"/>
      <protection locked="0"/>
    </xf>
    <xf numFmtId="178" fontId="4" fillId="0" borderId="279" xfId="0" applyNumberFormat="1" applyFont="1" applyBorder="1" applyAlignment="1" applyProtection="1">
      <alignment horizontal="center" vertical="center" shrinkToFit="1"/>
      <protection locked="0"/>
    </xf>
    <xf numFmtId="178" fontId="4" fillId="17" borderId="282" xfId="0" applyNumberFormat="1" applyFont="1" applyFill="1" applyBorder="1" applyAlignment="1" applyProtection="1">
      <alignment horizontal="center" vertical="center" shrinkToFit="1"/>
      <protection locked="0"/>
    </xf>
    <xf numFmtId="178" fontId="4" fillId="17" borderId="152" xfId="0" applyNumberFormat="1" applyFont="1" applyFill="1" applyBorder="1" applyAlignment="1" applyProtection="1">
      <alignment horizontal="center" vertical="center" shrinkToFit="1"/>
      <protection locked="0"/>
    </xf>
    <xf numFmtId="0" fontId="28" fillId="25" borderId="289" xfId="0" applyFont="1" applyFill="1" applyBorder="1" applyAlignment="1">
      <alignment horizontal="left" vertical="center" wrapText="1"/>
    </xf>
    <xf numFmtId="0" fontId="13" fillId="14" borderId="140" xfId="0" applyFont="1" applyFill="1" applyBorder="1" applyAlignment="1" applyProtection="1">
      <alignment horizontal="center" vertical="center"/>
    </xf>
    <xf numFmtId="0" fontId="13" fillId="14" borderId="62" xfId="0" applyFont="1" applyFill="1" applyBorder="1" applyAlignment="1" applyProtection="1">
      <alignment horizontal="center" vertical="center"/>
    </xf>
    <xf numFmtId="0" fontId="13" fillId="14" borderId="63" xfId="0" applyFont="1" applyFill="1" applyBorder="1" applyAlignment="1" applyProtection="1">
      <alignment horizontal="center" vertical="center"/>
    </xf>
    <xf numFmtId="0" fontId="28" fillId="17" borderId="307" xfId="0" applyFont="1" applyFill="1" applyBorder="1" applyAlignment="1">
      <alignment horizontal="left" vertical="center" wrapText="1"/>
    </xf>
    <xf numFmtId="0" fontId="28" fillId="17" borderId="308" xfId="0" applyFont="1" applyFill="1" applyBorder="1" applyAlignment="1">
      <alignment horizontal="left" vertical="center" wrapText="1"/>
    </xf>
    <xf numFmtId="0" fontId="28" fillId="17" borderId="289" xfId="0" applyFont="1" applyFill="1" applyBorder="1" applyAlignment="1">
      <alignment horizontal="left" vertical="center" wrapText="1"/>
    </xf>
    <xf numFmtId="0" fontId="28" fillId="17" borderId="347" xfId="0" applyFont="1" applyFill="1" applyBorder="1" applyAlignment="1">
      <alignment horizontal="left" vertical="center" wrapText="1"/>
    </xf>
    <xf numFmtId="0" fontId="28" fillId="17" borderId="348" xfId="0" applyFont="1" applyFill="1" applyBorder="1" applyAlignment="1">
      <alignment horizontal="left" vertical="center" wrapText="1"/>
    </xf>
    <xf numFmtId="0" fontId="28" fillId="17" borderId="349" xfId="0" applyFont="1" applyFill="1" applyBorder="1" applyAlignment="1">
      <alignment horizontal="left" vertical="center" wrapText="1"/>
    </xf>
    <xf numFmtId="0" fontId="28" fillId="25" borderId="281" xfId="0" applyFont="1" applyFill="1" applyBorder="1" applyAlignment="1">
      <alignment horizontal="left" vertical="center" wrapText="1"/>
    </xf>
    <xf numFmtId="0" fontId="28" fillId="17" borderId="284" xfId="0" applyFont="1" applyFill="1" applyBorder="1" applyAlignment="1">
      <alignment horizontal="left" vertical="center" wrapText="1"/>
    </xf>
    <xf numFmtId="0" fontId="28" fillId="17" borderId="286" xfId="0" applyFont="1" applyFill="1" applyBorder="1" applyAlignment="1">
      <alignment horizontal="left" vertical="center" wrapText="1"/>
    </xf>
    <xf numFmtId="0" fontId="28" fillId="17" borderId="287" xfId="0" applyFont="1" applyFill="1" applyBorder="1" applyAlignment="1">
      <alignment horizontal="left" vertical="center" wrapText="1"/>
    </xf>
    <xf numFmtId="0" fontId="3" fillId="18" borderId="79" xfId="0" applyFont="1" applyFill="1" applyBorder="1" applyAlignment="1">
      <alignment horizontal="right" shrinkToFit="1"/>
    </xf>
    <xf numFmtId="0" fontId="0" fillId="0" borderId="79" xfId="0" applyFont="1" applyBorder="1" applyAlignment="1">
      <alignment shrinkToFit="1"/>
    </xf>
    <xf numFmtId="0" fontId="0" fillId="0" borderId="168" xfId="0" applyFont="1" applyBorder="1" applyAlignment="1">
      <alignment shrinkToFit="1"/>
    </xf>
    <xf numFmtId="0" fontId="28" fillId="18" borderId="181" xfId="0" applyFont="1" applyFill="1" applyBorder="1" applyAlignment="1">
      <alignment horizontal="center" wrapText="1"/>
    </xf>
    <xf numFmtId="0" fontId="31" fillId="0" borderId="81" xfId="0" applyFont="1" applyBorder="1" applyAlignment="1">
      <alignment horizontal="center" wrapText="1"/>
    </xf>
    <xf numFmtId="0" fontId="3" fillId="18" borderId="199" xfId="0" applyFont="1" applyFill="1" applyBorder="1" applyAlignment="1">
      <alignment horizontal="center" vertical="center" textRotation="255"/>
    </xf>
    <xf numFmtId="0" fontId="0" fillId="0" borderId="186" xfId="0" applyBorder="1" applyAlignment="1">
      <alignment horizontal="center" vertical="center" textRotation="255"/>
    </xf>
    <xf numFmtId="0" fontId="0" fillId="0" borderId="168" xfId="0" applyBorder="1" applyAlignment="1">
      <alignment horizontal="center" vertical="center" textRotation="255"/>
    </xf>
    <xf numFmtId="0" fontId="57" fillId="0" borderId="325" xfId="0" applyFont="1" applyBorder="1" applyAlignment="1">
      <alignment horizontal="right"/>
    </xf>
    <xf numFmtId="0" fontId="57" fillId="0" borderId="355" xfId="0" applyFont="1" applyBorder="1" applyAlignment="1">
      <alignment horizontal="right"/>
    </xf>
    <xf numFmtId="0" fontId="57" fillId="0" borderId="150" xfId="0" applyFont="1" applyBorder="1" applyAlignment="1">
      <alignment horizontal="right" vertical="center" wrapText="1" shrinkToFit="1"/>
    </xf>
    <xf numFmtId="0" fontId="57" fillId="0" borderId="277" xfId="0" applyFont="1" applyBorder="1" applyAlignment="1">
      <alignment horizontal="right" vertical="center" shrinkToFit="1"/>
    </xf>
    <xf numFmtId="0" fontId="57" fillId="0" borderId="165" xfId="0" applyFont="1" applyBorder="1" applyAlignment="1">
      <alignment horizontal="right" vertical="center" shrinkToFit="1"/>
    </xf>
    <xf numFmtId="0" fontId="57" fillId="0" borderId="180" xfId="0" applyFont="1" applyBorder="1" applyAlignment="1">
      <alignment horizontal="right" vertical="center" wrapText="1" shrinkToFit="1"/>
    </xf>
    <xf numFmtId="0" fontId="57" fillId="0" borderId="79" xfId="0" applyFont="1" applyBorder="1" applyAlignment="1">
      <alignment horizontal="right" vertical="center" shrinkToFit="1"/>
    </xf>
    <xf numFmtId="0" fontId="57" fillId="0" borderId="168" xfId="0" applyFont="1" applyBorder="1" applyAlignment="1">
      <alignment horizontal="right" vertical="center" shrinkToFit="1"/>
    </xf>
    <xf numFmtId="0" fontId="4" fillId="27" borderId="179" xfId="0" applyFont="1" applyFill="1" applyBorder="1" applyAlignment="1">
      <alignment horizontal="center"/>
    </xf>
    <xf numFmtId="0" fontId="4" fillId="27" borderId="180" xfId="0" applyFont="1" applyFill="1" applyBorder="1" applyAlignment="1">
      <alignment horizontal="center"/>
    </xf>
    <xf numFmtId="0" fontId="4" fillId="27" borderId="74" xfId="0" applyFont="1" applyFill="1" applyBorder="1" applyAlignment="1">
      <alignment horizontal="center" vertical="center" textRotation="255"/>
    </xf>
    <xf numFmtId="0" fontId="4" fillId="27" borderId="233" xfId="0" applyFont="1" applyFill="1" applyBorder="1" applyAlignment="1">
      <alignment horizontal="center" vertical="center" textRotation="255"/>
    </xf>
    <xf numFmtId="0" fontId="4" fillId="27" borderId="358" xfId="0" applyFont="1" applyFill="1" applyBorder="1" applyAlignment="1">
      <alignment horizontal="center" vertical="center" textRotation="255"/>
    </xf>
    <xf numFmtId="0" fontId="4" fillId="27" borderId="351" xfId="0" applyFont="1" applyFill="1" applyBorder="1" applyAlignment="1">
      <alignment horizontal="center" vertical="center" textRotation="255"/>
    </xf>
    <xf numFmtId="0" fontId="62" fillId="0" borderId="181" xfId="0" applyFont="1" applyFill="1" applyBorder="1" applyAlignment="1">
      <alignment horizontal="center" vertical="center" wrapText="1"/>
    </xf>
    <xf numFmtId="0" fontId="62" fillId="0" borderId="81" xfId="0" applyFont="1" applyFill="1" applyBorder="1" applyAlignment="1">
      <alignment horizontal="center" vertical="center" wrapText="1"/>
    </xf>
    <xf numFmtId="0" fontId="60" fillId="0" borderId="180" xfId="0" applyFont="1" applyFill="1" applyBorder="1" applyAlignment="1">
      <alignment horizontal="left" shrinkToFit="1"/>
    </xf>
    <xf numFmtId="0" fontId="60" fillId="0" borderId="79" xfId="0" applyFont="1" applyFill="1" applyBorder="1" applyAlignment="1">
      <alignment horizontal="left" shrinkToFit="1"/>
    </xf>
    <xf numFmtId="0" fontId="58" fillId="0" borderId="234" xfId="0" applyFont="1" applyFill="1" applyBorder="1" applyAlignment="1">
      <alignment horizontal="center" shrinkToFit="1"/>
    </xf>
    <xf numFmtId="0" fontId="58" fillId="0" borderId="136" xfId="0" applyFont="1" applyFill="1" applyBorder="1" applyAlignment="1">
      <alignment horizontal="center" shrinkToFit="1"/>
    </xf>
    <xf numFmtId="0" fontId="58" fillId="0" borderId="80" xfId="0" applyFont="1" applyFill="1" applyBorder="1" applyAlignment="1">
      <alignment horizontal="center" shrinkToFit="1"/>
    </xf>
    <xf numFmtId="0" fontId="58" fillId="27" borderId="355" xfId="0" applyFont="1" applyFill="1" applyBorder="1" applyAlignment="1">
      <alignment horizontal="center" vertical="center" textRotation="255"/>
    </xf>
    <xf numFmtId="0" fontId="58" fillId="0" borderId="181" xfId="0" applyFont="1" applyFill="1" applyBorder="1" applyAlignment="1">
      <alignment horizontal="center" vertical="center" wrapText="1"/>
    </xf>
    <xf numFmtId="0" fontId="58" fillId="0" borderId="81" xfId="0" applyFont="1" applyFill="1" applyBorder="1" applyAlignment="1">
      <alignment horizontal="center" vertical="center" wrapText="1"/>
    </xf>
    <xf numFmtId="0" fontId="60" fillId="0" borderId="13" xfId="0" applyFont="1" applyFill="1" applyBorder="1" applyAlignment="1">
      <alignment horizontal="left" shrinkToFit="1"/>
    </xf>
    <xf numFmtId="0" fontId="58" fillId="0" borderId="235" xfId="0" applyFont="1" applyFill="1" applyBorder="1" applyAlignment="1">
      <alignment horizontal="center" shrinkToFit="1"/>
    </xf>
    <xf numFmtId="0" fontId="58" fillId="27" borderId="182" xfId="0" applyFont="1" applyFill="1" applyBorder="1" applyAlignment="1">
      <alignment horizontal="center" vertical="center" textRotation="255"/>
    </xf>
    <xf numFmtId="0" fontId="58" fillId="27" borderId="165" xfId="0" applyFont="1" applyFill="1" applyBorder="1" applyAlignment="1">
      <alignment horizontal="center" vertical="center" textRotation="255"/>
    </xf>
    <xf numFmtId="0" fontId="4" fillId="0" borderId="177" xfId="0" applyFont="1" applyFill="1" applyBorder="1" applyAlignment="1">
      <alignment horizontal="center" wrapText="1"/>
    </xf>
    <xf numFmtId="0" fontId="4" fillId="0" borderId="178" xfId="0" applyFont="1" applyFill="1" applyBorder="1" applyAlignment="1">
      <alignment horizontal="center" wrapText="1"/>
    </xf>
    <xf numFmtId="0" fontId="10" fillId="0" borderId="180" xfId="0" applyFont="1" applyFill="1" applyBorder="1" applyAlignment="1">
      <alignment horizontal="center" wrapText="1"/>
    </xf>
    <xf numFmtId="0" fontId="10" fillId="0" borderId="79" xfId="0" applyFont="1" applyFill="1" applyBorder="1" applyAlignment="1">
      <alignment horizontal="center" wrapText="1"/>
    </xf>
    <xf numFmtId="0" fontId="18" fillId="0" borderId="359" xfId="0" applyFont="1" applyFill="1" applyBorder="1" applyAlignment="1">
      <alignment horizontal="left" shrinkToFit="1"/>
    </xf>
    <xf numFmtId="0" fontId="0" fillId="0" borderId="359" xfId="0" applyFont="1" applyBorder="1" applyAlignment="1">
      <alignment shrinkToFit="1"/>
    </xf>
    <xf numFmtId="0" fontId="0" fillId="0" borderId="350" xfId="0" applyFont="1" applyBorder="1" applyAlignment="1">
      <alignment shrinkToFit="1"/>
    </xf>
    <xf numFmtId="0" fontId="18" fillId="0" borderId="181" xfId="0" applyFont="1" applyFill="1" applyBorder="1" applyAlignment="1">
      <alignment horizontal="center" vertical="center" wrapText="1"/>
    </xf>
    <xf numFmtId="0" fontId="18" fillId="0" borderId="81" xfId="0" applyFont="1" applyFill="1" applyBorder="1" applyAlignment="1">
      <alignment horizontal="center" vertical="center" wrapText="1"/>
    </xf>
    <xf numFmtId="0" fontId="36" fillId="0" borderId="180" xfId="0" applyFont="1" applyFill="1" applyBorder="1" applyAlignment="1">
      <alignment horizontal="left" shrinkToFit="1"/>
    </xf>
    <xf numFmtId="0" fontId="36" fillId="0" borderId="79" xfId="0" applyFont="1" applyFill="1" applyBorder="1" applyAlignment="1">
      <alignment horizontal="left" shrinkToFit="1"/>
    </xf>
    <xf numFmtId="0" fontId="4" fillId="0" borderId="234" xfId="0" applyFont="1" applyFill="1" applyBorder="1" applyAlignment="1">
      <alignment horizontal="center" shrinkToFit="1"/>
    </xf>
    <xf numFmtId="0" fontId="4" fillId="0" borderId="136" xfId="0" applyFont="1" applyFill="1" applyBorder="1" applyAlignment="1">
      <alignment horizontal="center" shrinkToFit="1"/>
    </xf>
    <xf numFmtId="0" fontId="4" fillId="0" borderId="80" xfId="0" applyFont="1" applyFill="1" applyBorder="1" applyAlignment="1">
      <alignment horizontal="center" shrinkToFit="1"/>
    </xf>
    <xf numFmtId="0" fontId="4" fillId="27" borderId="355" xfId="0" applyFont="1" applyFill="1" applyBorder="1" applyAlignment="1">
      <alignment horizontal="center" vertical="center" textRotation="255"/>
    </xf>
    <xf numFmtId="0" fontId="4" fillId="0" borderId="181" xfId="0" applyFont="1" applyFill="1" applyBorder="1" applyAlignment="1">
      <alignment horizontal="center" vertical="center" wrapText="1"/>
    </xf>
    <xf numFmtId="0" fontId="4" fillId="0" borderId="81" xfId="0" applyFont="1" applyFill="1" applyBorder="1" applyAlignment="1">
      <alignment horizontal="center" vertical="center" wrapText="1"/>
    </xf>
    <xf numFmtId="0" fontId="36" fillId="0" borderId="13" xfId="0" applyFont="1" applyFill="1" applyBorder="1" applyAlignment="1">
      <alignment horizontal="left" shrinkToFit="1"/>
    </xf>
    <xf numFmtId="0" fontId="4" fillId="27" borderId="182" xfId="0" applyFont="1" applyFill="1" applyBorder="1" applyAlignment="1">
      <alignment horizontal="center" vertical="center" textRotation="255"/>
    </xf>
    <xf numFmtId="0" fontId="4" fillId="27" borderId="165" xfId="0" applyFont="1" applyFill="1" applyBorder="1" applyAlignment="1">
      <alignment horizontal="center" vertical="center" textRotation="255"/>
    </xf>
    <xf numFmtId="0" fontId="28" fillId="27" borderId="358" xfId="0" applyFont="1" applyFill="1" applyBorder="1" applyAlignment="1">
      <alignment horizontal="center" vertical="center" textRotation="255" wrapText="1"/>
    </xf>
    <xf numFmtId="0" fontId="31" fillId="0" borderId="87" xfId="0" applyFont="1" applyBorder="1" applyAlignment="1">
      <alignment horizontal="center" vertical="center" textRotation="255" wrapText="1"/>
    </xf>
    <xf numFmtId="38" fontId="9" fillId="0" borderId="74" xfId="0" applyNumberFormat="1" applyFont="1" applyFill="1" applyBorder="1" applyAlignment="1">
      <alignment horizontal="left"/>
    </xf>
    <xf numFmtId="0" fontId="36" fillId="0" borderId="13" xfId="0" applyFont="1" applyFill="1" applyBorder="1" applyAlignment="1">
      <alignment horizontal="left"/>
    </xf>
    <xf numFmtId="0" fontId="36" fillId="0" borderId="180" xfId="0" applyFont="1" applyFill="1" applyBorder="1" applyAlignment="1">
      <alignment horizontal="left"/>
    </xf>
    <xf numFmtId="38" fontId="9" fillId="0" borderId="351" xfId="0" applyNumberFormat="1" applyFont="1" applyFill="1" applyBorder="1" applyAlignment="1">
      <alignment horizontal="left"/>
    </xf>
    <xf numFmtId="0" fontId="36" fillId="0" borderId="80" xfId="0" applyFont="1" applyFill="1" applyBorder="1" applyAlignment="1">
      <alignment horizontal="left"/>
    </xf>
    <xf numFmtId="0" fontId="4" fillId="0" borderId="233" xfId="0" applyFont="1" applyFill="1" applyBorder="1" applyAlignment="1">
      <alignment horizontal="center" vertical="center" textRotation="255"/>
    </xf>
    <xf numFmtId="0" fontId="4" fillId="0" borderId="177" xfId="0" applyFont="1" applyFill="1" applyBorder="1" applyAlignment="1">
      <alignment horizontal="center"/>
    </xf>
    <xf numFmtId="0" fontId="4" fillId="0" borderId="179" xfId="0" applyFont="1" applyFill="1" applyBorder="1" applyAlignment="1">
      <alignment horizontal="center"/>
    </xf>
    <xf numFmtId="0" fontId="4" fillId="0" borderId="358" xfId="0" applyFont="1" applyFill="1" applyBorder="1" applyAlignment="1">
      <alignment horizontal="center" vertical="center" textRotation="255"/>
    </xf>
    <xf numFmtId="0" fontId="28" fillId="27" borderId="120" xfId="0" applyFont="1" applyFill="1" applyBorder="1" applyAlignment="1">
      <alignment horizontal="center" vertical="center" textRotation="255" wrapText="1"/>
    </xf>
    <xf numFmtId="0" fontId="4" fillId="0" borderId="318" xfId="0" applyFont="1" applyBorder="1" applyAlignment="1">
      <alignment vertical="center" wrapText="1"/>
    </xf>
    <xf numFmtId="0" fontId="4" fillId="0" borderId="249" xfId="0" applyFont="1" applyBorder="1" applyAlignment="1">
      <alignment vertical="center" wrapText="1"/>
    </xf>
    <xf numFmtId="0" fontId="4" fillId="0" borderId="250" xfId="0" applyFont="1" applyBorder="1" applyAlignment="1">
      <alignment vertical="center" wrapText="1"/>
    </xf>
    <xf numFmtId="0" fontId="66" fillId="0" borderId="360" xfId="0" applyFont="1" applyBorder="1" applyAlignment="1">
      <alignment vertical="center" wrapText="1"/>
    </xf>
    <xf numFmtId="0" fontId="66" fillId="0" borderId="186" xfId="0" applyFont="1" applyBorder="1" applyAlignment="1">
      <alignment vertical="center" wrapText="1"/>
    </xf>
    <xf numFmtId="0" fontId="66" fillId="0" borderId="165" xfId="0" applyFont="1" applyBorder="1" applyAlignment="1">
      <alignment vertical="center" wrapText="1"/>
    </xf>
    <xf numFmtId="0" fontId="4" fillId="0" borderId="208" xfId="0" applyFont="1" applyBorder="1" applyAlignment="1">
      <alignment vertical="center"/>
    </xf>
    <xf numFmtId="0" fontId="0" fillId="0" borderId="88" xfId="0" applyFont="1" applyBorder="1" applyAlignment="1">
      <alignment vertical="center"/>
    </xf>
    <xf numFmtId="0" fontId="4" fillId="32" borderId="305" xfId="0" applyFont="1" applyFill="1" applyBorder="1" applyAlignment="1">
      <alignment horizontal="left" vertical="center"/>
    </xf>
    <xf numFmtId="0" fontId="0" fillId="32" borderId="325" xfId="0" applyFont="1" applyFill="1" applyBorder="1" applyAlignment="1">
      <alignment horizontal="left" vertical="center"/>
    </xf>
    <xf numFmtId="0" fontId="0" fillId="32" borderId="325" xfId="0" applyFill="1" applyBorder="1" applyAlignment="1">
      <alignment horizontal="left" vertical="center"/>
    </xf>
    <xf numFmtId="0" fontId="0" fillId="32" borderId="355" xfId="0" applyFill="1" applyBorder="1" applyAlignment="1">
      <alignment horizontal="left" vertical="center"/>
    </xf>
    <xf numFmtId="0" fontId="4" fillId="32" borderId="251" xfId="0" applyFont="1" applyFill="1" applyBorder="1" applyAlignment="1">
      <alignment horizontal="left" vertical="center"/>
    </xf>
    <xf numFmtId="0" fontId="0" fillId="32" borderId="153" xfId="0" applyFont="1" applyFill="1" applyBorder="1" applyAlignment="1">
      <alignment horizontal="left" vertical="center"/>
    </xf>
    <xf numFmtId="0" fontId="0" fillId="32" borderId="153" xfId="0" applyFill="1" applyBorder="1" applyAlignment="1">
      <alignment horizontal="left" vertical="center"/>
    </xf>
    <xf numFmtId="0" fontId="0" fillId="32" borderId="100" xfId="0" applyFill="1" applyBorder="1" applyAlignment="1">
      <alignment horizontal="left" vertical="center"/>
    </xf>
    <xf numFmtId="0" fontId="4" fillId="0" borderId="318" xfId="0" applyFont="1" applyFill="1" applyBorder="1" applyAlignment="1">
      <alignment vertical="center" wrapText="1"/>
    </xf>
    <xf numFmtId="0" fontId="4" fillId="0" borderId="249" xfId="0" applyFont="1" applyFill="1" applyBorder="1" applyAlignment="1">
      <alignment vertical="center" wrapText="1"/>
    </xf>
    <xf numFmtId="0" fontId="4" fillId="0" borderId="250" xfId="0" applyFont="1" applyFill="1" applyBorder="1" applyAlignment="1">
      <alignment vertical="center" wrapText="1"/>
    </xf>
    <xf numFmtId="0" fontId="66" fillId="0" borderId="360" xfId="0" applyFont="1" applyFill="1" applyBorder="1" applyAlignment="1">
      <alignment vertical="center" wrapText="1"/>
    </xf>
    <xf numFmtId="0" fontId="66" fillId="0" borderId="186" xfId="0" applyFont="1" applyFill="1" applyBorder="1" applyAlignment="1">
      <alignment vertical="center" wrapText="1"/>
    </xf>
    <xf numFmtId="0" fontId="66" fillId="0" borderId="165" xfId="0" applyFont="1" applyFill="1" applyBorder="1" applyAlignment="1">
      <alignment vertical="center" wrapText="1"/>
    </xf>
    <xf numFmtId="0" fontId="4" fillId="0" borderId="208" xfId="0" applyFont="1" applyFill="1" applyBorder="1" applyAlignment="1">
      <alignment vertical="center"/>
    </xf>
    <xf numFmtId="0" fontId="0" fillId="0" borderId="88" xfId="0" applyFont="1" applyFill="1" applyBorder="1" applyAlignment="1">
      <alignment vertical="center"/>
    </xf>
    <xf numFmtId="0" fontId="4" fillId="19" borderId="342" xfId="0" applyFont="1" applyFill="1" applyBorder="1" applyAlignment="1">
      <alignment horizontal="center" vertical="center"/>
    </xf>
    <xf numFmtId="0" fontId="0" fillId="19" borderId="343" xfId="0" applyFont="1" applyFill="1" applyBorder="1" applyAlignment="1">
      <alignment horizontal="center" vertical="center"/>
    </xf>
    <xf numFmtId="0" fontId="4" fillId="33" borderId="342" xfId="0" applyFont="1" applyFill="1" applyBorder="1" applyAlignment="1">
      <alignment horizontal="center" vertical="center"/>
    </xf>
    <xf numFmtId="0" fontId="0" fillId="33" borderId="343" xfId="0" applyFont="1" applyFill="1" applyBorder="1" applyAlignment="1">
      <alignment horizontal="center" vertical="center"/>
    </xf>
    <xf numFmtId="0" fontId="0" fillId="33" borderId="153" xfId="0" applyFont="1" applyFill="1" applyBorder="1" applyAlignment="1">
      <alignment horizontal="center" vertical="center"/>
    </xf>
    <xf numFmtId="0" fontId="4" fillId="0" borderId="205" xfId="0" applyFont="1" applyFill="1" applyBorder="1" applyAlignment="1">
      <alignment horizontal="center" vertical="center" textRotation="255"/>
    </xf>
    <xf numFmtId="0" fontId="28" fillId="27" borderId="205" xfId="0" applyFont="1" applyFill="1" applyBorder="1" applyAlignment="1">
      <alignment horizontal="center" vertical="center" textRotation="255" wrapText="1"/>
    </xf>
    <xf numFmtId="0" fontId="4" fillId="27" borderId="205" xfId="0" applyFont="1" applyFill="1" applyBorder="1" applyAlignment="1">
      <alignment horizontal="center" vertical="center" textRotation="255"/>
    </xf>
    <xf numFmtId="0" fontId="22" fillId="0" borderId="11" xfId="0" applyFont="1" applyBorder="1" applyAlignment="1">
      <alignment horizontal="center" vertical="center"/>
    </xf>
    <xf numFmtId="0" fontId="0" fillId="0" borderId="11" xfId="0" applyBorder="1" applyAlignment="1">
      <alignment vertical="center"/>
    </xf>
    <xf numFmtId="181" fontId="24" fillId="0" borderId="368" xfId="0" applyNumberFormat="1" applyFont="1" applyBorder="1" applyAlignment="1" applyProtection="1">
      <alignment horizontal="left" vertical="center" wrapText="1"/>
      <protection locked="0"/>
    </xf>
    <xf numFmtId="181" fontId="24" fillId="0" borderId="369" xfId="0" applyNumberFormat="1" applyFont="1" applyBorder="1" applyAlignment="1" applyProtection="1">
      <alignment horizontal="left" vertical="center" wrapText="1"/>
      <protection locked="0"/>
    </xf>
    <xf numFmtId="181" fontId="24" fillId="0" borderId="370" xfId="0" applyNumberFormat="1" applyFont="1" applyBorder="1" applyAlignment="1" applyProtection="1">
      <alignment horizontal="left" vertical="center" wrapText="1"/>
      <protection locked="0"/>
    </xf>
    <xf numFmtId="0" fontId="23" fillId="0" borderId="151" xfId="0" applyFont="1" applyBorder="1" applyAlignment="1">
      <alignment horizontal="center" vertical="center" shrinkToFit="1"/>
    </xf>
    <xf numFmtId="0" fontId="23" fillId="0" borderId="152" xfId="0" applyFont="1" applyBorder="1" applyAlignment="1">
      <alignment horizontal="center" vertical="center" shrinkToFit="1"/>
    </xf>
    <xf numFmtId="0" fontId="23" fillId="0" borderId="82" xfId="0" applyFont="1" applyBorder="1" applyAlignment="1">
      <alignment horizontal="center" vertical="center" shrinkToFit="1"/>
    </xf>
    <xf numFmtId="0" fontId="23" fillId="0" borderId="151" xfId="0" applyFont="1" applyBorder="1" applyAlignment="1">
      <alignment horizontal="center" shrinkToFit="1"/>
    </xf>
    <xf numFmtId="0" fontId="23" fillId="0" borderId="152" xfId="0" applyFont="1" applyBorder="1" applyAlignment="1">
      <alignment horizontal="center" shrinkToFit="1"/>
    </xf>
    <xf numFmtId="0" fontId="0" fillId="0" borderId="152" xfId="0" applyBorder="1" applyAlignment="1">
      <alignment horizontal="center" shrinkToFit="1"/>
    </xf>
    <xf numFmtId="0" fontId="0" fillId="0" borderId="82" xfId="0" applyBorder="1" applyAlignment="1">
      <alignment horizontal="center" shrinkToFit="1"/>
    </xf>
    <xf numFmtId="0" fontId="0" fillId="0" borderId="152" xfId="0" applyBorder="1" applyAlignment="1">
      <alignment shrinkToFit="1"/>
    </xf>
    <xf numFmtId="0" fontId="0" fillId="0" borderId="82" xfId="0" applyBorder="1" applyAlignment="1">
      <alignment shrinkToFit="1"/>
    </xf>
    <xf numFmtId="0" fontId="23" fillId="12" borderId="148" xfId="0" applyFont="1" applyFill="1" applyBorder="1" applyAlignment="1">
      <alignment horizontal="center" vertical="center" shrinkToFit="1"/>
    </xf>
    <xf numFmtId="0" fontId="23" fillId="12" borderId="149" xfId="0" applyFont="1" applyFill="1" applyBorder="1" applyAlignment="1">
      <alignment horizontal="center" vertical="center" shrinkToFit="1"/>
    </xf>
    <xf numFmtId="0" fontId="23" fillId="12" borderId="84" xfId="0" applyFont="1" applyFill="1" applyBorder="1" applyAlignment="1">
      <alignment horizontal="center" vertical="center" shrinkToFit="1"/>
    </xf>
    <xf numFmtId="0" fontId="23" fillId="12" borderId="150" xfId="0" applyFont="1" applyFill="1" applyBorder="1" applyAlignment="1">
      <alignment horizontal="center" vertical="center"/>
    </xf>
    <xf numFmtId="0" fontId="23" fillId="12" borderId="277" xfId="0" applyFont="1" applyFill="1" applyBorder="1" applyAlignment="1">
      <alignment horizontal="center" vertical="center"/>
    </xf>
    <xf numFmtId="0" fontId="23" fillId="12" borderId="89" xfId="0" applyFont="1" applyFill="1" applyBorder="1" applyAlignment="1">
      <alignment horizontal="center" vertical="center"/>
    </xf>
    <xf numFmtId="0" fontId="23" fillId="12" borderId="150" xfId="0" applyFont="1" applyFill="1" applyBorder="1" applyAlignment="1">
      <alignment horizontal="center" vertical="center" shrinkToFit="1"/>
    </xf>
    <xf numFmtId="0" fontId="23" fillId="12" borderId="277" xfId="0" applyFont="1" applyFill="1" applyBorder="1" applyAlignment="1">
      <alignment horizontal="center" vertical="center" shrinkToFit="1"/>
    </xf>
    <xf numFmtId="0" fontId="23" fillId="12" borderId="89" xfId="0" applyFont="1" applyFill="1" applyBorder="1" applyAlignment="1">
      <alignment horizontal="center" vertical="center" shrinkToFit="1"/>
    </xf>
    <xf numFmtId="0" fontId="23" fillId="12" borderId="108" xfId="0" applyFont="1" applyFill="1" applyBorder="1" applyAlignment="1">
      <alignment horizontal="center" vertical="center"/>
    </xf>
    <xf numFmtId="0" fontId="23" fillId="12" borderId="209" xfId="0" applyFont="1" applyFill="1" applyBorder="1" applyAlignment="1">
      <alignment horizontal="center" vertical="center"/>
    </xf>
    <xf numFmtId="0" fontId="23" fillId="12" borderId="83" xfId="0" applyFont="1" applyFill="1" applyBorder="1" applyAlignment="1">
      <alignment horizontal="center" vertical="center"/>
    </xf>
    <xf numFmtId="0" fontId="23" fillId="12" borderId="108" xfId="0" applyFont="1" applyFill="1" applyBorder="1" applyAlignment="1">
      <alignment horizontal="center" vertical="center" shrinkToFit="1"/>
    </xf>
    <xf numFmtId="0" fontId="23" fillId="12" borderId="209" xfId="0" applyFont="1" applyFill="1" applyBorder="1" applyAlignment="1">
      <alignment horizontal="center" vertical="center" shrinkToFit="1"/>
    </xf>
    <xf numFmtId="0" fontId="23" fillId="12" borderId="83" xfId="0" applyFont="1" applyFill="1" applyBorder="1" applyAlignment="1">
      <alignment horizontal="center" vertical="center" shrinkToFit="1"/>
    </xf>
    <xf numFmtId="181" fontId="24" fillId="0" borderId="213" xfId="0" applyNumberFormat="1" applyFont="1" applyBorder="1" applyAlignment="1" applyProtection="1">
      <alignment horizontal="left" vertical="center" wrapText="1"/>
      <protection locked="0"/>
    </xf>
    <xf numFmtId="0" fontId="4" fillId="0" borderId="387" xfId="0" applyFont="1" applyFill="1" applyBorder="1" applyAlignment="1">
      <alignment vertical="center" wrapText="1"/>
    </xf>
    <xf numFmtId="0" fontId="66" fillId="0" borderId="163" xfId="0" applyFont="1" applyFill="1" applyBorder="1" applyAlignment="1">
      <alignment vertical="center" wrapText="1"/>
    </xf>
    <xf numFmtId="0" fontId="4" fillId="19" borderId="219" xfId="0" applyFont="1" applyFill="1" applyBorder="1" applyAlignment="1">
      <alignment horizontal="center" vertical="center"/>
    </xf>
    <xf numFmtId="0" fontId="0" fillId="19" borderId="220" xfId="0" applyFont="1" applyFill="1" applyBorder="1" applyAlignment="1">
      <alignment horizontal="center" vertical="center"/>
    </xf>
    <xf numFmtId="0" fontId="4" fillId="33" borderId="219" xfId="0" applyFont="1" applyFill="1" applyBorder="1" applyAlignment="1">
      <alignment horizontal="center" vertical="center"/>
    </xf>
    <xf numFmtId="0" fontId="0" fillId="33" borderId="220" xfId="0" applyFont="1" applyFill="1" applyBorder="1" applyAlignment="1">
      <alignment horizontal="center" vertical="center"/>
    </xf>
    <xf numFmtId="0" fontId="4" fillId="0" borderId="157" xfId="0" applyFont="1" applyFill="1" applyBorder="1" applyAlignment="1">
      <alignment vertical="center"/>
    </xf>
    <xf numFmtId="0" fontId="4" fillId="32" borderId="218" xfId="0" applyFont="1" applyFill="1" applyBorder="1" applyAlignment="1">
      <alignment horizontal="left" vertical="center"/>
    </xf>
    <xf numFmtId="0" fontId="0" fillId="32" borderId="209" xfId="0" applyFont="1" applyFill="1" applyBorder="1" applyAlignment="1">
      <alignment horizontal="left" vertical="center"/>
    </xf>
    <xf numFmtId="0" fontId="0" fillId="32" borderId="209" xfId="0" applyFill="1" applyBorder="1" applyAlignment="1">
      <alignment horizontal="left" vertical="center"/>
    </xf>
    <xf numFmtId="0" fontId="0" fillId="32" borderId="167" xfId="0" applyFill="1" applyBorder="1" applyAlignment="1">
      <alignment horizontal="left" vertical="center"/>
    </xf>
    <xf numFmtId="0" fontId="4" fillId="0" borderId="23" xfId="0" applyFont="1" applyFill="1" applyBorder="1" applyAlignment="1">
      <alignment horizontal="center" vertical="center" textRotation="255"/>
    </xf>
    <xf numFmtId="0" fontId="4" fillId="0" borderId="387" xfId="0" applyFont="1" applyBorder="1" applyAlignment="1">
      <alignment vertical="center" wrapText="1"/>
    </xf>
    <xf numFmtId="0" fontId="66" fillId="0" borderId="163" xfId="0" applyFont="1" applyBorder="1" applyAlignment="1">
      <alignment vertical="center" wrapText="1"/>
    </xf>
    <xf numFmtId="0" fontId="4" fillId="0" borderId="157" xfId="0" applyFont="1" applyBorder="1" applyAlignment="1">
      <alignment vertical="center"/>
    </xf>
    <xf numFmtId="38" fontId="9" fillId="0" borderId="77" xfId="0" applyNumberFormat="1" applyFont="1" applyFill="1" applyBorder="1" applyAlignment="1">
      <alignment horizontal="left"/>
    </xf>
    <xf numFmtId="0" fontId="4" fillId="0" borderId="119" xfId="0" applyFont="1" applyFill="1" applyBorder="1" applyAlignment="1">
      <alignment horizontal="center" vertical="center" textRotation="255"/>
    </xf>
    <xf numFmtId="0" fontId="18" fillId="0" borderId="149" xfId="0" applyFont="1" applyFill="1" applyBorder="1" applyAlignment="1">
      <alignment horizontal="left" shrinkToFit="1"/>
    </xf>
    <xf numFmtId="0" fontId="0" fillId="0" borderId="149" xfId="0" applyFont="1" applyBorder="1" applyAlignment="1">
      <alignment shrinkToFit="1"/>
    </xf>
    <xf numFmtId="0" fontId="0" fillId="0" borderId="166" xfId="0" applyFont="1" applyBorder="1" applyAlignment="1">
      <alignment shrinkToFit="1"/>
    </xf>
    <xf numFmtId="0" fontId="4" fillId="27" borderId="167" xfId="0" applyFont="1" applyFill="1" applyBorder="1" applyAlignment="1">
      <alignment horizontal="center" vertical="center" textRotation="255"/>
    </xf>
    <xf numFmtId="0" fontId="28" fillId="27" borderId="119" xfId="0" applyFont="1" applyFill="1" applyBorder="1" applyAlignment="1">
      <alignment horizontal="center" vertical="center" textRotation="255" wrapText="1"/>
    </xf>
    <xf numFmtId="0" fontId="58" fillId="27" borderId="167" xfId="0" applyFont="1" applyFill="1" applyBorder="1" applyAlignment="1">
      <alignment horizontal="center" vertical="center" textRotation="255"/>
    </xf>
    <xf numFmtId="0" fontId="57" fillId="0" borderId="209" xfId="0" applyFont="1" applyBorder="1" applyAlignment="1">
      <alignment horizontal="right"/>
    </xf>
    <xf numFmtId="0" fontId="57" fillId="0" borderId="167" xfId="0" applyFont="1" applyBorder="1" applyAlignment="1">
      <alignment horizontal="right"/>
    </xf>
    <xf numFmtId="0" fontId="4" fillId="27" borderId="23" xfId="0" applyFont="1" applyFill="1" applyBorder="1" applyAlignment="1">
      <alignment horizontal="center" vertical="center" textRotation="255"/>
    </xf>
    <xf numFmtId="0" fontId="4" fillId="27" borderId="119" xfId="0" applyFont="1" applyFill="1" applyBorder="1" applyAlignment="1">
      <alignment horizontal="center" vertical="center" textRotation="255"/>
    </xf>
    <xf numFmtId="0" fontId="4" fillId="27" borderId="77" xfId="0" applyFont="1" applyFill="1" applyBorder="1" applyAlignment="1">
      <alignment horizontal="center" vertical="center" textRotation="255"/>
    </xf>
    <xf numFmtId="181" fontId="24" fillId="0" borderId="308" xfId="0" applyNumberFormat="1" applyFont="1" applyBorder="1" applyAlignment="1" applyProtection="1">
      <alignment horizontal="left" vertical="center" wrapText="1"/>
      <protection locked="0"/>
    </xf>
    <xf numFmtId="179" fontId="18" fillId="0" borderId="144" xfId="0" applyNumberFormat="1" applyFont="1" applyBorder="1" applyAlignment="1">
      <alignment horizontal="center" vertical="center" shrinkToFit="1"/>
    </xf>
    <xf numFmtId="179" fontId="18" fillId="0" borderId="145" xfId="0" applyNumberFormat="1" applyFont="1" applyBorder="1" applyAlignment="1">
      <alignment horizontal="center" vertical="center" shrinkToFit="1"/>
    </xf>
    <xf numFmtId="0" fontId="21" fillId="0" borderId="0" xfId="0" applyFont="1" applyAlignment="1" applyProtection="1">
      <alignment horizontal="center" vertical="center"/>
      <protection locked="0"/>
    </xf>
    <xf numFmtId="179" fontId="18" fillId="0" borderId="146" xfId="0" applyNumberFormat="1" applyFont="1" applyBorder="1" applyAlignment="1" applyProtection="1">
      <alignment horizontal="center" vertical="center" shrinkToFit="1"/>
      <protection locked="0"/>
    </xf>
    <xf numFmtId="179" fontId="18" fillId="0" borderId="93" xfId="0" applyNumberFormat="1" applyFont="1" applyBorder="1" applyAlignment="1" applyProtection="1">
      <alignment horizontal="center" vertical="center" shrinkToFit="1"/>
      <protection locked="0"/>
    </xf>
    <xf numFmtId="179" fontId="18" fillId="0" borderId="94" xfId="0" applyNumberFormat="1" applyFont="1" applyBorder="1" applyAlignment="1" applyProtection="1">
      <alignment horizontal="center" vertical="center" shrinkToFit="1"/>
      <protection locked="0"/>
    </xf>
    <xf numFmtId="179" fontId="18" fillId="0" borderId="147" xfId="0" applyNumberFormat="1" applyFont="1" applyBorder="1" applyAlignment="1" applyProtection="1">
      <alignment horizontal="center" vertical="center" shrinkToFit="1"/>
      <protection locked="0"/>
    </xf>
    <xf numFmtId="0" fontId="57" fillId="0" borderId="209" xfId="0" applyFont="1" applyBorder="1" applyAlignment="1">
      <alignment horizontal="right" vertical="center"/>
    </xf>
    <xf numFmtId="0" fontId="57" fillId="0" borderId="167" xfId="0" applyFont="1" applyBorder="1" applyAlignment="1">
      <alignment horizontal="right" vertical="center"/>
    </xf>
    <xf numFmtId="0" fontId="9" fillId="27" borderId="234" xfId="0" applyFont="1" applyFill="1" applyBorder="1" applyAlignment="1">
      <alignment horizontal="center" vertical="center"/>
    </xf>
    <xf numFmtId="0" fontId="9" fillId="27" borderId="136" xfId="0" applyFont="1" applyFill="1" applyBorder="1" applyAlignment="1">
      <alignment horizontal="center" vertical="center"/>
    </xf>
    <xf numFmtId="0" fontId="9" fillId="27" borderId="80" xfId="0" applyFont="1" applyFill="1" applyBorder="1" applyAlignment="1">
      <alignment horizontal="center" vertical="center"/>
    </xf>
    <xf numFmtId="0" fontId="9" fillId="27" borderId="181" xfId="0" applyFont="1" applyFill="1" applyBorder="1" applyAlignment="1">
      <alignment horizontal="center" vertical="center" textRotation="255"/>
    </xf>
    <xf numFmtId="0" fontId="9" fillId="27" borderId="120" xfId="0" applyFont="1" applyFill="1" applyBorder="1" applyAlignment="1">
      <alignment horizontal="center" vertical="center" textRotation="255"/>
    </xf>
    <xf numFmtId="0" fontId="9" fillId="27" borderId="87" xfId="0" applyFont="1" applyFill="1" applyBorder="1" applyAlignment="1">
      <alignment horizontal="center" vertical="center" textRotation="255"/>
    </xf>
    <xf numFmtId="0" fontId="9" fillId="27" borderId="119" xfId="0" applyFont="1" applyFill="1" applyBorder="1" applyAlignment="1">
      <alignment horizontal="center" vertical="center" textRotation="255"/>
    </xf>
    <xf numFmtId="0" fontId="24" fillId="19" borderId="50" xfId="0" applyFont="1" applyFill="1" applyBorder="1" applyAlignment="1">
      <alignment horizontal="left" vertical="center" shrinkToFit="1"/>
    </xf>
    <xf numFmtId="0" fontId="24" fillId="19" borderId="209" xfId="0" applyFont="1" applyFill="1" applyBorder="1" applyAlignment="1">
      <alignment horizontal="left" vertical="center" shrinkToFit="1"/>
    </xf>
    <xf numFmtId="0" fontId="24" fillId="19" borderId="167" xfId="0" applyFont="1" applyFill="1" applyBorder="1" applyAlignment="1">
      <alignment horizontal="left" vertical="center" shrinkToFit="1"/>
    </xf>
    <xf numFmtId="0" fontId="9" fillId="27" borderId="23" xfId="0" applyFont="1" applyFill="1" applyBorder="1" applyAlignment="1">
      <alignment horizontal="center" vertical="center" textRotation="255"/>
    </xf>
    <xf numFmtId="0" fontId="9" fillId="27" borderId="77" xfId="0" applyFont="1" applyFill="1" applyBorder="1" applyAlignment="1">
      <alignment horizontal="center" vertical="center" textRotation="255"/>
    </xf>
    <xf numFmtId="0" fontId="60" fillId="0" borderId="180" xfId="0" applyFont="1" applyFill="1" applyBorder="1" applyAlignment="1">
      <alignment horizontal="left" vertical="center" shrinkToFit="1"/>
    </xf>
    <xf numFmtId="0" fontId="60" fillId="0" borderId="79" xfId="0" applyFont="1" applyFill="1" applyBorder="1" applyAlignment="1">
      <alignment horizontal="left" vertical="center" shrinkToFit="1"/>
    </xf>
    <xf numFmtId="0" fontId="58" fillId="0" borderId="234" xfId="0" applyFont="1" applyFill="1" applyBorder="1" applyAlignment="1">
      <alignment horizontal="center" vertical="center" shrinkToFit="1"/>
    </xf>
    <xf numFmtId="0" fontId="58" fillId="0" borderId="136" xfId="0" applyFont="1" applyFill="1" applyBorder="1" applyAlignment="1">
      <alignment horizontal="center" vertical="center" shrinkToFit="1"/>
    </xf>
    <xf numFmtId="0" fontId="58" fillId="0" borderId="80" xfId="0" applyFont="1" applyFill="1" applyBorder="1" applyAlignment="1">
      <alignment horizontal="center" vertical="center" shrinkToFit="1"/>
    </xf>
    <xf numFmtId="0" fontId="58" fillId="27" borderId="119" xfId="0" applyFont="1" applyFill="1" applyBorder="1" applyAlignment="1">
      <alignment horizontal="center" vertical="center" textRotation="255"/>
    </xf>
    <xf numFmtId="0" fontId="58" fillId="27" borderId="120" xfId="0" applyFont="1" applyFill="1" applyBorder="1" applyAlignment="1">
      <alignment horizontal="center" vertical="center" textRotation="255"/>
    </xf>
    <xf numFmtId="0" fontId="0" fillId="0" borderId="87" xfId="0" applyBorder="1" applyAlignment="1">
      <alignment horizontal="center" vertical="center" textRotation="255"/>
    </xf>
    <xf numFmtId="0" fontId="60" fillId="0" borderId="13" xfId="0" applyFont="1" applyFill="1" applyBorder="1" applyAlignment="1">
      <alignment horizontal="left" vertical="center" shrinkToFit="1"/>
    </xf>
    <xf numFmtId="0" fontId="58" fillId="0" borderId="235" xfId="0" applyFont="1" applyFill="1" applyBorder="1" applyAlignment="1">
      <alignment horizontal="center" vertical="center" shrinkToFit="1"/>
    </xf>
    <xf numFmtId="0" fontId="58" fillId="27" borderId="181" xfId="0" applyFont="1" applyFill="1" applyBorder="1" applyAlignment="1">
      <alignment horizontal="center" vertical="center" textRotation="255"/>
    </xf>
    <xf numFmtId="0" fontId="58" fillId="27" borderId="87" xfId="0" applyFont="1" applyFill="1" applyBorder="1" applyAlignment="1">
      <alignment horizontal="center" vertical="center" textRotation="255"/>
    </xf>
    <xf numFmtId="38" fontId="9" fillId="0" borderId="74" xfId="0" applyNumberFormat="1" applyFont="1" applyFill="1" applyBorder="1" applyAlignment="1">
      <alignment horizontal="left" vertical="center"/>
    </xf>
    <xf numFmtId="0" fontId="11" fillId="0" borderId="13" xfId="0" applyFont="1" applyFill="1" applyBorder="1" applyAlignment="1">
      <alignment horizontal="left" vertical="center"/>
    </xf>
    <xf numFmtId="0" fontId="11" fillId="0" borderId="180" xfId="0" applyFont="1" applyFill="1" applyBorder="1" applyAlignment="1">
      <alignment horizontal="left" vertical="center"/>
    </xf>
    <xf numFmtId="38" fontId="9" fillId="0" borderId="77" xfId="0" applyNumberFormat="1" applyFont="1" applyFill="1" applyBorder="1" applyAlignment="1">
      <alignment horizontal="left" vertical="center"/>
    </xf>
    <xf numFmtId="0" fontId="9" fillId="0" borderId="181" xfId="0" applyFont="1" applyFill="1" applyBorder="1" applyAlignment="1">
      <alignment horizontal="center" vertical="center" wrapText="1"/>
    </xf>
    <xf numFmtId="0" fontId="9" fillId="0" borderId="81" xfId="0" applyFont="1" applyFill="1" applyBorder="1" applyAlignment="1">
      <alignment horizontal="center" vertical="center" wrapText="1"/>
    </xf>
    <xf numFmtId="0" fontId="11" fillId="0" borderId="180" xfId="0" applyFont="1" applyFill="1" applyBorder="1" applyAlignment="1">
      <alignment horizontal="left" vertical="center" shrinkToFit="1"/>
    </xf>
    <xf numFmtId="0" fontId="11" fillId="0" borderId="79" xfId="0" applyFont="1" applyFill="1" applyBorder="1" applyAlignment="1">
      <alignment horizontal="left" vertical="center" shrinkToFit="1"/>
    </xf>
    <xf numFmtId="0" fontId="0" fillId="0" borderId="120" xfId="0" applyBorder="1" applyAlignment="1">
      <alignment horizontal="center" vertical="center" textRotation="255"/>
    </xf>
    <xf numFmtId="0" fontId="9" fillId="0" borderId="23" xfId="0" applyFont="1" applyFill="1" applyBorder="1" applyAlignment="1">
      <alignment horizontal="center" vertical="center" textRotation="255"/>
    </xf>
    <xf numFmtId="0" fontId="0" fillId="0" borderId="87" xfId="0" applyBorder="1" applyAlignment="1">
      <alignment vertical="center"/>
    </xf>
    <xf numFmtId="0" fontId="63" fillId="0" borderId="177" xfId="0" applyFont="1" applyFill="1" applyBorder="1" applyAlignment="1">
      <alignment horizontal="center" vertical="center" wrapText="1"/>
    </xf>
    <xf numFmtId="0" fontId="63" fillId="0" borderId="178" xfId="0" applyFont="1" applyFill="1" applyBorder="1" applyAlignment="1">
      <alignment horizontal="center" vertical="center" wrapText="1"/>
    </xf>
    <xf numFmtId="0" fontId="10" fillId="0" borderId="180" xfId="0" applyFont="1" applyFill="1" applyBorder="1" applyAlignment="1">
      <alignment horizontal="center" vertical="center" wrapText="1"/>
    </xf>
    <xf numFmtId="0" fontId="10" fillId="0" borderId="79" xfId="0" applyFont="1" applyFill="1" applyBorder="1" applyAlignment="1">
      <alignment horizontal="center" vertical="center" wrapText="1"/>
    </xf>
    <xf numFmtId="0" fontId="9" fillId="0" borderId="177" xfId="0" applyFont="1" applyFill="1" applyBorder="1" applyAlignment="1">
      <alignment horizontal="center" vertical="center"/>
    </xf>
    <xf numFmtId="0" fontId="9" fillId="0" borderId="179" xfId="0" applyFont="1" applyFill="1" applyBorder="1" applyAlignment="1">
      <alignment horizontal="center" vertical="center"/>
    </xf>
    <xf numFmtId="0" fontId="9" fillId="0" borderId="119" xfId="0" applyFont="1" applyFill="1" applyBorder="1" applyAlignment="1">
      <alignment horizontal="center" vertical="center" textRotation="255"/>
    </xf>
    <xf numFmtId="0" fontId="9" fillId="0" borderId="87" xfId="0" applyFont="1" applyFill="1" applyBorder="1" applyAlignment="1">
      <alignment horizontal="center" vertical="center" textRotation="255"/>
    </xf>
    <xf numFmtId="0" fontId="11" fillId="0" borderId="80" xfId="0" applyFont="1" applyFill="1" applyBorder="1" applyAlignment="1">
      <alignment horizontal="left" vertical="center"/>
    </xf>
    <xf numFmtId="0" fontId="9" fillId="0" borderId="77" xfId="0" applyFont="1" applyFill="1" applyBorder="1" applyAlignment="1">
      <alignment horizontal="center" vertical="center" textRotation="255"/>
    </xf>
    <xf numFmtId="0" fontId="74" fillId="0" borderId="0" xfId="0" applyFont="1" applyFill="1" applyBorder="1" applyAlignment="1">
      <alignment horizontal="left" vertical="center" shrinkToFit="1"/>
    </xf>
    <xf numFmtId="0" fontId="11" fillId="0" borderId="79" xfId="0" applyFont="1" applyFill="1" applyBorder="1" applyAlignment="1">
      <alignment horizontal="distributed" vertical="center"/>
    </xf>
    <xf numFmtId="0" fontId="54" fillId="0" borderId="152" xfId="0" applyFont="1" applyFill="1" applyBorder="1" applyAlignment="1">
      <alignment horizontal="distributed" vertical="center"/>
    </xf>
    <xf numFmtId="0" fontId="54" fillId="0" borderId="149" xfId="0" applyFont="1" applyFill="1" applyBorder="1" applyAlignment="1">
      <alignment horizontal="distributed" vertical="center"/>
    </xf>
    <xf numFmtId="0" fontId="54" fillId="0" borderId="15" xfId="0" applyFont="1" applyFill="1" applyBorder="1" applyAlignment="1">
      <alignment horizontal="distributed" vertical="center"/>
    </xf>
    <xf numFmtId="0" fontId="4" fillId="0" borderId="136" xfId="0" applyFont="1" applyFill="1" applyBorder="1" applyAlignment="1">
      <alignment horizontal="center"/>
    </xf>
    <xf numFmtId="0" fontId="4" fillId="0" borderId="80" xfId="0" applyFont="1" applyFill="1" applyBorder="1" applyAlignment="1">
      <alignment horizontal="center"/>
    </xf>
    <xf numFmtId="0" fontId="4" fillId="0" borderId="181" xfId="0" applyFont="1" applyFill="1" applyBorder="1" applyAlignment="1">
      <alignment horizontal="center" vertical="center" textRotation="255"/>
    </xf>
    <xf numFmtId="0" fontId="4" fillId="0" borderId="120" xfId="0" applyFont="1" applyFill="1" applyBorder="1" applyAlignment="1">
      <alignment horizontal="center" vertical="center" textRotation="255"/>
    </xf>
    <xf numFmtId="0" fontId="4" fillId="0" borderId="87" xfId="0" applyFont="1" applyFill="1" applyBorder="1" applyAlignment="1">
      <alignment horizontal="center" vertical="center" textRotation="255"/>
    </xf>
    <xf numFmtId="0" fontId="4" fillId="0" borderId="81" xfId="0" applyFont="1" applyFill="1" applyBorder="1" applyAlignment="1">
      <alignment horizontal="center" vertical="center" textRotation="255"/>
    </xf>
    <xf numFmtId="0" fontId="24" fillId="0" borderId="256" xfId="0" applyFont="1" applyFill="1" applyBorder="1" applyAlignment="1">
      <alignment horizontal="center" vertical="center"/>
    </xf>
    <xf numFmtId="0" fontId="24" fillId="0" borderId="257" xfId="0" applyFont="1" applyFill="1" applyBorder="1" applyAlignment="1">
      <alignment horizontal="center" vertical="center"/>
    </xf>
    <xf numFmtId="0" fontId="76" fillId="0" borderId="260" xfId="0" applyFont="1" applyFill="1" applyBorder="1" applyAlignment="1">
      <alignment horizontal="left" vertical="center"/>
    </xf>
    <xf numFmtId="0" fontId="76" fillId="0" borderId="261" xfId="0" applyFont="1" applyFill="1" applyBorder="1" applyAlignment="1">
      <alignment horizontal="left" vertical="center"/>
    </xf>
    <xf numFmtId="0" fontId="18" fillId="0" borderId="396" xfId="0" applyFont="1" applyFill="1" applyBorder="1" applyAlignment="1">
      <alignment vertical="center" shrinkToFit="1"/>
    </xf>
    <xf numFmtId="0" fontId="18" fillId="0" borderId="397" xfId="0" applyFont="1" applyFill="1" applyBorder="1" applyAlignment="1">
      <alignment vertical="center" shrinkToFit="1"/>
    </xf>
    <xf numFmtId="0" fontId="18" fillId="0" borderId="256" xfId="0" applyFont="1" applyFill="1" applyBorder="1" applyAlignment="1">
      <alignment horizontal="center" vertical="center"/>
    </xf>
    <xf numFmtId="0" fontId="18" fillId="0" borderId="257" xfId="0" applyFont="1" applyFill="1" applyBorder="1" applyAlignment="1">
      <alignment horizontal="center" vertical="center"/>
    </xf>
    <xf numFmtId="0" fontId="54" fillId="0" borderId="177" xfId="0" applyFont="1" applyFill="1" applyBorder="1" applyAlignment="1">
      <alignment horizontal="left" vertical="center" shrinkToFit="1"/>
    </xf>
    <xf numFmtId="0" fontId="54" fillId="0" borderId="178" xfId="0" applyFont="1" applyFill="1" applyBorder="1" applyAlignment="1">
      <alignment horizontal="left" vertical="center" shrinkToFit="1"/>
    </xf>
    <xf numFmtId="0" fontId="54" fillId="0" borderId="199" xfId="0" applyFont="1" applyFill="1" applyBorder="1" applyAlignment="1">
      <alignment horizontal="left" vertical="center" shrinkToFit="1"/>
    </xf>
    <xf numFmtId="0" fontId="24" fillId="0" borderId="136" xfId="0" applyFont="1" applyFill="1" applyBorder="1" applyAlignment="1">
      <alignment horizontal="center" vertical="center" shrinkToFit="1"/>
    </xf>
    <xf numFmtId="0" fontId="24" fillId="0" borderId="181" xfId="0" applyFont="1" applyFill="1" applyBorder="1" applyAlignment="1">
      <alignment horizontal="center" vertical="center" textRotation="255"/>
    </xf>
    <xf numFmtId="0" fontId="24" fillId="0" borderId="120" xfId="0" applyFont="1" applyFill="1" applyBorder="1" applyAlignment="1">
      <alignment horizontal="center" vertical="center" textRotation="255"/>
    </xf>
    <xf numFmtId="0" fontId="24" fillId="0" borderId="87" xfId="0" applyFont="1" applyFill="1" applyBorder="1" applyAlignment="1">
      <alignment horizontal="center" vertical="center" textRotation="255"/>
    </xf>
    <xf numFmtId="0" fontId="24" fillId="0" borderId="119" xfId="0" applyFont="1" applyFill="1" applyBorder="1" applyAlignment="1">
      <alignment horizontal="center" vertical="center" textRotation="255"/>
    </xf>
    <xf numFmtId="0" fontId="36" fillId="0" borderId="168" xfId="0" applyFont="1" applyFill="1" applyBorder="1" applyAlignment="1">
      <alignment horizontal="left" shrinkToFit="1"/>
    </xf>
    <xf numFmtId="0" fontId="18" fillId="0" borderId="274" xfId="0" applyFont="1" applyBorder="1" applyAlignment="1">
      <alignment vertical="center" textRotation="255"/>
    </xf>
    <xf numFmtId="0" fontId="18" fillId="0" borderId="268" xfId="0" applyFont="1" applyBorder="1" applyAlignment="1">
      <alignment vertical="center" textRotation="255"/>
    </xf>
    <xf numFmtId="0" fontId="78" fillId="0" borderId="0" xfId="0" applyFont="1" applyBorder="1" applyAlignment="1">
      <alignment vertical="center" textRotation="255"/>
    </xf>
    <xf numFmtId="0" fontId="4" fillId="0" borderId="235" xfId="0" applyFont="1" applyFill="1" applyBorder="1" applyAlignment="1">
      <alignment horizontal="center" shrinkToFit="1"/>
    </xf>
    <xf numFmtId="0" fontId="4" fillId="0" borderId="199" xfId="0" applyFont="1" applyFill="1" applyBorder="1" applyAlignment="1">
      <alignment horizontal="center" wrapText="1"/>
    </xf>
    <xf numFmtId="0" fontId="4" fillId="0" borderId="180" xfId="0" applyFont="1" applyFill="1" applyBorder="1" applyAlignment="1">
      <alignment horizontal="center" wrapText="1"/>
    </xf>
    <xf numFmtId="0" fontId="4" fillId="0" borderId="79" xfId="0" applyFont="1" applyFill="1" applyBorder="1" applyAlignment="1">
      <alignment horizontal="center" wrapText="1"/>
    </xf>
    <xf numFmtId="0" fontId="4" fillId="0" borderId="168" xfId="0" applyFont="1" applyFill="1" applyBorder="1" applyAlignment="1">
      <alignment horizontal="center" wrapText="1"/>
    </xf>
    <xf numFmtId="0" fontId="18" fillId="0" borderId="166" xfId="0" applyFont="1" applyFill="1" applyBorder="1" applyAlignment="1">
      <alignment horizontal="left" shrinkToFit="1"/>
    </xf>
    <xf numFmtId="38" fontId="9" fillId="0" borderId="75" xfId="0" applyNumberFormat="1" applyFont="1" applyFill="1" applyBorder="1" applyAlignment="1">
      <alignment horizontal="left"/>
    </xf>
    <xf numFmtId="38" fontId="9" fillId="0" borderId="182" xfId="0" applyNumberFormat="1" applyFont="1" applyFill="1" applyBorder="1" applyAlignment="1">
      <alignment horizontal="left"/>
    </xf>
    <xf numFmtId="0" fontId="36" fillId="0" borderId="79" xfId="0" applyFont="1" applyFill="1" applyBorder="1" applyAlignment="1">
      <alignment horizontal="left"/>
    </xf>
    <xf numFmtId="0" fontId="36" fillId="0" borderId="168" xfId="0" applyFont="1" applyFill="1" applyBorder="1" applyAlignment="1">
      <alignment horizontal="left"/>
    </xf>
    <xf numFmtId="38" fontId="9" fillId="0" borderId="78" xfId="0" applyNumberFormat="1" applyFont="1" applyFill="1" applyBorder="1" applyAlignment="1">
      <alignment horizontal="left"/>
    </xf>
    <xf numFmtId="38" fontId="9" fillId="0" borderId="166" xfId="0" applyNumberFormat="1" applyFont="1" applyFill="1" applyBorder="1" applyAlignment="1">
      <alignment horizontal="left"/>
    </xf>
    <xf numFmtId="0" fontId="4" fillId="0" borderId="234" xfId="0" applyFont="1" applyFill="1" applyBorder="1" applyAlignment="1">
      <alignment horizontal="center"/>
    </xf>
    <xf numFmtId="0" fontId="28" fillId="0" borderId="119" xfId="0" applyFont="1" applyFill="1" applyBorder="1" applyAlignment="1">
      <alignment horizontal="center" vertical="center" textRotation="255" wrapText="1"/>
    </xf>
    <xf numFmtId="0" fontId="28" fillId="0" borderId="87" xfId="0" applyFont="1" applyFill="1" applyBorder="1" applyAlignment="1">
      <alignment horizontal="center" vertical="center" textRotation="255" wrapText="1"/>
    </xf>
    <xf numFmtId="0" fontId="4" fillId="0" borderId="218" xfId="0" applyFont="1" applyFill="1" applyBorder="1" applyAlignment="1">
      <alignment horizontal="left" vertical="center"/>
    </xf>
    <xf numFmtId="0" fontId="4" fillId="0" borderId="209" xfId="0" applyFont="1" applyFill="1" applyBorder="1" applyAlignment="1">
      <alignment horizontal="left" vertical="center"/>
    </xf>
    <xf numFmtId="0" fontId="4" fillId="0" borderId="167" xfId="0" applyFont="1" applyFill="1" applyBorder="1" applyAlignment="1">
      <alignment horizontal="left" vertical="center"/>
    </xf>
    <xf numFmtId="0" fontId="4" fillId="0" borderId="219" xfId="0" applyFont="1" applyFill="1" applyBorder="1" applyAlignment="1">
      <alignment horizontal="left" vertical="center"/>
    </xf>
    <xf numFmtId="0" fontId="4" fillId="0" borderId="220" xfId="0" applyFont="1" applyFill="1" applyBorder="1" applyAlignment="1">
      <alignment horizontal="left" vertical="center"/>
    </xf>
    <xf numFmtId="0" fontId="4" fillId="0" borderId="125" xfId="0" applyFont="1" applyFill="1" applyBorder="1" applyAlignment="1">
      <alignment horizontal="left" vertical="center"/>
    </xf>
    <xf numFmtId="0" fontId="4" fillId="0" borderId="88" xfId="0" applyFont="1" applyFill="1" applyBorder="1" applyAlignment="1">
      <alignment vertical="center"/>
    </xf>
    <xf numFmtId="0" fontId="28" fillId="0" borderId="81" xfId="0" applyFont="1" applyFill="1" applyBorder="1" applyAlignment="1">
      <alignment horizontal="center" vertical="center" textRotation="255" wrapText="1"/>
    </xf>
    <xf numFmtId="0" fontId="4" fillId="0" borderId="219" xfId="0" applyFont="1" applyFill="1" applyBorder="1" applyAlignment="1">
      <alignment horizontal="center" vertical="center"/>
    </xf>
    <xf numFmtId="0" fontId="4" fillId="0" borderId="220" xfId="0" applyFont="1" applyFill="1" applyBorder="1" applyAlignment="1">
      <alignment horizontal="center" vertical="center"/>
    </xf>
    <xf numFmtId="0" fontId="18" fillId="0" borderId="123" xfId="0" applyFont="1" applyBorder="1" applyAlignment="1">
      <alignment horizontal="center" vertical="center" shrinkToFit="1"/>
    </xf>
    <xf numFmtId="0" fontId="18" fillId="0" borderId="154" xfId="0" applyFont="1" applyBorder="1" applyAlignment="1">
      <alignment horizontal="center" vertical="center" shrinkToFit="1"/>
    </xf>
    <xf numFmtId="0" fontId="18" fillId="0" borderId="155" xfId="0" applyFont="1" applyBorder="1" applyAlignment="1">
      <alignment horizontal="center" vertical="center"/>
    </xf>
    <xf numFmtId="0" fontId="0" fillId="0" borderId="123" xfId="0" applyBorder="1" applyAlignment="1">
      <alignment horizontal="center" vertical="center"/>
    </xf>
    <xf numFmtId="0" fontId="0" fillId="0" borderId="156" xfId="0" applyBorder="1" applyAlignment="1">
      <alignment horizontal="center" vertical="center"/>
    </xf>
    <xf numFmtId="9" fontId="18" fillId="11" borderId="157" xfId="0" applyNumberFormat="1" applyFont="1" applyFill="1" applyBorder="1" applyAlignment="1" applyProtection="1">
      <alignment horizontal="center" vertical="center" shrinkToFit="1"/>
      <protection locked="0"/>
    </xf>
    <xf numFmtId="9" fontId="0" fillId="11" borderId="158" xfId="0" applyNumberFormat="1" applyFill="1" applyBorder="1" applyAlignment="1">
      <alignment horizontal="center" vertical="center" shrinkToFit="1"/>
    </xf>
    <xf numFmtId="178" fontId="18" fillId="0" borderId="159" xfId="0" applyNumberFormat="1" applyFont="1" applyBorder="1" applyAlignment="1" applyProtection="1">
      <alignment horizontal="left" vertical="center" shrinkToFit="1"/>
      <protection locked="0"/>
    </xf>
    <xf numFmtId="178" fontId="18" fillId="0" borderId="220" xfId="0" applyNumberFormat="1" applyFont="1" applyBorder="1" applyAlignment="1" applyProtection="1">
      <alignment horizontal="left" vertical="center" shrinkToFit="1"/>
      <protection locked="0"/>
    </xf>
    <xf numFmtId="178" fontId="18" fillId="0" borderId="160" xfId="0" applyNumberFormat="1" applyFont="1" applyBorder="1" applyAlignment="1" applyProtection="1">
      <alignment horizontal="left" vertical="center" shrinkToFit="1"/>
      <protection locked="0"/>
    </xf>
    <xf numFmtId="0" fontId="21" fillId="0" borderId="153" xfId="0" applyFont="1" applyBorder="1" applyAlignment="1" applyProtection="1">
      <alignment horizontal="center" vertical="center"/>
      <protection locked="0"/>
    </xf>
    <xf numFmtId="0" fontId="21" fillId="10" borderId="153" xfId="0" applyFont="1" applyFill="1" applyBorder="1" applyAlignment="1" applyProtection="1">
      <alignment vertical="center" shrinkToFit="1"/>
      <protection locked="0"/>
    </xf>
  </cellXfs>
  <cellStyles count="5">
    <cellStyle name="パーセント 2" xfId="3" xr:uid="{00000000-0005-0000-0000-000000000000}"/>
    <cellStyle name="桁区切り" xfId="4" builtinId="6"/>
    <cellStyle name="桁区切り 2" xfId="1" xr:uid="{00000000-0005-0000-0000-000002000000}"/>
    <cellStyle name="標準" xfId="0" builtinId="0"/>
    <cellStyle name="標準 2" xfId="2" xr:uid="{00000000-0005-0000-0000-000004000000}"/>
  </cellStyles>
  <dxfs count="17">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colors>
    <mruColors>
      <color rgb="FFFFFF99"/>
      <color rgb="FFCC66FF"/>
      <color rgb="FF9966FF"/>
      <color rgb="FF9933FF"/>
      <color rgb="FFFF33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externalLink" Target="externalLinks/externalLink6.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4.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externalLink" Target="externalLinks/externalLink7.xml"/></Relationships>
</file>

<file path=xl/drawings/drawing1.xml><?xml version="1.0" encoding="utf-8"?>
<xdr:wsDr xmlns:xdr="http://schemas.openxmlformats.org/drawingml/2006/spreadsheetDrawing" xmlns:a="http://schemas.openxmlformats.org/drawingml/2006/main">
  <xdr:twoCellAnchor>
    <xdr:from>
      <xdr:col>12</xdr:col>
      <xdr:colOff>156881</xdr:colOff>
      <xdr:row>13</xdr:row>
      <xdr:rowOff>100853</xdr:rowOff>
    </xdr:from>
    <xdr:to>
      <xdr:col>17</xdr:col>
      <xdr:colOff>930087</xdr:colOff>
      <xdr:row>15</xdr:row>
      <xdr:rowOff>145676</xdr:rowOff>
    </xdr:to>
    <xdr:sp macro="" textlink="">
      <xdr:nvSpPr>
        <xdr:cNvPr id="2" name="四角形吹き出し 1">
          <a:extLst>
            <a:ext uri="{FF2B5EF4-FFF2-40B4-BE49-F238E27FC236}">
              <a16:creationId xmlns:a16="http://schemas.microsoft.com/office/drawing/2014/main" id="{00000000-0008-0000-0100-000002000000}"/>
            </a:ext>
          </a:extLst>
        </xdr:cNvPr>
        <xdr:cNvSpPr/>
      </xdr:nvSpPr>
      <xdr:spPr bwMode="auto">
        <a:xfrm>
          <a:off x="10959352" y="2891118"/>
          <a:ext cx="3720353" cy="605117"/>
        </a:xfrm>
        <a:prstGeom prst="wedgeRectCallout">
          <a:avLst>
            <a:gd name="adj1" fmla="val -52421"/>
            <a:gd name="adj2" fmla="val -282718"/>
          </a:avLst>
        </a:prstGeom>
        <a:solidFill>
          <a:srgbClr val="FFFF00"/>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1" upright="1"/>
        <a:lstStyle/>
        <a:p>
          <a:pPr algn="l"/>
          <a:r>
            <a:rPr kumimoji="1" lang="ja-JP" altLang="en-US" sz="1100"/>
            <a:t>明細情報欄の黄色塗部は必ず設計担当で入力願います。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828675</xdr:colOff>
      <xdr:row>0</xdr:row>
      <xdr:rowOff>57151</xdr:rowOff>
    </xdr:from>
    <xdr:to>
      <xdr:col>4</xdr:col>
      <xdr:colOff>200025</xdr:colOff>
      <xdr:row>1</xdr:row>
      <xdr:rowOff>114300</xdr:rowOff>
    </xdr:to>
    <xdr:sp macro="" textlink="">
      <xdr:nvSpPr>
        <xdr:cNvPr id="3" name="Text Box 213">
          <a:extLst>
            <a:ext uri="{FF2B5EF4-FFF2-40B4-BE49-F238E27FC236}">
              <a16:creationId xmlns:a16="http://schemas.microsoft.com/office/drawing/2014/main" id="{00000000-0008-0000-0200-000003000000}"/>
            </a:ext>
          </a:extLst>
        </xdr:cNvPr>
        <xdr:cNvSpPr txBox="1">
          <a:spLocks noChangeArrowheads="1"/>
        </xdr:cNvSpPr>
      </xdr:nvSpPr>
      <xdr:spPr bwMode="auto">
        <a:xfrm>
          <a:off x="1295400" y="57151"/>
          <a:ext cx="2867025" cy="304799"/>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twoCellAnchor>
    <xdr:from>
      <xdr:col>16</xdr:col>
      <xdr:colOff>649941</xdr:colOff>
      <xdr:row>71</xdr:row>
      <xdr:rowOff>313765</xdr:rowOff>
    </xdr:from>
    <xdr:to>
      <xdr:col>19</xdr:col>
      <xdr:colOff>1109382</xdr:colOff>
      <xdr:row>74</xdr:row>
      <xdr:rowOff>134470</xdr:rowOff>
    </xdr:to>
    <xdr:sp macro="" textlink="">
      <xdr:nvSpPr>
        <xdr:cNvPr id="2" name="左矢印吹き出し 1">
          <a:extLst>
            <a:ext uri="{FF2B5EF4-FFF2-40B4-BE49-F238E27FC236}">
              <a16:creationId xmlns:a16="http://schemas.microsoft.com/office/drawing/2014/main" id="{00000000-0008-0000-0200-000002000000}"/>
            </a:ext>
          </a:extLst>
        </xdr:cNvPr>
        <xdr:cNvSpPr/>
      </xdr:nvSpPr>
      <xdr:spPr bwMode="auto">
        <a:xfrm>
          <a:off x="13267765" y="806824"/>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twoCellAnchor>
    <xdr:from>
      <xdr:col>16</xdr:col>
      <xdr:colOff>649941</xdr:colOff>
      <xdr:row>48</xdr:row>
      <xdr:rowOff>313765</xdr:rowOff>
    </xdr:from>
    <xdr:to>
      <xdr:col>19</xdr:col>
      <xdr:colOff>1109382</xdr:colOff>
      <xdr:row>51</xdr:row>
      <xdr:rowOff>134470</xdr:rowOff>
    </xdr:to>
    <xdr:sp macro="" textlink="">
      <xdr:nvSpPr>
        <xdr:cNvPr id="5" name="左矢印吹き出し 4">
          <a:extLst>
            <a:ext uri="{FF2B5EF4-FFF2-40B4-BE49-F238E27FC236}">
              <a16:creationId xmlns:a16="http://schemas.microsoft.com/office/drawing/2014/main" id="{00000000-0008-0000-0200-000005000000}"/>
            </a:ext>
          </a:extLst>
        </xdr:cNvPr>
        <xdr:cNvSpPr/>
      </xdr:nvSpPr>
      <xdr:spPr bwMode="auto">
        <a:xfrm>
          <a:off x="13267765" y="6477000"/>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twoCellAnchor>
    <xdr:from>
      <xdr:col>16</xdr:col>
      <xdr:colOff>649941</xdr:colOff>
      <xdr:row>25</xdr:row>
      <xdr:rowOff>313765</xdr:rowOff>
    </xdr:from>
    <xdr:to>
      <xdr:col>19</xdr:col>
      <xdr:colOff>1109382</xdr:colOff>
      <xdr:row>28</xdr:row>
      <xdr:rowOff>0</xdr:rowOff>
    </xdr:to>
    <xdr:sp macro="" textlink="">
      <xdr:nvSpPr>
        <xdr:cNvPr id="6" name="左矢印吹き出し 5">
          <a:extLst>
            <a:ext uri="{FF2B5EF4-FFF2-40B4-BE49-F238E27FC236}">
              <a16:creationId xmlns:a16="http://schemas.microsoft.com/office/drawing/2014/main" id="{00000000-0008-0000-0200-000006000000}"/>
            </a:ext>
          </a:extLst>
        </xdr:cNvPr>
        <xdr:cNvSpPr/>
      </xdr:nvSpPr>
      <xdr:spPr bwMode="auto">
        <a:xfrm>
          <a:off x="13267765" y="6477000"/>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twoCellAnchor>
    <xdr:from>
      <xdr:col>16</xdr:col>
      <xdr:colOff>649941</xdr:colOff>
      <xdr:row>2</xdr:row>
      <xdr:rowOff>313765</xdr:rowOff>
    </xdr:from>
    <xdr:to>
      <xdr:col>19</xdr:col>
      <xdr:colOff>1109382</xdr:colOff>
      <xdr:row>5</xdr:row>
      <xdr:rowOff>0</xdr:rowOff>
    </xdr:to>
    <xdr:sp macro="" textlink="">
      <xdr:nvSpPr>
        <xdr:cNvPr id="7" name="左矢印吹き出し 6">
          <a:extLst>
            <a:ext uri="{FF2B5EF4-FFF2-40B4-BE49-F238E27FC236}">
              <a16:creationId xmlns:a16="http://schemas.microsoft.com/office/drawing/2014/main" id="{00000000-0008-0000-0200-000007000000}"/>
            </a:ext>
          </a:extLst>
        </xdr:cNvPr>
        <xdr:cNvSpPr/>
      </xdr:nvSpPr>
      <xdr:spPr bwMode="auto">
        <a:xfrm>
          <a:off x="13267765" y="6477000"/>
          <a:ext cx="4022911" cy="85164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31750</xdr:colOff>
      <xdr:row>12</xdr:row>
      <xdr:rowOff>88900</xdr:rowOff>
    </xdr:from>
    <xdr:to>
      <xdr:col>3</xdr:col>
      <xdr:colOff>1041400</xdr:colOff>
      <xdr:row>16</xdr:row>
      <xdr:rowOff>76200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手順③</a:t>
          </a:r>
        </a:p>
        <a:p>
          <a:pPr algn="l" rtl="0">
            <a:defRPr sz="1000"/>
          </a:pPr>
          <a:r>
            <a:rPr lang="ja-JP" altLang="en-US" sz="1000" b="0" i="0" u="none" strike="noStrike" baseline="0">
              <a:solidFill>
                <a:srgbClr val="000000"/>
              </a:solidFill>
              <a:latin typeface="ＭＳ Ｐゴシック"/>
              <a:ea typeface="ＭＳ Ｐゴシック"/>
            </a:rPr>
            <a:t>本表の金額入力が完了したらクリック（不要な行を非表示）</a:t>
          </a:r>
        </a:p>
      </xdr:txBody>
    </xdr:sp>
    <xdr:clientData fPrintsWithSheet="0"/>
  </xdr:twoCellAnchor>
  <xdr:twoCellAnchor>
    <xdr:from>
      <xdr:col>0</xdr:col>
      <xdr:colOff>12700</xdr:colOff>
      <xdr:row>8</xdr:row>
      <xdr:rowOff>50800</xdr:rowOff>
    </xdr:from>
    <xdr:to>
      <xdr:col>3</xdr:col>
      <xdr:colOff>1060450</xdr:colOff>
      <xdr:row>12</xdr:row>
      <xdr:rowOff>31750</xdr:rowOff>
    </xdr:to>
    <xdr:sp macro="" textlink="">
      <xdr:nvSpPr>
        <xdr:cNvPr id="12318" name="Button 30" hidden="1">
          <a:extLst>
            <a:ext uri="{63B3BB69-23CF-44E3-9099-C40C66FF867C}">
              <a14:compatExt xmlns:a14="http://schemas.microsoft.com/office/drawing/2010/main" spid="_x0000_s12318"/>
            </a:ext>
            <a:ext uri="{FF2B5EF4-FFF2-40B4-BE49-F238E27FC236}">
              <a16:creationId xmlns:a16="http://schemas.microsoft.com/office/drawing/2014/main" id="{00000000-0008-0000-0300-00001E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手順②</a:t>
          </a:r>
        </a:p>
        <a:p>
          <a:pPr algn="l" rtl="0">
            <a:defRPr sz="1000"/>
          </a:pPr>
          <a:r>
            <a:rPr lang="ja-JP" altLang="en-US" sz="1000" b="0" i="0" u="none" strike="noStrike" baseline="0">
              <a:solidFill>
                <a:srgbClr val="000000"/>
              </a:solidFill>
              <a:latin typeface="ＭＳ Ｐゴシック"/>
              <a:ea typeface="ＭＳ Ｐゴシック"/>
            </a:rPr>
            <a:t>Ｈ列が完成したらクリック（工事２以降がある場合）</a:t>
          </a:r>
        </a:p>
      </xdr:txBody>
    </xdr:sp>
    <xdr:clientData fPrintsWithSheet="0"/>
  </xdr:twoCellAnchor>
  <xdr:twoCellAnchor>
    <xdr:from>
      <xdr:col>16</xdr:col>
      <xdr:colOff>428625</xdr:colOff>
      <xdr:row>64</xdr:row>
      <xdr:rowOff>28575</xdr:rowOff>
    </xdr:from>
    <xdr:to>
      <xdr:col>25</xdr:col>
      <xdr:colOff>85725</xdr:colOff>
      <xdr:row>74</xdr:row>
      <xdr:rowOff>76200</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8782050" y="11001375"/>
          <a:ext cx="5829300" cy="176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費用分類</a:t>
          </a:r>
          <a:r>
            <a:rPr kumimoji="1" lang="en-US" altLang="ja-JP" sz="1100"/>
            <a:t>】,</a:t>
          </a:r>
          <a:r>
            <a:rPr kumimoji="1" lang="ja-JP" altLang="en-US" sz="1100"/>
            <a:t>費用</a:t>
          </a:r>
          <a:r>
            <a:rPr kumimoji="1" lang="en-US" altLang="ja-JP" sz="1100"/>
            <a:t>,</a:t>
          </a:r>
          <a:r>
            <a:rPr kumimoji="1" lang="ja-JP" altLang="en-US" sz="1100"/>
            <a:t>　</a:t>
          </a:r>
          <a:r>
            <a:rPr kumimoji="1" lang="en-US" altLang="ja-JP" sz="1100"/>
            <a:t>,【</a:t>
          </a:r>
          <a:r>
            <a:rPr kumimoji="1" lang="ja-JP" altLang="en-US" sz="1100"/>
            <a:t>資産区分</a:t>
          </a:r>
          <a:r>
            <a:rPr kumimoji="1" lang="en-US" altLang="ja-JP" sz="1100"/>
            <a:t>】,</a:t>
          </a:r>
          <a:r>
            <a:rPr kumimoji="1" lang="ja-JP" altLang="en-US" sz="1100"/>
            <a:t>＜建物附属設備＞</a:t>
          </a:r>
          <a:r>
            <a:rPr kumimoji="1" lang="en-US" altLang="ja-JP" sz="1100"/>
            <a:t>,</a:t>
          </a:r>
          <a:r>
            <a:rPr kumimoji="1" lang="ja-JP" altLang="en-US" sz="1100"/>
            <a:t>店舗用簡易設備</a:t>
          </a:r>
          <a:r>
            <a:rPr kumimoji="1" lang="en-US" altLang="ja-JP" sz="1100"/>
            <a:t>,</a:t>
          </a:r>
          <a:r>
            <a:rPr kumimoji="1" lang="ja-JP" altLang="en-US" sz="1100"/>
            <a:t>可動間仕切り</a:t>
          </a:r>
          <a:r>
            <a:rPr kumimoji="1" lang="en-US" altLang="ja-JP" sz="1100"/>
            <a:t>-</a:t>
          </a:r>
          <a:r>
            <a:rPr kumimoji="1" lang="ja-JP" altLang="en-US" sz="1100"/>
            <a:t>簡易なもの</a:t>
          </a:r>
          <a:r>
            <a:rPr kumimoji="1" lang="en-US" altLang="ja-JP" sz="1100"/>
            <a:t>,</a:t>
          </a:r>
          <a:r>
            <a:rPr kumimoji="1" lang="ja-JP" altLang="en-US" sz="1100"/>
            <a:t>可動間仕切り</a:t>
          </a:r>
          <a:r>
            <a:rPr kumimoji="1" lang="en-US" altLang="ja-JP" sz="1100"/>
            <a:t>-</a:t>
          </a:r>
          <a:r>
            <a:rPr kumimoji="1" lang="ja-JP" altLang="en-US" sz="1100"/>
            <a:t>その他</a:t>
          </a:r>
          <a:r>
            <a:rPr kumimoji="1" lang="en-US" altLang="ja-JP" sz="1100"/>
            <a:t>,</a:t>
          </a:r>
          <a:r>
            <a:rPr kumimoji="1" lang="ja-JP" altLang="en-US" sz="1100"/>
            <a:t>シャッター・止水鉄扉等（金属製）</a:t>
          </a:r>
          <a:r>
            <a:rPr kumimoji="1" lang="en-US" altLang="ja-JP" sz="1100"/>
            <a:t>,</a:t>
          </a:r>
        </a:p>
        <a:p>
          <a:r>
            <a:rPr kumimoji="1" lang="en-US" altLang="ja-JP" sz="1100"/>
            <a:t>,</a:t>
          </a:r>
          <a:r>
            <a:rPr kumimoji="1" lang="ja-JP" altLang="en-US" sz="1100"/>
            <a:t>　</a:t>
          </a:r>
          <a:r>
            <a:rPr kumimoji="1" lang="en-US" altLang="ja-JP" sz="1100"/>
            <a:t>,</a:t>
          </a:r>
          <a:r>
            <a:rPr kumimoji="1" lang="ja-JP" altLang="en-US" sz="1100"/>
            <a:t>＜工具・器具・備品＞</a:t>
          </a:r>
          <a:r>
            <a:rPr kumimoji="1" lang="en-US" altLang="ja-JP" sz="1100"/>
            <a:t>,</a:t>
          </a:r>
          <a:r>
            <a:rPr kumimoji="1" lang="ja-JP" altLang="en-US" sz="1100"/>
            <a:t>電照サイン（金属製）</a:t>
          </a:r>
          <a:r>
            <a:rPr kumimoji="1" lang="en-US" altLang="ja-JP" sz="1100"/>
            <a:t>,</a:t>
          </a:r>
          <a:r>
            <a:rPr kumimoji="1" lang="ja-JP" altLang="en-US" sz="1100"/>
            <a:t>非電照サイン（金属製）</a:t>
          </a:r>
          <a:r>
            <a:rPr kumimoji="1" lang="en-US" altLang="ja-JP" sz="1100"/>
            <a:t>,</a:t>
          </a:r>
          <a:r>
            <a:rPr kumimoji="1" lang="ja-JP" altLang="en-US" sz="1100"/>
            <a:t>電照広告（金属製）</a:t>
          </a:r>
          <a:r>
            <a:rPr kumimoji="1" lang="en-US" altLang="ja-JP" sz="1100"/>
            <a:t>,</a:t>
          </a:r>
          <a:r>
            <a:rPr kumimoji="1" lang="ja-JP" altLang="en-US" sz="1100"/>
            <a:t>非電照広告（金属製）</a:t>
          </a:r>
          <a:r>
            <a:rPr kumimoji="1" lang="en-US" altLang="ja-JP" sz="1100"/>
            <a:t>,</a:t>
          </a:r>
          <a:r>
            <a:rPr kumimoji="1" lang="ja-JP" altLang="en-US" sz="1100"/>
            <a:t>電気設備</a:t>
          </a:r>
          <a:r>
            <a:rPr kumimoji="1" lang="en-US" altLang="ja-JP" sz="1100"/>
            <a:t>,</a:t>
          </a:r>
          <a:r>
            <a:rPr kumimoji="1" lang="ja-JP" altLang="en-US" sz="1100"/>
            <a:t>非電照サイン（その他）</a:t>
          </a:r>
          <a:r>
            <a:rPr kumimoji="1" lang="en-US" altLang="ja-JP" sz="1100"/>
            <a:t>,</a:t>
          </a:r>
          <a:r>
            <a:rPr kumimoji="1" lang="ja-JP" altLang="en-US" sz="1100"/>
            <a:t>非電照広告（その他）</a:t>
          </a:r>
          <a:r>
            <a:rPr kumimoji="1" lang="en-US" altLang="ja-JP" sz="1100"/>
            <a:t>,</a:t>
          </a:r>
          <a:r>
            <a:rPr kumimoji="1" lang="ja-JP" altLang="en-US" sz="1100"/>
            <a:t>無人駐車管理装置</a:t>
          </a:r>
          <a:r>
            <a:rPr kumimoji="1" lang="en-US" altLang="ja-JP" sz="1100"/>
            <a:t>,</a:t>
          </a:r>
          <a:r>
            <a:rPr kumimoji="1" lang="ja-JP" altLang="en-US" sz="1100"/>
            <a:t>その他（金属製）</a:t>
          </a:r>
          <a:r>
            <a:rPr kumimoji="1" lang="en-US" altLang="ja-JP" sz="1100"/>
            <a:t>,</a:t>
          </a:r>
          <a:r>
            <a:rPr kumimoji="1" lang="ja-JP" altLang="en-US" sz="1100"/>
            <a:t>その他（その他）</a:t>
          </a:r>
        </a:p>
      </xdr:txBody>
    </xdr:sp>
    <xdr:clientData/>
  </xdr:twoCellAnchor>
  <xdr:twoCellAnchor>
    <xdr:from>
      <xdr:col>0</xdr:col>
      <xdr:colOff>0</xdr:colOff>
      <xdr:row>5</xdr:row>
      <xdr:rowOff>38100</xdr:rowOff>
    </xdr:from>
    <xdr:to>
      <xdr:col>4</xdr:col>
      <xdr:colOff>0</xdr:colOff>
      <xdr:row>7</xdr:row>
      <xdr:rowOff>146050</xdr:rowOff>
    </xdr:to>
    <xdr:sp macro="" textlink="">
      <xdr:nvSpPr>
        <xdr:cNvPr id="12375" name="Button 87" hidden="1">
          <a:extLst>
            <a:ext uri="{63B3BB69-23CF-44E3-9099-C40C66FF867C}">
              <a14:compatExt xmlns:a14="http://schemas.microsoft.com/office/drawing/2010/main" spid="_x0000_s12375"/>
            </a:ext>
            <a:ext uri="{FF2B5EF4-FFF2-40B4-BE49-F238E27FC236}">
              <a16:creationId xmlns:a16="http://schemas.microsoft.com/office/drawing/2014/main" id="{00000000-0008-0000-0300-000057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手順①</a:t>
          </a:r>
        </a:p>
        <a:p>
          <a:pPr algn="l" rtl="0">
            <a:defRPr sz="1000"/>
          </a:pPr>
          <a:r>
            <a:rPr lang="ja-JP" altLang="en-US" sz="1000" b="0" i="0" u="none" strike="noStrike" baseline="0">
              <a:solidFill>
                <a:srgbClr val="000000"/>
              </a:solidFill>
              <a:latin typeface="ＭＳ Ｐゴシック"/>
              <a:ea typeface="ＭＳ Ｐゴシック"/>
            </a:rPr>
            <a:t>諸経費表が完成したらクリック</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3</xdr:col>
      <xdr:colOff>962025</xdr:colOff>
      <xdr:row>0</xdr:row>
      <xdr:rowOff>85725</xdr:rowOff>
    </xdr:from>
    <xdr:to>
      <xdr:col>4</xdr:col>
      <xdr:colOff>1647825</xdr:colOff>
      <xdr:row>1</xdr:row>
      <xdr:rowOff>238125</xdr:rowOff>
    </xdr:to>
    <xdr:sp macro="" textlink="">
      <xdr:nvSpPr>
        <xdr:cNvPr id="2261" name="Text Box 213">
          <a:extLst>
            <a:ext uri="{FF2B5EF4-FFF2-40B4-BE49-F238E27FC236}">
              <a16:creationId xmlns:a16="http://schemas.microsoft.com/office/drawing/2014/main" id="{00000000-0008-0000-0600-0000D5080000}"/>
            </a:ext>
          </a:extLst>
        </xdr:cNvPr>
        <xdr:cNvSpPr txBox="1">
          <a:spLocks noChangeArrowheads="1"/>
        </xdr:cNvSpPr>
      </xdr:nvSpPr>
      <xdr:spPr bwMode="auto">
        <a:xfrm>
          <a:off x="2019300" y="85725"/>
          <a:ext cx="2867025" cy="476250"/>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123825</xdr:rowOff>
    </xdr:from>
    <xdr:to>
      <xdr:col>4</xdr:col>
      <xdr:colOff>1333500</xdr:colOff>
      <xdr:row>3</xdr:row>
      <xdr:rowOff>219075</xdr:rowOff>
    </xdr:to>
    <xdr:sp macro="" textlink="">
      <xdr:nvSpPr>
        <xdr:cNvPr id="11267" name="Text Box 3">
          <a:extLst>
            <a:ext uri="{FF2B5EF4-FFF2-40B4-BE49-F238E27FC236}">
              <a16:creationId xmlns:a16="http://schemas.microsoft.com/office/drawing/2014/main" id="{00000000-0008-0000-0700-0000032C0000}"/>
            </a:ext>
          </a:extLst>
        </xdr:cNvPr>
        <xdr:cNvSpPr txBox="1">
          <a:spLocks noChangeArrowheads="1"/>
        </xdr:cNvSpPr>
      </xdr:nvSpPr>
      <xdr:spPr bwMode="auto">
        <a:xfrm>
          <a:off x="714375" y="0"/>
          <a:ext cx="3857625" cy="542925"/>
        </a:xfrm>
        <a:prstGeom prst="rect">
          <a:avLst/>
        </a:prstGeom>
        <a:solidFill>
          <a:srgbClr val="FFCC99"/>
        </a:solidFill>
        <a:ln w="28575">
          <a:solidFill>
            <a:srgbClr val="000000"/>
          </a:solidFill>
          <a:miter lim="800000"/>
          <a:headEnd/>
          <a:tailEnd/>
        </a:ln>
      </xdr:spPr>
      <xdr:txBody>
        <a:bodyPr vertOverflow="clip" wrap="square" lIns="27432" tIns="18288" rIns="0" bIns="0" anchor="t" upright="1"/>
        <a:lstStyle/>
        <a:p>
          <a:pPr algn="l" rtl="0">
            <a:defRPr sz="1000"/>
          </a:pPr>
          <a:r>
            <a:rPr lang="ja-JP" altLang="en-US" sz="1200" b="0" i="0" strike="noStrike">
              <a:solidFill>
                <a:srgbClr val="000000"/>
              </a:solidFill>
              <a:latin typeface="ＭＳ Ｐゴシック"/>
              <a:ea typeface="ＭＳ Ｐゴシック"/>
            </a:rPr>
            <a:t>代価では、各ページの先頭行（名称の下の代価</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の行）に、そのページの項目、単位を記載してください。コード入力の際に使用します。　</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未使用</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の欄を記入してください</a:t>
          </a:r>
          <a:r>
            <a:rPr lang="en-US" altLang="ja-JP" sz="1200" b="0" i="0" strike="noStrike">
              <a:solidFill>
                <a:srgbClr val="000000"/>
              </a:solidFill>
              <a:latin typeface="ＭＳ Ｐゴシック"/>
              <a:ea typeface="ＭＳ Ｐゴシック"/>
            </a:rPr>
            <a:t>.</a:t>
          </a:r>
        </a:p>
        <a:p>
          <a:pPr algn="l" rtl="0">
            <a:defRPr sz="1000"/>
          </a:pPr>
          <a:r>
            <a:rPr lang="en-US" altLang="ja-JP" sz="1200" b="0" i="0" strike="noStrike">
              <a:solidFill>
                <a:srgbClr val="000000"/>
              </a:solidFill>
              <a:latin typeface="ＭＳ Ｐゴシック"/>
              <a:ea typeface="ＭＳ Ｐゴシック"/>
            </a:rPr>
            <a:t>Z</a:t>
          </a:r>
          <a:r>
            <a:rPr lang="ja-JP" altLang="en-US" sz="1200" b="0" i="0" strike="noStrike">
              <a:solidFill>
                <a:srgbClr val="000000"/>
              </a:solidFill>
              <a:latin typeface="ＭＳ Ｐゴシック"/>
              <a:ea typeface="ＭＳ Ｐゴシック"/>
            </a:rPr>
            <a:t>列以降に表計算が記入されています。</a:t>
          </a:r>
        </a:p>
        <a:p>
          <a:pPr algn="l" rtl="0">
            <a:defRPr sz="1000"/>
          </a:pPr>
          <a:r>
            <a:rPr lang="ja-JP" altLang="en-US" sz="1200" b="0" i="0" strike="noStrike">
              <a:solidFill>
                <a:srgbClr val="000000"/>
              </a:solidFill>
              <a:latin typeface="ＭＳ Ｐゴシック"/>
              <a:ea typeface="ＭＳ Ｐゴシック"/>
            </a:rPr>
            <a:t>！！！行全体の削除は止めてください！！</a:t>
          </a:r>
        </a:p>
      </xdr:txBody>
    </xdr:sp>
    <xdr:clientData fPrintsWithSheet="0"/>
  </xdr:twoCellAnchor>
  <xdr:twoCellAnchor>
    <xdr:from>
      <xdr:col>3</xdr:col>
      <xdr:colOff>1917700</xdr:colOff>
      <xdr:row>8</xdr:row>
      <xdr:rowOff>152400</xdr:rowOff>
    </xdr:from>
    <xdr:to>
      <xdr:col>5</xdr:col>
      <xdr:colOff>749300</xdr:colOff>
      <xdr:row>12</xdr:row>
      <xdr:rowOff>228600</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2984500" y="2235200"/>
          <a:ext cx="2921000"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400" b="1">
              <a:solidFill>
                <a:srgbClr val="FF0000"/>
              </a:solidFill>
            </a:rPr>
            <a:t>・右欄の小運搬重量の計算部がマクロ修正必要です。</a:t>
          </a:r>
          <a:endParaRPr kumimoji="1" lang="en-US" altLang="ja-JP" sz="1400" b="1">
            <a:solidFill>
              <a:srgbClr val="FF0000"/>
            </a:solidFill>
          </a:endParaRPr>
        </a:p>
        <a:p>
          <a:pPr algn="l"/>
          <a:r>
            <a:rPr kumimoji="1" lang="ja-JP" altLang="en-US" sz="1400" b="1">
              <a:solidFill>
                <a:srgbClr val="FF0000"/>
              </a:solidFill>
            </a:rPr>
            <a:t>・ページ数を増やすと、正しく集計されません。当面非表示にしときます</a:t>
          </a:r>
          <a:r>
            <a:rPr kumimoji="1" lang="ja-JP" altLang="en-US" sz="11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239245</xdr:colOff>
      <xdr:row>0</xdr:row>
      <xdr:rowOff>100293</xdr:rowOff>
    </xdr:from>
    <xdr:to>
      <xdr:col>4</xdr:col>
      <xdr:colOff>267820</xdr:colOff>
      <xdr:row>1</xdr:row>
      <xdr:rowOff>81243</xdr:rowOff>
    </xdr:to>
    <xdr:sp macro="" textlink="">
      <xdr:nvSpPr>
        <xdr:cNvPr id="9217" name="Text Box 1">
          <a:extLst>
            <a:ext uri="{FF2B5EF4-FFF2-40B4-BE49-F238E27FC236}">
              <a16:creationId xmlns:a16="http://schemas.microsoft.com/office/drawing/2014/main" id="{00000000-0008-0000-1700-000001240000}"/>
            </a:ext>
          </a:extLst>
        </xdr:cNvPr>
        <xdr:cNvSpPr txBox="1">
          <a:spLocks noChangeArrowheads="1"/>
        </xdr:cNvSpPr>
      </xdr:nvSpPr>
      <xdr:spPr bwMode="auto">
        <a:xfrm>
          <a:off x="239245" y="100293"/>
          <a:ext cx="2953310" cy="227479"/>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3" name="Text Box 1">
          <a:extLst>
            <a:ext uri="{FF2B5EF4-FFF2-40B4-BE49-F238E27FC236}">
              <a16:creationId xmlns:a16="http://schemas.microsoft.com/office/drawing/2014/main" id="{00000000-0008-0000-1700-000003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5</xdr:col>
      <xdr:colOff>752475</xdr:colOff>
      <xdr:row>11</xdr:row>
      <xdr:rowOff>0</xdr:rowOff>
    </xdr:from>
    <xdr:to>
      <xdr:col>5</xdr:col>
      <xdr:colOff>828675</xdr:colOff>
      <xdr:row>12</xdr:row>
      <xdr:rowOff>57150</xdr:rowOff>
    </xdr:to>
    <xdr:sp macro="" textlink="">
      <xdr:nvSpPr>
        <xdr:cNvPr id="13349" name="Text Box 1">
          <a:extLst>
            <a:ext uri="{FF2B5EF4-FFF2-40B4-BE49-F238E27FC236}">
              <a16:creationId xmlns:a16="http://schemas.microsoft.com/office/drawing/2014/main" id="{00000000-0008-0000-1900-000025340000}"/>
            </a:ext>
          </a:extLst>
        </xdr:cNvPr>
        <xdr:cNvSpPr txBox="1">
          <a:spLocks noChangeArrowheads="1"/>
        </xdr:cNvSpPr>
      </xdr:nvSpPr>
      <xdr:spPr bwMode="auto">
        <a:xfrm>
          <a:off x="4333875" y="1676400"/>
          <a:ext cx="76200" cy="209550"/>
        </a:xfrm>
        <a:prstGeom prst="rect">
          <a:avLst/>
        </a:prstGeom>
        <a:noFill/>
        <a:ln w="9525">
          <a:noFill/>
          <a:miter lim="800000"/>
          <a:headEnd/>
          <a:tailEnd/>
        </a:ln>
      </xdr:spPr>
    </xdr:sp>
    <xdr:clientData/>
  </xdr:twoCellAnchor>
  <xdr:twoCellAnchor>
    <xdr:from>
      <xdr:col>5</xdr:col>
      <xdr:colOff>838200</xdr:colOff>
      <xdr:row>3</xdr:row>
      <xdr:rowOff>28575</xdr:rowOff>
    </xdr:from>
    <xdr:to>
      <xdr:col>9</xdr:col>
      <xdr:colOff>9525</xdr:colOff>
      <xdr:row>8</xdr:row>
      <xdr:rowOff>28575</xdr:rowOff>
    </xdr:to>
    <xdr:sp macro="" textlink="">
      <xdr:nvSpPr>
        <xdr:cNvPr id="13314" name="Text Box 2">
          <a:extLst>
            <a:ext uri="{FF2B5EF4-FFF2-40B4-BE49-F238E27FC236}">
              <a16:creationId xmlns:a16="http://schemas.microsoft.com/office/drawing/2014/main" id="{00000000-0008-0000-1900-000002340000}"/>
            </a:ext>
          </a:extLst>
        </xdr:cNvPr>
        <xdr:cNvSpPr txBox="1">
          <a:spLocks noChangeArrowheads="1"/>
        </xdr:cNvSpPr>
      </xdr:nvSpPr>
      <xdr:spPr bwMode="auto">
        <a:xfrm>
          <a:off x="4419600" y="485775"/>
          <a:ext cx="2038350" cy="7620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コード番号は</a:t>
          </a:r>
          <a:r>
            <a:rPr lang="en-US" altLang="ja-JP" sz="1100" b="0" i="0" strike="noStrike">
              <a:solidFill>
                <a:srgbClr val="000000"/>
              </a:solidFill>
              <a:latin typeface="ＭＳ Ｐゴシック"/>
              <a:ea typeface="ＭＳ Ｐゴシック"/>
            </a:rPr>
            <a:t>100</a:t>
          </a:r>
          <a:r>
            <a:rPr lang="ja-JP" altLang="en-US" sz="1100" b="0" i="0" strike="noStrike">
              <a:solidFill>
                <a:srgbClr val="000000"/>
              </a:solidFill>
              <a:latin typeface="ＭＳ Ｐゴシック"/>
              <a:ea typeface="ＭＳ Ｐゴシック"/>
            </a:rPr>
            <a:t>以上。</a:t>
          </a:r>
        </a:p>
        <a:p>
          <a:pPr algn="l" rtl="0">
            <a:defRPr sz="1000"/>
          </a:pPr>
          <a:r>
            <a:rPr lang="en-US" altLang="ja-JP" sz="1100" b="0" i="0" strike="noStrike">
              <a:solidFill>
                <a:srgbClr val="000000"/>
              </a:solidFill>
              <a:latin typeface="ＭＳ Ｐゴシック"/>
              <a:ea typeface="ＭＳ Ｐゴシック"/>
            </a:rPr>
            <a:t>1</a:t>
          </a:r>
          <a:r>
            <a:rPr lang="ja-JP" altLang="en-US" sz="1100" b="0" i="0" strike="noStrike">
              <a:solidFill>
                <a:srgbClr val="000000"/>
              </a:solidFill>
              <a:latin typeface="ＭＳ Ｐゴシック"/>
              <a:ea typeface="ＭＳ Ｐゴシック"/>
            </a:rPr>
            <a:t>～</a:t>
          </a:r>
          <a:r>
            <a:rPr lang="en-US" altLang="ja-JP" sz="1100" b="0" i="0" strike="noStrike">
              <a:solidFill>
                <a:srgbClr val="000000"/>
              </a:solidFill>
              <a:latin typeface="ＭＳ Ｐゴシック"/>
              <a:ea typeface="ＭＳ Ｐゴシック"/>
            </a:rPr>
            <a:t>99</a:t>
          </a:r>
          <a:r>
            <a:rPr lang="ja-JP" altLang="en-US" sz="1100" b="0" i="0" strike="noStrike">
              <a:solidFill>
                <a:srgbClr val="000000"/>
              </a:solidFill>
              <a:latin typeface="ＭＳ Ｐゴシック"/>
              <a:ea typeface="ＭＳ Ｐゴシック"/>
            </a:rPr>
            <a:t>は代価（複合）で使用するため、</a:t>
          </a:r>
        </a:p>
        <a:p>
          <a:pPr algn="l" rtl="0">
            <a:defRPr sz="1000"/>
          </a:pPr>
          <a:r>
            <a:rPr lang="ja-JP" altLang="en-US" sz="1100" b="0" i="0" strike="noStrike">
              <a:solidFill>
                <a:srgbClr val="000000"/>
              </a:solidFill>
              <a:latin typeface="ＭＳ Ｐゴシック"/>
              <a:ea typeface="ＭＳ Ｐゴシック"/>
            </a:rPr>
            <a:t>入力しても削除されます。</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0</xdr:col>
      <xdr:colOff>104776</xdr:colOff>
      <xdr:row>297</xdr:row>
      <xdr:rowOff>100853</xdr:rowOff>
    </xdr:from>
    <xdr:to>
      <xdr:col>5</xdr:col>
      <xdr:colOff>305360</xdr:colOff>
      <xdr:row>312</xdr:row>
      <xdr:rowOff>24653</xdr:rowOff>
    </xdr:to>
    <xdr:sp macro="" textlink="">
      <xdr:nvSpPr>
        <xdr:cNvPr id="2" name="角丸四角形 1">
          <a:extLst>
            <a:ext uri="{FF2B5EF4-FFF2-40B4-BE49-F238E27FC236}">
              <a16:creationId xmlns:a16="http://schemas.microsoft.com/office/drawing/2014/main" id="{00000000-0008-0000-1C00-000002000000}"/>
            </a:ext>
          </a:extLst>
        </xdr:cNvPr>
        <xdr:cNvSpPr/>
      </xdr:nvSpPr>
      <xdr:spPr>
        <a:xfrm>
          <a:off x="104776" y="35848178"/>
          <a:ext cx="3010459" cy="24003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次回変更　以降　</a:t>
          </a:r>
          <a:endParaRPr kumimoji="1" lang="en-US" altLang="ja-JP"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a:p>
          <a:pPr algn="l">
            <a:lnSpc>
              <a:spcPts val="2500"/>
            </a:lnSpc>
          </a:pPr>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次回計上累計工事費</a:t>
          </a:r>
          <a:endParaRPr kumimoji="1" lang="en-US" altLang="ja-JP"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a:p>
          <a:pPr algn="l">
            <a:lnSpc>
              <a:spcPts val="2500"/>
            </a:lnSpc>
          </a:pPr>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次回変更時は色塗り部の金額色塗り部を既発注入力欄に入力</a:t>
          </a:r>
        </a:p>
      </xdr:txBody>
    </xdr:sp>
    <xdr:clientData/>
  </xdr:twoCellAnchor>
  <xdr:twoCellAnchor>
    <xdr:from>
      <xdr:col>2</xdr:col>
      <xdr:colOff>116541</xdr:colOff>
      <xdr:row>88</xdr:row>
      <xdr:rowOff>161364</xdr:rowOff>
    </xdr:from>
    <xdr:to>
      <xdr:col>5</xdr:col>
      <xdr:colOff>649941</xdr:colOff>
      <xdr:row>92</xdr:row>
      <xdr:rowOff>40902</xdr:rowOff>
    </xdr:to>
    <xdr:sp macro="" textlink="">
      <xdr:nvSpPr>
        <xdr:cNvPr id="3" name="角丸四角形 2">
          <a:extLst>
            <a:ext uri="{FF2B5EF4-FFF2-40B4-BE49-F238E27FC236}">
              <a16:creationId xmlns:a16="http://schemas.microsoft.com/office/drawing/2014/main" id="{00000000-0008-0000-1C00-000003000000}"/>
            </a:ext>
          </a:extLst>
        </xdr:cNvPr>
        <xdr:cNvSpPr/>
      </xdr:nvSpPr>
      <xdr:spPr>
        <a:xfrm>
          <a:off x="573741" y="12296214"/>
          <a:ext cx="2886075" cy="56533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rPr>
            <a:t>既発注工事費　入力欄</a:t>
          </a:r>
          <a:endParaRPr kumimoji="1" lang="en-US" altLang="ja-JP"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endParaRPr>
        </a:p>
        <a:p>
          <a:pPr algn="l"/>
          <a:endParaRPr kumimoji="1" lang="ja-JP" altLang="en-US"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104775</xdr:colOff>
      <xdr:row>109</xdr:row>
      <xdr:rowOff>66675</xdr:rowOff>
    </xdr:from>
    <xdr:to>
      <xdr:col>4</xdr:col>
      <xdr:colOff>133350</xdr:colOff>
      <xdr:row>110</xdr:row>
      <xdr:rowOff>47625</xdr:rowOff>
    </xdr:to>
    <xdr:sp macro="" textlink="">
      <xdr:nvSpPr>
        <xdr:cNvPr id="14337" name="Text Box 1">
          <a:extLst>
            <a:ext uri="{FF2B5EF4-FFF2-40B4-BE49-F238E27FC236}">
              <a16:creationId xmlns:a16="http://schemas.microsoft.com/office/drawing/2014/main" id="{00000000-0008-0000-1D00-000001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8" name="Text Box 2">
          <a:extLst>
            <a:ext uri="{FF2B5EF4-FFF2-40B4-BE49-F238E27FC236}">
              <a16:creationId xmlns:a16="http://schemas.microsoft.com/office/drawing/2014/main" id="{00000000-0008-0000-1D00-000002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9" name="Text Box 3">
          <a:extLst>
            <a:ext uri="{FF2B5EF4-FFF2-40B4-BE49-F238E27FC236}">
              <a16:creationId xmlns:a16="http://schemas.microsoft.com/office/drawing/2014/main" id="{00000000-0008-0000-1D00-000003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3509;&#23798;&#23515;&#23376;0410533/&#22266;&#23450;&#36039;&#29987;/&#32933;&#24460;&#27211;&#22806;2&#39365;&#12488;&#12452;&#12524;&#25913;&#36896;&#24037;&#20107;&#12288;&#21442;&#32771;&#26126;&#32048;Ver500c&#65288;&#20837;&#21147;&#34920;&#20316;&#25104;&#35201;&#38936;&#12395;&#20351;&#29992;&#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1&#26481;&#26757;&#30000;/&#12304;&#26481;&#26757;&#30000;&#12305;02&#30452;&#25509;&#20206;&#35373;2018(&#25913;&#36896;&#29256;)&#65288;2018.3&#21172;&#21209;&#65289;&#12304;&#20206;&#35373;&#12539;&#36275;&#22580;&#20849;&#12471;&#12540;&#12488;&#123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1&#26481;&#26757;&#30000;/&#12304;&#26481;&#26757;&#30000;&#12305;01&#20849;&#36890;&#20206;&#35373;2018(2018.3&#21172;&#2120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1&#26481;&#26757;&#30000;/&#12304;&#26481;&#26757;&#30000;&#12305;04&#35686;&#20633;&#21729;&#12539;&#27531;&#26448;&#65381;&#65405;&#65400;&#65431;&#65391;&#65420;&#65439;&#12539;&#65393;&#65405;&#65421;&#65438;&#65405;&#65412;&#36939;&#25644;&#25353;&#20998;2018&#65288;2018.3&#21172;&#21209;&#6528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2&#22586;&#31563;&#26412;&#30010;/&#12304;&#22586;&#31563;&#26412;&#30010;&#12305;01&#20849;&#36890;&#20206;&#35373;2018(2018.3&#21172;&#2120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2&#22586;&#31563;&#26412;&#30010;/&#12304;&#22586;&#31563;&#26412;&#30010;&#12305;02&#30452;&#25509;&#20206;&#35373;2018(&#25913;&#36896;&#29256;)&#65288;2018.3&#21172;&#21209;&#65289;&#12304;&#20206;&#35373;&#12539;&#36275;&#22580;&#20849;&#12471;&#12540;&#12488;&#1230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0001;&#32933;9214750/&#26989;&#21209;/&#35373;&#35336;&#26989;&#21209;/2019&#24180;&#24230;/2019-1010&#12288;&#26481;&#26757;&#30000;&#22806;1&#39365;&#21487;&#21205;&#24335;&#12507;&#12540;&#12512;&#26613;&#35373;&#32622;&#12395;&#20276;&#12358;&#24314;&#31689;&#12381;&#12398;&#20182;&#24037;&#20107;/02&#22586;&#31563;&#26412;&#30010;/&#12304;&#22586;&#31563;&#26412;&#30010;&#12305;04&#35686;&#20633;&#21729;&#12539;&#27531;&#26448;&#65381;&#65405;&#65400;&#65431;&#65391;&#65420;&#65439;&#12539;&#65393;&#65405;&#65421;&#65438;&#65405;&#65412;&#36939;&#25644;&#25353;&#20998;2018&#65288;2018.3&#21172;&#21209;&#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直接仮設費算出"/>
      <sheetName val="集計"/>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集計"/>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残材運搬費按分表"/>
      <sheetName val="スクラップ運搬費按分表"/>
      <sheetName val="ｱｽﾍﾞｽﾄ運搬費按分表 "/>
    </sheetNames>
    <sheetDataSet>
      <sheetData sheetId="0" refreshError="1"/>
      <sheetData sheetId="1" refreshError="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集計"/>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集計"/>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残材運搬費按分表"/>
      <sheetName val="スクラップ運搬費按分表"/>
    </sheetNames>
    <sheetDataSet>
      <sheetData sheetId="0" refreshError="1"/>
      <sheetData sheetId="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Z23"/>
  <sheetViews>
    <sheetView view="pageBreakPreview" topLeftCell="A7" zoomScale="75" zoomScaleNormal="80" zoomScaleSheetLayoutView="75" workbookViewId="0"/>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4" width="6.625" style="1" customWidth="1"/>
    <col min="15" max="16" width="4.875" style="1" customWidth="1"/>
    <col min="17" max="23" width="15.625" style="1" customWidth="1"/>
    <col min="24" max="25" width="6.625" style="1"/>
    <col min="26" max="26" width="6.625" style="388"/>
    <col min="27" max="16384" width="6.625" style="1"/>
  </cols>
  <sheetData>
    <row r="1" spans="1:26" ht="26.1" customHeight="1" thickBot="1">
      <c r="C1" s="2517"/>
      <c r="D1" s="2517"/>
      <c r="E1" s="2517"/>
      <c r="F1" s="2517"/>
      <c r="G1" s="2517"/>
      <c r="H1" s="2517"/>
      <c r="I1" s="2517"/>
      <c r="J1" s="2517"/>
      <c r="K1" s="2517"/>
      <c r="L1" s="2517"/>
      <c r="Z1" s="388" t="s">
        <v>0</v>
      </c>
    </row>
    <row r="2" spans="1:26" ht="42" customHeight="1">
      <c r="A2" s="5"/>
      <c r="B2" s="5"/>
      <c r="C2" s="2518" t="s">
        <v>1</v>
      </c>
      <c r="D2" s="2519"/>
      <c r="E2" s="2519"/>
      <c r="F2" s="2519"/>
      <c r="G2" s="2519"/>
      <c r="H2" s="2519"/>
      <c r="I2" s="2519"/>
      <c r="J2" s="2519"/>
      <c r="K2" s="2519"/>
      <c r="L2" s="2520"/>
      <c r="Z2" s="1" t="s">
        <v>2</v>
      </c>
    </row>
    <row r="3" spans="1:26" ht="24" customHeight="1">
      <c r="A3" s="36"/>
      <c r="B3" s="36"/>
      <c r="C3" s="2011"/>
      <c r="D3" s="2012"/>
      <c r="E3" s="2013"/>
      <c r="F3" s="2014"/>
      <c r="G3" s="2015"/>
      <c r="H3" s="2016"/>
      <c r="I3" s="2016"/>
      <c r="J3" s="2012"/>
      <c r="K3" s="2012"/>
      <c r="L3" s="2017"/>
      <c r="Z3" s="388" t="s">
        <v>3</v>
      </c>
    </row>
    <row r="4" spans="1:26" ht="24" customHeight="1">
      <c r="A4" s="36"/>
      <c r="B4" s="36"/>
      <c r="C4" s="340"/>
      <c r="D4" s="184"/>
      <c r="E4" s="341"/>
      <c r="F4" s="342"/>
      <c r="G4" s="343"/>
      <c r="H4" s="344"/>
      <c r="I4" s="344"/>
      <c r="J4" s="184"/>
      <c r="K4" s="184"/>
      <c r="L4" s="345"/>
      <c r="Z4" s="388" t="s">
        <v>4</v>
      </c>
    </row>
    <row r="5" spans="1:26" ht="24" customHeight="1">
      <c r="A5" s="36"/>
      <c r="B5" s="36"/>
      <c r="C5" s="346"/>
      <c r="D5" s="184"/>
      <c r="E5" s="341"/>
      <c r="F5" s="342"/>
      <c r="G5" s="343"/>
      <c r="H5" s="344"/>
      <c r="I5" s="344"/>
      <c r="J5" s="184"/>
      <c r="K5" s="184"/>
      <c r="L5" s="345"/>
      <c r="Z5" s="388" t="s">
        <v>5</v>
      </c>
    </row>
    <row r="6" spans="1:26" ht="24" customHeight="1">
      <c r="A6" s="36"/>
      <c r="B6" s="36"/>
      <c r="C6" s="2521" t="s">
        <v>6</v>
      </c>
      <c r="D6" s="2522"/>
      <c r="E6" s="2522"/>
      <c r="F6" s="2522"/>
      <c r="G6" s="2522"/>
      <c r="H6" s="2522"/>
      <c r="I6" s="2522"/>
      <c r="J6" s="2522"/>
      <c r="K6" s="2522"/>
      <c r="L6" s="2523"/>
      <c r="Z6" s="388" t="s">
        <v>7</v>
      </c>
    </row>
    <row r="7" spans="1:26" ht="24" customHeight="1">
      <c r="A7" s="36"/>
      <c r="B7" s="36"/>
      <c r="C7" s="346"/>
      <c r="D7" s="184"/>
      <c r="E7" s="341"/>
      <c r="F7" s="342"/>
      <c r="G7" s="343"/>
      <c r="H7" s="344"/>
      <c r="I7" s="344"/>
      <c r="J7" s="184"/>
      <c r="K7" s="184"/>
      <c r="L7" s="345"/>
      <c r="Z7" s="388" t="s">
        <v>8</v>
      </c>
    </row>
    <row r="8" spans="1:26" ht="24" customHeight="1">
      <c r="A8" s="36"/>
      <c r="B8" s="36"/>
      <c r="C8" s="340"/>
      <c r="L8" s="345"/>
      <c r="Z8" s="388" t="s">
        <v>9</v>
      </c>
    </row>
    <row r="9" spans="1:26" ht="24" customHeight="1" thickBot="1">
      <c r="A9" s="36"/>
      <c r="B9" s="36"/>
      <c r="C9" s="346"/>
      <c r="D9" s="2524" t="str">
        <f>表紙!D12</f>
        <v>東梅田外１駅可動式ホーム柵設置に伴う建築その他工事</v>
      </c>
      <c r="E9" s="2525"/>
      <c r="F9" s="2525"/>
      <c r="G9" s="2525"/>
      <c r="H9" s="2525"/>
      <c r="I9" s="2525"/>
      <c r="J9" s="2525"/>
      <c r="K9" s="2525"/>
      <c r="L9" s="345"/>
      <c r="Z9" s="388" t="s">
        <v>10</v>
      </c>
    </row>
    <row r="10" spans="1:26" ht="24" customHeight="1">
      <c r="A10" s="36"/>
      <c r="B10" s="36"/>
      <c r="C10" s="346"/>
      <c r="D10" s="347"/>
      <c r="E10" s="341"/>
      <c r="F10" s="342"/>
      <c r="G10" s="343"/>
      <c r="H10" s="344"/>
      <c r="I10" s="344"/>
      <c r="J10" s="184"/>
      <c r="K10" s="184"/>
      <c r="L10" s="345"/>
      <c r="Z10" s="388" t="s">
        <v>11</v>
      </c>
    </row>
    <row r="11" spans="1:26" ht="24" customHeight="1">
      <c r="A11" s="36"/>
      <c r="B11" s="36"/>
      <c r="C11" s="346"/>
      <c r="D11" s="1986"/>
      <c r="E11" s="341"/>
      <c r="F11" s="342"/>
      <c r="G11" s="343"/>
      <c r="H11" s="344"/>
      <c r="I11" s="344"/>
      <c r="J11" s="184"/>
      <c r="K11" s="184"/>
      <c r="L11" s="345"/>
      <c r="Z11" s="388" t="s">
        <v>12</v>
      </c>
    </row>
    <row r="12" spans="1:26" ht="24" customHeight="1">
      <c r="A12" s="36"/>
      <c r="B12" s="36"/>
      <c r="C12" s="346"/>
      <c r="D12" s="347" t="s">
        <v>13</v>
      </c>
      <c r="E12" s="341"/>
      <c r="F12" s="342"/>
      <c r="G12" s="343"/>
      <c r="H12" s="344"/>
      <c r="I12" s="344"/>
      <c r="J12" s="184"/>
      <c r="K12" s="184"/>
      <c r="L12" s="345"/>
    </row>
    <row r="13" spans="1:26" ht="24" customHeight="1">
      <c r="A13" s="36"/>
      <c r="B13" s="36"/>
      <c r="C13" s="346"/>
      <c r="D13" s="2526" t="s">
        <v>14</v>
      </c>
      <c r="E13" s="2527"/>
      <c r="F13" s="2527"/>
      <c r="G13" s="2527"/>
      <c r="H13" s="2527"/>
      <c r="I13" s="2527"/>
      <c r="J13" s="2527"/>
      <c r="K13" s="2527"/>
      <c r="L13" s="348"/>
    </row>
    <row r="14" spans="1:26" ht="24" customHeight="1">
      <c r="A14" s="36"/>
      <c r="B14" s="36"/>
      <c r="C14" s="346"/>
      <c r="D14" s="2527"/>
      <c r="E14" s="2527"/>
      <c r="F14" s="2527"/>
      <c r="G14" s="2527"/>
      <c r="H14" s="2527"/>
      <c r="I14" s="2527"/>
      <c r="J14" s="2527"/>
      <c r="K14" s="2527"/>
      <c r="L14" s="348"/>
    </row>
    <row r="15" spans="1:26" ht="24" customHeight="1">
      <c r="A15" s="36"/>
      <c r="B15" s="36"/>
      <c r="C15" s="346"/>
      <c r="D15" s="2526" t="s">
        <v>15</v>
      </c>
      <c r="E15" s="2527"/>
      <c r="F15" s="2527"/>
      <c r="G15" s="2527"/>
      <c r="H15" s="2527"/>
      <c r="I15" s="2527"/>
      <c r="J15" s="2527"/>
      <c r="K15" s="2527"/>
      <c r="L15" s="348"/>
    </row>
    <row r="16" spans="1:26" ht="24" customHeight="1">
      <c r="A16" s="36"/>
      <c r="B16" s="36"/>
      <c r="C16" s="346"/>
      <c r="D16" s="2527"/>
      <c r="E16" s="2527"/>
      <c r="F16" s="2527"/>
      <c r="G16" s="2527"/>
      <c r="H16" s="2527"/>
      <c r="I16" s="2527"/>
      <c r="J16" s="2527"/>
      <c r="K16" s="2527"/>
      <c r="L16" s="348"/>
    </row>
    <row r="17" spans="1:13" ht="24" customHeight="1">
      <c r="A17" s="36"/>
      <c r="B17" s="36"/>
      <c r="C17" s="346"/>
      <c r="D17" s="2527"/>
      <c r="E17" s="2527"/>
      <c r="F17" s="2527"/>
      <c r="G17" s="2527"/>
      <c r="H17" s="2527"/>
      <c r="I17" s="2527"/>
      <c r="J17" s="2527"/>
      <c r="K17" s="2527"/>
      <c r="L17" s="348"/>
    </row>
    <row r="18" spans="1:13" ht="24" customHeight="1">
      <c r="A18" s="36"/>
      <c r="B18" s="36"/>
      <c r="C18" s="346"/>
      <c r="D18" s="2526" t="s">
        <v>16</v>
      </c>
      <c r="E18" s="2528"/>
      <c r="F18" s="2528"/>
      <c r="G18" s="2528"/>
      <c r="H18" s="2528"/>
      <c r="I18" s="2528"/>
      <c r="J18" s="2528"/>
      <c r="K18" s="2528"/>
      <c r="L18" s="349"/>
    </row>
    <row r="19" spans="1:13" ht="24" customHeight="1">
      <c r="A19" s="36"/>
      <c r="B19" s="36"/>
      <c r="C19" s="346"/>
      <c r="D19" s="2528"/>
      <c r="E19" s="2528"/>
      <c r="F19" s="2528"/>
      <c r="G19" s="2528"/>
      <c r="H19" s="2528"/>
      <c r="I19" s="2528"/>
      <c r="J19" s="2528"/>
      <c r="K19" s="2528"/>
      <c r="L19" s="349"/>
    </row>
    <row r="20" spans="1:13" ht="24" customHeight="1">
      <c r="A20" s="36"/>
      <c r="B20" s="36"/>
      <c r="C20" s="346"/>
      <c r="D20" s="347" t="s">
        <v>17</v>
      </c>
      <c r="E20" s="341"/>
      <c r="F20" s="342"/>
      <c r="G20" s="343"/>
      <c r="H20" s="344"/>
      <c r="I20" s="344"/>
      <c r="J20" s="350"/>
      <c r="K20" s="347"/>
      <c r="L20" s="351"/>
    </row>
    <row r="21" spans="1:13" ht="24" customHeight="1">
      <c r="A21" s="36"/>
      <c r="B21" s="36"/>
      <c r="C21" s="346"/>
      <c r="D21" s="347"/>
      <c r="E21" s="341"/>
      <c r="F21" s="342"/>
      <c r="G21" s="343"/>
      <c r="H21" s="344"/>
      <c r="I21" s="344"/>
      <c r="J21" s="184"/>
      <c r="K21" s="2529"/>
      <c r="L21" s="2530"/>
    </row>
    <row r="22" spans="1:13" ht="24" customHeight="1" thickBot="1">
      <c r="A22" s="36"/>
      <c r="B22" s="36"/>
      <c r="C22" s="352"/>
      <c r="D22" s="353"/>
      <c r="E22" s="354" t="s">
        <v>18</v>
      </c>
      <c r="F22" s="355">
        <f>+表紙!H25</f>
        <v>69</v>
      </c>
      <c r="G22" s="356"/>
      <c r="H22" s="357"/>
      <c r="I22" s="357"/>
      <c r="J22" s="358"/>
      <c r="K22" s="2515"/>
      <c r="L22" s="2516"/>
    </row>
    <row r="23" spans="1:13" ht="14.25" customHeight="1">
      <c r="E23" s="32"/>
      <c r="F23" s="93"/>
      <c r="G23" s="33"/>
      <c r="M23" s="31"/>
    </row>
  </sheetData>
  <mergeCells count="9">
    <mergeCell ref="K22:L22"/>
    <mergeCell ref="C1:L1"/>
    <mergeCell ref="C2:L2"/>
    <mergeCell ref="C6:L6"/>
    <mergeCell ref="D9:K9"/>
    <mergeCell ref="D13:K14"/>
    <mergeCell ref="D15:K17"/>
    <mergeCell ref="D18:K19"/>
    <mergeCell ref="K21:L21"/>
  </mergeCells>
  <phoneticPr fontId="2"/>
  <printOptions horizontalCentered="1" verticalCentered="1"/>
  <pageMargins left="0.19685039370078741" right="0.19685039370078741" top="0.78740157480314965" bottom="0.19685039370078741" header="0.51181102362204722" footer="0.51181102362204722"/>
  <pageSetup paperSize="9" orientation="landscape" cellComments="asDisplayed"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E94"/>
  <sheetViews>
    <sheetView tabSelected="1" zoomScale="70" zoomScaleNormal="70" zoomScaleSheetLayoutView="85" workbookViewId="0"/>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4" width="6.625" style="1" customWidth="1"/>
    <col min="15" max="16" width="4.875" style="1" customWidth="1"/>
    <col min="17" max="23" width="15.625" style="1" customWidth="1"/>
    <col min="24" max="25" width="6.625" style="1"/>
    <col min="26" max="26" width="6.625" style="388"/>
    <col min="27" max="16384" width="6.625" style="1"/>
  </cols>
  <sheetData>
    <row r="1" spans="1:31" ht="13.5">
      <c r="H1" s="612"/>
      <c r="I1" s="612"/>
      <c r="J1" s="2531"/>
      <c r="K1" s="2531"/>
      <c r="L1" s="2531"/>
    </row>
    <row r="2" spans="1:31" ht="14.1" customHeight="1">
      <c r="A2" s="8"/>
      <c r="B2" s="8"/>
      <c r="C2" s="609"/>
      <c r="D2" s="609"/>
      <c r="E2" s="9"/>
      <c r="F2" s="10"/>
      <c r="G2" s="10"/>
      <c r="H2" s="2564" t="s">
        <v>19</v>
      </c>
      <c r="I2" s="2565"/>
      <c r="J2" s="2018" t="s">
        <v>20</v>
      </c>
      <c r="K2" s="2532">
        <v>43523</v>
      </c>
      <c r="L2" s="2533"/>
    </row>
    <row r="3" spans="1:31" ht="14.1" customHeight="1">
      <c r="A3" s="8"/>
      <c r="B3" s="594"/>
      <c r="C3" s="305"/>
      <c r="D3" s="305"/>
      <c r="E3" s="9"/>
      <c r="F3" s="10"/>
      <c r="G3" s="10"/>
      <c r="H3" s="2019" t="s">
        <v>21</v>
      </c>
      <c r="I3" s="2020" t="s">
        <v>22</v>
      </c>
      <c r="J3" s="2018" t="s">
        <v>23</v>
      </c>
      <c r="K3" s="2532">
        <v>43523</v>
      </c>
      <c r="L3" s="2533"/>
    </row>
    <row r="4" spans="1:31" ht="14.1" customHeight="1">
      <c r="A4" s="11"/>
      <c r="B4" s="11"/>
      <c r="C4" s="12"/>
      <c r="D4" s="13"/>
      <c r="E4" s="14"/>
      <c r="F4" s="13"/>
      <c r="G4" s="10"/>
      <c r="H4" s="2019" t="s">
        <v>24</v>
      </c>
      <c r="I4" s="2020" t="s">
        <v>25</v>
      </c>
      <c r="J4" s="2018" t="s">
        <v>26</v>
      </c>
      <c r="K4" s="2534">
        <v>43539</v>
      </c>
      <c r="L4" s="2535"/>
      <c r="Q4" s="176" t="s">
        <v>27</v>
      </c>
      <c r="Z4" s="388" t="s">
        <v>28</v>
      </c>
      <c r="AE4" s="1" t="s">
        <v>29</v>
      </c>
    </row>
    <row r="5" spans="1:31" ht="14.1" customHeight="1">
      <c r="A5" s="11"/>
      <c r="B5" s="11"/>
      <c r="C5" s="12"/>
      <c r="D5" s="13"/>
      <c r="E5" s="14"/>
      <c r="F5" s="13"/>
      <c r="G5" s="10"/>
      <c r="H5" s="2018" t="s">
        <v>30</v>
      </c>
      <c r="I5" s="2020" t="s">
        <v>31</v>
      </c>
      <c r="J5" s="2018" t="s">
        <v>32</v>
      </c>
      <c r="K5" s="2534">
        <v>43570</v>
      </c>
      <c r="L5" s="2535"/>
      <c r="Q5" s="111" t="s">
        <v>33</v>
      </c>
      <c r="R5" s="111"/>
      <c r="S5" s="112" t="s">
        <v>34</v>
      </c>
      <c r="U5" s="111" t="s">
        <v>35</v>
      </c>
      <c r="V5" s="111"/>
      <c r="W5" s="385" t="s">
        <v>36</v>
      </c>
      <c r="Z5" s="388" t="s">
        <v>37</v>
      </c>
      <c r="AE5" s="1" t="s">
        <v>38</v>
      </c>
    </row>
    <row r="6" spans="1:31" ht="14.1" customHeight="1">
      <c r="A6" s="11"/>
      <c r="B6" s="11"/>
      <c r="C6" s="12"/>
      <c r="D6" s="13"/>
      <c r="E6" s="14"/>
      <c r="F6" s="13"/>
      <c r="G6" s="10"/>
      <c r="H6" s="2018" t="s">
        <v>39</v>
      </c>
      <c r="I6" s="2021" t="s">
        <v>40</v>
      </c>
      <c r="J6" s="2018" t="s">
        <v>41</v>
      </c>
      <c r="K6" s="2534">
        <v>44074</v>
      </c>
      <c r="L6" s="2535"/>
      <c r="Q6" s="111" t="s">
        <v>42</v>
      </c>
      <c r="R6" s="111"/>
      <c r="S6" s="113" t="s">
        <v>43</v>
      </c>
      <c r="U6" s="111" t="s">
        <v>42</v>
      </c>
      <c r="V6" s="111"/>
      <c r="W6" s="113" t="s">
        <v>43</v>
      </c>
      <c r="Z6" s="388" t="s">
        <v>44</v>
      </c>
      <c r="AE6" s="1" t="s">
        <v>45</v>
      </c>
    </row>
    <row r="7" spans="1:31" ht="14.1" customHeight="1">
      <c r="A7" s="11"/>
      <c r="B7" s="11"/>
      <c r="C7" s="12"/>
      <c r="D7" s="13"/>
      <c r="E7" s="14"/>
      <c r="F7" s="13"/>
      <c r="G7" s="10"/>
      <c r="H7" s="2018" t="s">
        <v>46</v>
      </c>
      <c r="I7" s="2022" t="s">
        <v>37</v>
      </c>
      <c r="J7" s="2023" t="s">
        <v>47</v>
      </c>
      <c r="K7" s="2541" t="s">
        <v>48</v>
      </c>
      <c r="L7" s="2542"/>
      <c r="Q7" s="114"/>
      <c r="R7" s="114"/>
      <c r="S7" s="114"/>
      <c r="Z7" s="388" t="s">
        <v>49</v>
      </c>
      <c r="AE7" s="1" t="s">
        <v>50</v>
      </c>
    </row>
    <row r="8" spans="1:31" ht="14.1" customHeight="1">
      <c r="A8" s="11"/>
      <c r="B8" s="11"/>
      <c r="C8" s="12"/>
      <c r="D8" s="13"/>
      <c r="E8" s="14"/>
      <c r="F8" s="13"/>
      <c r="G8" s="10"/>
      <c r="H8" s="2018" t="s">
        <v>51</v>
      </c>
      <c r="I8" s="2021" t="s">
        <v>52</v>
      </c>
      <c r="J8" s="2018" t="s">
        <v>53</v>
      </c>
      <c r="K8" s="2540"/>
      <c r="L8" s="2540"/>
      <c r="Q8" s="115" t="s">
        <v>54</v>
      </c>
      <c r="U8" s="111" t="s">
        <v>55</v>
      </c>
      <c r="V8" s="111"/>
      <c r="W8" s="112" t="s">
        <v>56</v>
      </c>
      <c r="Z8" s="388" t="s">
        <v>57</v>
      </c>
      <c r="AE8" s="1" t="s">
        <v>58</v>
      </c>
    </row>
    <row r="9" spans="1:31" ht="14.1" customHeight="1">
      <c r="A9" s="11"/>
      <c r="B9" s="11"/>
      <c r="C9" s="12"/>
      <c r="D9" s="13"/>
      <c r="E9" s="14"/>
      <c r="F9" s="13"/>
      <c r="G9" s="10"/>
      <c r="H9" s="2018" t="s">
        <v>59</v>
      </c>
      <c r="I9" s="2021" t="s">
        <v>60</v>
      </c>
      <c r="J9" s="2544" t="s">
        <v>61</v>
      </c>
      <c r="K9" s="2546">
        <v>1010</v>
      </c>
      <c r="L9" s="2547"/>
      <c r="S9" s="116">
        <v>1</v>
      </c>
      <c r="U9" s="111" t="s">
        <v>62</v>
      </c>
      <c r="V9" s="111"/>
      <c r="W9" s="113" t="s">
        <v>43</v>
      </c>
      <c r="Z9" s="388" t="s">
        <v>63</v>
      </c>
    </row>
    <row r="10" spans="1:31" ht="14.1" customHeight="1">
      <c r="A10" s="11"/>
      <c r="B10" s="11"/>
      <c r="C10" s="12"/>
      <c r="D10" s="13"/>
      <c r="E10" s="14"/>
      <c r="F10" s="13"/>
      <c r="G10" s="10"/>
      <c r="H10" s="2018" t="s">
        <v>64</v>
      </c>
      <c r="I10" s="2021" t="s">
        <v>65</v>
      </c>
      <c r="J10" s="2545"/>
      <c r="K10" s="2548"/>
      <c r="L10" s="2549"/>
      <c r="Q10" s="387"/>
      <c r="R10" s="387" t="s">
        <v>66</v>
      </c>
      <c r="S10" s="387" t="s">
        <v>66</v>
      </c>
      <c r="T10" s="387" t="s">
        <v>66</v>
      </c>
      <c r="U10" s="387" t="s">
        <v>66</v>
      </c>
      <c r="V10" s="387" t="s">
        <v>66</v>
      </c>
      <c r="Z10" s="388" t="s">
        <v>67</v>
      </c>
      <c r="AE10" s="1" t="s">
        <v>68</v>
      </c>
    </row>
    <row r="11" spans="1:31" ht="24.95" customHeight="1">
      <c r="A11" s="11"/>
      <c r="B11" s="11"/>
      <c r="C11" s="15"/>
      <c r="D11" s="389"/>
      <c r="E11" s="390"/>
      <c r="F11" s="389"/>
      <c r="G11" s="391"/>
      <c r="H11" s="392"/>
      <c r="I11" s="392"/>
      <c r="J11" s="393"/>
      <c r="K11" s="394"/>
      <c r="L11" s="396"/>
      <c r="O11" s="115"/>
      <c r="P11" s="115"/>
      <c r="Q11" s="387" t="s">
        <v>32</v>
      </c>
      <c r="R11" s="606">
        <f>K5</f>
        <v>43570</v>
      </c>
      <c r="S11" s="606"/>
      <c r="T11" s="606"/>
      <c r="U11" s="606"/>
      <c r="V11" s="606"/>
      <c r="Z11" s="388" t="s">
        <v>69</v>
      </c>
      <c r="AE11" s="1" t="s">
        <v>70</v>
      </c>
    </row>
    <row r="12" spans="1:31" ht="24.95" customHeight="1" thickBot="1">
      <c r="A12" s="11"/>
      <c r="B12" s="11"/>
      <c r="C12" s="15"/>
      <c r="D12" s="2543" t="s">
        <v>71</v>
      </c>
      <c r="E12" s="2543"/>
      <c r="F12" s="2543"/>
      <c r="G12" s="2543"/>
      <c r="H12" s="2543"/>
      <c r="I12" s="2543"/>
      <c r="J12" s="2543"/>
      <c r="K12" s="2543"/>
      <c r="L12" s="397"/>
      <c r="Q12" s="387" t="s">
        <v>41</v>
      </c>
      <c r="R12" s="606">
        <f>K6</f>
        <v>44074</v>
      </c>
      <c r="S12" s="606"/>
      <c r="T12" s="387"/>
      <c r="U12" s="387"/>
      <c r="V12" s="387"/>
      <c r="Z12" s="388" t="s">
        <v>72</v>
      </c>
      <c r="AE12" s="1" t="s">
        <v>73</v>
      </c>
    </row>
    <row r="13" spans="1:31" ht="37.5" customHeight="1">
      <c r="A13" s="11"/>
      <c r="B13" s="11"/>
      <c r="C13" s="15"/>
      <c r="D13" s="2575"/>
      <c r="E13" s="2575"/>
      <c r="F13" s="2575"/>
      <c r="G13" s="2575"/>
      <c r="H13" s="2575"/>
      <c r="I13" s="2575"/>
      <c r="J13" s="2575"/>
      <c r="K13" s="2575"/>
      <c r="L13" s="397"/>
      <c r="Q13" s="607"/>
      <c r="R13" s="608">
        <f>IF(R11="","",IF(OR(R11,R12)="","",ROUND((R12-R11-7)/30,1)))</f>
        <v>16.600000000000001</v>
      </c>
      <c r="S13" s="608" t="str">
        <f>IF(S11="","",IF(OR(S11,S12)="","",ROUND((S12-S11-7)/30,1)))</f>
        <v/>
      </c>
      <c r="T13" s="608" t="str">
        <f>IF(T11="","",IF(OR(T11,T12)="","",ROUND((T12-T11-7)/30,1)))</f>
        <v/>
      </c>
      <c r="U13" s="608" t="str">
        <f>IF(U11="","",IF(OR(U11,U12)="","",ROUND((U12-U11-7)/30,1)))</f>
        <v/>
      </c>
      <c r="V13" s="608" t="str">
        <f>IF(V11="","",IF(OR(V11,V12)="","",ROUND((V12-V11-7)/30,1)))</f>
        <v/>
      </c>
      <c r="Z13" s="388" t="s">
        <v>74</v>
      </c>
      <c r="AE13" s="1" t="s">
        <v>75</v>
      </c>
    </row>
    <row r="14" spans="1:31" ht="24.95" customHeight="1">
      <c r="A14" s="11"/>
      <c r="B14" s="11"/>
      <c r="C14" s="15"/>
      <c r="D14" s="2567" t="s">
        <v>76</v>
      </c>
      <c r="E14" s="2567"/>
      <c r="F14" s="2567"/>
      <c r="G14" s="2567"/>
      <c r="H14" s="2567"/>
      <c r="I14" s="2567"/>
      <c r="J14" s="2567"/>
      <c r="K14" s="2567"/>
      <c r="L14" s="397"/>
      <c r="Z14" s="388" t="s">
        <v>77</v>
      </c>
      <c r="AE14" s="1" t="s">
        <v>22</v>
      </c>
    </row>
    <row r="15" spans="1:31" ht="20.100000000000001" customHeight="1">
      <c r="A15" s="11"/>
      <c r="B15" s="11"/>
      <c r="C15" s="15"/>
      <c r="D15" s="1988"/>
      <c r="E15" s="1988"/>
      <c r="F15" s="1988"/>
      <c r="G15" s="1988"/>
      <c r="H15" s="1988"/>
      <c r="I15" s="1988"/>
      <c r="J15" s="1988"/>
      <c r="K15" s="1988"/>
      <c r="L15" s="397"/>
      <c r="Z15" s="388" t="s">
        <v>78</v>
      </c>
      <c r="AE15" s="1" t="s">
        <v>79</v>
      </c>
    </row>
    <row r="16" spans="1:31" ht="14.1" customHeight="1">
      <c r="A16" s="11"/>
      <c r="B16" s="11"/>
      <c r="C16" s="15"/>
      <c r="D16" s="1988"/>
      <c r="E16" s="1988"/>
      <c r="F16" s="1988"/>
      <c r="G16" s="1988"/>
      <c r="H16" s="1988"/>
      <c r="I16" s="1988"/>
      <c r="J16" s="2568" t="s">
        <v>80</v>
      </c>
      <c r="K16" s="2569"/>
      <c r="L16" s="2570"/>
      <c r="Z16" s="388" t="s">
        <v>81</v>
      </c>
    </row>
    <row r="17" spans="1:31" ht="14.1" customHeight="1">
      <c r="A17" s="11"/>
      <c r="B17" s="11"/>
      <c r="C17" s="15"/>
      <c r="D17" s="1988"/>
      <c r="E17" s="1988"/>
      <c r="F17" s="1988"/>
      <c r="G17" s="1988"/>
      <c r="H17" s="605"/>
      <c r="I17" s="605"/>
      <c r="J17" s="2568" t="s">
        <v>82</v>
      </c>
      <c r="K17" s="2570"/>
      <c r="L17" s="2573" t="s">
        <v>83</v>
      </c>
      <c r="N17" s="181"/>
      <c r="O17" s="181"/>
      <c r="P17" s="181"/>
      <c r="Q17" s="181"/>
      <c r="Z17" s="388" t="s">
        <v>84</v>
      </c>
      <c r="AE17" s="1" t="s">
        <v>85</v>
      </c>
    </row>
    <row r="18" spans="1:31" ht="14.1" customHeight="1">
      <c r="A18" s="11"/>
      <c r="B18" s="11"/>
      <c r="C18" s="15"/>
      <c r="D18" s="1988"/>
      <c r="E18" s="1988"/>
      <c r="F18" s="1988"/>
      <c r="G18" s="1988"/>
      <c r="H18" s="613"/>
      <c r="I18" s="614"/>
      <c r="J18" s="630" t="s">
        <v>86</v>
      </c>
      <c r="K18" s="630" t="s">
        <v>87</v>
      </c>
      <c r="L18" s="2574"/>
      <c r="N18" s="181"/>
      <c r="O18" s="181"/>
      <c r="P18" s="181"/>
      <c r="Q18" s="181"/>
      <c r="Z18" s="388" t="s">
        <v>88</v>
      </c>
      <c r="AE18" s="1" t="s">
        <v>89</v>
      </c>
    </row>
    <row r="19" spans="1:31" ht="14.1" customHeight="1">
      <c r="A19" s="11"/>
      <c r="B19" s="11"/>
      <c r="C19" s="15"/>
      <c r="D19" s="1988"/>
      <c r="E19" s="1988"/>
      <c r="F19" s="1988"/>
      <c r="G19" s="1988"/>
      <c r="H19" s="613"/>
      <c r="I19" s="605"/>
      <c r="J19" s="2572" t="s">
        <v>90</v>
      </c>
      <c r="K19" s="2572" t="s">
        <v>91</v>
      </c>
      <c r="L19" s="2572" t="s">
        <v>92</v>
      </c>
      <c r="N19" s="2566"/>
      <c r="O19" s="2566"/>
      <c r="P19" s="2566"/>
      <c r="Q19" s="181"/>
      <c r="Z19" s="388" t="s">
        <v>93</v>
      </c>
      <c r="AE19" s="1" t="s">
        <v>94</v>
      </c>
    </row>
    <row r="20" spans="1:31" ht="14.1" customHeight="1">
      <c r="A20" s="11"/>
      <c r="B20" s="11"/>
      <c r="C20" s="15"/>
      <c r="D20" s="1988"/>
      <c r="E20" s="1988"/>
      <c r="F20" s="1988"/>
      <c r="G20" s="1988"/>
      <c r="H20" s="611"/>
      <c r="I20" s="394"/>
      <c r="J20" s="2572"/>
      <c r="K20" s="2572"/>
      <c r="L20" s="2572"/>
      <c r="N20" s="2566"/>
      <c r="O20" s="2566"/>
      <c r="P20" s="2566"/>
      <c r="Q20" s="181"/>
      <c r="Z20" s="388" t="s">
        <v>95</v>
      </c>
      <c r="AE20" s="1" t="s">
        <v>96</v>
      </c>
    </row>
    <row r="21" spans="1:31" ht="14.1" customHeight="1">
      <c r="A21" s="11"/>
      <c r="B21" s="11"/>
      <c r="C21" s="15"/>
      <c r="D21" s="1988"/>
      <c r="E21" s="1988"/>
      <c r="F21" s="1988"/>
      <c r="G21" s="1988"/>
      <c r="H21" s="611"/>
      <c r="I21" s="394"/>
      <c r="J21" s="2572"/>
      <c r="K21" s="2572"/>
      <c r="L21" s="2572"/>
      <c r="N21" s="2566"/>
      <c r="O21" s="1987"/>
      <c r="P21" s="610"/>
      <c r="Q21" s="181"/>
      <c r="Z21" s="388" t="s">
        <v>97</v>
      </c>
      <c r="AE21" s="1" t="s">
        <v>98</v>
      </c>
    </row>
    <row r="22" spans="1:31" ht="14.1" customHeight="1">
      <c r="A22" s="11"/>
      <c r="B22" s="11"/>
      <c r="C22" s="15"/>
      <c r="D22" s="1988"/>
      <c r="E22" s="1988"/>
      <c r="F22" s="1988"/>
      <c r="G22" s="1988"/>
      <c r="H22" s="611"/>
      <c r="I22" s="395"/>
      <c r="J22" s="2572"/>
      <c r="K22" s="2572"/>
      <c r="L22" s="2572"/>
      <c r="N22" s="2567"/>
      <c r="O22" s="2567"/>
      <c r="P22" s="2571"/>
      <c r="Q22" s="181"/>
      <c r="Z22" s="388" t="s">
        <v>99</v>
      </c>
      <c r="AE22" s="1" t="s">
        <v>100</v>
      </c>
    </row>
    <row r="23" spans="1:31" ht="14.1" customHeight="1">
      <c r="A23" s="11"/>
      <c r="B23" s="11"/>
      <c r="C23" s="15"/>
      <c r="D23" s="397"/>
      <c r="E23" s="398"/>
      <c r="F23" s="397"/>
      <c r="G23" s="1989"/>
      <c r="H23" s="611"/>
      <c r="I23" s="394"/>
      <c r="J23" s="394"/>
      <c r="K23" s="394"/>
      <c r="L23" s="394"/>
      <c r="N23" s="2567"/>
      <c r="O23" s="2567"/>
      <c r="P23" s="2571"/>
      <c r="Q23" s="181"/>
      <c r="Z23" s="388" t="s">
        <v>101</v>
      </c>
      <c r="AE23" s="1" t="s">
        <v>102</v>
      </c>
    </row>
    <row r="24" spans="1:31" ht="20.100000000000001" customHeight="1">
      <c r="A24" s="11"/>
      <c r="B24" s="11"/>
      <c r="C24" s="15"/>
      <c r="D24" s="397"/>
      <c r="E24" s="398"/>
      <c r="F24" s="397"/>
      <c r="G24" s="1989"/>
      <c r="H24" s="399"/>
      <c r="I24" s="400"/>
      <c r="J24" s="595"/>
      <c r="K24" s="595"/>
      <c r="L24" s="13"/>
      <c r="N24" s="181"/>
      <c r="O24" s="181"/>
      <c r="P24" s="181"/>
      <c r="Q24" s="181"/>
      <c r="Z24" s="388" t="s">
        <v>103</v>
      </c>
      <c r="AE24" s="1" t="s">
        <v>104</v>
      </c>
    </row>
    <row r="25" spans="1:31" ht="20.100000000000001" customHeight="1">
      <c r="B25" s="2562" t="s">
        <v>105</v>
      </c>
      <c r="C25" s="2563"/>
      <c r="D25" s="2563"/>
      <c r="E25" s="2563"/>
      <c r="F25" s="177">
        <v>0</v>
      </c>
      <c r="H25" s="178">
        <f>+work!H18</f>
        <v>69</v>
      </c>
      <c r="I25" s="92">
        <v>3</v>
      </c>
      <c r="J25" s="17"/>
      <c r="K25" s="13"/>
      <c r="L25" s="13"/>
      <c r="M25" s="393"/>
      <c r="N25" s="2561"/>
      <c r="O25" s="2561"/>
      <c r="Z25" s="388" t="s">
        <v>106</v>
      </c>
    </row>
    <row r="26" spans="1:31" ht="26.1" customHeight="1" thickBot="1">
      <c r="C26" s="2517" t="s">
        <v>107</v>
      </c>
      <c r="D26" s="2517"/>
      <c r="E26" s="2517"/>
      <c r="F26" s="2517"/>
      <c r="G26" s="2517"/>
      <c r="H26" s="2517"/>
      <c r="I26" s="2517"/>
      <c r="J26" s="2517"/>
      <c r="K26" s="2517"/>
      <c r="L26" s="2517"/>
      <c r="M26" s="393"/>
      <c r="N26" s="2561"/>
      <c r="O26" s="2561"/>
      <c r="Z26" s="388" t="s">
        <v>0</v>
      </c>
    </row>
    <row r="27" spans="1:31" ht="42" customHeight="1">
      <c r="A27" s="5" t="s">
        <v>108</v>
      </c>
      <c r="B27" s="5" t="s">
        <v>109</v>
      </c>
      <c r="C27" s="99" t="s">
        <v>110</v>
      </c>
      <c r="D27" s="95"/>
      <c r="E27" s="96" t="s">
        <v>111</v>
      </c>
      <c r="F27" s="97" t="s">
        <v>112</v>
      </c>
      <c r="G27" s="97" t="s">
        <v>113</v>
      </c>
      <c r="H27" s="98" t="s">
        <v>114</v>
      </c>
      <c r="I27" s="98" t="s">
        <v>115</v>
      </c>
      <c r="J27" s="2552" t="s">
        <v>116</v>
      </c>
      <c r="K27" s="2553"/>
      <c r="L27" s="2554"/>
      <c r="M27" s="393"/>
      <c r="N27" s="2561"/>
      <c r="O27" s="2561"/>
      <c r="Z27" s="1" t="s">
        <v>2</v>
      </c>
    </row>
    <row r="28" spans="1:31" ht="24" customHeight="1">
      <c r="A28" s="36"/>
      <c r="B28" s="36"/>
      <c r="C28" s="2024" t="str">
        <f>D12</f>
        <v>東梅田外１駅可動式ホーム柵設置に伴う建築その他工事</v>
      </c>
      <c r="D28" s="2025"/>
      <c r="E28" s="2026"/>
      <c r="F28" s="2027"/>
      <c r="G28" s="2028"/>
      <c r="H28" s="2029" t="s">
        <v>117</v>
      </c>
      <c r="I28" s="2029" t="s">
        <v>117</v>
      </c>
      <c r="J28" s="2030"/>
      <c r="K28" s="2030"/>
      <c r="L28" s="2031"/>
      <c r="M28" s="393"/>
      <c r="N28" s="2561"/>
      <c r="O28" s="2561"/>
      <c r="Z28" s="388" t="s">
        <v>3</v>
      </c>
    </row>
    <row r="29" spans="1:31" ht="24" customHeight="1">
      <c r="A29" s="36"/>
      <c r="B29" s="36"/>
      <c r="C29" s="2032"/>
      <c r="D29" s="2033"/>
      <c r="E29" s="2034"/>
      <c r="F29" s="2035"/>
      <c r="G29" s="2036"/>
      <c r="H29" s="2037"/>
      <c r="I29" s="2037"/>
      <c r="J29" s="2033"/>
      <c r="K29" s="2033"/>
      <c r="L29" s="2038"/>
      <c r="Z29" s="388" t="s">
        <v>4</v>
      </c>
    </row>
    <row r="30" spans="1:31" ht="24" customHeight="1">
      <c r="A30" s="36"/>
      <c r="B30" s="36"/>
      <c r="C30" s="2039">
        <v>1</v>
      </c>
      <c r="D30" s="2040" t="s">
        <v>118</v>
      </c>
      <c r="E30" s="2041"/>
      <c r="F30" s="2042">
        <v>1</v>
      </c>
      <c r="G30" s="2043" t="s">
        <v>119</v>
      </c>
      <c r="H30" s="2044"/>
      <c r="I30" s="2044">
        <f>+諸経費表!F11</f>
        <v>363659083</v>
      </c>
      <c r="J30" s="2040"/>
      <c r="K30" s="2040"/>
      <c r="L30" s="2045"/>
      <c r="Z30" s="388" t="s">
        <v>5</v>
      </c>
    </row>
    <row r="31" spans="1:31" ht="24" customHeight="1">
      <c r="A31" s="36"/>
      <c r="B31" s="36"/>
      <c r="C31" s="2046"/>
      <c r="D31" s="2040"/>
      <c r="E31" s="2041"/>
      <c r="F31" s="2042"/>
      <c r="G31" s="2043"/>
      <c r="H31" s="2044"/>
      <c r="I31" s="2044"/>
      <c r="J31" s="2040"/>
      <c r="K31" s="2040"/>
      <c r="L31" s="2045"/>
      <c r="Z31" s="388" t="s">
        <v>7</v>
      </c>
    </row>
    <row r="32" spans="1:31" ht="24" customHeight="1">
      <c r="A32" s="36"/>
      <c r="B32" s="36"/>
      <c r="C32" s="2039"/>
      <c r="D32" s="2040"/>
      <c r="E32" s="2041"/>
      <c r="F32" s="2042"/>
      <c r="G32" s="2043"/>
      <c r="H32" s="2044"/>
      <c r="I32" s="2044"/>
      <c r="J32" s="2040"/>
      <c r="K32" s="2040"/>
      <c r="L32" s="2045"/>
      <c r="Z32" s="388" t="s">
        <v>8</v>
      </c>
    </row>
    <row r="33" spans="1:26" ht="24" customHeight="1">
      <c r="A33" s="36"/>
      <c r="B33" s="36"/>
      <c r="C33" s="2046"/>
      <c r="D33" s="2040"/>
      <c r="E33" s="2041"/>
      <c r="F33" s="2042"/>
      <c r="G33" s="2043"/>
      <c r="H33" s="2044"/>
      <c r="I33" s="2044"/>
      <c r="J33" s="2040"/>
      <c r="K33" s="2040"/>
      <c r="L33" s="2045"/>
      <c r="Z33" s="388" t="s">
        <v>9</v>
      </c>
    </row>
    <row r="34" spans="1:26" ht="24" customHeight="1">
      <c r="A34" s="36"/>
      <c r="B34" s="36"/>
      <c r="C34" s="2039">
        <v>2</v>
      </c>
      <c r="D34" s="2040" t="s">
        <v>120</v>
      </c>
      <c r="E34" s="2041"/>
      <c r="F34" s="2042"/>
      <c r="G34" s="2043"/>
      <c r="H34" s="2044"/>
      <c r="I34" s="2044"/>
      <c r="J34" s="2040"/>
      <c r="K34" s="2040"/>
      <c r="L34" s="2045"/>
      <c r="Z34" s="388" t="s">
        <v>10</v>
      </c>
    </row>
    <row r="35" spans="1:26" ht="24" customHeight="1">
      <c r="A35" s="36"/>
      <c r="B35" s="36"/>
      <c r="C35" s="2046"/>
      <c r="D35" s="2047" t="s">
        <v>121</v>
      </c>
      <c r="E35" s="2041"/>
      <c r="F35" s="2042">
        <v>1</v>
      </c>
      <c r="G35" s="2043" t="s">
        <v>122</v>
      </c>
      <c r="H35" s="2044"/>
      <c r="I35" s="2044">
        <f>+諸経費表!F15</f>
        <v>25132079</v>
      </c>
      <c r="J35" s="2040"/>
      <c r="K35" s="2040"/>
      <c r="L35" s="2045"/>
      <c r="Z35" s="388" t="s">
        <v>11</v>
      </c>
    </row>
    <row r="36" spans="1:26" ht="24" customHeight="1">
      <c r="A36" s="36"/>
      <c r="B36" s="36"/>
      <c r="C36" s="2046"/>
      <c r="D36" s="2047" t="s">
        <v>123</v>
      </c>
      <c r="E36" s="2041"/>
      <c r="F36" s="2042">
        <v>1</v>
      </c>
      <c r="G36" s="2043" t="s">
        <v>122</v>
      </c>
      <c r="H36" s="2044"/>
      <c r="I36" s="2044">
        <f>+諸経費表!F22</f>
        <v>43436477</v>
      </c>
      <c r="J36" s="2040"/>
      <c r="K36" s="2040"/>
      <c r="L36" s="2045"/>
    </row>
    <row r="37" spans="1:26" ht="24" customHeight="1">
      <c r="A37" s="36"/>
      <c r="B37" s="36"/>
      <c r="C37" s="2046"/>
      <c r="D37" s="2047" t="s">
        <v>124</v>
      </c>
      <c r="E37" s="2041"/>
      <c r="F37" s="2042">
        <v>1</v>
      </c>
      <c r="G37" s="2043" t="s">
        <v>122</v>
      </c>
      <c r="H37" s="2044"/>
      <c r="I37" s="2044">
        <f>+諸経費表!F27</f>
        <v>50472361</v>
      </c>
      <c r="J37" s="2040"/>
      <c r="K37" s="2040"/>
      <c r="L37" s="2045"/>
    </row>
    <row r="38" spans="1:26" ht="24" customHeight="1">
      <c r="A38" s="36"/>
      <c r="B38" s="36"/>
      <c r="C38" s="2046"/>
      <c r="D38" s="2047"/>
      <c r="E38" s="2041"/>
      <c r="F38" s="2042"/>
      <c r="G38" s="2043"/>
      <c r="H38" s="2044"/>
      <c r="I38" s="2044"/>
      <c r="J38" s="2040"/>
      <c r="K38" s="2040"/>
      <c r="L38" s="2045"/>
    </row>
    <row r="39" spans="1:26" ht="24" customHeight="1">
      <c r="A39" s="36"/>
      <c r="B39" s="36"/>
      <c r="C39" s="2046"/>
      <c r="D39" s="2048" t="s">
        <v>125</v>
      </c>
      <c r="E39" s="2041"/>
      <c r="F39" s="2042"/>
      <c r="G39" s="2043"/>
      <c r="H39" s="2044"/>
      <c r="I39" s="2044">
        <f>SUM(I35:I38)</f>
        <v>119040917</v>
      </c>
      <c r="J39" s="2040"/>
      <c r="K39" s="2040"/>
      <c r="L39" s="2045"/>
    </row>
    <row r="40" spans="1:26" ht="24" customHeight="1">
      <c r="A40" s="36"/>
      <c r="B40" s="36"/>
      <c r="C40" s="2046"/>
      <c r="D40" s="2040"/>
      <c r="E40" s="2041"/>
      <c r="F40" s="2042"/>
      <c r="G40" s="2043"/>
      <c r="H40" s="2044"/>
      <c r="I40" s="2044"/>
      <c r="J40" s="2040"/>
      <c r="K40" s="2040"/>
      <c r="L40" s="2045"/>
    </row>
    <row r="41" spans="1:26" ht="24" customHeight="1">
      <c r="A41" s="36"/>
      <c r="B41" s="36"/>
      <c r="C41" s="2046"/>
      <c r="D41" s="2040"/>
      <c r="E41" s="2041"/>
      <c r="F41" s="2042"/>
      <c r="G41" s="2043"/>
      <c r="H41" s="2044"/>
      <c r="I41" s="2044"/>
      <c r="J41" s="2049"/>
      <c r="K41" s="2555"/>
      <c r="L41" s="2556"/>
    </row>
    <row r="42" spans="1:26" ht="24" customHeight="1">
      <c r="A42" s="36"/>
      <c r="B42" s="36"/>
      <c r="C42" s="2046"/>
      <c r="D42" s="2040"/>
      <c r="E42" s="2041"/>
      <c r="F42" s="2042"/>
      <c r="G42" s="2043"/>
      <c r="H42" s="2044"/>
      <c r="I42" s="2044"/>
      <c r="J42" s="2049"/>
      <c r="K42" s="2555"/>
      <c r="L42" s="2556"/>
    </row>
    <row r="43" spans="1:26" ht="24" customHeight="1">
      <c r="A43" s="36"/>
      <c r="B43" s="36"/>
      <c r="C43" s="2046"/>
      <c r="D43" s="2040" t="s">
        <v>126</v>
      </c>
      <c r="E43" s="2041"/>
      <c r="F43" s="2042"/>
      <c r="G43" s="2043"/>
      <c r="H43" s="2044"/>
      <c r="I43" s="2044">
        <f>+I30+I39</f>
        <v>482700000</v>
      </c>
      <c r="J43" s="2050"/>
      <c r="K43" s="2555"/>
      <c r="L43" s="2556"/>
    </row>
    <row r="44" spans="1:26" ht="24" customHeight="1">
      <c r="A44" s="36"/>
      <c r="B44" s="36"/>
      <c r="C44" s="2046"/>
      <c r="D44" s="2040"/>
      <c r="E44" s="2041"/>
      <c r="F44" s="2042"/>
      <c r="G44" s="2043"/>
      <c r="H44" s="2044"/>
      <c r="I44" s="2044"/>
      <c r="J44" s="2049"/>
      <c r="K44" s="2555"/>
      <c r="L44" s="2556"/>
    </row>
    <row r="45" spans="1:26" ht="24" customHeight="1">
      <c r="A45" s="36"/>
      <c r="B45" s="36"/>
      <c r="C45" s="2046"/>
      <c r="D45" s="2040" t="s">
        <v>127</v>
      </c>
      <c r="E45" s="2041"/>
      <c r="F45" s="2042">
        <v>1</v>
      </c>
      <c r="G45" s="2043" t="s">
        <v>122</v>
      </c>
      <c r="H45" s="2044"/>
      <c r="I45" s="2044">
        <f>I43*0.08</f>
        <v>38616000</v>
      </c>
      <c r="J45" s="2051"/>
      <c r="K45" s="2052"/>
      <c r="L45" s="2053"/>
    </row>
    <row r="46" spans="1:26" ht="24" customHeight="1">
      <c r="A46" s="36"/>
      <c r="B46" s="36"/>
      <c r="C46" s="2046"/>
      <c r="D46" s="2040"/>
      <c r="E46" s="2041"/>
      <c r="F46" s="2042"/>
      <c r="G46" s="2043"/>
      <c r="H46" s="2044"/>
      <c r="I46" s="2044" t="s">
        <v>128</v>
      </c>
      <c r="J46" s="2040"/>
      <c r="K46" s="2557"/>
      <c r="L46" s="2558"/>
    </row>
    <row r="47" spans="1:26" ht="24" customHeight="1" thickBot="1">
      <c r="A47" s="36"/>
      <c r="B47" s="36"/>
      <c r="C47" s="2054"/>
      <c r="D47" s="2055" t="s">
        <v>129</v>
      </c>
      <c r="E47" s="2056"/>
      <c r="F47" s="2057"/>
      <c r="G47" s="2058"/>
      <c r="H47" s="2059"/>
      <c r="I47" s="2059">
        <f>I43+I45</f>
        <v>521316000</v>
      </c>
      <c r="J47" s="2055"/>
      <c r="K47" s="2559"/>
      <c r="L47" s="2560"/>
    </row>
    <row r="48" spans="1:26" ht="14.25" customHeight="1">
      <c r="E48" s="32" t="s">
        <v>130</v>
      </c>
      <c r="F48" s="93">
        <f>F25+1</f>
        <v>1</v>
      </c>
      <c r="G48" s="33" t="s">
        <v>131</v>
      </c>
      <c r="H48" s="4">
        <f>H25</f>
        <v>69</v>
      </c>
      <c r="M48" s="31" t="str">
        <f>IF(A73="","EOL","")</f>
        <v/>
      </c>
      <c r="N48" s="1">
        <f>+F48</f>
        <v>1</v>
      </c>
    </row>
    <row r="49" spans="1:26" s="402" customFormat="1" ht="26.1" customHeight="1" thickBot="1">
      <c r="A49" s="6"/>
      <c r="B49" s="6"/>
      <c r="C49" s="2517" t="s">
        <v>107</v>
      </c>
      <c r="D49" s="2517"/>
      <c r="E49" s="2517"/>
      <c r="F49" s="2517"/>
      <c r="G49" s="2517"/>
      <c r="H49" s="2517"/>
      <c r="I49" s="2517"/>
      <c r="J49" s="2517"/>
      <c r="K49" s="2517"/>
      <c r="L49" s="2517"/>
      <c r="Z49" s="403"/>
    </row>
    <row r="50" spans="1:26" ht="42" customHeight="1">
      <c r="A50" s="5" t="s">
        <v>108</v>
      </c>
      <c r="B50" s="5" t="s">
        <v>109</v>
      </c>
      <c r="C50" s="99" t="s">
        <v>110</v>
      </c>
      <c r="D50" s="95"/>
      <c r="E50" s="96" t="s">
        <v>111</v>
      </c>
      <c r="F50" s="97" t="s">
        <v>112</v>
      </c>
      <c r="G50" s="97" t="s">
        <v>113</v>
      </c>
      <c r="H50" s="98" t="s">
        <v>114</v>
      </c>
      <c r="I50" s="98" t="s">
        <v>115</v>
      </c>
      <c r="J50" s="2552" t="s">
        <v>116</v>
      </c>
      <c r="K50" s="2553"/>
      <c r="L50" s="2554"/>
    </row>
    <row r="51" spans="1:26" ht="24" customHeight="1">
      <c r="A51" s="36"/>
      <c r="B51" s="36"/>
      <c r="C51" s="2060"/>
      <c r="D51" s="631"/>
      <c r="E51" s="632"/>
      <c r="F51" s="1889"/>
      <c r="G51" s="1890"/>
      <c r="H51" s="2061" t="s">
        <v>117</v>
      </c>
      <c r="I51" s="2061" t="s">
        <v>117</v>
      </c>
      <c r="J51" s="631"/>
      <c r="K51" s="631"/>
      <c r="L51" s="637"/>
    </row>
    <row r="52" spans="1:26" ht="24" customHeight="1">
      <c r="A52" s="36"/>
      <c r="B52" s="36"/>
      <c r="C52" s="2062"/>
      <c r="D52" s="1984"/>
      <c r="E52" s="2063"/>
      <c r="F52" s="1981"/>
      <c r="G52" s="2064"/>
      <c r="H52" s="1982"/>
      <c r="I52" s="1982"/>
      <c r="J52" s="1984"/>
      <c r="K52" s="1984"/>
      <c r="L52" s="1985"/>
    </row>
    <row r="53" spans="1:26" ht="24" customHeight="1">
      <c r="A53" s="36"/>
      <c r="B53" s="36"/>
      <c r="C53" s="2065"/>
      <c r="D53" s="1984" t="s">
        <v>132</v>
      </c>
      <c r="E53" s="2063"/>
      <c r="F53" s="1981">
        <v>1</v>
      </c>
      <c r="G53" s="2064" t="s">
        <v>122</v>
      </c>
      <c r="H53" s="1982"/>
      <c r="I53" s="1982">
        <f>+I81</f>
        <v>219083000</v>
      </c>
      <c r="J53" s="1984"/>
      <c r="K53" s="1984"/>
      <c r="L53" s="1985"/>
    </row>
    <row r="54" spans="1:26" ht="24" customHeight="1">
      <c r="A54" s="36"/>
      <c r="B54" s="36"/>
      <c r="C54" s="2062"/>
      <c r="D54" s="1984" t="s">
        <v>133</v>
      </c>
      <c r="E54" s="2063"/>
      <c r="F54" s="1981">
        <v>1</v>
      </c>
      <c r="G54" s="2064" t="s">
        <v>122</v>
      </c>
      <c r="H54" s="1982"/>
      <c r="I54" s="1982">
        <f>+I53*0.08</f>
        <v>17526640</v>
      </c>
      <c r="J54" s="1984"/>
      <c r="K54" s="1984"/>
      <c r="L54" s="1985"/>
    </row>
    <row r="55" spans="1:26" ht="24" customHeight="1">
      <c r="A55" s="36"/>
      <c r="B55" s="36"/>
      <c r="C55" s="2065"/>
      <c r="D55" s="1984" t="s">
        <v>134</v>
      </c>
      <c r="E55" s="2063"/>
      <c r="F55" s="1981"/>
      <c r="G55" s="2064"/>
      <c r="H55" s="1982"/>
      <c r="I55" s="1982">
        <f>+I53+I54</f>
        <v>236609640</v>
      </c>
      <c r="J55" s="1984"/>
      <c r="K55" s="1984"/>
      <c r="L55" s="1985"/>
    </row>
    <row r="56" spans="1:26" ht="24" customHeight="1">
      <c r="A56" s="36"/>
      <c r="B56" s="36"/>
      <c r="C56" s="2062"/>
      <c r="D56" s="1984"/>
      <c r="E56" s="2063"/>
      <c r="F56" s="1981"/>
      <c r="G56" s="2064"/>
      <c r="H56" s="1982"/>
      <c r="I56" s="1982"/>
      <c r="J56" s="1984"/>
      <c r="K56" s="1984"/>
      <c r="L56" s="1985"/>
    </row>
    <row r="57" spans="1:26" ht="24" customHeight="1">
      <c r="A57" s="36"/>
      <c r="B57" s="36"/>
      <c r="C57" s="2065"/>
      <c r="D57" s="1984"/>
      <c r="E57" s="2063"/>
      <c r="F57" s="1981"/>
      <c r="G57" s="2064"/>
      <c r="H57" s="1982"/>
      <c r="I57" s="1982"/>
      <c r="J57" s="1984"/>
      <c r="K57" s="1984"/>
      <c r="L57" s="1985"/>
    </row>
    <row r="58" spans="1:26" ht="24" customHeight="1">
      <c r="A58" s="36"/>
      <c r="B58" s="36"/>
      <c r="C58" s="2065"/>
      <c r="D58" s="1984" t="s">
        <v>135</v>
      </c>
      <c r="E58" s="2063"/>
      <c r="F58" s="1981">
        <v>1</v>
      </c>
      <c r="G58" s="2064" t="s">
        <v>122</v>
      </c>
      <c r="H58" s="1982"/>
      <c r="I58" s="1982">
        <f>+I89</f>
        <v>263617000</v>
      </c>
      <c r="J58" s="1984"/>
      <c r="K58" s="1984"/>
      <c r="L58" s="1985"/>
    </row>
    <row r="59" spans="1:26" ht="24" customHeight="1">
      <c r="A59" s="36"/>
      <c r="B59" s="36"/>
      <c r="C59" s="2065"/>
      <c r="D59" s="1984" t="s">
        <v>133</v>
      </c>
      <c r="E59" s="2063"/>
      <c r="F59" s="1981">
        <v>1</v>
      </c>
      <c r="G59" s="2064" t="s">
        <v>122</v>
      </c>
      <c r="H59" s="1982"/>
      <c r="I59" s="1982">
        <f>+I58*0.08</f>
        <v>21089360</v>
      </c>
      <c r="J59" s="1984"/>
      <c r="K59" s="1984"/>
      <c r="L59" s="1985"/>
    </row>
    <row r="60" spans="1:26" ht="24" customHeight="1">
      <c r="A60" s="36"/>
      <c r="B60" s="36"/>
      <c r="C60" s="2065"/>
      <c r="D60" s="1984" t="s">
        <v>134</v>
      </c>
      <c r="E60" s="2063"/>
      <c r="F60" s="1981"/>
      <c r="G60" s="2064"/>
      <c r="H60" s="1982"/>
      <c r="I60" s="1982">
        <f>+I58+I59</f>
        <v>284706360</v>
      </c>
      <c r="J60" s="1984"/>
      <c r="K60" s="1984"/>
      <c r="L60" s="1985"/>
    </row>
    <row r="61" spans="1:26" ht="24" customHeight="1">
      <c r="A61" s="36"/>
      <c r="B61" s="36"/>
      <c r="C61" s="2065"/>
      <c r="D61" s="1984"/>
      <c r="E61" s="2063"/>
      <c r="F61" s="1981"/>
      <c r="G61" s="2064"/>
      <c r="H61" s="1982"/>
      <c r="I61" s="1982"/>
      <c r="J61" s="1984"/>
      <c r="K61" s="1984"/>
      <c r="L61" s="1985"/>
    </row>
    <row r="62" spans="1:26" ht="24" customHeight="1">
      <c r="A62" s="36"/>
      <c r="B62" s="36"/>
      <c r="C62" s="2065"/>
      <c r="D62" s="1984"/>
      <c r="E62" s="2063"/>
      <c r="F62" s="1981"/>
      <c r="G62" s="2064"/>
      <c r="H62" s="1982"/>
      <c r="I62" s="1982"/>
      <c r="J62" s="1984"/>
      <c r="K62" s="1984"/>
      <c r="L62" s="1985"/>
    </row>
    <row r="63" spans="1:26" ht="24" customHeight="1">
      <c r="A63" s="36"/>
      <c r="B63" s="36"/>
      <c r="C63" s="2065"/>
      <c r="D63" s="1984"/>
      <c r="E63" s="2063"/>
      <c r="F63" s="1981"/>
      <c r="G63" s="2064"/>
      <c r="H63" s="1982"/>
      <c r="I63" s="1982"/>
      <c r="J63" s="1984"/>
      <c r="K63" s="1984"/>
      <c r="L63" s="1985"/>
    </row>
    <row r="64" spans="1:26" ht="24" customHeight="1">
      <c r="A64" s="36"/>
      <c r="B64" s="36"/>
      <c r="C64" s="2065"/>
      <c r="D64" s="1984"/>
      <c r="E64" s="2063"/>
      <c r="F64" s="1981"/>
      <c r="G64" s="2064"/>
      <c r="H64" s="1982"/>
      <c r="I64" s="1982"/>
      <c r="J64" s="1984"/>
      <c r="K64" s="2536"/>
      <c r="L64" s="2537"/>
    </row>
    <row r="65" spans="1:26" ht="24" customHeight="1">
      <c r="A65" s="36"/>
      <c r="B65" s="36"/>
      <c r="C65" s="2065"/>
      <c r="D65" s="1984"/>
      <c r="E65" s="2063"/>
      <c r="F65" s="1981"/>
      <c r="G65" s="2064"/>
      <c r="H65" s="1982"/>
      <c r="I65" s="1982"/>
      <c r="J65" s="1984"/>
      <c r="K65" s="2536"/>
      <c r="L65" s="2537"/>
    </row>
    <row r="66" spans="1:26" ht="24" customHeight="1">
      <c r="A66" s="36"/>
      <c r="B66" s="36"/>
      <c r="C66" s="2065"/>
      <c r="D66" s="1984"/>
      <c r="E66" s="2063"/>
      <c r="F66" s="1981"/>
      <c r="G66" s="2064"/>
      <c r="H66" s="1982"/>
      <c r="I66" s="1982"/>
      <c r="J66" s="2066"/>
      <c r="K66" s="2536"/>
      <c r="L66" s="2537"/>
    </row>
    <row r="67" spans="1:26" ht="24" customHeight="1">
      <c r="A67" s="36"/>
      <c r="B67" s="36"/>
      <c r="C67" s="2065"/>
      <c r="D67" s="1984"/>
      <c r="E67" s="2063"/>
      <c r="F67" s="1981"/>
      <c r="G67" s="2064"/>
      <c r="H67" s="1982"/>
      <c r="I67" s="1982"/>
      <c r="J67" s="2066"/>
      <c r="K67" s="2536"/>
      <c r="L67" s="2537"/>
    </row>
    <row r="68" spans="1:26" ht="24" customHeight="1">
      <c r="A68" s="36"/>
      <c r="B68" s="36"/>
      <c r="C68" s="2065"/>
      <c r="D68" s="1984"/>
      <c r="E68" s="2063"/>
      <c r="F68" s="1981"/>
      <c r="G68" s="2064"/>
      <c r="H68" s="1982"/>
      <c r="I68" s="1982"/>
      <c r="J68" s="2067"/>
      <c r="K68" s="2068"/>
      <c r="L68" s="2069"/>
    </row>
    <row r="69" spans="1:26" ht="24" customHeight="1">
      <c r="A69" s="36"/>
      <c r="B69" s="36"/>
      <c r="C69" s="2065"/>
      <c r="D69" s="1984"/>
      <c r="E69" s="2063"/>
      <c r="F69" s="1981"/>
      <c r="G69" s="2064"/>
      <c r="H69" s="1982"/>
      <c r="I69" s="1982"/>
      <c r="J69" s="1984"/>
      <c r="K69" s="2538"/>
      <c r="L69" s="2539"/>
    </row>
    <row r="70" spans="1:26" ht="24" customHeight="1" thickBot="1">
      <c r="A70" s="36"/>
      <c r="B70" s="36"/>
      <c r="C70" s="2070"/>
      <c r="D70" s="2055" t="s">
        <v>129</v>
      </c>
      <c r="E70" s="2071"/>
      <c r="F70" s="2072"/>
      <c r="G70" s="2073"/>
      <c r="H70" s="2074"/>
      <c r="I70" s="2074">
        <f>+I55+I60</f>
        <v>521316000</v>
      </c>
      <c r="J70" s="2075"/>
      <c r="K70" s="2550"/>
      <c r="L70" s="2551"/>
    </row>
    <row r="71" spans="1:26" ht="14.25" customHeight="1">
      <c r="E71" s="32" t="s">
        <v>130</v>
      </c>
      <c r="F71" s="93">
        <f>F48+1</f>
        <v>2</v>
      </c>
      <c r="G71" s="33" t="s">
        <v>131</v>
      </c>
      <c r="H71" s="4">
        <f>H25</f>
        <v>69</v>
      </c>
      <c r="M71" s="31" t="str">
        <f>IF(A73="","EOL","")</f>
        <v/>
      </c>
      <c r="N71" s="1">
        <f>+F71</f>
        <v>2</v>
      </c>
    </row>
    <row r="72" spans="1:26" s="402" customFormat="1" ht="26.1" customHeight="1" thickBot="1">
      <c r="A72" s="6"/>
      <c r="B72" s="6"/>
      <c r="C72" s="2517" t="s">
        <v>107</v>
      </c>
      <c r="D72" s="2517"/>
      <c r="E72" s="2517"/>
      <c r="F72" s="2517"/>
      <c r="G72" s="2517"/>
      <c r="H72" s="2517"/>
      <c r="I72" s="2517"/>
      <c r="J72" s="2517"/>
      <c r="K72" s="2517"/>
      <c r="L72" s="2517"/>
      <c r="Z72" s="403"/>
    </row>
    <row r="73" spans="1:26" ht="42" customHeight="1">
      <c r="A73" s="5" t="s">
        <v>108</v>
      </c>
      <c r="B73" s="5" t="s">
        <v>109</v>
      </c>
      <c r="C73" s="99" t="s">
        <v>110</v>
      </c>
      <c r="D73" s="95"/>
      <c r="E73" s="96" t="s">
        <v>111</v>
      </c>
      <c r="F73" s="97" t="s">
        <v>112</v>
      </c>
      <c r="G73" s="97" t="s">
        <v>113</v>
      </c>
      <c r="H73" s="98" t="s">
        <v>114</v>
      </c>
      <c r="I73" s="98" t="s">
        <v>115</v>
      </c>
      <c r="J73" s="2552" t="s">
        <v>116</v>
      </c>
      <c r="K73" s="2553"/>
      <c r="L73" s="2554"/>
    </row>
    <row r="74" spans="1:26" ht="24" customHeight="1">
      <c r="A74" s="36"/>
      <c r="B74" s="36"/>
      <c r="C74" s="2060"/>
      <c r="D74" s="631"/>
      <c r="E74" s="632"/>
      <c r="F74" s="1889"/>
      <c r="G74" s="1890"/>
      <c r="H74" s="2061" t="s">
        <v>117</v>
      </c>
      <c r="I74" s="2061" t="s">
        <v>117</v>
      </c>
      <c r="J74" s="631"/>
      <c r="K74" s="631"/>
      <c r="L74" s="637"/>
    </row>
    <row r="75" spans="1:26" ht="24" customHeight="1">
      <c r="A75" s="36"/>
      <c r="B75" s="36"/>
      <c r="C75" s="2062"/>
      <c r="D75" s="1984" t="s">
        <v>132</v>
      </c>
      <c r="E75" s="2063"/>
      <c r="F75" s="1981"/>
      <c r="G75" s="2064"/>
      <c r="H75" s="1982"/>
      <c r="I75" s="1982"/>
      <c r="J75" s="1984"/>
      <c r="K75" s="1984"/>
      <c r="L75" s="1985" t="s">
        <v>4902</v>
      </c>
    </row>
    <row r="76" spans="1:26" ht="24" customHeight="1">
      <c r="A76" s="36"/>
      <c r="B76" s="36"/>
      <c r="C76" s="2065"/>
      <c r="D76" s="1984" t="s">
        <v>136</v>
      </c>
      <c r="E76" s="2063" t="s">
        <v>137</v>
      </c>
      <c r="F76" s="1981">
        <v>1</v>
      </c>
      <c r="G76" s="2064" t="s">
        <v>122</v>
      </c>
      <c r="H76" s="1982"/>
      <c r="I76" s="1982">
        <f>+工事1!I24</f>
        <v>41422000</v>
      </c>
      <c r="J76" s="1984" t="s">
        <v>138</v>
      </c>
      <c r="K76" s="1984"/>
      <c r="L76" s="1985" t="s">
        <v>139</v>
      </c>
    </row>
    <row r="77" spans="1:26" ht="24" customHeight="1">
      <c r="A77" s="36"/>
      <c r="B77" s="36"/>
      <c r="C77" s="2062"/>
      <c r="D77" s="1984" t="s">
        <v>140</v>
      </c>
      <c r="E77" s="2063" t="s">
        <v>137</v>
      </c>
      <c r="F77" s="1981">
        <v>1</v>
      </c>
      <c r="G77" s="2064" t="s">
        <v>122</v>
      </c>
      <c r="H77" s="1982"/>
      <c r="I77" s="1982">
        <f>+工事2!I24</f>
        <v>27474000</v>
      </c>
      <c r="J77" s="1984" t="s">
        <v>138</v>
      </c>
      <c r="K77" s="1984"/>
      <c r="L77" s="1985" t="s">
        <v>141</v>
      </c>
    </row>
    <row r="78" spans="1:26" ht="24" customHeight="1">
      <c r="A78" s="36"/>
      <c r="B78" s="36"/>
      <c r="C78" s="2065"/>
      <c r="D78" s="1984" t="s">
        <v>142</v>
      </c>
      <c r="E78" s="2063" t="s">
        <v>137</v>
      </c>
      <c r="F78" s="1981">
        <v>1</v>
      </c>
      <c r="G78" s="2064" t="s">
        <v>122</v>
      </c>
      <c r="H78" s="1982"/>
      <c r="I78" s="1982">
        <f>+工事3!I24</f>
        <v>2628000</v>
      </c>
      <c r="J78" s="1984" t="s">
        <v>138</v>
      </c>
      <c r="K78" s="1984"/>
      <c r="L78" s="1985" t="s">
        <v>143</v>
      </c>
    </row>
    <row r="79" spans="1:26" ht="24" customHeight="1">
      <c r="A79" s="36"/>
      <c r="B79" s="36"/>
      <c r="C79" s="2062"/>
      <c r="D79" s="1984" t="s">
        <v>144</v>
      </c>
      <c r="E79" s="2063" t="s">
        <v>137</v>
      </c>
      <c r="F79" s="1981">
        <v>1</v>
      </c>
      <c r="G79" s="2064" t="s">
        <v>122</v>
      </c>
      <c r="H79" s="1982"/>
      <c r="I79" s="1982">
        <f>+工事4!I24</f>
        <v>134835000</v>
      </c>
      <c r="J79" s="1984" t="s">
        <v>138</v>
      </c>
      <c r="K79" s="1984"/>
      <c r="L79" s="1985" t="s">
        <v>145</v>
      </c>
    </row>
    <row r="80" spans="1:26" ht="24" customHeight="1">
      <c r="A80" s="36"/>
      <c r="B80" s="36"/>
      <c r="C80" s="2065"/>
      <c r="D80" s="1984" t="s">
        <v>146</v>
      </c>
      <c r="E80" s="2063" t="s">
        <v>137</v>
      </c>
      <c r="F80" s="1981">
        <v>1</v>
      </c>
      <c r="G80" s="2064" t="s">
        <v>122</v>
      </c>
      <c r="H80" s="1982"/>
      <c r="I80" s="1982">
        <f>+工事5!I24</f>
        <v>12724000</v>
      </c>
      <c r="J80" s="1984" t="s">
        <v>138</v>
      </c>
      <c r="K80" s="1984"/>
      <c r="L80" s="1985" t="s">
        <v>147</v>
      </c>
    </row>
    <row r="81" spans="1:14" ht="24" customHeight="1">
      <c r="A81" s="36"/>
      <c r="B81" s="36"/>
      <c r="C81" s="2065"/>
      <c r="D81" s="1984" t="s">
        <v>148</v>
      </c>
      <c r="E81" s="2063"/>
      <c r="F81" s="1981"/>
      <c r="G81" s="2064"/>
      <c r="H81" s="1982"/>
      <c r="I81" s="1982">
        <f>SUM(I76:I80)</f>
        <v>219083000</v>
      </c>
      <c r="J81" s="1984"/>
      <c r="K81" s="1984"/>
      <c r="L81" s="1985"/>
    </row>
    <row r="82" spans="1:14" ht="24" customHeight="1">
      <c r="A82" s="36"/>
      <c r="B82" s="36"/>
      <c r="C82" s="2065"/>
      <c r="D82" s="1984" t="s">
        <v>133</v>
      </c>
      <c r="E82" s="2063"/>
      <c r="F82" s="1981"/>
      <c r="G82" s="2064"/>
      <c r="H82" s="1982"/>
      <c r="I82" s="1982">
        <f>+I81*0.08</f>
        <v>17526640</v>
      </c>
      <c r="J82" s="1984"/>
      <c r="K82" s="1984"/>
      <c r="L82" s="1985"/>
    </row>
    <row r="83" spans="1:14" ht="24" customHeight="1">
      <c r="A83" s="36"/>
      <c r="B83" s="36"/>
      <c r="C83" s="2065"/>
      <c r="D83" s="1984" t="s">
        <v>134</v>
      </c>
      <c r="E83" s="2063"/>
      <c r="F83" s="1981"/>
      <c r="G83" s="2064"/>
      <c r="H83" s="1982"/>
      <c r="I83" s="1982">
        <f>+I81+I82</f>
        <v>236609640</v>
      </c>
      <c r="J83" s="1984"/>
      <c r="K83" s="1984"/>
      <c r="L83" s="1985"/>
    </row>
    <row r="84" spans="1:14" ht="24" customHeight="1">
      <c r="A84" s="36"/>
      <c r="B84" s="36"/>
      <c r="C84" s="2065"/>
      <c r="D84" s="1984"/>
      <c r="E84" s="2063"/>
      <c r="F84" s="1981"/>
      <c r="G84" s="2064"/>
      <c r="H84" s="1982"/>
      <c r="I84" s="1982"/>
      <c r="J84" s="1984"/>
      <c r="K84" s="1984"/>
      <c r="L84" s="1985"/>
    </row>
    <row r="85" spans="1:14" ht="24" customHeight="1">
      <c r="A85" s="36"/>
      <c r="B85" s="36"/>
      <c r="C85" s="2065"/>
      <c r="D85" s="1984" t="s">
        <v>135</v>
      </c>
      <c r="E85" s="2063"/>
      <c r="F85" s="1981"/>
      <c r="G85" s="2064"/>
      <c r="H85" s="1982"/>
      <c r="I85" s="1982"/>
      <c r="J85" s="1984"/>
      <c r="K85" s="1984"/>
      <c r="L85" s="1985" t="s">
        <v>4902</v>
      </c>
    </row>
    <row r="86" spans="1:14" ht="24" customHeight="1">
      <c r="A86" s="36"/>
      <c r="B86" s="36"/>
      <c r="C86" s="2065"/>
      <c r="D86" s="1984" t="s">
        <v>136</v>
      </c>
      <c r="E86" s="2063" t="s">
        <v>137</v>
      </c>
      <c r="F86" s="1981">
        <v>1</v>
      </c>
      <c r="G86" s="2064" t="s">
        <v>122</v>
      </c>
      <c r="H86" s="1982"/>
      <c r="I86" s="1982">
        <f>+工事6!I24</f>
        <v>55380000</v>
      </c>
      <c r="J86" s="1984" t="s">
        <v>138</v>
      </c>
      <c r="K86" s="1984"/>
      <c r="L86" s="1985" t="s">
        <v>149</v>
      </c>
    </row>
    <row r="87" spans="1:14" ht="24" customHeight="1">
      <c r="A87" s="36"/>
      <c r="B87" s="36"/>
      <c r="C87" s="2065"/>
      <c r="D87" s="1984" t="s">
        <v>140</v>
      </c>
      <c r="E87" s="2063" t="s">
        <v>137</v>
      </c>
      <c r="F87" s="1981">
        <v>1</v>
      </c>
      <c r="G87" s="2064" t="s">
        <v>122</v>
      </c>
      <c r="H87" s="1982"/>
      <c r="I87" s="1982">
        <f>+工事7!I24</f>
        <v>35347000</v>
      </c>
      <c r="J87" s="1984" t="s">
        <v>138</v>
      </c>
      <c r="K87" s="2076"/>
      <c r="L87" s="1985" t="s">
        <v>150</v>
      </c>
    </row>
    <row r="88" spans="1:14" ht="24" customHeight="1">
      <c r="A88" s="36"/>
      <c r="B88" s="36"/>
      <c r="C88" s="2065"/>
      <c r="D88" s="1984" t="s">
        <v>144</v>
      </c>
      <c r="E88" s="2063" t="s">
        <v>137</v>
      </c>
      <c r="F88" s="1981">
        <v>1</v>
      </c>
      <c r="G88" s="2064" t="s">
        <v>122</v>
      </c>
      <c r="H88" s="1982"/>
      <c r="I88" s="1982">
        <f>+工事8!I24</f>
        <v>172890000</v>
      </c>
      <c r="J88" s="1984" t="s">
        <v>138</v>
      </c>
      <c r="K88" s="2076"/>
      <c r="L88" s="1985" t="s">
        <v>151</v>
      </c>
    </row>
    <row r="89" spans="1:14" ht="24" customHeight="1">
      <c r="A89" s="36"/>
      <c r="B89" s="36"/>
      <c r="C89" s="2065"/>
      <c r="D89" s="1984" t="s">
        <v>148</v>
      </c>
      <c r="E89" s="2063"/>
      <c r="F89" s="1981"/>
      <c r="G89" s="2064"/>
      <c r="H89" s="1982"/>
      <c r="I89" s="1982">
        <f>SUM(I86:I88)</f>
        <v>263617000</v>
      </c>
      <c r="J89" s="2066"/>
      <c r="K89" s="2536"/>
      <c r="L89" s="2537"/>
    </row>
    <row r="90" spans="1:14" ht="24" customHeight="1">
      <c r="A90" s="36"/>
      <c r="B90" s="36"/>
      <c r="C90" s="2065"/>
      <c r="D90" s="1984" t="s">
        <v>133</v>
      </c>
      <c r="E90" s="2063"/>
      <c r="F90" s="1981"/>
      <c r="G90" s="2064"/>
      <c r="H90" s="1982"/>
      <c r="I90" s="1982">
        <f>+I89*0.08</f>
        <v>21089360</v>
      </c>
      <c r="J90" s="2066"/>
      <c r="K90" s="2536"/>
      <c r="L90" s="2537"/>
    </row>
    <row r="91" spans="1:14" ht="24" customHeight="1">
      <c r="A91" s="36"/>
      <c r="B91" s="36"/>
      <c r="C91" s="2065"/>
      <c r="D91" s="1984" t="s">
        <v>134</v>
      </c>
      <c r="E91" s="2063"/>
      <c r="F91" s="1981"/>
      <c r="G91" s="2064"/>
      <c r="H91" s="1982"/>
      <c r="I91" s="1982">
        <f>+I89+I90</f>
        <v>284706360</v>
      </c>
      <c r="J91" s="2067"/>
      <c r="K91" s="2068"/>
      <c r="L91" s="2069"/>
    </row>
    <row r="92" spans="1:14" ht="24" customHeight="1">
      <c r="A92" s="36"/>
      <c r="B92" s="36"/>
      <c r="C92" s="2065"/>
      <c r="D92" s="1984"/>
      <c r="E92" s="2063"/>
      <c r="F92" s="1981"/>
      <c r="G92" s="2064"/>
      <c r="H92" s="1982"/>
      <c r="I92" s="1982" t="str">
        <f>IF(F92="","",ROUND(F92*H92,0))</f>
        <v/>
      </c>
      <c r="J92" s="1984"/>
      <c r="K92" s="2538"/>
      <c r="L92" s="2539"/>
    </row>
    <row r="93" spans="1:14" ht="24" customHeight="1" thickBot="1">
      <c r="A93" s="36"/>
      <c r="B93" s="36"/>
      <c r="C93" s="2070"/>
      <c r="D93" s="2055" t="s">
        <v>129</v>
      </c>
      <c r="E93" s="2071"/>
      <c r="F93" s="2072"/>
      <c r="G93" s="2073"/>
      <c r="H93" s="2074"/>
      <c r="I93" s="2074">
        <f>+I83+I91</f>
        <v>521316000</v>
      </c>
      <c r="J93" s="2075"/>
      <c r="K93" s="2550"/>
      <c r="L93" s="2551"/>
    </row>
    <row r="94" spans="1:14" ht="14.25" customHeight="1">
      <c r="E94" s="32" t="s">
        <v>130</v>
      </c>
      <c r="F94" s="93">
        <f>F71+1</f>
        <v>3</v>
      </c>
      <c r="G94" s="33" t="s">
        <v>131</v>
      </c>
      <c r="H94" s="4">
        <f>H25</f>
        <v>69</v>
      </c>
      <c r="M94" s="31" t="str">
        <f>IF(A96="","EOL","")</f>
        <v>EOL</v>
      </c>
      <c r="N94" s="1">
        <f>+F94</f>
        <v>3</v>
      </c>
    </row>
  </sheetData>
  <mergeCells count="53">
    <mergeCell ref="K70:L70"/>
    <mergeCell ref="H2:I2"/>
    <mergeCell ref="N19:P19"/>
    <mergeCell ref="N20:N21"/>
    <mergeCell ref="O20:P20"/>
    <mergeCell ref="N22:N23"/>
    <mergeCell ref="J16:L16"/>
    <mergeCell ref="O22:O23"/>
    <mergeCell ref="P22:P23"/>
    <mergeCell ref="J19:J22"/>
    <mergeCell ref="K19:K22"/>
    <mergeCell ref="L19:L22"/>
    <mergeCell ref="J17:K17"/>
    <mergeCell ref="L17:L18"/>
    <mergeCell ref="D13:K13"/>
    <mergeCell ref="D14:K14"/>
    <mergeCell ref="N25:O25"/>
    <mergeCell ref="N26:O26"/>
    <mergeCell ref="N27:O27"/>
    <mergeCell ref="N28:O28"/>
    <mergeCell ref="C26:L26"/>
    <mergeCell ref="B25:E25"/>
    <mergeCell ref="J27:L27"/>
    <mergeCell ref="K93:L93"/>
    <mergeCell ref="C72:L72"/>
    <mergeCell ref="J73:L73"/>
    <mergeCell ref="K41:L41"/>
    <mergeCell ref="K42:L42"/>
    <mergeCell ref="K43:L43"/>
    <mergeCell ref="K44:L44"/>
    <mergeCell ref="K92:L92"/>
    <mergeCell ref="K90:L90"/>
    <mergeCell ref="K89:L89"/>
    <mergeCell ref="K46:L46"/>
    <mergeCell ref="K47:L47"/>
    <mergeCell ref="C49:L49"/>
    <mergeCell ref="J50:L50"/>
    <mergeCell ref="K64:L64"/>
    <mergeCell ref="K65:L65"/>
    <mergeCell ref="K66:L66"/>
    <mergeCell ref="K67:L67"/>
    <mergeCell ref="K69:L69"/>
    <mergeCell ref="K8:L8"/>
    <mergeCell ref="K7:L7"/>
    <mergeCell ref="D12:K12"/>
    <mergeCell ref="J9:J10"/>
    <mergeCell ref="K9:L10"/>
    <mergeCell ref="J1:L1"/>
    <mergeCell ref="K3:L3"/>
    <mergeCell ref="K4:L4"/>
    <mergeCell ref="K5:L5"/>
    <mergeCell ref="K6:L6"/>
    <mergeCell ref="K2:L2"/>
  </mergeCells>
  <phoneticPr fontId="2"/>
  <dataValidations count="9">
    <dataValidation type="list" showInputMessage="1" showErrorMessage="1" sqref="I21 I6" xr:uid="{00000000-0002-0000-0100-000000000000}">
      <formula1>"有り,無し"</formula1>
    </dataValidation>
    <dataValidation type="list" allowBlank="1" showInputMessage="1" sqref="I23" xr:uid="{00000000-0002-0000-0100-000001000000}">
      <formula1>"有り,無し"</formula1>
    </dataValidation>
    <dataValidation type="list" allowBlank="1" showInputMessage="1" sqref="I9" xr:uid="{00000000-0002-0000-0100-000002000000}">
      <formula1>"適用,適用外"</formula1>
    </dataValidation>
    <dataValidation type="list" allowBlank="1" showInputMessage="1" showErrorMessage="1" sqref="I22" xr:uid="{00000000-0002-0000-0100-000003000000}">
      <formula1>$Z$11:$Z$25</formula1>
    </dataValidation>
    <dataValidation type="list" allowBlank="1" showInputMessage="1" showErrorMessage="1" sqref="I3" xr:uid="{00000000-0002-0000-0100-000004000000}">
      <formula1>$AE$5:$AE$24</formula1>
    </dataValidation>
    <dataValidation type="list" allowBlank="1" showInputMessage="1" showErrorMessage="1" sqref="I7" xr:uid="{00000000-0002-0000-0100-000005000000}">
      <formula1>$Z$4:$Z$35</formula1>
    </dataValidation>
    <dataValidation allowBlank="1" showInputMessage="1" sqref="J23:L25 K11" xr:uid="{00000000-0002-0000-0100-000006000000}"/>
    <dataValidation type="list" allowBlank="1" showInputMessage="1" sqref="I8" xr:uid="{00000000-0002-0000-0100-000007000000}">
      <formula1>"一般競争,指名競争,随意契約"</formula1>
    </dataValidation>
    <dataValidation type="list" allowBlank="1" showInputMessage="1" sqref="I10" xr:uid="{00000000-0002-0000-0100-000008000000}">
      <formula1>"有り(40％),有り(年度分割),無し"</formula1>
    </dataValidation>
  </dataValidations>
  <printOptions horizontalCentered="1" verticalCentered="1"/>
  <pageMargins left="0.98425196850393704" right="0.39370078740157499" top="0.78740157480314998" bottom="0.78740157480314998" header="0.51181102362204722" footer="0.51181102362204722"/>
  <pageSetup paperSize="9" scale="32" orientation="portrait" cellComments="asDisplayed" horizontalDpi="300" verticalDpi="300" r:id="rId1"/>
  <headerFooter alignWithMargins="0"/>
  <rowBreaks count="2" manualBreakCount="2">
    <brk id="25" max="22" man="1"/>
    <brk id="71" max="22"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pageSetUpPr fitToPage="1"/>
  </sheetPr>
  <dimension ref="A1:Z94"/>
  <sheetViews>
    <sheetView view="pageBreakPreview" zoomScale="85" zoomScaleNormal="100" zoomScaleSheetLayoutView="85" workbookViewId="0"/>
  </sheetViews>
  <sheetFormatPr defaultColWidth="6.625" defaultRowHeight="26.1" customHeight="1"/>
  <cols>
    <col min="1" max="1" width="2.625" style="6" customWidth="1"/>
    <col min="2" max="2" width="3.5" style="6" customWidth="1"/>
    <col min="3" max="3" width="24.625" style="1" customWidth="1"/>
    <col min="4" max="4" width="25" style="1" customWidth="1"/>
    <col min="5" max="5" width="15.625" style="2" customWidth="1"/>
    <col min="6" max="6" width="9.125" style="1" customWidth="1"/>
    <col min="7" max="7" width="11" style="3" bestFit="1" customWidth="1"/>
    <col min="8" max="8" width="11.625" style="4" customWidth="1"/>
    <col min="9" max="9" width="10.625" style="4" customWidth="1"/>
    <col min="10" max="12" width="9.625" style="1" customWidth="1"/>
    <col min="13" max="14" width="6.625" style="1" customWidth="1"/>
    <col min="15" max="16" width="4.875" style="1" customWidth="1"/>
    <col min="17" max="23" width="15.625" style="1" customWidth="1"/>
    <col min="24" max="25" width="6.625" style="1"/>
    <col min="26" max="26" width="6.625" style="388"/>
    <col min="27" max="16384" width="6.625" style="1"/>
  </cols>
  <sheetData>
    <row r="1" spans="1:26" ht="20.100000000000001" customHeight="1">
      <c r="B1" s="1"/>
      <c r="E1" s="14"/>
      <c r="F1" s="48">
        <v>0</v>
      </c>
      <c r="H1" s="16"/>
      <c r="I1" s="1"/>
      <c r="J1" s="17"/>
      <c r="K1" s="386"/>
      <c r="L1" s="547" t="s">
        <v>152</v>
      </c>
      <c r="Z1" s="388" t="s">
        <v>103</v>
      </c>
    </row>
    <row r="2" spans="1:26" ht="20.100000000000001" customHeight="1" thickBot="1">
      <c r="C2" s="35" t="s">
        <v>37</v>
      </c>
      <c r="E2" s="34" t="s">
        <v>153</v>
      </c>
      <c r="F2" s="548">
        <f>VLOOKUP("EOL",表紙!$M$25:$N$65549,2,FALSE)</f>
        <v>3</v>
      </c>
      <c r="G2" s="1" t="s">
        <v>154</v>
      </c>
      <c r="H2" s="4">
        <f>表紙!H25</f>
        <v>69</v>
      </c>
      <c r="I2" s="4" t="s">
        <v>155</v>
      </c>
      <c r="J2" s="37">
        <f>VLOOKUP("EOL",$M$72:$N$65835,2,FALSE)</f>
        <v>7</v>
      </c>
      <c r="K2" s="546"/>
      <c r="L2" s="551">
        <v>4</v>
      </c>
      <c r="Z2" s="388" t="s">
        <v>106</v>
      </c>
    </row>
    <row r="3" spans="1:26" s="402" customFormat="1" ht="26.1" customHeight="1" thickBot="1">
      <c r="A3" s="2603" t="s">
        <v>156</v>
      </c>
      <c r="B3" s="2603"/>
      <c r="C3" s="2603"/>
      <c r="D3" s="2603"/>
      <c r="E3" s="2603"/>
      <c r="F3" s="2603"/>
      <c r="G3" s="2603"/>
      <c r="H3" s="2603"/>
      <c r="I3" s="1935" t="s">
        <v>157</v>
      </c>
      <c r="J3" s="1936">
        <v>64185012</v>
      </c>
      <c r="K3" s="1937" t="s">
        <v>158</v>
      </c>
      <c r="L3" s="1936" t="s">
        <v>159</v>
      </c>
      <c r="Z3" s="403"/>
    </row>
    <row r="4" spans="1:26" ht="42" customHeight="1">
      <c r="A4" s="2604" t="s">
        <v>160</v>
      </c>
      <c r="B4" s="2605"/>
      <c r="C4" s="1938" t="s">
        <v>161</v>
      </c>
      <c r="D4" s="1939" t="s">
        <v>162</v>
      </c>
      <c r="E4" s="1939" t="s">
        <v>163</v>
      </c>
      <c r="F4" s="1940" t="s">
        <v>164</v>
      </c>
      <c r="G4" s="1941" t="s">
        <v>165</v>
      </c>
      <c r="H4" s="1942" t="s">
        <v>166</v>
      </c>
      <c r="I4" s="1943" t="s">
        <v>167</v>
      </c>
      <c r="J4" s="2606" t="s">
        <v>168</v>
      </c>
      <c r="K4" s="2607"/>
      <c r="L4" s="2608"/>
      <c r="M4" s="181"/>
      <c r="N4" s="181"/>
      <c r="O4" s="181"/>
      <c r="P4" s="181"/>
      <c r="Q4" s="3"/>
    </row>
    <row r="5" spans="1:26" ht="24" customHeight="1">
      <c r="A5" s="2581"/>
      <c r="B5" s="2582"/>
      <c r="C5" s="623" t="s">
        <v>169</v>
      </c>
      <c r="D5" s="623"/>
      <c r="E5" s="1945"/>
      <c r="F5" s="1955"/>
      <c r="G5" s="1947"/>
      <c r="H5" s="1948" t="str">
        <f>IFERROR(INDEX(資産クラス!$A$90:$R$318,MATCH(資産管理明細書!I5,資産クラス!$C$90:$C$318,0),MATCH(資産管理明細書!A5,資産クラス!$A$91:$R$91,0)),"")</f>
        <v/>
      </c>
      <c r="I5" s="619"/>
      <c r="J5" s="2583" t="str">
        <f>IFERROR(VLOOKUP(I5,資産クラス一覧表!A$2:D$1687,2,FALSE),"")</f>
        <v/>
      </c>
      <c r="K5" s="2584"/>
      <c r="L5" s="2585"/>
      <c r="P5" s="626" t="s">
        <v>170</v>
      </c>
      <c r="Q5" s="627" t="s">
        <v>171</v>
      </c>
    </row>
    <row r="6" spans="1:26" ht="24" customHeight="1">
      <c r="A6" s="2002"/>
      <c r="B6" s="2001"/>
      <c r="C6" s="623"/>
      <c r="D6" s="623"/>
      <c r="E6" s="1945"/>
      <c r="F6" s="1946"/>
      <c r="G6" s="1947"/>
      <c r="H6" s="1948"/>
      <c r="I6" s="619"/>
      <c r="J6" s="2003"/>
      <c r="K6" s="2004"/>
      <c r="L6" s="2005"/>
      <c r="P6" s="626"/>
      <c r="Q6" s="627"/>
    </row>
    <row r="7" spans="1:26" ht="24" customHeight="1">
      <c r="A7" s="2581" t="s">
        <v>172</v>
      </c>
      <c r="B7" s="2582"/>
      <c r="C7" s="623" t="s">
        <v>173</v>
      </c>
      <c r="D7" s="623" t="s">
        <v>174</v>
      </c>
      <c r="E7" s="1945" t="s">
        <v>175</v>
      </c>
      <c r="F7" s="1956" t="s">
        <v>176</v>
      </c>
      <c r="G7" s="1947" t="s">
        <v>177</v>
      </c>
      <c r="H7" s="1957">
        <f ca="1">IFERROR(INDEX(資産クラス!$A$90:$R$318,MATCH(資産管理明細書!I7,資産クラス!$C$90:$C$318,0),MATCH(資産管理明細書!A7,資産クラス!$A$91:$R$91,0)),"")</f>
        <v>23901000</v>
      </c>
      <c r="I7" s="1958">
        <v>10500701</v>
      </c>
      <c r="J7" s="2583" t="str">
        <f>IFERROR(VLOOKUP(I7,資産クラス一覧表!A$2:D$1687,2,FALSE),"")</f>
        <v>鉄有固-運送施設 建物-鉄骨鉄筋コンクリート造又は鉄筋コンクリート造-停車場建物</v>
      </c>
      <c r="K7" s="2584"/>
      <c r="L7" s="2585"/>
      <c r="N7" s="1945"/>
      <c r="P7" s="626" t="s">
        <v>178</v>
      </c>
      <c r="Q7" s="627" t="s">
        <v>179</v>
      </c>
    </row>
    <row r="8" spans="1:26" ht="24" customHeight="1">
      <c r="A8" s="2581" t="s">
        <v>172</v>
      </c>
      <c r="B8" s="2582"/>
      <c r="C8" s="623" t="s">
        <v>173</v>
      </c>
      <c r="D8" s="623" t="s">
        <v>180</v>
      </c>
      <c r="E8" s="1945" t="s">
        <v>175</v>
      </c>
      <c r="F8" s="1956" t="s">
        <v>176</v>
      </c>
      <c r="G8" s="1947" t="s">
        <v>177</v>
      </c>
      <c r="H8" s="1957">
        <f ca="1">IFERROR(INDEX(資産クラス!$A$90:$R$318,MATCH(資産管理明細書!I8,資産クラス!$C$90:$C$318,0),MATCH(資産管理明細書!A8,資産クラス!$A$91:$R$91,0)),"")</f>
        <v>4836000</v>
      </c>
      <c r="I8" s="1958">
        <v>12505959</v>
      </c>
      <c r="J8" s="2583" t="str">
        <f>IFERROR(VLOOKUP(I8,資産クラス一覧表!A$2:D$1687,2,FALSE),"")</f>
        <v>鉄有固-工具器具及び備品-工器備-看板・広告機器-その他のもの(その他のもの)</v>
      </c>
      <c r="K8" s="2584"/>
      <c r="L8" s="2585"/>
      <c r="P8" s="626" t="s">
        <v>181</v>
      </c>
      <c r="Q8" s="627" t="s">
        <v>182</v>
      </c>
    </row>
    <row r="9" spans="1:26" ht="24" customHeight="1" thickBot="1">
      <c r="A9" s="2591" t="s">
        <v>172</v>
      </c>
      <c r="B9" s="2592"/>
      <c r="C9" s="1920" t="s">
        <v>173</v>
      </c>
      <c r="D9" s="1920" t="s">
        <v>183</v>
      </c>
      <c r="E9" s="1960" t="s">
        <v>184</v>
      </c>
      <c r="F9" s="1956" t="s">
        <v>176</v>
      </c>
      <c r="G9" s="1961" t="s">
        <v>177</v>
      </c>
      <c r="H9" s="1962">
        <f ca="1">+資産クラス!H320</f>
        <v>12685000</v>
      </c>
      <c r="I9" s="1963"/>
      <c r="J9" s="2593" t="str">
        <f>IFERROR(VLOOKUP(I9,資産クラス一覧表!A$2:D$1687,2,FALSE),"")</f>
        <v/>
      </c>
      <c r="K9" s="2594"/>
      <c r="L9" s="2595"/>
      <c r="P9" s="626" t="s">
        <v>185</v>
      </c>
      <c r="Q9" s="627" t="s">
        <v>186</v>
      </c>
    </row>
    <row r="10" spans="1:26" ht="24" customHeight="1" thickTop="1">
      <c r="A10" s="2598"/>
      <c r="B10" s="2599"/>
      <c r="C10" s="1949"/>
      <c r="D10" s="1949"/>
      <c r="E10" s="1950"/>
      <c r="F10" s="1951"/>
      <c r="G10" s="1952"/>
      <c r="H10" s="1953">
        <f ca="1">SUM(H7:H9)</f>
        <v>41422000</v>
      </c>
      <c r="I10" s="1954"/>
      <c r="J10" s="2600" t="str">
        <f>IFERROR(VLOOKUP(I10,資産クラス一覧表!A$2:D$1687,2,FALSE),"")</f>
        <v/>
      </c>
      <c r="K10" s="2601"/>
      <c r="L10" s="2602"/>
      <c r="P10" s="626"/>
      <c r="Q10" s="627"/>
    </row>
    <row r="11" spans="1:26" ht="24" customHeight="1">
      <c r="A11" s="2581"/>
      <c r="B11" s="2582"/>
      <c r="C11" s="623"/>
      <c r="D11" s="623"/>
      <c r="E11" s="1959"/>
      <c r="F11" s="1956"/>
      <c r="G11" s="1947"/>
      <c r="H11" s="1957" t="str">
        <f>IFERROR(INDEX(資産クラス!$A$90:$R$318,MATCH(資産管理明細書!I11,資産クラス!$C$90:$C$318,0),MATCH(資産管理明細書!A11,資産クラス!$A$91:$R$91,0)),"")</f>
        <v/>
      </c>
      <c r="I11" s="1958"/>
      <c r="J11" s="2583" t="str">
        <f>IFERROR(VLOOKUP(I11,資産クラス一覧表!A$2:D$1687,2,FALSE),"")</f>
        <v/>
      </c>
      <c r="K11" s="2584"/>
      <c r="L11" s="2585"/>
      <c r="P11" s="626"/>
      <c r="Q11" s="627"/>
    </row>
    <row r="12" spans="1:26" ht="24" customHeight="1">
      <c r="A12" s="2586" t="s">
        <v>187</v>
      </c>
      <c r="B12" s="2587"/>
      <c r="C12" s="623" t="s">
        <v>188</v>
      </c>
      <c r="D12" s="623" t="s">
        <v>189</v>
      </c>
      <c r="E12" s="1930" t="s">
        <v>190</v>
      </c>
      <c r="F12" s="1956" t="s">
        <v>176</v>
      </c>
      <c r="G12" s="1932" t="s">
        <v>177</v>
      </c>
      <c r="H12" s="1944">
        <f ca="1">IFERROR(INDEX(資産クラス!$A$90:$R$318,MATCH(資産管理明細書!I12,資産クラス!$C$90:$C$318,0),MATCH(資産管理明細書!A12,資産クラス!$A$91:$R$91,0)),"")</f>
        <v>25687000</v>
      </c>
      <c r="I12" s="1933">
        <v>10500701</v>
      </c>
      <c r="J12" s="2588" t="str">
        <f>IFERROR(VLOOKUP(I12,資産クラス一覧表!A$2:D$1687,2,FALSE),"")</f>
        <v>鉄有固-運送施設 建物-鉄骨鉄筋コンクリート造又は鉄筋コンクリート造-停車場建物</v>
      </c>
      <c r="K12" s="2589"/>
      <c r="L12" s="2590"/>
      <c r="P12" s="626" t="s">
        <v>191</v>
      </c>
      <c r="Q12" s="627" t="s">
        <v>192</v>
      </c>
    </row>
    <row r="13" spans="1:26" ht="24" customHeight="1" thickBot="1">
      <c r="A13" s="2591" t="s">
        <v>187</v>
      </c>
      <c r="B13" s="2592"/>
      <c r="C13" s="1920" t="s">
        <v>188</v>
      </c>
      <c r="D13" s="1920" t="s">
        <v>183</v>
      </c>
      <c r="E13" s="1960" t="s">
        <v>184</v>
      </c>
      <c r="F13" s="1956" t="s">
        <v>176</v>
      </c>
      <c r="G13" s="1961" t="s">
        <v>177</v>
      </c>
      <c r="H13" s="1962">
        <f ca="1">+資産クラス!I320</f>
        <v>1787000</v>
      </c>
      <c r="I13" s="1977"/>
      <c r="J13" s="2593" t="str">
        <f>IFERROR(VLOOKUP(I13,資産クラス一覧表!A$2:D$1687,2,FALSE),"")</f>
        <v/>
      </c>
      <c r="K13" s="2594"/>
      <c r="L13" s="2595"/>
      <c r="P13" s="626" t="s">
        <v>193</v>
      </c>
      <c r="Q13" s="627" t="s">
        <v>194</v>
      </c>
    </row>
    <row r="14" spans="1:26" ht="24" customHeight="1" thickTop="1">
      <c r="A14" s="2598"/>
      <c r="B14" s="2599"/>
      <c r="C14" s="1949"/>
      <c r="D14" s="1949"/>
      <c r="E14" s="1950"/>
      <c r="F14" s="1951"/>
      <c r="G14" s="1952"/>
      <c r="H14" s="1953">
        <f ca="1">SUM(H12:H13)</f>
        <v>27474000</v>
      </c>
      <c r="I14" s="1954"/>
      <c r="J14" s="2600" t="str">
        <f>IFERROR(VLOOKUP(I14,資産クラス一覧表!A$2:D$1687,2,FALSE),"")</f>
        <v/>
      </c>
      <c r="K14" s="2601"/>
      <c r="L14" s="2602"/>
      <c r="P14" s="626"/>
      <c r="Q14" s="627"/>
    </row>
    <row r="15" spans="1:26" ht="24" customHeight="1">
      <c r="A15" s="1991"/>
      <c r="B15" s="1992"/>
      <c r="C15" s="623"/>
      <c r="D15" s="623"/>
      <c r="E15" s="1930"/>
      <c r="F15" s="1931"/>
      <c r="G15" s="1932"/>
      <c r="H15" s="1944"/>
      <c r="I15" s="1933"/>
      <c r="J15" s="1993"/>
      <c r="K15" s="1994"/>
      <c r="L15" s="1995"/>
      <c r="P15" s="626"/>
      <c r="Q15" s="627"/>
    </row>
    <row r="16" spans="1:26" ht="24" customHeight="1">
      <c r="A16" s="2586" t="s">
        <v>195</v>
      </c>
      <c r="B16" s="2587"/>
      <c r="C16" s="623" t="s">
        <v>196</v>
      </c>
      <c r="D16" s="623" t="s">
        <v>189</v>
      </c>
      <c r="E16" s="1930" t="s">
        <v>175</v>
      </c>
      <c r="F16" s="1956" t="s">
        <v>176</v>
      </c>
      <c r="G16" s="1932" t="s">
        <v>177</v>
      </c>
      <c r="H16" s="1944">
        <f ca="1">IFERROR(INDEX(資産クラス!$A$90:$R$318,MATCH(資産管理明細書!I16,資産クラス!$C$90:$C$318,0),MATCH(資産管理明細書!A16,資産クラス!$A$91:$R$91,0)),"")</f>
        <v>1863000</v>
      </c>
      <c r="I16" s="1933">
        <v>10500701</v>
      </c>
      <c r="J16" s="2588" t="str">
        <f>IFERROR(VLOOKUP(I16,資産クラス一覧表!A$2:D$1687,2,FALSE),"")</f>
        <v>鉄有固-運送施設 建物-鉄骨鉄筋コンクリート造又は鉄筋コンクリート造-停車場建物</v>
      </c>
      <c r="K16" s="2589"/>
      <c r="L16" s="2590"/>
      <c r="P16" s="626" t="s">
        <v>197</v>
      </c>
      <c r="Q16" s="627" t="s">
        <v>198</v>
      </c>
    </row>
    <row r="17" spans="1:26" ht="24" customHeight="1">
      <c r="A17" s="2581" t="s">
        <v>195</v>
      </c>
      <c r="B17" s="2582"/>
      <c r="C17" s="623" t="s">
        <v>196</v>
      </c>
      <c r="D17" s="623" t="s">
        <v>180</v>
      </c>
      <c r="E17" s="1959" t="s">
        <v>175</v>
      </c>
      <c r="F17" s="1956" t="s">
        <v>176</v>
      </c>
      <c r="G17" s="1947" t="s">
        <v>177</v>
      </c>
      <c r="H17" s="1957">
        <f ca="1">IFERROR(INDEX(資産クラス!$A$90:$R$318,MATCH(資産管理明細書!I17,資産クラス!$C$90:$C$318,0),MATCH(資産管理明細書!A17,資産クラス!$A$91:$R$91,0)),"")</f>
        <v>467000</v>
      </c>
      <c r="I17" s="1958">
        <v>12505959</v>
      </c>
      <c r="J17" s="2583" t="str">
        <f>IFERROR(VLOOKUP(I17,資産クラス一覧表!A$2:D$1687,2,FALSE),"")</f>
        <v>鉄有固-工具器具及び備品-工器備-看板・広告機器-その他のもの(その他のもの)</v>
      </c>
      <c r="K17" s="2584"/>
      <c r="L17" s="2585"/>
      <c r="P17" s="626" t="s">
        <v>199</v>
      </c>
      <c r="Q17" s="627" t="s">
        <v>200</v>
      </c>
    </row>
    <row r="18" spans="1:26" ht="24" customHeight="1" thickBot="1">
      <c r="A18" s="2591" t="s">
        <v>195</v>
      </c>
      <c r="B18" s="2592"/>
      <c r="C18" s="1920" t="s">
        <v>196</v>
      </c>
      <c r="D18" s="1920" t="s">
        <v>183</v>
      </c>
      <c r="E18" s="1960" t="s">
        <v>184</v>
      </c>
      <c r="F18" s="1956" t="s">
        <v>176</v>
      </c>
      <c r="G18" s="1961" t="s">
        <v>177</v>
      </c>
      <c r="H18" s="1962">
        <f ca="1">+資産クラス!J320</f>
        <v>298000</v>
      </c>
      <c r="I18" s="620"/>
      <c r="J18" s="2593" t="str">
        <f>IFERROR(VLOOKUP(I18,資産クラス一覧表!A$2:D$1687,2,FALSE),"")</f>
        <v/>
      </c>
      <c r="K18" s="2594"/>
      <c r="L18" s="2595"/>
      <c r="P18" s="626" t="s">
        <v>201</v>
      </c>
      <c r="Q18" s="627" t="s">
        <v>202</v>
      </c>
    </row>
    <row r="19" spans="1:26" ht="24" customHeight="1" thickTop="1">
      <c r="A19" s="2598"/>
      <c r="B19" s="2599"/>
      <c r="C19" s="1949"/>
      <c r="D19" s="1949"/>
      <c r="E19" s="1950"/>
      <c r="F19" s="1951"/>
      <c r="G19" s="1952"/>
      <c r="H19" s="1953">
        <f ca="1">SUM(H16:H18)</f>
        <v>2628000</v>
      </c>
      <c r="I19" s="1954"/>
      <c r="J19" s="2600" t="str">
        <f>IFERROR(VLOOKUP(I19,資産クラス一覧表!A$2:D$1687,2,FALSE),"")</f>
        <v/>
      </c>
      <c r="K19" s="2601"/>
      <c r="L19" s="2602"/>
      <c r="P19" s="626" t="s">
        <v>203</v>
      </c>
      <c r="Q19" s="627" t="s">
        <v>204</v>
      </c>
    </row>
    <row r="20" spans="1:26" ht="24" customHeight="1">
      <c r="A20" s="2586"/>
      <c r="B20" s="2587"/>
      <c r="C20" s="623"/>
      <c r="D20" s="623"/>
      <c r="E20" s="1934"/>
      <c r="F20" s="1931"/>
      <c r="G20" s="1932"/>
      <c r="H20" s="1944" t="str">
        <f>IFERROR(INDEX(資産クラス!$A$90:$R$318,MATCH(資産管理明細書!I20,資産クラス!$C$90:$C$318,0),MATCH(資産管理明細書!A20,資産クラス!$A$91:$R$91,0)),"")</f>
        <v/>
      </c>
      <c r="I20" s="1933"/>
      <c r="J20" s="2588" t="str">
        <f>IFERROR(VLOOKUP(I20,資産クラス一覧表!A$2:D$1687,2,FALSE),"")</f>
        <v/>
      </c>
      <c r="K20" s="2589"/>
      <c r="L20" s="2590"/>
      <c r="P20" s="626" t="s">
        <v>205</v>
      </c>
      <c r="Q20" s="627" t="s">
        <v>206</v>
      </c>
    </row>
    <row r="21" spans="1:26" ht="24" customHeight="1">
      <c r="A21" s="2581"/>
      <c r="B21" s="2582"/>
      <c r="C21" s="623"/>
      <c r="D21" s="623"/>
      <c r="E21" s="1959"/>
      <c r="F21" s="1956"/>
      <c r="G21" s="1947"/>
      <c r="H21" s="1957" t="str">
        <f>IFERROR(INDEX(資産クラス!$A$90:$R$318,MATCH(資産管理明細書!I21,資産クラス!$C$90:$C$318,0),MATCH(資産管理明細書!A21,資産クラス!$A$91:$R$91,0)),"")</f>
        <v/>
      </c>
      <c r="I21" s="1958"/>
      <c r="J21" s="2583" t="str">
        <f>IFERROR(VLOOKUP(I21,資産クラス一覧表!A$2:D$1687,2,FALSE),"")</f>
        <v/>
      </c>
      <c r="K21" s="2584"/>
      <c r="L21" s="2585"/>
      <c r="P21" s="626" t="s">
        <v>207</v>
      </c>
      <c r="Q21" s="627" t="s">
        <v>208</v>
      </c>
    </row>
    <row r="22" spans="1:26" ht="24" customHeight="1">
      <c r="A22" s="2586"/>
      <c r="B22" s="2596"/>
      <c r="C22" s="623"/>
      <c r="D22" s="623"/>
      <c r="E22" s="1930"/>
      <c r="F22" s="1931"/>
      <c r="G22" s="1932"/>
      <c r="H22" s="1944" t="str">
        <f>IFERROR(INDEX(資産クラス!$A$90:$R$318,MATCH(資産管理明細書!I22,資産クラス!$C$90:$C$318,0),MATCH(資産管理明細書!A22,資産クラス!$A$91:$R$91,0)),"")</f>
        <v/>
      </c>
      <c r="I22" s="1933"/>
      <c r="J22" s="2588" t="str">
        <f>IFERROR(VLOOKUP(I22,資産クラス一覧表!A$2:D$1687,2,FALSE),"")</f>
        <v/>
      </c>
      <c r="K22" s="2589"/>
      <c r="L22" s="2590"/>
      <c r="P22" s="626" t="s">
        <v>209</v>
      </c>
      <c r="Q22" s="627" t="s">
        <v>210</v>
      </c>
    </row>
    <row r="23" spans="1:26" ht="24" customHeight="1">
      <c r="A23" s="2581"/>
      <c r="B23" s="2597"/>
      <c r="C23" s="623"/>
      <c r="D23" s="623"/>
      <c r="E23" s="1959"/>
      <c r="F23" s="1956"/>
      <c r="G23" s="1947"/>
      <c r="H23" s="1957"/>
      <c r="I23" s="1964"/>
      <c r="J23" s="2583" t="str">
        <f>IFERROR(VLOOKUP(I23,資産クラス一覧表!A$2:D$1687,2,FALSE),"")</f>
        <v/>
      </c>
      <c r="K23" s="2584"/>
      <c r="L23" s="2585"/>
    </row>
    <row r="24" spans="1:26" ht="24" customHeight="1" thickBot="1">
      <c r="A24" s="2576"/>
      <c r="B24" s="2577"/>
      <c r="C24" s="1965"/>
      <c r="D24" s="1965"/>
      <c r="E24" s="1966"/>
      <c r="F24" s="1967"/>
      <c r="G24" s="1968"/>
      <c r="H24" s="1969" t="str">
        <f>IFERROR(INDEX(資産クラス!$A$90:$R$318,MATCH(資産管理明細書!I24,資産クラス!$C$90:$C$318,0),MATCH(資産管理明細書!A24,資産クラス!$A$91:$R$91,0)),"")</f>
        <v/>
      </c>
      <c r="I24" s="1970"/>
      <c r="J24" s="2578" t="str">
        <f>IFERROR(VLOOKUP(I24,資産クラス一覧表!A$2:D$1687,2,FALSE),"")</f>
        <v/>
      </c>
      <c r="K24" s="2579"/>
      <c r="L24" s="2580"/>
    </row>
    <row r="25" spans="1:26" ht="14.25" customHeight="1" thickBot="1">
      <c r="E25" s="32" t="s">
        <v>130</v>
      </c>
      <c r="F25" s="93">
        <f>F2+1</f>
        <v>4</v>
      </c>
      <c r="G25" s="33" t="s">
        <v>131</v>
      </c>
      <c r="H25" s="4">
        <f>H2</f>
        <v>69</v>
      </c>
      <c r="M25" s="31" t="str">
        <f>IF(A27="","EOL","")</f>
        <v/>
      </c>
      <c r="N25" s="1">
        <f>+F25</f>
        <v>4</v>
      </c>
    </row>
    <row r="26" spans="1:26" s="402" customFormat="1" ht="26.1" customHeight="1" thickBot="1">
      <c r="A26" s="2603" t="s">
        <v>156</v>
      </c>
      <c r="B26" s="2603"/>
      <c r="C26" s="2603"/>
      <c r="D26" s="2603"/>
      <c r="E26" s="2603"/>
      <c r="F26" s="2603"/>
      <c r="G26" s="2603"/>
      <c r="H26" s="2603"/>
      <c r="I26" s="1935" t="s">
        <v>157</v>
      </c>
      <c r="J26" s="1936">
        <v>64185012</v>
      </c>
      <c r="K26" s="1937" t="s">
        <v>158</v>
      </c>
      <c r="L26" s="1936" t="s">
        <v>159</v>
      </c>
      <c r="Z26" s="403"/>
    </row>
    <row r="27" spans="1:26" ht="42" customHeight="1">
      <c r="A27" s="2604" t="s">
        <v>160</v>
      </c>
      <c r="B27" s="2605"/>
      <c r="C27" s="1938" t="s">
        <v>161</v>
      </c>
      <c r="D27" s="1939" t="s">
        <v>162</v>
      </c>
      <c r="E27" s="1939" t="s">
        <v>163</v>
      </c>
      <c r="F27" s="1940" t="s">
        <v>164</v>
      </c>
      <c r="G27" s="1941" t="s">
        <v>165</v>
      </c>
      <c r="H27" s="1942" t="s">
        <v>166</v>
      </c>
      <c r="I27" s="1943" t="s">
        <v>167</v>
      </c>
      <c r="J27" s="2606" t="s">
        <v>168</v>
      </c>
      <c r="K27" s="2607"/>
      <c r="L27" s="2608"/>
      <c r="M27" s="181"/>
      <c r="N27" s="181"/>
      <c r="O27" s="181"/>
      <c r="P27" s="181"/>
      <c r="Q27" s="3"/>
    </row>
    <row r="28" spans="1:26" ht="24" customHeight="1">
      <c r="A28" s="2586"/>
      <c r="B28" s="2587"/>
      <c r="C28" s="623" t="s">
        <v>211</v>
      </c>
      <c r="D28" s="623"/>
      <c r="E28" s="1934"/>
      <c r="F28" s="1931"/>
      <c r="G28" s="1932"/>
      <c r="H28" s="1944" t="str">
        <f>IFERROR(INDEX(資産クラス!$A$90:$R$318,MATCH(資産管理明細書!I28,資産クラス!$C$90:$C$318,0),MATCH(資産管理明細書!A28,資産クラス!$A$91:$R$91,0)),"")</f>
        <v/>
      </c>
      <c r="I28" s="1933"/>
      <c r="J28" s="2588" t="str">
        <f>IFERROR(VLOOKUP(I28,資産クラス一覧表!A$2:D$1687,2,FALSE),"")</f>
        <v/>
      </c>
      <c r="K28" s="2589"/>
      <c r="L28" s="2590"/>
      <c r="P28" s="626" t="s">
        <v>170</v>
      </c>
      <c r="Q28" s="627" t="s">
        <v>171</v>
      </c>
    </row>
    <row r="29" spans="1:26" ht="24" customHeight="1">
      <c r="A29" s="1991"/>
      <c r="B29" s="1992"/>
      <c r="C29" s="623"/>
      <c r="D29" s="623"/>
      <c r="E29" s="1934"/>
      <c r="F29" s="1931"/>
      <c r="G29" s="1932"/>
      <c r="H29" s="1944"/>
      <c r="I29" s="1933"/>
      <c r="J29" s="1993"/>
      <c r="K29" s="1994"/>
      <c r="L29" s="1995"/>
      <c r="P29" s="626"/>
      <c r="Q29" s="627"/>
    </row>
    <row r="30" spans="1:26" ht="24" customHeight="1">
      <c r="A30" s="2581" t="s">
        <v>212</v>
      </c>
      <c r="B30" s="2582"/>
      <c r="C30" s="623" t="s">
        <v>173</v>
      </c>
      <c r="D30" s="623" t="s">
        <v>213</v>
      </c>
      <c r="E30" s="1945" t="s">
        <v>175</v>
      </c>
      <c r="F30" s="1956" t="s">
        <v>214</v>
      </c>
      <c r="G30" s="1947" t="s">
        <v>177</v>
      </c>
      <c r="H30" s="1957">
        <f ca="1">IFERROR(INDEX(資産クラス!$A$90:$R$318,MATCH(資産管理明細書!I30,資産クラス!$C$90:$C$318,0),MATCH(資産管理明細書!A30,資産クラス!$A$91:$R$91,0)),"")</f>
        <v>35551000</v>
      </c>
      <c r="I30" s="1958">
        <v>10500701</v>
      </c>
      <c r="J30" s="2583" t="str">
        <f>IFERROR(VLOOKUP(I30,資産クラス一覧表!A$2:D$1687,2,FALSE),"")</f>
        <v>鉄有固-運送施設 建物-鉄骨鉄筋コンクリート造又は鉄筋コンクリート造-停車場建物</v>
      </c>
      <c r="K30" s="2584"/>
      <c r="L30" s="2585"/>
      <c r="N30" s="1945"/>
      <c r="P30" s="626" t="s">
        <v>178</v>
      </c>
      <c r="Q30" s="627" t="s">
        <v>179</v>
      </c>
    </row>
    <row r="31" spans="1:26" ht="24" customHeight="1">
      <c r="A31" s="2581" t="s">
        <v>212</v>
      </c>
      <c r="B31" s="2582"/>
      <c r="C31" s="623" t="s">
        <v>173</v>
      </c>
      <c r="D31" s="623" t="s">
        <v>215</v>
      </c>
      <c r="E31" s="1945" t="s">
        <v>175</v>
      </c>
      <c r="F31" s="1956" t="s">
        <v>214</v>
      </c>
      <c r="G31" s="1947" t="s">
        <v>177</v>
      </c>
      <c r="H31" s="1957">
        <f ca="1">IFERROR(INDEX(資産クラス!$A$90:$R$318,MATCH(資産管理明細書!I31,資産クラス!$C$90:$C$318,0),MATCH(資産管理明細書!A31,資産クラス!$A$91:$R$91,0)),"")</f>
        <v>5157000</v>
      </c>
      <c r="I31" s="1958">
        <v>12505959</v>
      </c>
      <c r="J31" s="2583" t="str">
        <f>IFERROR(VLOOKUP(I31,資産クラス一覧表!A$2:D$1687,2,FALSE),"")</f>
        <v>鉄有固-工具器具及び備品-工器備-看板・広告機器-その他のもの(その他のもの)</v>
      </c>
      <c r="K31" s="2584"/>
      <c r="L31" s="2585"/>
      <c r="P31" s="626" t="s">
        <v>181</v>
      </c>
      <c r="Q31" s="627" t="s">
        <v>182</v>
      </c>
    </row>
    <row r="32" spans="1:26" ht="24" customHeight="1" thickBot="1">
      <c r="A32" s="2591" t="s">
        <v>212</v>
      </c>
      <c r="B32" s="2592"/>
      <c r="C32" s="1920" t="s">
        <v>173</v>
      </c>
      <c r="D32" s="1920" t="s">
        <v>183</v>
      </c>
      <c r="E32" s="1960" t="s">
        <v>184</v>
      </c>
      <c r="F32" s="1956" t="s">
        <v>214</v>
      </c>
      <c r="G32" s="1961" t="s">
        <v>177</v>
      </c>
      <c r="H32" s="1962">
        <f ca="1">+資産クラス!M320</f>
        <v>14672000</v>
      </c>
      <c r="I32" s="1963"/>
      <c r="J32" s="2593" t="str">
        <f>IFERROR(VLOOKUP(I32,資産クラス一覧表!A$2:D$1687,2,FALSE),"")</f>
        <v/>
      </c>
      <c r="K32" s="2594"/>
      <c r="L32" s="2595"/>
      <c r="P32" s="626" t="s">
        <v>185</v>
      </c>
      <c r="Q32" s="627" t="s">
        <v>186</v>
      </c>
    </row>
    <row r="33" spans="1:17" ht="24" customHeight="1" thickTop="1">
      <c r="A33" s="2598"/>
      <c r="B33" s="2599"/>
      <c r="C33" s="1949"/>
      <c r="D33" s="1949"/>
      <c r="E33" s="1950"/>
      <c r="F33" s="1951"/>
      <c r="G33" s="1952"/>
      <c r="H33" s="1953">
        <f ca="1">SUM(H30:H32)</f>
        <v>55380000</v>
      </c>
      <c r="I33" s="1954"/>
      <c r="J33" s="2600" t="str">
        <f>IFERROR(VLOOKUP(I33,資産クラス一覧表!A$2:D$1687,2,FALSE),"")</f>
        <v/>
      </c>
      <c r="K33" s="2601"/>
      <c r="L33" s="2602"/>
      <c r="P33" s="626"/>
      <c r="Q33" s="627"/>
    </row>
    <row r="34" spans="1:17" ht="24" customHeight="1">
      <c r="A34" s="1991"/>
      <c r="B34" s="1992"/>
      <c r="C34" s="623"/>
      <c r="D34" s="623"/>
      <c r="E34" s="1934"/>
      <c r="F34" s="1931"/>
      <c r="G34" s="1932"/>
      <c r="H34" s="1944"/>
      <c r="I34" s="1933"/>
      <c r="J34" s="1993"/>
      <c r="K34" s="1994"/>
      <c r="L34" s="1995"/>
      <c r="P34" s="626"/>
      <c r="Q34" s="627"/>
    </row>
    <row r="35" spans="1:17" ht="24" customHeight="1">
      <c r="A35" s="2586" t="s">
        <v>216</v>
      </c>
      <c r="B35" s="2596"/>
      <c r="C35" s="623" t="s">
        <v>188</v>
      </c>
      <c r="D35" s="623" t="s">
        <v>213</v>
      </c>
      <c r="E35" s="1930" t="s">
        <v>190</v>
      </c>
      <c r="F35" s="1956" t="s">
        <v>214</v>
      </c>
      <c r="G35" s="1932" t="s">
        <v>177</v>
      </c>
      <c r="H35" s="1944">
        <f ca="1">IFERROR(INDEX(資産クラス!$A$90:$R$318,MATCH(資産管理明細書!I35,資産クラス!$C$90:$C$318,0),MATCH(資産管理明細書!A35,資産クラス!$A$91:$R$91,0)),"")</f>
        <v>33196000</v>
      </c>
      <c r="I35" s="1933">
        <v>10500701</v>
      </c>
      <c r="J35" s="2588" t="str">
        <f>IFERROR(VLOOKUP(I35,資産クラス一覧表!A$2:D$1687,2,FALSE),"")</f>
        <v>鉄有固-運送施設 建物-鉄骨鉄筋コンクリート造又は鉄筋コンクリート造-停車場建物</v>
      </c>
      <c r="K35" s="2589"/>
      <c r="L35" s="2590"/>
      <c r="P35" s="626" t="s">
        <v>191</v>
      </c>
      <c r="Q35" s="627" t="s">
        <v>192</v>
      </c>
    </row>
    <row r="36" spans="1:17" ht="24" customHeight="1" thickBot="1">
      <c r="A36" s="2581" t="s">
        <v>216</v>
      </c>
      <c r="B36" s="2597"/>
      <c r="C36" s="623" t="s">
        <v>188</v>
      </c>
      <c r="D36" s="623" t="s">
        <v>183</v>
      </c>
      <c r="E36" s="1959" t="s">
        <v>184</v>
      </c>
      <c r="F36" s="1956" t="s">
        <v>214</v>
      </c>
      <c r="G36" s="1947" t="s">
        <v>177</v>
      </c>
      <c r="H36" s="1957">
        <f ca="1">+資産クラス!N320</f>
        <v>2151000</v>
      </c>
      <c r="I36" s="2077"/>
      <c r="J36" s="2583" t="str">
        <f>IFERROR(VLOOKUP(I36,資産クラス一覧表!A$2:D$1687,2,FALSE),"")</f>
        <v/>
      </c>
      <c r="K36" s="2584"/>
      <c r="L36" s="2585"/>
      <c r="P36" s="626" t="s">
        <v>193</v>
      </c>
      <c r="Q36" s="627" t="s">
        <v>194</v>
      </c>
    </row>
    <row r="37" spans="1:17" ht="24" customHeight="1" thickTop="1">
      <c r="A37" s="2598"/>
      <c r="B37" s="2599"/>
      <c r="C37" s="1949"/>
      <c r="D37" s="1949"/>
      <c r="E37" s="1950"/>
      <c r="F37" s="1951"/>
      <c r="G37" s="1952"/>
      <c r="H37" s="1953">
        <f ca="1">SUM(H35:H36)</f>
        <v>35347000</v>
      </c>
      <c r="I37" s="1954"/>
      <c r="J37" s="2600" t="str">
        <f>IFERROR(VLOOKUP(I37,資産クラス一覧表!A$2:D$1687,2,FALSE),"")</f>
        <v/>
      </c>
      <c r="K37" s="2601"/>
      <c r="L37" s="2602"/>
      <c r="P37" s="626"/>
      <c r="Q37" s="627"/>
    </row>
    <row r="38" spans="1:17" ht="24" customHeight="1">
      <c r="A38" s="1991"/>
      <c r="B38" s="1992"/>
      <c r="C38" s="623"/>
      <c r="D38" s="623"/>
      <c r="E38" s="1930"/>
      <c r="F38" s="1931"/>
      <c r="G38" s="1932"/>
      <c r="H38" s="1944"/>
      <c r="I38" s="1933"/>
      <c r="J38" s="1993"/>
      <c r="K38" s="1994"/>
      <c r="L38" s="1995"/>
      <c r="P38" s="626"/>
      <c r="Q38" s="627"/>
    </row>
    <row r="39" spans="1:17" ht="24" customHeight="1">
      <c r="A39" s="2586"/>
      <c r="B39" s="2587"/>
      <c r="C39" s="623"/>
      <c r="D39" s="623"/>
      <c r="E39" s="1930"/>
      <c r="F39" s="1931"/>
      <c r="G39" s="1932"/>
      <c r="H39" s="1944"/>
      <c r="I39" s="1933"/>
      <c r="J39" s="2588" t="str">
        <f>IFERROR(VLOOKUP(I39,資産クラス一覧表!A$2:D$1687,2,FALSE),"")</f>
        <v/>
      </c>
      <c r="K39" s="2589"/>
      <c r="L39" s="2590"/>
      <c r="P39" s="626" t="s">
        <v>197</v>
      </c>
      <c r="Q39" s="627" t="s">
        <v>198</v>
      </c>
    </row>
    <row r="40" spans="1:17" ht="24" customHeight="1">
      <c r="A40" s="2581"/>
      <c r="B40" s="2582"/>
      <c r="C40" s="623"/>
      <c r="D40" s="623"/>
      <c r="E40" s="1959"/>
      <c r="F40" s="1956"/>
      <c r="G40" s="1947"/>
      <c r="H40" s="1957"/>
      <c r="I40" s="1958"/>
      <c r="J40" s="2583" t="str">
        <f>IFERROR(VLOOKUP(I40,資産クラス一覧表!A$2:D$1687,2,FALSE),"")</f>
        <v/>
      </c>
      <c r="K40" s="2584"/>
      <c r="L40" s="2585"/>
      <c r="P40" s="626" t="s">
        <v>199</v>
      </c>
      <c r="Q40" s="627" t="s">
        <v>200</v>
      </c>
    </row>
    <row r="41" spans="1:17" ht="24" customHeight="1">
      <c r="A41" s="2591"/>
      <c r="B41" s="2592"/>
      <c r="C41" s="623"/>
      <c r="D41" s="623"/>
      <c r="E41" s="1960"/>
      <c r="F41" s="2078"/>
      <c r="G41" s="1961"/>
      <c r="H41" s="1962"/>
      <c r="I41" s="620"/>
      <c r="J41" s="2593" t="str">
        <f>IFERROR(VLOOKUP(I41,資産クラス一覧表!A$2:D$1687,2,FALSE),"")</f>
        <v/>
      </c>
      <c r="K41" s="2594"/>
      <c r="L41" s="2595"/>
      <c r="P41" s="626" t="s">
        <v>201</v>
      </c>
      <c r="Q41" s="627" t="s">
        <v>202</v>
      </c>
    </row>
    <row r="42" spans="1:17" ht="24" customHeight="1">
      <c r="A42" s="2581"/>
      <c r="B42" s="2582"/>
      <c r="C42" s="623"/>
      <c r="D42" s="623"/>
      <c r="E42" s="1959"/>
      <c r="F42" s="1956"/>
      <c r="G42" s="1947"/>
      <c r="H42" s="1957"/>
      <c r="I42" s="1958"/>
      <c r="J42" s="2583" t="str">
        <f>IFERROR(VLOOKUP(I42,資産クラス一覧表!A$2:D$1687,2,FALSE),"")</f>
        <v/>
      </c>
      <c r="K42" s="2584"/>
      <c r="L42" s="2585"/>
      <c r="P42" s="626" t="s">
        <v>203</v>
      </c>
      <c r="Q42" s="627" t="s">
        <v>204</v>
      </c>
    </row>
    <row r="43" spans="1:17" ht="24" customHeight="1">
      <c r="A43" s="2581"/>
      <c r="B43" s="2582"/>
      <c r="C43" s="623"/>
      <c r="D43" s="623"/>
      <c r="E43" s="1959"/>
      <c r="F43" s="1956"/>
      <c r="G43" s="1947"/>
      <c r="H43" s="1957"/>
      <c r="I43" s="1958"/>
      <c r="J43" s="2583" t="str">
        <f>IFERROR(VLOOKUP(I43,資産クラス一覧表!A$2:D$1687,2,FALSE),"")</f>
        <v/>
      </c>
      <c r="K43" s="2584"/>
      <c r="L43" s="2585"/>
      <c r="P43" s="626" t="s">
        <v>205</v>
      </c>
      <c r="Q43" s="627" t="s">
        <v>206</v>
      </c>
    </row>
    <row r="44" spans="1:17" ht="24" customHeight="1">
      <c r="A44" s="2581"/>
      <c r="B44" s="2582"/>
      <c r="C44" s="623"/>
      <c r="D44" s="623"/>
      <c r="E44" s="1959"/>
      <c r="F44" s="1956"/>
      <c r="G44" s="1947"/>
      <c r="H44" s="1957"/>
      <c r="I44" s="1958"/>
      <c r="J44" s="2583" t="str">
        <f>IFERROR(VLOOKUP(I44,資産クラス一覧表!A$2:D$1687,2,FALSE),"")</f>
        <v/>
      </c>
      <c r="K44" s="2584"/>
      <c r="L44" s="2585"/>
      <c r="P44" s="626" t="s">
        <v>217</v>
      </c>
      <c r="Q44" s="627" t="s">
        <v>218</v>
      </c>
    </row>
    <row r="45" spans="1:17" ht="24" customHeight="1">
      <c r="A45" s="2581"/>
      <c r="B45" s="2582"/>
      <c r="C45" s="623"/>
      <c r="D45" s="623"/>
      <c r="E45" s="1959"/>
      <c r="F45" s="1956"/>
      <c r="G45" s="1947"/>
      <c r="H45" s="1957"/>
      <c r="I45" s="1958"/>
      <c r="J45" s="2583" t="str">
        <f>IFERROR(VLOOKUP(I45,資産クラス一覧表!A$2:D$1687,2,FALSE),"")</f>
        <v/>
      </c>
      <c r="K45" s="2584"/>
      <c r="L45" s="2585"/>
      <c r="P45" s="626" t="s">
        <v>219</v>
      </c>
      <c r="Q45" s="627" t="s">
        <v>220</v>
      </c>
    </row>
    <row r="46" spans="1:17" ht="24" customHeight="1">
      <c r="A46" s="2581"/>
      <c r="B46" s="2582"/>
      <c r="C46" s="623"/>
      <c r="D46" s="623"/>
      <c r="E46" s="1959"/>
      <c r="F46" s="1956"/>
      <c r="G46" s="1947"/>
      <c r="H46" s="1957"/>
      <c r="I46" s="1958"/>
      <c r="J46" s="2583" t="str">
        <f>IFERROR(VLOOKUP(I46,資産クラス一覧表!A$2:D$1687,2,FALSE),"")</f>
        <v/>
      </c>
      <c r="K46" s="2584"/>
      <c r="L46" s="2585"/>
    </row>
    <row r="47" spans="1:17" ht="24" customHeight="1" thickBot="1">
      <c r="A47" s="2576"/>
      <c r="B47" s="2577"/>
      <c r="C47" s="1965"/>
      <c r="D47" s="1965"/>
      <c r="E47" s="1966"/>
      <c r="F47" s="1967"/>
      <c r="G47" s="1968"/>
      <c r="H47" s="1969" t="str">
        <f>IFERROR(INDEX(資産クラス!$A$90:$R$318,MATCH(資産管理明細書!I47,資産クラス!$C$90:$C$318,0),MATCH(資産管理明細書!A47,資産クラス!$A$91:$R$91,0)),"")</f>
        <v/>
      </c>
      <c r="I47" s="1970"/>
      <c r="J47" s="2578" t="str">
        <f>IFERROR(VLOOKUP(I47,資産クラス一覧表!A$2:D$1687,2,FALSE),"")</f>
        <v/>
      </c>
      <c r="K47" s="2579"/>
      <c r="L47" s="2580"/>
    </row>
    <row r="48" spans="1:17" ht="14.25" customHeight="1" thickBot="1">
      <c r="E48" s="32" t="s">
        <v>130</v>
      </c>
      <c r="F48" s="93">
        <f>F25+1</f>
        <v>5</v>
      </c>
      <c r="G48" s="33" t="s">
        <v>131</v>
      </c>
      <c r="H48" s="4">
        <f>H2</f>
        <v>69</v>
      </c>
      <c r="M48" s="31" t="str">
        <f>IF(A50="","EOL","")</f>
        <v/>
      </c>
      <c r="N48" s="1">
        <f>+F48</f>
        <v>5</v>
      </c>
    </row>
    <row r="49" spans="1:26" s="402" customFormat="1" ht="26.1" customHeight="1" thickBot="1">
      <c r="A49" s="2603" t="s">
        <v>156</v>
      </c>
      <c r="B49" s="2603"/>
      <c r="C49" s="2603"/>
      <c r="D49" s="2603"/>
      <c r="E49" s="2603"/>
      <c r="F49" s="2603"/>
      <c r="G49" s="2603"/>
      <c r="H49" s="2603"/>
      <c r="I49" s="624" t="s">
        <v>157</v>
      </c>
      <c r="J49" s="625" t="s">
        <v>221</v>
      </c>
      <c r="K49" s="644" t="s">
        <v>158</v>
      </c>
      <c r="L49" s="625" t="s">
        <v>222</v>
      </c>
      <c r="Z49" s="403"/>
    </row>
    <row r="50" spans="1:26" ht="42" customHeight="1">
      <c r="A50" s="2604" t="s">
        <v>160</v>
      </c>
      <c r="B50" s="2605"/>
      <c r="C50" s="622" t="s">
        <v>161</v>
      </c>
      <c r="D50" s="401" t="s">
        <v>162</v>
      </c>
      <c r="E50" s="401" t="s">
        <v>163</v>
      </c>
      <c r="F50" s="628" t="s">
        <v>164</v>
      </c>
      <c r="G50" s="629" t="s">
        <v>165</v>
      </c>
      <c r="H50" s="617" t="s">
        <v>166</v>
      </c>
      <c r="I50" s="618" t="s">
        <v>167</v>
      </c>
      <c r="J50" s="2617" t="s">
        <v>168</v>
      </c>
      <c r="K50" s="2618"/>
      <c r="L50" s="2619"/>
      <c r="M50" s="616"/>
      <c r="N50" s="181"/>
      <c r="O50" s="181"/>
      <c r="P50" s="181"/>
      <c r="Q50" s="3"/>
    </row>
    <row r="51" spans="1:26" ht="24" customHeight="1">
      <c r="A51" s="2581"/>
      <c r="B51" s="2597"/>
      <c r="C51" s="623" t="s">
        <v>169</v>
      </c>
      <c r="D51" s="623"/>
      <c r="E51" s="1945"/>
      <c r="F51" s="1955"/>
      <c r="G51" s="1947"/>
      <c r="H51" s="1948" t="str">
        <f>IFERROR(INDEX(資産クラス!$A$90:$R$318,MATCH(資産管理明細書!I51,資産クラス!$C$90:$C$318,0),MATCH(資産管理明細書!A51,資産クラス!$A$91:$R$91,0)),"")</f>
        <v/>
      </c>
      <c r="I51" s="619"/>
      <c r="J51" s="2583" t="str">
        <f>IFERROR(VLOOKUP(I51,資産クラス一覧表!A$2:D$1687,2,FALSE),"")</f>
        <v/>
      </c>
      <c r="K51" s="2584"/>
      <c r="L51" s="2616"/>
      <c r="P51" s="626" t="s">
        <v>170</v>
      </c>
      <c r="Q51" s="627" t="s">
        <v>171</v>
      </c>
    </row>
    <row r="52" spans="1:26" ht="24" customHeight="1">
      <c r="A52" s="2581"/>
      <c r="B52" s="2597"/>
      <c r="C52" s="623"/>
      <c r="D52" s="623"/>
      <c r="E52" s="1945"/>
      <c r="F52" s="1956"/>
      <c r="G52" s="1947"/>
      <c r="H52" s="1948" t="str">
        <f>IFERROR(INDEX(資産クラス!$A$90:$R$318,MATCH(資産管理明細書!I52,資産クラス!$C$90:$C$318,0),MATCH(資産管理明細書!A52,資産クラス!$A$91:$R$91,0)),"")</f>
        <v/>
      </c>
      <c r="I52" s="1964"/>
      <c r="J52" s="2583" t="str">
        <f>IFERROR(VLOOKUP(I52,資産クラス一覧表!A$2:D$1687,2,FALSE),"")</f>
        <v/>
      </c>
      <c r="K52" s="2584"/>
      <c r="L52" s="2616"/>
      <c r="N52" s="1945"/>
      <c r="P52" s="626" t="s">
        <v>178</v>
      </c>
      <c r="Q52" s="627" t="s">
        <v>179</v>
      </c>
    </row>
    <row r="53" spans="1:26" ht="24" customHeight="1">
      <c r="A53" s="2581" t="s">
        <v>223</v>
      </c>
      <c r="B53" s="2597"/>
      <c r="C53" s="623" t="s">
        <v>224</v>
      </c>
      <c r="D53" s="623" t="s">
        <v>225</v>
      </c>
      <c r="E53" s="1945" t="s">
        <v>175</v>
      </c>
      <c r="F53" s="2079" t="s">
        <v>226</v>
      </c>
      <c r="G53" s="1947" t="s">
        <v>227</v>
      </c>
      <c r="H53" s="1957">
        <f ca="1">IFERROR(INDEX(資産クラス!$A$90:$R$318,MATCH(資産管理明細書!I53,資産クラス!$C$90:$C$318,0),MATCH(資産管理明細書!A53,資産クラス!$A$91:$R$91,0)),"")</f>
        <v>64998000</v>
      </c>
      <c r="I53" s="1958">
        <v>10500701</v>
      </c>
      <c r="J53" s="2583" t="str">
        <f>IFERROR(VLOOKUP(I53,資産クラス一覧表!A$2:D$1687,2,FALSE),"")</f>
        <v>鉄有固-運送施設 建物-鉄骨鉄筋コンクリート造又は鉄筋コンクリート造-停車場建物</v>
      </c>
      <c r="K53" s="2584"/>
      <c r="L53" s="2616"/>
      <c r="P53" s="626" t="s">
        <v>181</v>
      </c>
      <c r="Q53" s="627" t="s">
        <v>182</v>
      </c>
    </row>
    <row r="54" spans="1:26" ht="24" customHeight="1">
      <c r="A54" s="2581" t="s">
        <v>223</v>
      </c>
      <c r="B54" s="2597"/>
      <c r="C54" s="623" t="s">
        <v>224</v>
      </c>
      <c r="D54" s="623" t="s">
        <v>180</v>
      </c>
      <c r="E54" s="1945" t="s">
        <v>175</v>
      </c>
      <c r="F54" s="2079" t="s">
        <v>226</v>
      </c>
      <c r="G54" s="1947" t="s">
        <v>227</v>
      </c>
      <c r="H54" s="1957">
        <f ca="1">IFERROR(INDEX(資産クラス!$A$90:$R$318,MATCH(資産管理明細書!I54,資産クラス!$C$90:$C$318,0),MATCH(資産管理明細書!A54,資産クラス!$A$91:$R$91,0)),"")</f>
        <v>1458000</v>
      </c>
      <c r="I54" s="1958">
        <v>12505959</v>
      </c>
      <c r="J54" s="2583" t="str">
        <f>IFERROR(VLOOKUP(I54,資産クラス一覧表!A$2:D$1687,2,FALSE),"")</f>
        <v>鉄有固-工具器具及び備品-工器備-看板・広告機器-その他のもの(その他のもの)</v>
      </c>
      <c r="K54" s="2584"/>
      <c r="L54" s="2616"/>
      <c r="P54" s="626" t="s">
        <v>185</v>
      </c>
      <c r="Q54" s="627" t="s">
        <v>186</v>
      </c>
    </row>
    <row r="55" spans="1:26" ht="24" customHeight="1" thickBot="1">
      <c r="A55" s="2581" t="s">
        <v>223</v>
      </c>
      <c r="B55" s="2597"/>
      <c r="C55" s="623" t="s">
        <v>224</v>
      </c>
      <c r="D55" s="623" t="s">
        <v>183</v>
      </c>
      <c r="E55" s="1945" t="s">
        <v>184</v>
      </c>
      <c r="F55" s="2079" t="s">
        <v>226</v>
      </c>
      <c r="G55" s="1947" t="s">
        <v>227</v>
      </c>
      <c r="H55" s="1957">
        <f ca="1">+資産クラス!K320</f>
        <v>68379000</v>
      </c>
      <c r="I55" s="1958"/>
      <c r="J55" s="2583" t="str">
        <f>IFERROR(VLOOKUP(I55,資産クラス一覧表!A$2:D$1687,2,FALSE),"")</f>
        <v/>
      </c>
      <c r="K55" s="2584"/>
      <c r="L55" s="2616"/>
      <c r="P55" s="626"/>
      <c r="Q55" s="627"/>
    </row>
    <row r="56" spans="1:26" ht="24" customHeight="1" thickTop="1">
      <c r="A56" s="2598"/>
      <c r="B56" s="2599"/>
      <c r="C56" s="1949"/>
      <c r="D56" s="1949"/>
      <c r="E56" s="1950"/>
      <c r="F56" s="1971"/>
      <c r="G56" s="1952"/>
      <c r="H56" s="1953">
        <f ca="1">SUM(H53:H55)</f>
        <v>134835000</v>
      </c>
      <c r="I56" s="1954"/>
      <c r="J56" s="2600" t="str">
        <f>IFERROR(VLOOKUP(I56,資産クラス一覧表!A$2:D$1687,2,FALSE),"")</f>
        <v/>
      </c>
      <c r="K56" s="2601"/>
      <c r="L56" s="2602"/>
      <c r="P56" s="626"/>
      <c r="Q56" s="627"/>
    </row>
    <row r="57" spans="1:26" ht="24" customHeight="1">
      <c r="A57" s="2586"/>
      <c r="B57" s="2587"/>
      <c r="C57" s="623"/>
      <c r="D57" s="623"/>
      <c r="E57" s="1930"/>
      <c r="F57" s="1972"/>
      <c r="G57" s="1932"/>
      <c r="H57" s="1944"/>
      <c r="I57" s="1933"/>
      <c r="J57" s="2588" t="str">
        <f>IFERROR(VLOOKUP(I57,資産クラス一覧表!A$2:D$1687,2,FALSE),"")</f>
        <v/>
      </c>
      <c r="K57" s="2589"/>
      <c r="L57" s="2590"/>
      <c r="P57" s="626" t="s">
        <v>191</v>
      </c>
      <c r="Q57" s="627" t="s">
        <v>192</v>
      </c>
    </row>
    <row r="58" spans="1:26" ht="24" customHeight="1">
      <c r="A58" s="2581"/>
      <c r="B58" s="2597"/>
      <c r="C58" s="623" t="s">
        <v>211</v>
      </c>
      <c r="D58" s="623"/>
      <c r="E58" s="1945"/>
      <c r="F58" s="2079"/>
      <c r="G58" s="1947"/>
      <c r="H58" s="1948" t="str">
        <f>IFERROR(INDEX(資産クラス!$A$90:$R$318,MATCH(資産管理明細書!I58,資産クラス!$C$90:$C$318,0),MATCH(資産管理明細書!A58,資産クラス!$A$91:$R$91,0)),"")</f>
        <v/>
      </c>
      <c r="I58" s="1964"/>
      <c r="J58" s="2583" t="str">
        <f>IFERROR(VLOOKUP(I58,資産クラス一覧表!A$2:D$1687,2,FALSE),"")</f>
        <v/>
      </c>
      <c r="K58" s="2584"/>
      <c r="L58" s="2616"/>
      <c r="P58" s="626" t="s">
        <v>193</v>
      </c>
      <c r="Q58" s="627" t="s">
        <v>194</v>
      </c>
    </row>
    <row r="59" spans="1:26" ht="24" customHeight="1">
      <c r="A59" s="2581" t="s">
        <v>228</v>
      </c>
      <c r="B59" s="2597"/>
      <c r="C59" s="623" t="s">
        <v>224</v>
      </c>
      <c r="D59" s="623" t="s">
        <v>213</v>
      </c>
      <c r="E59" s="1945" t="s">
        <v>175</v>
      </c>
      <c r="F59" s="2079" t="s">
        <v>226</v>
      </c>
      <c r="G59" s="1947" t="s">
        <v>227</v>
      </c>
      <c r="H59" s="1957">
        <f ca="1">IFERROR(INDEX(資産クラス!$A$90:$R$318,MATCH(資産管理明細書!I59,資産クラス!$C$90:$C$318,0),MATCH(資産管理明細書!A59,資産クラス!$A$91:$R$91,0)),"")</f>
        <v>86987000</v>
      </c>
      <c r="I59" s="1958">
        <v>10500701</v>
      </c>
      <c r="J59" s="2583" t="str">
        <f>IFERROR(VLOOKUP(I59,資産クラス一覧表!A$2:D$1687,2,FALSE),"")</f>
        <v>鉄有固-運送施設 建物-鉄骨鉄筋コンクリート造又は鉄筋コンクリート造-停車場建物</v>
      </c>
      <c r="K59" s="2584"/>
      <c r="L59" s="2616"/>
      <c r="P59" s="626"/>
      <c r="Q59" s="627"/>
    </row>
    <row r="60" spans="1:26" ht="24" customHeight="1">
      <c r="A60" s="2581" t="s">
        <v>228</v>
      </c>
      <c r="B60" s="2597"/>
      <c r="C60" s="623" t="s">
        <v>224</v>
      </c>
      <c r="D60" s="623" t="s">
        <v>215</v>
      </c>
      <c r="E60" s="1945" t="s">
        <v>175</v>
      </c>
      <c r="F60" s="2079" t="s">
        <v>226</v>
      </c>
      <c r="G60" s="1947" t="s">
        <v>227</v>
      </c>
      <c r="H60" s="1957">
        <f ca="1">IFERROR(INDEX(資産クラス!$A$90:$R$318,MATCH(資産管理明細書!I60,資産クラス!$C$90:$C$318,0),MATCH(資産管理明細書!A60,資産クラス!$A$91:$R$91,0)),"")</f>
        <v>2722000</v>
      </c>
      <c r="I60" s="1958">
        <v>12505959</v>
      </c>
      <c r="J60" s="2583" t="str">
        <f>IFERROR(VLOOKUP(I60,資産クラス一覧表!A$2:D$1687,2,FALSE),"")</f>
        <v>鉄有固-工具器具及び備品-工器備-看板・広告機器-その他のもの(その他のもの)</v>
      </c>
      <c r="K60" s="2584"/>
      <c r="L60" s="2616"/>
      <c r="P60" s="626" t="s">
        <v>197</v>
      </c>
      <c r="Q60" s="627" t="s">
        <v>198</v>
      </c>
    </row>
    <row r="61" spans="1:26" ht="24" customHeight="1" thickBot="1">
      <c r="A61" s="2581" t="s">
        <v>228</v>
      </c>
      <c r="B61" s="2597"/>
      <c r="C61" s="623" t="s">
        <v>224</v>
      </c>
      <c r="D61" s="623" t="s">
        <v>183</v>
      </c>
      <c r="E61" s="1945" t="s">
        <v>184</v>
      </c>
      <c r="F61" s="2079" t="s">
        <v>226</v>
      </c>
      <c r="G61" s="1947" t="s">
        <v>227</v>
      </c>
      <c r="H61" s="1957">
        <f ca="1">+資産クラス!O320</f>
        <v>83181000</v>
      </c>
      <c r="I61" s="1964"/>
      <c r="J61" s="2583" t="str">
        <f>IFERROR(VLOOKUP(I61,資産クラス一覧表!A$2:D$1687,2,FALSE),"")</f>
        <v/>
      </c>
      <c r="K61" s="2584"/>
      <c r="L61" s="2616"/>
      <c r="P61" s="626" t="s">
        <v>199</v>
      </c>
      <c r="Q61" s="627" t="s">
        <v>200</v>
      </c>
    </row>
    <row r="62" spans="1:26" ht="24" customHeight="1" thickTop="1">
      <c r="A62" s="2598"/>
      <c r="B62" s="2599"/>
      <c r="C62" s="1949"/>
      <c r="D62" s="1949"/>
      <c r="E62" s="1950"/>
      <c r="F62" s="1971"/>
      <c r="G62" s="1952"/>
      <c r="H62" s="1953">
        <f ca="1">SUM(H59:H61)</f>
        <v>172890000</v>
      </c>
      <c r="I62" s="1954"/>
      <c r="J62" s="2600" t="str">
        <f>IFERROR(VLOOKUP(I62,資産クラス一覧表!A$2:D$1687,2,FALSE),"")</f>
        <v/>
      </c>
      <c r="K62" s="2601"/>
      <c r="L62" s="2602"/>
      <c r="P62" s="626" t="s">
        <v>203</v>
      </c>
      <c r="Q62" s="627" t="s">
        <v>204</v>
      </c>
    </row>
    <row r="63" spans="1:26" ht="24" customHeight="1">
      <c r="A63" s="2586"/>
      <c r="B63" s="2587"/>
      <c r="C63" s="623"/>
      <c r="D63" s="623"/>
      <c r="E63" s="1934"/>
      <c r="F63" s="1972"/>
      <c r="G63" s="1932"/>
      <c r="H63" s="1944"/>
      <c r="I63" s="1933"/>
      <c r="J63" s="2588"/>
      <c r="K63" s="2589"/>
      <c r="L63" s="2590"/>
      <c r="P63" s="626" t="s">
        <v>205</v>
      </c>
      <c r="Q63" s="627" t="s">
        <v>206</v>
      </c>
    </row>
    <row r="64" spans="1:26" ht="24" customHeight="1">
      <c r="A64" s="2581"/>
      <c r="B64" s="2582"/>
      <c r="C64" s="623"/>
      <c r="D64" s="623"/>
      <c r="E64" s="1945"/>
      <c r="F64" s="1956"/>
      <c r="G64" s="1947"/>
      <c r="H64" s="1957"/>
      <c r="I64" s="1958"/>
      <c r="J64" s="2583"/>
      <c r="K64" s="2584"/>
      <c r="L64" s="2585"/>
      <c r="P64" s="626" t="s">
        <v>217</v>
      </c>
      <c r="Q64" s="627" t="s">
        <v>218</v>
      </c>
    </row>
    <row r="65" spans="1:26" ht="24" customHeight="1">
      <c r="A65" s="2581"/>
      <c r="B65" s="2582"/>
      <c r="C65" s="623"/>
      <c r="D65" s="623"/>
      <c r="E65" s="1959"/>
      <c r="F65" s="1956"/>
      <c r="G65" s="1947"/>
      <c r="H65" s="1957"/>
      <c r="I65" s="1958"/>
      <c r="J65" s="2583"/>
      <c r="K65" s="2584"/>
      <c r="L65" s="2585"/>
      <c r="P65" s="626" t="s">
        <v>207</v>
      </c>
      <c r="Q65" s="627" t="s">
        <v>208</v>
      </c>
    </row>
    <row r="66" spans="1:26" ht="24" customHeight="1">
      <c r="A66" s="2591"/>
      <c r="B66" s="2592"/>
      <c r="C66" s="1920"/>
      <c r="D66" s="1920"/>
      <c r="E66" s="1960"/>
      <c r="F66" s="2078"/>
      <c r="G66" s="1961"/>
      <c r="H66" s="1962"/>
      <c r="I66" s="1963"/>
      <c r="J66" s="2593"/>
      <c r="K66" s="2594"/>
      <c r="L66" s="2595"/>
      <c r="P66" s="626" t="s">
        <v>219</v>
      </c>
      <c r="Q66" s="627" t="s">
        <v>220</v>
      </c>
    </row>
    <row r="67" spans="1:26" ht="24" customHeight="1">
      <c r="A67" s="2581"/>
      <c r="B67" s="2582"/>
      <c r="C67" s="623"/>
      <c r="D67" s="623"/>
      <c r="E67" s="1959"/>
      <c r="F67" s="1956"/>
      <c r="G67" s="1947"/>
      <c r="H67" s="1957"/>
      <c r="I67" s="1958"/>
      <c r="J67" s="2583"/>
      <c r="K67" s="2584"/>
      <c r="L67" s="2585"/>
      <c r="P67" s="626"/>
      <c r="Q67" s="627"/>
    </row>
    <row r="68" spans="1:26" ht="24" customHeight="1">
      <c r="A68" s="2586"/>
      <c r="B68" s="2596"/>
      <c r="C68" s="623"/>
      <c r="D68" s="623"/>
      <c r="E68" s="1930"/>
      <c r="F68" s="1931"/>
      <c r="G68" s="1932"/>
      <c r="H68" s="1944"/>
      <c r="I68" s="1933"/>
      <c r="J68" s="2588"/>
      <c r="K68" s="2589"/>
      <c r="L68" s="2590"/>
      <c r="P68" s="626" t="s">
        <v>209</v>
      </c>
      <c r="Q68" s="627" t="s">
        <v>210</v>
      </c>
    </row>
    <row r="69" spans="1:26" ht="24" customHeight="1">
      <c r="A69" s="2581"/>
      <c r="B69" s="2582"/>
      <c r="C69" s="623"/>
      <c r="D69" s="623"/>
      <c r="E69" s="1959"/>
      <c r="F69" s="1956"/>
      <c r="G69" s="1947"/>
      <c r="H69" s="1957"/>
      <c r="I69" s="1958"/>
      <c r="J69" s="2583" t="str">
        <f>IFERROR(VLOOKUP(I69,資産クラス一覧表!A$2:D$1687,2,FALSE),"")</f>
        <v/>
      </c>
      <c r="K69" s="2584"/>
      <c r="L69" s="2585"/>
    </row>
    <row r="70" spans="1:26" ht="24" customHeight="1" thickBot="1">
      <c r="A70" s="2576"/>
      <c r="B70" s="2577"/>
      <c r="C70" s="1965"/>
      <c r="D70" s="1965"/>
      <c r="E70" s="1966"/>
      <c r="F70" s="1967"/>
      <c r="G70" s="1968"/>
      <c r="H70" s="1969" t="str">
        <f>IFERROR(INDEX(資産クラス!$A$90:$R$318,MATCH(資産管理明細書!I70,資産クラス!$C$90:$C$318,0),MATCH(資産管理明細書!A70,資産クラス!$A$91:$R$91,0)),"")</f>
        <v/>
      </c>
      <c r="I70" s="1970"/>
      <c r="J70" s="2578" t="str">
        <f>IFERROR(VLOOKUP(I70,資産クラス一覧表!A$2:D$1687,2,FALSE),"")</f>
        <v/>
      </c>
      <c r="K70" s="2579"/>
      <c r="L70" s="2580"/>
    </row>
    <row r="71" spans="1:26" ht="14.25" customHeight="1" thickBot="1">
      <c r="E71" s="32" t="s">
        <v>130</v>
      </c>
      <c r="F71" s="93">
        <f>F48+1</f>
        <v>6</v>
      </c>
      <c r="G71" s="33" t="s">
        <v>131</v>
      </c>
      <c r="H71" s="4">
        <f>H2</f>
        <v>69</v>
      </c>
      <c r="M71" s="31" t="str">
        <f>IF(A73="","EOL","")</f>
        <v/>
      </c>
      <c r="N71" s="1">
        <f>+F71</f>
        <v>6</v>
      </c>
    </row>
    <row r="72" spans="1:26" s="402" customFormat="1" ht="26.1" customHeight="1" thickBot="1">
      <c r="A72" s="2603" t="s">
        <v>156</v>
      </c>
      <c r="B72" s="2603"/>
      <c r="C72" s="2603"/>
      <c r="D72" s="2603"/>
      <c r="E72" s="2603"/>
      <c r="F72" s="2603"/>
      <c r="G72" s="2603"/>
      <c r="H72" s="2603"/>
      <c r="I72" s="624" t="s">
        <v>157</v>
      </c>
      <c r="J72" s="625">
        <v>64185009</v>
      </c>
      <c r="K72" s="644" t="s">
        <v>158</v>
      </c>
      <c r="L72" s="625" t="s">
        <v>229</v>
      </c>
      <c r="Z72" s="403"/>
    </row>
    <row r="73" spans="1:26" ht="42" customHeight="1">
      <c r="A73" s="2604" t="s">
        <v>160</v>
      </c>
      <c r="B73" s="2605"/>
      <c r="C73" s="622" t="s">
        <v>161</v>
      </c>
      <c r="D73" s="401" t="s">
        <v>162</v>
      </c>
      <c r="E73" s="401" t="s">
        <v>163</v>
      </c>
      <c r="F73" s="628" t="s">
        <v>164</v>
      </c>
      <c r="G73" s="629" t="s">
        <v>165</v>
      </c>
      <c r="H73" s="617" t="s">
        <v>166</v>
      </c>
      <c r="I73" s="618" t="s">
        <v>167</v>
      </c>
      <c r="J73" s="2617" t="s">
        <v>168</v>
      </c>
      <c r="K73" s="2618"/>
      <c r="L73" s="2619"/>
      <c r="M73" s="616"/>
      <c r="N73" s="181"/>
      <c r="O73" s="181"/>
      <c r="P73" s="181"/>
      <c r="Q73" s="3"/>
    </row>
    <row r="74" spans="1:26" ht="24" customHeight="1">
      <c r="A74" s="2581"/>
      <c r="B74" s="2597"/>
      <c r="C74" s="623" t="s">
        <v>169</v>
      </c>
      <c r="D74" s="623"/>
      <c r="E74" s="1945"/>
      <c r="F74" s="1955"/>
      <c r="G74" s="1947"/>
      <c r="H74" s="1948" t="str">
        <f>IFERROR(INDEX(資産クラス!$A$90:$R$318,MATCH(資産管理明細書!I74,資産クラス!$C$90:$C$318,0),MATCH(資産管理明細書!A74,資産クラス!$A$91:$R$91,0)),"")</f>
        <v/>
      </c>
      <c r="I74" s="619"/>
      <c r="J74" s="2583" t="str">
        <f>IFERROR(VLOOKUP(I74,資産クラス一覧表!A$2:D$1687,2,FALSE),"")</f>
        <v/>
      </c>
      <c r="K74" s="2584"/>
      <c r="L74" s="2616"/>
      <c r="P74" s="626" t="s">
        <v>170</v>
      </c>
      <c r="Q74" s="627" t="s">
        <v>171</v>
      </c>
    </row>
    <row r="75" spans="1:26" ht="24" customHeight="1">
      <c r="A75" s="2581"/>
      <c r="B75" s="2597"/>
      <c r="C75" s="623"/>
      <c r="D75" s="623"/>
      <c r="E75" s="1945"/>
      <c r="F75" s="1956"/>
      <c r="G75" s="1947"/>
      <c r="H75" s="1948" t="str">
        <f>IFERROR(INDEX(資産クラス!$A$90:$R$318,MATCH(資産管理明細書!I75,資産クラス!$C$90:$C$318,0),MATCH(資産管理明細書!A75,資産クラス!$A$91:$R$91,0)),"")</f>
        <v/>
      </c>
      <c r="I75" s="1964"/>
      <c r="J75" s="2583" t="str">
        <f>IFERROR(VLOOKUP(I75,資産クラス一覧表!A$2:D$1687,2,FALSE),"")</f>
        <v/>
      </c>
      <c r="K75" s="2584"/>
      <c r="L75" s="2616"/>
      <c r="P75" s="626" t="s">
        <v>230</v>
      </c>
      <c r="Q75" s="627" t="s">
        <v>231</v>
      </c>
    </row>
    <row r="76" spans="1:26" ht="24" customHeight="1">
      <c r="A76" s="2581" t="s">
        <v>232</v>
      </c>
      <c r="B76" s="2597"/>
      <c r="C76" s="623" t="s">
        <v>233</v>
      </c>
      <c r="D76" s="623" t="s">
        <v>189</v>
      </c>
      <c r="E76" s="1945" t="s">
        <v>175</v>
      </c>
      <c r="F76" s="1956" t="s">
        <v>234</v>
      </c>
      <c r="G76" s="2080" t="s">
        <v>177</v>
      </c>
      <c r="H76" s="1957">
        <f ca="1">IFERROR(INDEX(資産クラス!$A$90:$R$318,MATCH(資産管理明細書!I76,資産クラス!$C$90:$C$318,0),MATCH(資産管理明細書!A76,資産クラス!$A$91:$R$91,0)),"")</f>
        <v>12132000</v>
      </c>
      <c r="I76" s="1958">
        <v>10500701</v>
      </c>
      <c r="J76" s="2583" t="str">
        <f>IFERROR(VLOOKUP(I76,資産クラス一覧表!A$2:D$1687,2,FALSE),"")</f>
        <v>鉄有固-運送施設 建物-鉄骨鉄筋コンクリート造又は鉄筋コンクリート造-停車場建物</v>
      </c>
      <c r="K76" s="2584"/>
      <c r="L76" s="2616"/>
      <c r="N76" s="1945"/>
      <c r="P76" s="626" t="s">
        <v>178</v>
      </c>
      <c r="Q76" s="627" t="s">
        <v>179</v>
      </c>
    </row>
    <row r="77" spans="1:26" ht="24" customHeight="1" thickBot="1">
      <c r="A77" s="2591" t="s">
        <v>232</v>
      </c>
      <c r="B77" s="2613"/>
      <c r="C77" s="1920" t="s">
        <v>235</v>
      </c>
      <c r="D77" s="623" t="s">
        <v>183</v>
      </c>
      <c r="E77" s="2081" t="s">
        <v>236</v>
      </c>
      <c r="F77" s="1956" t="s">
        <v>234</v>
      </c>
      <c r="G77" s="2082" t="s">
        <v>177</v>
      </c>
      <c r="H77" s="1962">
        <f ca="1">+資産クラス!L317</f>
        <v>592000</v>
      </c>
      <c r="I77" s="1963"/>
      <c r="J77" s="2583" t="str">
        <f>IFERROR(VLOOKUP(I77,資産クラス一覧表!A$2:D$1687,2,FALSE),"")</f>
        <v/>
      </c>
      <c r="K77" s="2584"/>
      <c r="L77" s="2616"/>
      <c r="P77" s="626" t="s">
        <v>181</v>
      </c>
      <c r="Q77" s="627" t="s">
        <v>182</v>
      </c>
    </row>
    <row r="78" spans="1:26" ht="24" customHeight="1" thickTop="1">
      <c r="A78" s="1996"/>
      <c r="B78" s="1997"/>
      <c r="C78" s="1949"/>
      <c r="D78" s="1949"/>
      <c r="E78" s="1950"/>
      <c r="F78" s="1971"/>
      <c r="G78" s="1952"/>
      <c r="H78" s="1953">
        <f ca="1">SUM(H75:H77)</f>
        <v>12724000</v>
      </c>
      <c r="I78" s="1954"/>
      <c r="J78" s="1998" t="str">
        <f>IFERROR(VLOOKUP(I78,資産クラス一覧表!A$2:D$1687,2,FALSE),"")</f>
        <v/>
      </c>
      <c r="K78" s="1999"/>
      <c r="L78" s="2000"/>
      <c r="P78" s="626" t="s">
        <v>185</v>
      </c>
      <c r="Q78" s="627" t="s">
        <v>186</v>
      </c>
    </row>
    <row r="79" spans="1:26" ht="24" customHeight="1">
      <c r="A79" s="2586"/>
      <c r="B79" s="2587"/>
      <c r="C79" s="623"/>
      <c r="D79" s="623"/>
      <c r="E79" s="1934"/>
      <c r="F79" s="1972"/>
      <c r="G79" s="1932"/>
      <c r="H79" s="1944"/>
      <c r="I79" s="1933"/>
      <c r="J79" s="2588"/>
      <c r="K79" s="2589"/>
      <c r="L79" s="2590"/>
      <c r="P79" s="626" t="s">
        <v>191</v>
      </c>
      <c r="Q79" s="627" t="s">
        <v>192</v>
      </c>
    </row>
    <row r="80" spans="1:26" ht="24" customHeight="1">
      <c r="A80" s="2586"/>
      <c r="B80" s="2587"/>
      <c r="C80" s="623"/>
      <c r="D80" s="623"/>
      <c r="E80" s="1934"/>
      <c r="F80" s="1972"/>
      <c r="G80" s="1932"/>
      <c r="H80" s="1944"/>
      <c r="I80" s="1933"/>
      <c r="J80" s="2588"/>
      <c r="K80" s="2589"/>
      <c r="L80" s="2590"/>
      <c r="P80" s="626" t="s">
        <v>193</v>
      </c>
      <c r="Q80" s="627" t="s">
        <v>194</v>
      </c>
    </row>
    <row r="81" spans="1:17" ht="24" customHeight="1">
      <c r="A81" s="2581"/>
      <c r="B81" s="2582"/>
      <c r="C81" s="623"/>
      <c r="D81" s="623"/>
      <c r="E81" s="1945"/>
      <c r="F81" s="1956"/>
      <c r="G81" s="1947"/>
      <c r="H81" s="1957"/>
      <c r="I81" s="1958"/>
      <c r="J81" s="2583"/>
      <c r="K81" s="2584"/>
      <c r="L81" s="2585"/>
      <c r="P81" s="626" t="s">
        <v>197</v>
      </c>
      <c r="Q81" s="627" t="s">
        <v>198</v>
      </c>
    </row>
    <row r="82" spans="1:17" ht="24" customHeight="1">
      <c r="A82" s="2581"/>
      <c r="B82" s="2582"/>
      <c r="C82" s="623"/>
      <c r="D82" s="623"/>
      <c r="E82" s="1959"/>
      <c r="F82" s="1956"/>
      <c r="G82" s="1947"/>
      <c r="H82" s="1957"/>
      <c r="I82" s="1958"/>
      <c r="J82" s="2583"/>
      <c r="K82" s="2584"/>
      <c r="L82" s="2585"/>
      <c r="P82" s="626" t="s">
        <v>199</v>
      </c>
      <c r="Q82" s="627" t="s">
        <v>200</v>
      </c>
    </row>
    <row r="83" spans="1:17" ht="24" customHeight="1">
      <c r="A83" s="2581"/>
      <c r="B83" s="2597"/>
      <c r="C83" s="623"/>
      <c r="D83" s="623"/>
      <c r="E83" s="1959"/>
      <c r="F83" s="2079"/>
      <c r="G83" s="1947"/>
      <c r="H83" s="1957"/>
      <c r="I83" s="1958"/>
      <c r="J83" s="2583" t="str">
        <f>IFERROR(VLOOKUP(I83,資産クラス一覧表!A$2:D$1687,2,FALSE),"")</f>
        <v/>
      </c>
      <c r="K83" s="2584"/>
      <c r="L83" s="2616"/>
      <c r="P83" s="626" t="s">
        <v>201</v>
      </c>
      <c r="Q83" s="627" t="s">
        <v>202</v>
      </c>
    </row>
    <row r="84" spans="1:17" ht="24" customHeight="1">
      <c r="A84" s="2581"/>
      <c r="B84" s="2597"/>
      <c r="C84" s="623"/>
      <c r="D84" s="623"/>
      <c r="E84" s="1959"/>
      <c r="F84" s="2079"/>
      <c r="G84" s="1947"/>
      <c r="H84" s="1957"/>
      <c r="I84" s="1958"/>
      <c r="J84" s="2583" t="str">
        <f>IFERROR(VLOOKUP(I84,資産クラス一覧表!A$2:D$1687,2,FALSE),"")</f>
        <v/>
      </c>
      <c r="K84" s="2584"/>
      <c r="L84" s="2616"/>
      <c r="P84" s="626" t="s">
        <v>203</v>
      </c>
      <c r="Q84" s="627" t="s">
        <v>204</v>
      </c>
    </row>
    <row r="85" spans="1:17" ht="24" customHeight="1">
      <c r="A85" s="2586"/>
      <c r="B85" s="2587"/>
      <c r="C85" s="623"/>
      <c r="D85" s="623"/>
      <c r="E85" s="1930"/>
      <c r="F85" s="1972"/>
      <c r="G85" s="1932"/>
      <c r="H85" s="1944"/>
      <c r="I85" s="1933"/>
      <c r="J85" s="2588"/>
      <c r="K85" s="2589"/>
      <c r="L85" s="2590"/>
      <c r="P85" s="626" t="s">
        <v>205</v>
      </c>
      <c r="Q85" s="627" t="s">
        <v>206</v>
      </c>
    </row>
    <row r="86" spans="1:17" ht="24" customHeight="1">
      <c r="A86" s="2581"/>
      <c r="B86" s="2582"/>
      <c r="C86" s="623"/>
      <c r="D86" s="623"/>
      <c r="E86" s="1945"/>
      <c r="F86" s="1956"/>
      <c r="G86" s="1947"/>
      <c r="H86" s="1957"/>
      <c r="I86" s="1958"/>
      <c r="J86" s="2583"/>
      <c r="K86" s="2584"/>
      <c r="L86" s="2585"/>
      <c r="P86" s="626" t="s">
        <v>237</v>
      </c>
      <c r="Q86" s="627" t="s">
        <v>238</v>
      </c>
    </row>
    <row r="87" spans="1:17" ht="24" customHeight="1">
      <c r="A87" s="2581"/>
      <c r="B87" s="2597"/>
      <c r="C87" s="623"/>
      <c r="D87" s="623"/>
      <c r="E87" s="1945"/>
      <c r="F87" s="1956"/>
      <c r="G87" s="1947"/>
      <c r="H87" s="1948" t="str">
        <f>IFERROR(INDEX(資産クラス!$A$90:$R$318,MATCH(資産管理明細書!I87,資産クラス!$C$90:$C$318,0),MATCH(資産管理明細書!A87,資産クラス!$A$91:$R$91,0)),"")</f>
        <v/>
      </c>
      <c r="I87" s="1964"/>
      <c r="J87" s="2583" t="str">
        <f>IFERROR(VLOOKUP(I87,資産クラス一覧表!A$2:D$1687,2,FALSE),"")</f>
        <v/>
      </c>
      <c r="K87" s="2584"/>
      <c r="L87" s="2616"/>
      <c r="P87" s="626" t="s">
        <v>217</v>
      </c>
      <c r="Q87" s="627" t="s">
        <v>218</v>
      </c>
    </row>
    <row r="88" spans="1:17" ht="24" customHeight="1">
      <c r="A88" s="2581"/>
      <c r="B88" s="2597"/>
      <c r="C88" s="623"/>
      <c r="D88" s="623"/>
      <c r="E88" s="1945"/>
      <c r="F88" s="1956"/>
      <c r="G88" s="2080"/>
      <c r="H88" s="1957"/>
      <c r="I88" s="1958"/>
      <c r="J88" s="2583" t="str">
        <f>IFERROR(VLOOKUP(I88,資産クラス一覧表!A$2:D$1687,2,FALSE),"")</f>
        <v/>
      </c>
      <c r="K88" s="2584"/>
      <c r="L88" s="2616"/>
      <c r="P88" s="626" t="s">
        <v>207</v>
      </c>
      <c r="Q88" s="627" t="s">
        <v>208</v>
      </c>
    </row>
    <row r="89" spans="1:17" ht="24" customHeight="1">
      <c r="A89" s="2591"/>
      <c r="B89" s="2613"/>
      <c r="C89" s="623"/>
      <c r="D89" s="623"/>
      <c r="E89" s="2081"/>
      <c r="F89" s="2078"/>
      <c r="G89" s="2082"/>
      <c r="H89" s="1962"/>
      <c r="I89" s="1963"/>
      <c r="J89" s="2583" t="str">
        <f>IFERROR(VLOOKUP(I89,資産クラス一覧表!A$2:D$1687,2,FALSE),"")</f>
        <v/>
      </c>
      <c r="K89" s="2584"/>
      <c r="L89" s="2616"/>
      <c r="P89" s="626" t="s">
        <v>219</v>
      </c>
      <c r="Q89" s="627" t="s">
        <v>220</v>
      </c>
    </row>
    <row r="90" spans="1:17" ht="24" customHeight="1">
      <c r="A90" s="2591"/>
      <c r="B90" s="2613"/>
      <c r="C90" s="623"/>
      <c r="D90" s="623"/>
      <c r="E90" s="2081"/>
      <c r="F90" s="2078"/>
      <c r="G90" s="2082"/>
      <c r="H90" s="1962"/>
      <c r="I90" s="1963"/>
      <c r="J90" s="2593" t="str">
        <f>IFERROR(VLOOKUP(I90,資産クラス一覧表!A$2:D$1687,2,FALSE),"")</f>
        <v/>
      </c>
      <c r="K90" s="2594"/>
      <c r="L90" s="2626"/>
      <c r="P90" s="626" t="s">
        <v>209</v>
      </c>
      <c r="Q90" s="627" t="s">
        <v>210</v>
      </c>
    </row>
    <row r="91" spans="1:17" ht="24" customHeight="1">
      <c r="A91" s="2614"/>
      <c r="B91" s="2615"/>
      <c r="C91" s="1973" t="s">
        <v>239</v>
      </c>
      <c r="D91" s="1921"/>
      <c r="E91" s="1922"/>
      <c r="F91" s="1923"/>
      <c r="G91" s="1924"/>
      <c r="H91" s="1925">
        <f ca="1">+H10+H14+H19+H33+H37+H56+H62+H78</f>
        <v>482700000</v>
      </c>
      <c r="I91" s="1926"/>
      <c r="J91" s="2627" t="str">
        <f>IFERROR(VLOOKUP(I91,資産クラス一覧表!A$2:D$1687,2,FALSE),"")</f>
        <v/>
      </c>
      <c r="K91" s="2628"/>
      <c r="L91" s="2629"/>
    </row>
    <row r="92" spans="1:17" ht="24" customHeight="1">
      <c r="A92" s="2609"/>
      <c r="B92" s="2610"/>
      <c r="C92" s="1974" t="s">
        <v>240</v>
      </c>
      <c r="D92" s="2083"/>
      <c r="E92" s="2084"/>
      <c r="F92" s="2085"/>
      <c r="G92" s="2086"/>
      <c r="H92" s="1927">
        <f ca="1">+H91*0.08</f>
        <v>38616000</v>
      </c>
      <c r="I92" s="2087"/>
      <c r="J92" s="2620" t="str">
        <f>IFERROR(VLOOKUP(I92,資産クラス一覧表!A$2:D$1687,2,FALSE),"")</f>
        <v/>
      </c>
      <c r="K92" s="2621"/>
      <c r="L92" s="2622"/>
    </row>
    <row r="93" spans="1:17" ht="24" customHeight="1" thickBot="1">
      <c r="A93" s="2611"/>
      <c r="B93" s="2612"/>
      <c r="C93" s="1928" t="s">
        <v>241</v>
      </c>
      <c r="D93" s="2088"/>
      <c r="E93" s="2089"/>
      <c r="F93" s="2090"/>
      <c r="G93" s="2091"/>
      <c r="H93" s="2092">
        <f ca="1">+H91+H92</f>
        <v>521316000</v>
      </c>
      <c r="I93" s="2093"/>
      <c r="J93" s="2623" t="str">
        <f>IFERROR(VLOOKUP(I93,資産クラス一覧表!A$2:D$1687,2,FALSE),"")</f>
        <v/>
      </c>
      <c r="K93" s="2624"/>
      <c r="L93" s="2625"/>
    </row>
    <row r="94" spans="1:17" ht="14.25" customHeight="1">
      <c r="E94" s="32" t="s">
        <v>130</v>
      </c>
      <c r="F94" s="93">
        <f>F71+1</f>
        <v>7</v>
      </c>
      <c r="G94" s="33" t="s">
        <v>131</v>
      </c>
      <c r="H94" s="4">
        <f>H2</f>
        <v>69</v>
      </c>
      <c r="M94" s="31" t="str">
        <f>IF(A96="","EOL","")</f>
        <v>EOL</v>
      </c>
      <c r="N94" s="1">
        <f>+F94</f>
        <v>7</v>
      </c>
    </row>
  </sheetData>
  <sheetProtection formatCells="0" formatColumns="0" formatRows="0" insertColumns="0" insertRows="0" insertHyperlinks="0" deleteColumns="0" deleteRows="0" sort="0" autoFilter="0" pivotTables="0"/>
  <mergeCells count="160">
    <mergeCell ref="A54:B54"/>
    <mergeCell ref="J54:L54"/>
    <mergeCell ref="A57:B57"/>
    <mergeCell ref="J57:L57"/>
    <mergeCell ref="A58:B58"/>
    <mergeCell ref="J58:L58"/>
    <mergeCell ref="A49:H49"/>
    <mergeCell ref="A50:B50"/>
    <mergeCell ref="A55:B55"/>
    <mergeCell ref="J55:L55"/>
    <mergeCell ref="J50:L50"/>
    <mergeCell ref="A51:B51"/>
    <mergeCell ref="J51:L51"/>
    <mergeCell ref="A52:B52"/>
    <mergeCell ref="J52:L52"/>
    <mergeCell ref="A53:B53"/>
    <mergeCell ref="J53:L53"/>
    <mergeCell ref="A59:B59"/>
    <mergeCell ref="J59:L59"/>
    <mergeCell ref="A56:B56"/>
    <mergeCell ref="J56:L56"/>
    <mergeCell ref="A67:B67"/>
    <mergeCell ref="J67:L67"/>
    <mergeCell ref="A64:B64"/>
    <mergeCell ref="J64:L64"/>
    <mergeCell ref="A65:B65"/>
    <mergeCell ref="J65:L65"/>
    <mergeCell ref="A66:B66"/>
    <mergeCell ref="J66:L66"/>
    <mergeCell ref="J62:L62"/>
    <mergeCell ref="A63:B63"/>
    <mergeCell ref="J63:L63"/>
    <mergeCell ref="A60:B60"/>
    <mergeCell ref="J60:L60"/>
    <mergeCell ref="A61:B61"/>
    <mergeCell ref="J61:L61"/>
    <mergeCell ref="A62:B62"/>
    <mergeCell ref="J22:L22"/>
    <mergeCell ref="A23:B23"/>
    <mergeCell ref="J23:L23"/>
    <mergeCell ref="A24:B24"/>
    <mergeCell ref="J24:L24"/>
    <mergeCell ref="A18:B18"/>
    <mergeCell ref="J18:L18"/>
    <mergeCell ref="A19:B19"/>
    <mergeCell ref="J19:L19"/>
    <mergeCell ref="A20:B20"/>
    <mergeCell ref="J20:L20"/>
    <mergeCell ref="A21:B21"/>
    <mergeCell ref="J21:L21"/>
    <mergeCell ref="A3:H3"/>
    <mergeCell ref="A4:B4"/>
    <mergeCell ref="J4:L4"/>
    <mergeCell ref="A5:B5"/>
    <mergeCell ref="J5:L5"/>
    <mergeCell ref="A7:B7"/>
    <mergeCell ref="J7:L7"/>
    <mergeCell ref="A8:B8"/>
    <mergeCell ref="J8:L8"/>
    <mergeCell ref="A70:B70"/>
    <mergeCell ref="J70:L70"/>
    <mergeCell ref="A68:B68"/>
    <mergeCell ref="J68:L68"/>
    <mergeCell ref="A69:B69"/>
    <mergeCell ref="J69:L69"/>
    <mergeCell ref="A72:H72"/>
    <mergeCell ref="A9:B9"/>
    <mergeCell ref="J9:L9"/>
    <mergeCell ref="A12:B12"/>
    <mergeCell ref="J12:L12"/>
    <mergeCell ref="A13:B13"/>
    <mergeCell ref="J13:L13"/>
    <mergeCell ref="A16:B16"/>
    <mergeCell ref="J16:L16"/>
    <mergeCell ref="A17:B17"/>
    <mergeCell ref="J17:L17"/>
    <mergeCell ref="A11:B11"/>
    <mergeCell ref="J11:L11"/>
    <mergeCell ref="A10:B10"/>
    <mergeCell ref="J10:L10"/>
    <mergeCell ref="A14:B14"/>
    <mergeCell ref="J14:L14"/>
    <mergeCell ref="A22:B22"/>
    <mergeCell ref="J92:L92"/>
    <mergeCell ref="J93:L93"/>
    <mergeCell ref="J84:L84"/>
    <mergeCell ref="J85:L85"/>
    <mergeCell ref="J86:L86"/>
    <mergeCell ref="J87:L87"/>
    <mergeCell ref="J88:L88"/>
    <mergeCell ref="J89:L89"/>
    <mergeCell ref="J90:L90"/>
    <mergeCell ref="J91:L91"/>
    <mergeCell ref="J83:L83"/>
    <mergeCell ref="J76:L76"/>
    <mergeCell ref="A77:B77"/>
    <mergeCell ref="J82:L82"/>
    <mergeCell ref="J74:L74"/>
    <mergeCell ref="A73:B73"/>
    <mergeCell ref="J75:L75"/>
    <mergeCell ref="J77:L77"/>
    <mergeCell ref="A74:B74"/>
    <mergeCell ref="A79:B79"/>
    <mergeCell ref="A75:B75"/>
    <mergeCell ref="A76:B76"/>
    <mergeCell ref="A80:B80"/>
    <mergeCell ref="A81:B81"/>
    <mergeCell ref="J79:L79"/>
    <mergeCell ref="J73:L73"/>
    <mergeCell ref="J80:L80"/>
    <mergeCell ref="J81:L81"/>
    <mergeCell ref="A92:B92"/>
    <mergeCell ref="A93:B93"/>
    <mergeCell ref="A88:B88"/>
    <mergeCell ref="A89:B89"/>
    <mergeCell ref="A90:B90"/>
    <mergeCell ref="A87:B87"/>
    <mergeCell ref="A82:B82"/>
    <mergeCell ref="A83:B83"/>
    <mergeCell ref="A84:B84"/>
    <mergeCell ref="A91:B91"/>
    <mergeCell ref="A85:B85"/>
    <mergeCell ref="A86:B86"/>
    <mergeCell ref="A30:B30"/>
    <mergeCell ref="J30:L30"/>
    <mergeCell ref="A31:B31"/>
    <mergeCell ref="J31:L31"/>
    <mergeCell ref="A33:B33"/>
    <mergeCell ref="J33:L33"/>
    <mergeCell ref="A26:H26"/>
    <mergeCell ref="A27:B27"/>
    <mergeCell ref="J27:L27"/>
    <mergeCell ref="A28:B28"/>
    <mergeCell ref="J28:L28"/>
    <mergeCell ref="A39:B39"/>
    <mergeCell ref="J39:L39"/>
    <mergeCell ref="A40:B40"/>
    <mergeCell ref="J40:L40"/>
    <mergeCell ref="A41:B41"/>
    <mergeCell ref="J41:L41"/>
    <mergeCell ref="A32:B32"/>
    <mergeCell ref="J32:L32"/>
    <mergeCell ref="A35:B35"/>
    <mergeCell ref="J35:L35"/>
    <mergeCell ref="A36:B36"/>
    <mergeCell ref="J36:L36"/>
    <mergeCell ref="A37:B37"/>
    <mergeCell ref="J37:L37"/>
    <mergeCell ref="A47:B47"/>
    <mergeCell ref="J47:L47"/>
    <mergeCell ref="A46:B46"/>
    <mergeCell ref="J46:L46"/>
    <mergeCell ref="A44:B44"/>
    <mergeCell ref="J44:L44"/>
    <mergeCell ref="A45:B45"/>
    <mergeCell ref="J45:L45"/>
    <mergeCell ref="A42:B42"/>
    <mergeCell ref="J42:L42"/>
    <mergeCell ref="A43:B43"/>
    <mergeCell ref="J43:L43"/>
  </mergeCells>
  <phoneticPr fontId="2"/>
  <dataValidations count="4">
    <dataValidation type="list" allowBlank="1" showInputMessage="1" sqref="K1" xr:uid="{00000000-0002-0000-0200-000000000000}">
      <formula1>"有り,無し"</formula1>
    </dataValidation>
    <dataValidation type="list" allowBlank="1" showInputMessage="1" showErrorMessage="1" sqref="N76 E74:E93 N30 E51:E70 N52 N7 E5:E24 E28:E47" xr:uid="{00000000-0002-0000-0200-000001000000}">
      <formula1>"１　資産【自己調達資金】,２　費用（撤去費）【自己調達資金】,３　費用（修繕費）【自己調達資金】,４　費用（保守費）【自己調達資金】,６　資産【その他調達資金】,７　費用（撤去費）　【その他調達資金】,８　費用（修繕費）【その他調達資金】,９　費用（保守費）【その他調達資金】,Ａ　他流動資産（受託工事）,Ｂ　資産【補助対象】,Ｃ　費用（撤去費）【補助金対象】,Ｄ　費用（修繕費）【補助金対象】,Ｅ　費用（保守費）【補助金対象】,Ｗ　費用（原価企画）【自己調達資金】,Ｘ　費用【その他調達資金】"</formula1>
    </dataValidation>
    <dataValidation type="list" allowBlank="1" showInputMessage="1" showErrorMessage="1" sqref="A28:A47 B56 B47 B5:B11 B14:B15 A5:A24 B19:B24 B28:B38 A58:B68 A56:A57 A51:B55 A69:A70 B70 A74:B93" xr:uid="{00000000-0002-0000-0200-000002000000}">
      <formula1>"工事1,工事2,工事3,工事4,工事5,工事6,工事7,工事8,工事10,工事11,工事12,工事13,工事14,工事15,工事16,工事17,工事18,工事19,工事20"</formula1>
    </dataValidation>
    <dataValidation type="list" allowBlank="1" showInputMessage="1" showErrorMessage="1" sqref="G28:G47 G51:G70 G5:G24 G74:G93" xr:uid="{00000000-0002-0000-0200-000003000000}">
      <formula1>"1　経営戦略・グループ戦略部,2　新規事業開発部,3　総務部,4　財務部,5　調達部,6　統括部,7　駅務部,8　運転部,9　営業部,A　電気部,B　車両部,C　工務部,D　建築部,E　安全推進室,F　監査室,G　人事部,H　監査役室"</formula1>
    </dataValidation>
  </dataValidations>
  <printOptions horizontalCentered="1" verticalCentered="1"/>
  <pageMargins left="0.98425196850393704" right="0.39370078740157499" top="0.78740157480314998" bottom="0.78740157480314998" header="0.51181102362204722" footer="0.51181102362204722"/>
  <pageSetup paperSize="9" scale="35" orientation="portrait" cellComments="asDisplayed"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A1:X2117"/>
  <sheetViews>
    <sheetView view="pageBreakPreview" zoomScaleNormal="100" zoomScaleSheetLayoutView="100" workbookViewId="0"/>
  </sheetViews>
  <sheetFormatPr defaultColWidth="8.875" defaultRowHeight="13.5" customHeight="1"/>
  <cols>
    <col min="1" max="2" width="2.5" style="421" customWidth="1"/>
    <col min="3" max="3" width="9.625" style="421" customWidth="1"/>
    <col min="4" max="4" width="13.875" style="421" customWidth="1"/>
    <col min="5" max="5" width="4.125" style="421" customWidth="1"/>
    <col min="6" max="6" width="45.125" style="421" customWidth="1"/>
    <col min="7" max="7" width="15.125" style="421" customWidth="1"/>
    <col min="8" max="15" width="14.125" style="457" customWidth="1"/>
    <col min="16" max="16" width="2.125" style="445" customWidth="1"/>
    <col min="17" max="234" width="9" style="421"/>
    <col min="235" max="235" width="2.5" style="421" customWidth="1"/>
    <col min="236" max="236" width="3.5" style="421" customWidth="1"/>
    <col min="237" max="237" width="21.5" style="421" customWidth="1"/>
    <col min="238" max="238" width="4" style="421" customWidth="1"/>
    <col min="239" max="239" width="5.375" style="421" customWidth="1"/>
    <col min="240" max="240" width="15.125" style="421" customWidth="1"/>
    <col min="241" max="248" width="14.125" style="421" customWidth="1"/>
    <col min="249" max="490" width="9" style="421"/>
    <col min="491" max="491" width="2.5" style="421" customWidth="1"/>
    <col min="492" max="492" width="3.5" style="421" customWidth="1"/>
    <col min="493" max="493" width="21.5" style="421" customWidth="1"/>
    <col min="494" max="494" width="4" style="421" customWidth="1"/>
    <col min="495" max="495" width="5.375" style="421" customWidth="1"/>
    <col min="496" max="496" width="15.125" style="421" customWidth="1"/>
    <col min="497" max="504" width="14.125" style="421" customWidth="1"/>
    <col min="505" max="746" width="9" style="421"/>
    <col min="747" max="747" width="2.5" style="421" customWidth="1"/>
    <col min="748" max="748" width="3.5" style="421" customWidth="1"/>
    <col min="749" max="749" width="21.5" style="421" customWidth="1"/>
    <col min="750" max="750" width="4" style="421" customWidth="1"/>
    <col min="751" max="751" width="5.375" style="421" customWidth="1"/>
    <col min="752" max="752" width="15.125" style="421" customWidth="1"/>
    <col min="753" max="760" width="14.125" style="421" customWidth="1"/>
    <col min="761" max="1002" width="9" style="421"/>
    <col min="1003" max="1003" width="2.5" style="421" customWidth="1"/>
    <col min="1004" max="1004" width="3.5" style="421" customWidth="1"/>
    <col min="1005" max="1005" width="21.5" style="421" customWidth="1"/>
    <col min="1006" max="1006" width="4" style="421" customWidth="1"/>
    <col min="1007" max="1007" width="5.375" style="421" customWidth="1"/>
    <col min="1008" max="1008" width="15.125" style="421" customWidth="1"/>
    <col min="1009" max="1016" width="14.125" style="421" customWidth="1"/>
    <col min="1017" max="1258" width="9" style="421"/>
    <col min="1259" max="1259" width="2.5" style="421" customWidth="1"/>
    <col min="1260" max="1260" width="3.5" style="421" customWidth="1"/>
    <col min="1261" max="1261" width="21.5" style="421" customWidth="1"/>
    <col min="1262" max="1262" width="4" style="421" customWidth="1"/>
    <col min="1263" max="1263" width="5.375" style="421" customWidth="1"/>
    <col min="1264" max="1264" width="15.125" style="421" customWidth="1"/>
    <col min="1265" max="1272" width="14.125" style="421" customWidth="1"/>
    <col min="1273" max="1514" width="9" style="421"/>
    <col min="1515" max="1515" width="2.5" style="421" customWidth="1"/>
    <col min="1516" max="1516" width="3.5" style="421" customWidth="1"/>
    <col min="1517" max="1517" width="21.5" style="421" customWidth="1"/>
    <col min="1518" max="1518" width="4" style="421" customWidth="1"/>
    <col min="1519" max="1519" width="5.375" style="421" customWidth="1"/>
    <col min="1520" max="1520" width="15.125" style="421" customWidth="1"/>
    <col min="1521" max="1528" width="14.125" style="421" customWidth="1"/>
    <col min="1529" max="1770" width="9" style="421"/>
    <col min="1771" max="1771" width="2.5" style="421" customWidth="1"/>
    <col min="1772" max="1772" width="3.5" style="421" customWidth="1"/>
    <col min="1773" max="1773" width="21.5" style="421" customWidth="1"/>
    <col min="1774" max="1774" width="4" style="421" customWidth="1"/>
    <col min="1775" max="1775" width="5.375" style="421" customWidth="1"/>
    <col min="1776" max="1776" width="15.125" style="421" customWidth="1"/>
    <col min="1777" max="1784" width="14.125" style="421" customWidth="1"/>
    <col min="1785" max="2026" width="9" style="421"/>
    <col min="2027" max="2027" width="2.5" style="421" customWidth="1"/>
    <col min="2028" max="2028" width="3.5" style="421" customWidth="1"/>
    <col min="2029" max="2029" width="21.5" style="421" customWidth="1"/>
    <col min="2030" max="2030" width="4" style="421" customWidth="1"/>
    <col min="2031" max="2031" width="5.375" style="421" customWidth="1"/>
    <col min="2032" max="2032" width="15.125" style="421" customWidth="1"/>
    <col min="2033" max="2040" width="14.125" style="421" customWidth="1"/>
    <col min="2041" max="2282" width="9" style="421"/>
    <col min="2283" max="2283" width="2.5" style="421" customWidth="1"/>
    <col min="2284" max="2284" width="3.5" style="421" customWidth="1"/>
    <col min="2285" max="2285" width="21.5" style="421" customWidth="1"/>
    <col min="2286" max="2286" width="4" style="421" customWidth="1"/>
    <col min="2287" max="2287" width="5.375" style="421" customWidth="1"/>
    <col min="2288" max="2288" width="15.125" style="421" customWidth="1"/>
    <col min="2289" max="2296" width="14.125" style="421" customWidth="1"/>
    <col min="2297" max="2538" width="9" style="421"/>
    <col min="2539" max="2539" width="2.5" style="421" customWidth="1"/>
    <col min="2540" max="2540" width="3.5" style="421" customWidth="1"/>
    <col min="2541" max="2541" width="21.5" style="421" customWidth="1"/>
    <col min="2542" max="2542" width="4" style="421" customWidth="1"/>
    <col min="2543" max="2543" width="5.375" style="421" customWidth="1"/>
    <col min="2544" max="2544" width="15.125" style="421" customWidth="1"/>
    <col min="2545" max="2552" width="14.125" style="421" customWidth="1"/>
    <col min="2553" max="2794" width="9" style="421"/>
    <col min="2795" max="2795" width="2.5" style="421" customWidth="1"/>
    <col min="2796" max="2796" width="3.5" style="421" customWidth="1"/>
    <col min="2797" max="2797" width="21.5" style="421" customWidth="1"/>
    <col min="2798" max="2798" width="4" style="421" customWidth="1"/>
    <col min="2799" max="2799" width="5.375" style="421" customWidth="1"/>
    <col min="2800" max="2800" width="15.125" style="421" customWidth="1"/>
    <col min="2801" max="2808" width="14.125" style="421" customWidth="1"/>
    <col min="2809" max="3050" width="9" style="421"/>
    <col min="3051" max="3051" width="2.5" style="421" customWidth="1"/>
    <col min="3052" max="3052" width="3.5" style="421" customWidth="1"/>
    <col min="3053" max="3053" width="21.5" style="421" customWidth="1"/>
    <col min="3054" max="3054" width="4" style="421" customWidth="1"/>
    <col min="3055" max="3055" width="5.375" style="421" customWidth="1"/>
    <col min="3056" max="3056" width="15.125" style="421" customWidth="1"/>
    <col min="3057" max="3064" width="14.125" style="421" customWidth="1"/>
    <col min="3065" max="3306" width="9" style="421"/>
    <col min="3307" max="3307" width="2.5" style="421" customWidth="1"/>
    <col min="3308" max="3308" width="3.5" style="421" customWidth="1"/>
    <col min="3309" max="3309" width="21.5" style="421" customWidth="1"/>
    <col min="3310" max="3310" width="4" style="421" customWidth="1"/>
    <col min="3311" max="3311" width="5.375" style="421" customWidth="1"/>
    <col min="3312" max="3312" width="15.125" style="421" customWidth="1"/>
    <col min="3313" max="3320" width="14.125" style="421" customWidth="1"/>
    <col min="3321" max="3562" width="9" style="421"/>
    <col min="3563" max="3563" width="2.5" style="421" customWidth="1"/>
    <col min="3564" max="3564" width="3.5" style="421" customWidth="1"/>
    <col min="3565" max="3565" width="21.5" style="421" customWidth="1"/>
    <col min="3566" max="3566" width="4" style="421" customWidth="1"/>
    <col min="3567" max="3567" width="5.375" style="421" customWidth="1"/>
    <col min="3568" max="3568" width="15.125" style="421" customWidth="1"/>
    <col min="3569" max="3576" width="14.125" style="421" customWidth="1"/>
    <col min="3577" max="3818" width="9" style="421"/>
    <col min="3819" max="3819" width="2.5" style="421" customWidth="1"/>
    <col min="3820" max="3820" width="3.5" style="421" customWidth="1"/>
    <col min="3821" max="3821" width="21.5" style="421" customWidth="1"/>
    <col min="3822" max="3822" width="4" style="421" customWidth="1"/>
    <col min="3823" max="3823" width="5.375" style="421" customWidth="1"/>
    <col min="3824" max="3824" width="15.125" style="421" customWidth="1"/>
    <col min="3825" max="3832" width="14.125" style="421" customWidth="1"/>
    <col min="3833" max="4074" width="9" style="421"/>
    <col min="4075" max="4075" width="2.5" style="421" customWidth="1"/>
    <col min="4076" max="4076" width="3.5" style="421" customWidth="1"/>
    <col min="4077" max="4077" width="21.5" style="421" customWidth="1"/>
    <col min="4078" max="4078" width="4" style="421" customWidth="1"/>
    <col min="4079" max="4079" width="5.375" style="421" customWidth="1"/>
    <col min="4080" max="4080" width="15.125" style="421" customWidth="1"/>
    <col min="4081" max="4088" width="14.125" style="421" customWidth="1"/>
    <col min="4089" max="4330" width="9" style="421"/>
    <col min="4331" max="4331" width="2.5" style="421" customWidth="1"/>
    <col min="4332" max="4332" width="3.5" style="421" customWidth="1"/>
    <col min="4333" max="4333" width="21.5" style="421" customWidth="1"/>
    <col min="4334" max="4334" width="4" style="421" customWidth="1"/>
    <col min="4335" max="4335" width="5.375" style="421" customWidth="1"/>
    <col min="4336" max="4336" width="15.125" style="421" customWidth="1"/>
    <col min="4337" max="4344" width="14.125" style="421" customWidth="1"/>
    <col min="4345" max="4586" width="9" style="421"/>
    <col min="4587" max="4587" width="2.5" style="421" customWidth="1"/>
    <col min="4588" max="4588" width="3.5" style="421" customWidth="1"/>
    <col min="4589" max="4589" width="21.5" style="421" customWidth="1"/>
    <col min="4590" max="4590" width="4" style="421" customWidth="1"/>
    <col min="4591" max="4591" width="5.375" style="421" customWidth="1"/>
    <col min="4592" max="4592" width="15.125" style="421" customWidth="1"/>
    <col min="4593" max="4600" width="14.125" style="421" customWidth="1"/>
    <col min="4601" max="4842" width="9" style="421"/>
    <col min="4843" max="4843" width="2.5" style="421" customWidth="1"/>
    <col min="4844" max="4844" width="3.5" style="421" customWidth="1"/>
    <col min="4845" max="4845" width="21.5" style="421" customWidth="1"/>
    <col min="4846" max="4846" width="4" style="421" customWidth="1"/>
    <col min="4847" max="4847" width="5.375" style="421" customWidth="1"/>
    <col min="4848" max="4848" width="15.125" style="421" customWidth="1"/>
    <col min="4849" max="4856" width="14.125" style="421" customWidth="1"/>
    <col min="4857" max="5098" width="9" style="421"/>
    <col min="5099" max="5099" width="2.5" style="421" customWidth="1"/>
    <col min="5100" max="5100" width="3.5" style="421" customWidth="1"/>
    <col min="5101" max="5101" width="21.5" style="421" customWidth="1"/>
    <col min="5102" max="5102" width="4" style="421" customWidth="1"/>
    <col min="5103" max="5103" width="5.375" style="421" customWidth="1"/>
    <col min="5104" max="5104" width="15.125" style="421" customWidth="1"/>
    <col min="5105" max="5112" width="14.125" style="421" customWidth="1"/>
    <col min="5113" max="5354" width="9" style="421"/>
    <col min="5355" max="5355" width="2.5" style="421" customWidth="1"/>
    <col min="5356" max="5356" width="3.5" style="421" customWidth="1"/>
    <col min="5357" max="5357" width="21.5" style="421" customWidth="1"/>
    <col min="5358" max="5358" width="4" style="421" customWidth="1"/>
    <col min="5359" max="5359" width="5.375" style="421" customWidth="1"/>
    <col min="5360" max="5360" width="15.125" style="421" customWidth="1"/>
    <col min="5361" max="5368" width="14.125" style="421" customWidth="1"/>
    <col min="5369" max="5610" width="9" style="421"/>
    <col min="5611" max="5611" width="2.5" style="421" customWidth="1"/>
    <col min="5612" max="5612" width="3.5" style="421" customWidth="1"/>
    <col min="5613" max="5613" width="21.5" style="421" customWidth="1"/>
    <col min="5614" max="5614" width="4" style="421" customWidth="1"/>
    <col min="5615" max="5615" width="5.375" style="421" customWidth="1"/>
    <col min="5616" max="5616" width="15.125" style="421" customWidth="1"/>
    <col min="5617" max="5624" width="14.125" style="421" customWidth="1"/>
    <col min="5625" max="5866" width="9" style="421"/>
    <col min="5867" max="5867" width="2.5" style="421" customWidth="1"/>
    <col min="5868" max="5868" width="3.5" style="421" customWidth="1"/>
    <col min="5869" max="5869" width="21.5" style="421" customWidth="1"/>
    <col min="5870" max="5870" width="4" style="421" customWidth="1"/>
    <col min="5871" max="5871" width="5.375" style="421" customWidth="1"/>
    <col min="5872" max="5872" width="15.125" style="421" customWidth="1"/>
    <col min="5873" max="5880" width="14.125" style="421" customWidth="1"/>
    <col min="5881" max="6122" width="9" style="421"/>
    <col min="6123" max="6123" width="2.5" style="421" customWidth="1"/>
    <col min="6124" max="6124" width="3.5" style="421" customWidth="1"/>
    <col min="6125" max="6125" width="21.5" style="421" customWidth="1"/>
    <col min="6126" max="6126" width="4" style="421" customWidth="1"/>
    <col min="6127" max="6127" width="5.375" style="421" customWidth="1"/>
    <col min="6128" max="6128" width="15.125" style="421" customWidth="1"/>
    <col min="6129" max="6136" width="14.125" style="421" customWidth="1"/>
    <col min="6137" max="6378" width="9" style="421"/>
    <col min="6379" max="6379" width="2.5" style="421" customWidth="1"/>
    <col min="6380" max="6380" width="3.5" style="421" customWidth="1"/>
    <col min="6381" max="6381" width="21.5" style="421" customWidth="1"/>
    <col min="6382" max="6382" width="4" style="421" customWidth="1"/>
    <col min="6383" max="6383" width="5.375" style="421" customWidth="1"/>
    <col min="6384" max="6384" width="15.125" style="421" customWidth="1"/>
    <col min="6385" max="6392" width="14.125" style="421" customWidth="1"/>
    <col min="6393" max="6634" width="9" style="421"/>
    <col min="6635" max="6635" width="2.5" style="421" customWidth="1"/>
    <col min="6636" max="6636" width="3.5" style="421" customWidth="1"/>
    <col min="6637" max="6637" width="21.5" style="421" customWidth="1"/>
    <col min="6638" max="6638" width="4" style="421" customWidth="1"/>
    <col min="6639" max="6639" width="5.375" style="421" customWidth="1"/>
    <col min="6640" max="6640" width="15.125" style="421" customWidth="1"/>
    <col min="6641" max="6648" width="14.125" style="421" customWidth="1"/>
    <col min="6649" max="6890" width="9" style="421"/>
    <col min="6891" max="6891" width="2.5" style="421" customWidth="1"/>
    <col min="6892" max="6892" width="3.5" style="421" customWidth="1"/>
    <col min="6893" max="6893" width="21.5" style="421" customWidth="1"/>
    <col min="6894" max="6894" width="4" style="421" customWidth="1"/>
    <col min="6895" max="6895" width="5.375" style="421" customWidth="1"/>
    <col min="6896" max="6896" width="15.125" style="421" customWidth="1"/>
    <col min="6897" max="6904" width="14.125" style="421" customWidth="1"/>
    <col min="6905" max="7146" width="9" style="421"/>
    <col min="7147" max="7147" width="2.5" style="421" customWidth="1"/>
    <col min="7148" max="7148" width="3.5" style="421" customWidth="1"/>
    <col min="7149" max="7149" width="21.5" style="421" customWidth="1"/>
    <col min="7150" max="7150" width="4" style="421" customWidth="1"/>
    <col min="7151" max="7151" width="5.375" style="421" customWidth="1"/>
    <col min="7152" max="7152" width="15.125" style="421" customWidth="1"/>
    <col min="7153" max="7160" width="14.125" style="421" customWidth="1"/>
    <col min="7161" max="7402" width="9" style="421"/>
    <col min="7403" max="7403" width="2.5" style="421" customWidth="1"/>
    <col min="7404" max="7404" width="3.5" style="421" customWidth="1"/>
    <col min="7405" max="7405" width="21.5" style="421" customWidth="1"/>
    <col min="7406" max="7406" width="4" style="421" customWidth="1"/>
    <col min="7407" max="7407" width="5.375" style="421" customWidth="1"/>
    <col min="7408" max="7408" width="15.125" style="421" customWidth="1"/>
    <col min="7409" max="7416" width="14.125" style="421" customWidth="1"/>
    <col min="7417" max="7658" width="9" style="421"/>
    <col min="7659" max="7659" width="2.5" style="421" customWidth="1"/>
    <col min="7660" max="7660" width="3.5" style="421" customWidth="1"/>
    <col min="7661" max="7661" width="21.5" style="421" customWidth="1"/>
    <col min="7662" max="7662" width="4" style="421" customWidth="1"/>
    <col min="7663" max="7663" width="5.375" style="421" customWidth="1"/>
    <col min="7664" max="7664" width="15.125" style="421" customWidth="1"/>
    <col min="7665" max="7672" width="14.125" style="421" customWidth="1"/>
    <col min="7673" max="7914" width="9" style="421"/>
    <col min="7915" max="7915" width="2.5" style="421" customWidth="1"/>
    <col min="7916" max="7916" width="3.5" style="421" customWidth="1"/>
    <col min="7917" max="7917" width="21.5" style="421" customWidth="1"/>
    <col min="7918" max="7918" width="4" style="421" customWidth="1"/>
    <col min="7919" max="7919" width="5.375" style="421" customWidth="1"/>
    <col min="7920" max="7920" width="15.125" style="421" customWidth="1"/>
    <col min="7921" max="7928" width="14.125" style="421" customWidth="1"/>
    <col min="7929" max="8170" width="9" style="421"/>
    <col min="8171" max="8171" width="2.5" style="421" customWidth="1"/>
    <col min="8172" max="8172" width="3.5" style="421" customWidth="1"/>
    <col min="8173" max="8173" width="21.5" style="421" customWidth="1"/>
    <col min="8174" max="8174" width="4" style="421" customWidth="1"/>
    <col min="8175" max="8175" width="5.375" style="421" customWidth="1"/>
    <col min="8176" max="8176" width="15.125" style="421" customWidth="1"/>
    <col min="8177" max="8184" width="14.125" style="421" customWidth="1"/>
    <col min="8185" max="8426" width="9" style="421"/>
    <col min="8427" max="8427" width="2.5" style="421" customWidth="1"/>
    <col min="8428" max="8428" width="3.5" style="421" customWidth="1"/>
    <col min="8429" max="8429" width="21.5" style="421" customWidth="1"/>
    <col min="8430" max="8430" width="4" style="421" customWidth="1"/>
    <col min="8431" max="8431" width="5.375" style="421" customWidth="1"/>
    <col min="8432" max="8432" width="15.125" style="421" customWidth="1"/>
    <col min="8433" max="8440" width="14.125" style="421" customWidth="1"/>
    <col min="8441" max="8682" width="9" style="421"/>
    <col min="8683" max="8683" width="2.5" style="421" customWidth="1"/>
    <col min="8684" max="8684" width="3.5" style="421" customWidth="1"/>
    <col min="8685" max="8685" width="21.5" style="421" customWidth="1"/>
    <col min="8686" max="8686" width="4" style="421" customWidth="1"/>
    <col min="8687" max="8687" width="5.375" style="421" customWidth="1"/>
    <col min="8688" max="8688" width="15.125" style="421" customWidth="1"/>
    <col min="8689" max="8696" width="14.125" style="421" customWidth="1"/>
    <col min="8697" max="8938" width="9" style="421"/>
    <col min="8939" max="8939" width="2.5" style="421" customWidth="1"/>
    <col min="8940" max="8940" width="3.5" style="421" customWidth="1"/>
    <col min="8941" max="8941" width="21.5" style="421" customWidth="1"/>
    <col min="8942" max="8942" width="4" style="421" customWidth="1"/>
    <col min="8943" max="8943" width="5.375" style="421" customWidth="1"/>
    <col min="8944" max="8944" width="15.125" style="421" customWidth="1"/>
    <col min="8945" max="8952" width="14.125" style="421" customWidth="1"/>
    <col min="8953" max="9194" width="9" style="421"/>
    <col min="9195" max="9195" width="2.5" style="421" customWidth="1"/>
    <col min="9196" max="9196" width="3.5" style="421" customWidth="1"/>
    <col min="9197" max="9197" width="21.5" style="421" customWidth="1"/>
    <col min="9198" max="9198" width="4" style="421" customWidth="1"/>
    <col min="9199" max="9199" width="5.375" style="421" customWidth="1"/>
    <col min="9200" max="9200" width="15.125" style="421" customWidth="1"/>
    <col min="9201" max="9208" width="14.125" style="421" customWidth="1"/>
    <col min="9209" max="9450" width="9" style="421"/>
    <col min="9451" max="9451" width="2.5" style="421" customWidth="1"/>
    <col min="9452" max="9452" width="3.5" style="421" customWidth="1"/>
    <col min="9453" max="9453" width="21.5" style="421" customWidth="1"/>
    <col min="9454" max="9454" width="4" style="421" customWidth="1"/>
    <col min="9455" max="9455" width="5.375" style="421" customWidth="1"/>
    <col min="9456" max="9456" width="15.125" style="421" customWidth="1"/>
    <col min="9457" max="9464" width="14.125" style="421" customWidth="1"/>
    <col min="9465" max="9706" width="9" style="421"/>
    <col min="9707" max="9707" width="2.5" style="421" customWidth="1"/>
    <col min="9708" max="9708" width="3.5" style="421" customWidth="1"/>
    <col min="9709" max="9709" width="21.5" style="421" customWidth="1"/>
    <col min="9710" max="9710" width="4" style="421" customWidth="1"/>
    <col min="9711" max="9711" width="5.375" style="421" customWidth="1"/>
    <col min="9712" max="9712" width="15.125" style="421" customWidth="1"/>
    <col min="9713" max="9720" width="14.125" style="421" customWidth="1"/>
    <col min="9721" max="9962" width="9" style="421"/>
    <col min="9963" max="9963" width="2.5" style="421" customWidth="1"/>
    <col min="9964" max="9964" width="3.5" style="421" customWidth="1"/>
    <col min="9965" max="9965" width="21.5" style="421" customWidth="1"/>
    <col min="9966" max="9966" width="4" style="421" customWidth="1"/>
    <col min="9967" max="9967" width="5.375" style="421" customWidth="1"/>
    <col min="9968" max="9968" width="15.125" style="421" customWidth="1"/>
    <col min="9969" max="9976" width="14.125" style="421" customWidth="1"/>
    <col min="9977" max="10218" width="9" style="421"/>
    <col min="10219" max="10219" width="2.5" style="421" customWidth="1"/>
    <col min="10220" max="10220" width="3.5" style="421" customWidth="1"/>
    <col min="10221" max="10221" width="21.5" style="421" customWidth="1"/>
    <col min="10222" max="10222" width="4" style="421" customWidth="1"/>
    <col min="10223" max="10223" width="5.375" style="421" customWidth="1"/>
    <col min="10224" max="10224" width="15.125" style="421" customWidth="1"/>
    <col min="10225" max="10232" width="14.125" style="421" customWidth="1"/>
    <col min="10233" max="10474" width="9" style="421"/>
    <col min="10475" max="10475" width="2.5" style="421" customWidth="1"/>
    <col min="10476" max="10476" width="3.5" style="421" customWidth="1"/>
    <col min="10477" max="10477" width="21.5" style="421" customWidth="1"/>
    <col min="10478" max="10478" width="4" style="421" customWidth="1"/>
    <col min="10479" max="10479" width="5.375" style="421" customWidth="1"/>
    <col min="10480" max="10480" width="15.125" style="421" customWidth="1"/>
    <col min="10481" max="10488" width="14.125" style="421" customWidth="1"/>
    <col min="10489" max="10730" width="9" style="421"/>
    <col min="10731" max="10731" width="2.5" style="421" customWidth="1"/>
    <col min="10732" max="10732" width="3.5" style="421" customWidth="1"/>
    <col min="10733" max="10733" width="21.5" style="421" customWidth="1"/>
    <col min="10734" max="10734" width="4" style="421" customWidth="1"/>
    <col min="10735" max="10735" width="5.375" style="421" customWidth="1"/>
    <col min="10736" max="10736" width="15.125" style="421" customWidth="1"/>
    <col min="10737" max="10744" width="14.125" style="421" customWidth="1"/>
    <col min="10745" max="10986" width="9" style="421"/>
    <col min="10987" max="10987" width="2.5" style="421" customWidth="1"/>
    <col min="10988" max="10988" width="3.5" style="421" customWidth="1"/>
    <col min="10989" max="10989" width="21.5" style="421" customWidth="1"/>
    <col min="10990" max="10990" width="4" style="421" customWidth="1"/>
    <col min="10991" max="10991" width="5.375" style="421" customWidth="1"/>
    <col min="10992" max="10992" width="15.125" style="421" customWidth="1"/>
    <col min="10993" max="11000" width="14.125" style="421" customWidth="1"/>
    <col min="11001" max="11242" width="9" style="421"/>
    <col min="11243" max="11243" width="2.5" style="421" customWidth="1"/>
    <col min="11244" max="11244" width="3.5" style="421" customWidth="1"/>
    <col min="11245" max="11245" width="21.5" style="421" customWidth="1"/>
    <col min="11246" max="11246" width="4" style="421" customWidth="1"/>
    <col min="11247" max="11247" width="5.375" style="421" customWidth="1"/>
    <col min="11248" max="11248" width="15.125" style="421" customWidth="1"/>
    <col min="11249" max="11256" width="14.125" style="421" customWidth="1"/>
    <col min="11257" max="11498" width="9" style="421"/>
    <col min="11499" max="11499" width="2.5" style="421" customWidth="1"/>
    <col min="11500" max="11500" width="3.5" style="421" customWidth="1"/>
    <col min="11501" max="11501" width="21.5" style="421" customWidth="1"/>
    <col min="11502" max="11502" width="4" style="421" customWidth="1"/>
    <col min="11503" max="11503" width="5.375" style="421" customWidth="1"/>
    <col min="11504" max="11504" width="15.125" style="421" customWidth="1"/>
    <col min="11505" max="11512" width="14.125" style="421" customWidth="1"/>
    <col min="11513" max="11754" width="9" style="421"/>
    <col min="11755" max="11755" width="2.5" style="421" customWidth="1"/>
    <col min="11756" max="11756" width="3.5" style="421" customWidth="1"/>
    <col min="11757" max="11757" width="21.5" style="421" customWidth="1"/>
    <col min="11758" max="11758" width="4" style="421" customWidth="1"/>
    <col min="11759" max="11759" width="5.375" style="421" customWidth="1"/>
    <col min="11760" max="11760" width="15.125" style="421" customWidth="1"/>
    <col min="11761" max="11768" width="14.125" style="421" customWidth="1"/>
    <col min="11769" max="12010" width="9" style="421"/>
    <col min="12011" max="12011" width="2.5" style="421" customWidth="1"/>
    <col min="12012" max="12012" width="3.5" style="421" customWidth="1"/>
    <col min="12013" max="12013" width="21.5" style="421" customWidth="1"/>
    <col min="12014" max="12014" width="4" style="421" customWidth="1"/>
    <col min="12015" max="12015" width="5.375" style="421" customWidth="1"/>
    <col min="12016" max="12016" width="15.125" style="421" customWidth="1"/>
    <col min="12017" max="12024" width="14.125" style="421" customWidth="1"/>
    <col min="12025" max="12266" width="9" style="421"/>
    <col min="12267" max="12267" width="2.5" style="421" customWidth="1"/>
    <col min="12268" max="12268" width="3.5" style="421" customWidth="1"/>
    <col min="12269" max="12269" width="21.5" style="421" customWidth="1"/>
    <col min="12270" max="12270" width="4" style="421" customWidth="1"/>
    <col min="12271" max="12271" width="5.375" style="421" customWidth="1"/>
    <col min="12272" max="12272" width="15.125" style="421" customWidth="1"/>
    <col min="12273" max="12280" width="14.125" style="421" customWidth="1"/>
    <col min="12281" max="12522" width="9" style="421"/>
    <col min="12523" max="12523" width="2.5" style="421" customWidth="1"/>
    <col min="12524" max="12524" width="3.5" style="421" customWidth="1"/>
    <col min="12525" max="12525" width="21.5" style="421" customWidth="1"/>
    <col min="12526" max="12526" width="4" style="421" customWidth="1"/>
    <col min="12527" max="12527" width="5.375" style="421" customWidth="1"/>
    <col min="12528" max="12528" width="15.125" style="421" customWidth="1"/>
    <col min="12529" max="12536" width="14.125" style="421" customWidth="1"/>
    <col min="12537" max="12778" width="9" style="421"/>
    <col min="12779" max="12779" width="2.5" style="421" customWidth="1"/>
    <col min="12780" max="12780" width="3.5" style="421" customWidth="1"/>
    <col min="12781" max="12781" width="21.5" style="421" customWidth="1"/>
    <col min="12782" max="12782" width="4" style="421" customWidth="1"/>
    <col min="12783" max="12783" width="5.375" style="421" customWidth="1"/>
    <col min="12784" max="12784" width="15.125" style="421" customWidth="1"/>
    <col min="12785" max="12792" width="14.125" style="421" customWidth="1"/>
    <col min="12793" max="13034" width="9" style="421"/>
    <col min="13035" max="13035" width="2.5" style="421" customWidth="1"/>
    <col min="13036" max="13036" width="3.5" style="421" customWidth="1"/>
    <col min="13037" max="13037" width="21.5" style="421" customWidth="1"/>
    <col min="13038" max="13038" width="4" style="421" customWidth="1"/>
    <col min="13039" max="13039" width="5.375" style="421" customWidth="1"/>
    <col min="13040" max="13040" width="15.125" style="421" customWidth="1"/>
    <col min="13041" max="13048" width="14.125" style="421" customWidth="1"/>
    <col min="13049" max="13290" width="9" style="421"/>
    <col min="13291" max="13291" width="2.5" style="421" customWidth="1"/>
    <col min="13292" max="13292" width="3.5" style="421" customWidth="1"/>
    <col min="13293" max="13293" width="21.5" style="421" customWidth="1"/>
    <col min="13294" max="13294" width="4" style="421" customWidth="1"/>
    <col min="13295" max="13295" width="5.375" style="421" customWidth="1"/>
    <col min="13296" max="13296" width="15.125" style="421" customWidth="1"/>
    <col min="13297" max="13304" width="14.125" style="421" customWidth="1"/>
    <col min="13305" max="13546" width="9" style="421"/>
    <col min="13547" max="13547" width="2.5" style="421" customWidth="1"/>
    <col min="13548" max="13548" width="3.5" style="421" customWidth="1"/>
    <col min="13549" max="13549" width="21.5" style="421" customWidth="1"/>
    <col min="13550" max="13550" width="4" style="421" customWidth="1"/>
    <col min="13551" max="13551" width="5.375" style="421" customWidth="1"/>
    <col min="13552" max="13552" width="15.125" style="421" customWidth="1"/>
    <col min="13553" max="13560" width="14.125" style="421" customWidth="1"/>
    <col min="13561" max="13802" width="9" style="421"/>
    <col min="13803" max="13803" width="2.5" style="421" customWidth="1"/>
    <col min="13804" max="13804" width="3.5" style="421" customWidth="1"/>
    <col min="13805" max="13805" width="21.5" style="421" customWidth="1"/>
    <col min="13806" max="13806" width="4" style="421" customWidth="1"/>
    <col min="13807" max="13807" width="5.375" style="421" customWidth="1"/>
    <col min="13808" max="13808" width="15.125" style="421" customWidth="1"/>
    <col min="13809" max="13816" width="14.125" style="421" customWidth="1"/>
    <col min="13817" max="14058" width="9" style="421"/>
    <col min="14059" max="14059" width="2.5" style="421" customWidth="1"/>
    <col min="14060" max="14060" width="3.5" style="421" customWidth="1"/>
    <col min="14061" max="14061" width="21.5" style="421" customWidth="1"/>
    <col min="14062" max="14062" width="4" style="421" customWidth="1"/>
    <col min="14063" max="14063" width="5.375" style="421" customWidth="1"/>
    <col min="14064" max="14064" width="15.125" style="421" customWidth="1"/>
    <col min="14065" max="14072" width="14.125" style="421" customWidth="1"/>
    <col min="14073" max="14314" width="9" style="421"/>
    <col min="14315" max="14315" width="2.5" style="421" customWidth="1"/>
    <col min="14316" max="14316" width="3.5" style="421" customWidth="1"/>
    <col min="14317" max="14317" width="21.5" style="421" customWidth="1"/>
    <col min="14318" max="14318" width="4" style="421" customWidth="1"/>
    <col min="14319" max="14319" width="5.375" style="421" customWidth="1"/>
    <col min="14320" max="14320" width="15.125" style="421" customWidth="1"/>
    <col min="14321" max="14328" width="14.125" style="421" customWidth="1"/>
    <col min="14329" max="14570" width="9" style="421"/>
    <col min="14571" max="14571" width="2.5" style="421" customWidth="1"/>
    <col min="14572" max="14572" width="3.5" style="421" customWidth="1"/>
    <col min="14573" max="14573" width="21.5" style="421" customWidth="1"/>
    <col min="14574" max="14574" width="4" style="421" customWidth="1"/>
    <col min="14575" max="14575" width="5.375" style="421" customWidth="1"/>
    <col min="14576" max="14576" width="15.125" style="421" customWidth="1"/>
    <col min="14577" max="14584" width="14.125" style="421" customWidth="1"/>
    <col min="14585" max="14826" width="9" style="421"/>
    <col min="14827" max="14827" width="2.5" style="421" customWidth="1"/>
    <col min="14828" max="14828" width="3.5" style="421" customWidth="1"/>
    <col min="14829" max="14829" width="21.5" style="421" customWidth="1"/>
    <col min="14830" max="14830" width="4" style="421" customWidth="1"/>
    <col min="14831" max="14831" width="5.375" style="421" customWidth="1"/>
    <col min="14832" max="14832" width="15.125" style="421" customWidth="1"/>
    <col min="14833" max="14840" width="14.125" style="421" customWidth="1"/>
    <col min="14841" max="15082" width="9" style="421"/>
    <col min="15083" max="15083" width="2.5" style="421" customWidth="1"/>
    <col min="15084" max="15084" width="3.5" style="421" customWidth="1"/>
    <col min="15085" max="15085" width="21.5" style="421" customWidth="1"/>
    <col min="15086" max="15086" width="4" style="421" customWidth="1"/>
    <col min="15087" max="15087" width="5.375" style="421" customWidth="1"/>
    <col min="15088" max="15088" width="15.125" style="421" customWidth="1"/>
    <col min="15089" max="15096" width="14.125" style="421" customWidth="1"/>
    <col min="15097" max="15338" width="9" style="421"/>
    <col min="15339" max="15339" width="2.5" style="421" customWidth="1"/>
    <col min="15340" max="15340" width="3.5" style="421" customWidth="1"/>
    <col min="15341" max="15341" width="21.5" style="421" customWidth="1"/>
    <col min="15342" max="15342" width="4" style="421" customWidth="1"/>
    <col min="15343" max="15343" width="5.375" style="421" customWidth="1"/>
    <col min="15344" max="15344" width="15.125" style="421" customWidth="1"/>
    <col min="15345" max="15352" width="14.125" style="421" customWidth="1"/>
    <col min="15353" max="15594" width="9" style="421"/>
    <col min="15595" max="15595" width="2.5" style="421" customWidth="1"/>
    <col min="15596" max="15596" width="3.5" style="421" customWidth="1"/>
    <col min="15597" max="15597" width="21.5" style="421" customWidth="1"/>
    <col min="15598" max="15598" width="4" style="421" customWidth="1"/>
    <col min="15599" max="15599" width="5.375" style="421" customWidth="1"/>
    <col min="15600" max="15600" width="15.125" style="421" customWidth="1"/>
    <col min="15601" max="15608" width="14.125" style="421" customWidth="1"/>
    <col min="15609" max="15850" width="9" style="421"/>
    <col min="15851" max="15851" width="2.5" style="421" customWidth="1"/>
    <col min="15852" max="15852" width="3.5" style="421" customWidth="1"/>
    <col min="15853" max="15853" width="21.5" style="421" customWidth="1"/>
    <col min="15854" max="15854" width="4" style="421" customWidth="1"/>
    <col min="15855" max="15855" width="5.375" style="421" customWidth="1"/>
    <col min="15856" max="15856" width="15.125" style="421" customWidth="1"/>
    <col min="15857" max="15864" width="14.125" style="421" customWidth="1"/>
    <col min="15865" max="16106" width="9" style="421"/>
    <col min="16107" max="16107" width="2.5" style="421" customWidth="1"/>
    <col min="16108" max="16108" width="3.5" style="421" customWidth="1"/>
    <col min="16109" max="16109" width="21.5" style="421" customWidth="1"/>
    <col min="16110" max="16110" width="4" style="421" customWidth="1"/>
    <col min="16111" max="16111" width="5.375" style="421" customWidth="1"/>
    <col min="16112" max="16112" width="15.125" style="421" customWidth="1"/>
    <col min="16113" max="16120" width="14.125" style="421" customWidth="1"/>
    <col min="16121" max="16384" width="9" style="421"/>
  </cols>
  <sheetData>
    <row r="1" spans="1:16" ht="13.5" customHeight="1">
      <c r="A1" s="418"/>
      <c r="B1" s="418"/>
      <c r="C1" s="419"/>
      <c r="D1" s="419"/>
      <c r="E1" s="419"/>
      <c r="F1" s="420" t="s">
        <v>242</v>
      </c>
      <c r="G1" s="407" t="str">
        <f>表紙!D12</f>
        <v>東梅田外１駅可動式ホーム柵設置に伴う建築その他工事</v>
      </c>
      <c r="H1" s="404"/>
      <c r="I1" s="404"/>
      <c r="J1" s="404"/>
      <c r="K1" s="404"/>
      <c r="L1" s="404"/>
      <c r="M1" s="404"/>
      <c r="N1" s="404"/>
      <c r="O1" s="404"/>
    </row>
    <row r="2" spans="1:16" ht="13.5" customHeight="1">
      <c r="A2" s="407"/>
      <c r="B2" s="418"/>
      <c r="C2" s="407" t="s">
        <v>243</v>
      </c>
      <c r="D2" s="404"/>
      <c r="E2" s="404"/>
      <c r="F2" s="419"/>
      <c r="G2" s="419"/>
      <c r="H2" s="522" t="str">
        <f>+諸経費表!G6</f>
        <v>可動式ホーム柵設置に伴う建築工事</v>
      </c>
      <c r="I2" s="522" t="str">
        <f>+諸経費表!H6</f>
        <v>隙間解消工事</v>
      </c>
      <c r="J2" s="522" t="str">
        <f>+諸経費表!I6</f>
        <v>列車停止位置変更に伴う建築工事</v>
      </c>
      <c r="K2" s="522" t="str">
        <f>+諸経費表!J6</f>
        <v>床仕上改造その他工事</v>
      </c>
      <c r="L2" s="522" t="str">
        <f>+諸経費表!K6</f>
        <v>整列乗車対策工事</v>
      </c>
      <c r="M2" s="522" t="str">
        <f>+諸経費表!L6</f>
        <v>可動式ホーム柵設置に伴う建築工事</v>
      </c>
      <c r="N2" s="522" t="str">
        <f>+諸経費表!M6</f>
        <v>隙間解消工事</v>
      </c>
      <c r="O2" s="522" t="str">
        <f>+諸経費表!N6</f>
        <v>床仕上改造その他工事</v>
      </c>
    </row>
    <row r="3" spans="1:16" ht="13.5" customHeight="1">
      <c r="A3" s="407"/>
      <c r="B3" s="418"/>
      <c r="C3" s="407"/>
      <c r="D3" s="404"/>
      <c r="E3" s="404"/>
      <c r="F3" s="419"/>
      <c r="G3" s="419"/>
      <c r="H3" s="522" t="str">
        <f>+諸経費表!G5</f>
        <v>工事1</v>
      </c>
      <c r="I3" s="522" t="str">
        <f>+諸経費表!H5</f>
        <v>工事2</v>
      </c>
      <c r="J3" s="522" t="str">
        <f>+諸経費表!I5</f>
        <v>工事3</v>
      </c>
      <c r="K3" s="522" t="str">
        <f>+諸経費表!J5</f>
        <v>工事4</v>
      </c>
      <c r="L3" s="522" t="str">
        <f>+諸経費表!K5</f>
        <v>工事5</v>
      </c>
      <c r="M3" s="522" t="str">
        <f>+諸経費表!L5</f>
        <v>工事6</v>
      </c>
      <c r="N3" s="522" t="str">
        <f>+諸経費表!M5</f>
        <v>工事7</v>
      </c>
      <c r="O3" s="522" t="str">
        <f>+諸経費表!N5</f>
        <v>工事8</v>
      </c>
    </row>
    <row r="4" spans="1:16" ht="13.5" customHeight="1">
      <c r="A4" s="488"/>
      <c r="B4" s="489"/>
      <c r="C4" s="508"/>
      <c r="D4" s="485"/>
      <c r="E4" s="486"/>
      <c r="F4" s="487"/>
      <c r="G4" s="442" t="s">
        <v>244</v>
      </c>
      <c r="H4" s="549" t="s">
        <v>245</v>
      </c>
      <c r="I4" s="549" t="s">
        <v>245</v>
      </c>
      <c r="J4" s="549" t="s">
        <v>245</v>
      </c>
      <c r="K4" s="549" t="s">
        <v>245</v>
      </c>
      <c r="L4" s="549" t="s">
        <v>245</v>
      </c>
      <c r="M4" s="549" t="s">
        <v>245</v>
      </c>
      <c r="N4" s="549" t="s">
        <v>245</v>
      </c>
      <c r="O4" s="549" t="s">
        <v>245</v>
      </c>
    </row>
    <row r="5" spans="1:16" s="423" customFormat="1" ht="13.5" customHeight="1">
      <c r="A5" s="424"/>
      <c r="B5" s="425"/>
      <c r="C5" s="509"/>
      <c r="D5" s="506" t="s">
        <v>118</v>
      </c>
      <c r="E5" s="415"/>
      <c r="F5" s="461"/>
      <c r="G5" s="462">
        <f t="shared" ref="G5:G19" si="0">SUM(H5:P5)</f>
        <v>363659083</v>
      </c>
      <c r="H5" s="523">
        <f>+諸経費表!G11</f>
        <v>29215287</v>
      </c>
      <c r="I5" s="523">
        <f>+諸経費表!H11</f>
        <v>21555646</v>
      </c>
      <c r="J5" s="523">
        <f>+諸経費表!I11</f>
        <v>2052481</v>
      </c>
      <c r="K5" s="523">
        <f>+諸経費表!J11</f>
        <v>103212496</v>
      </c>
      <c r="L5" s="523">
        <f>+諸経費表!K11</f>
        <v>9791560</v>
      </c>
      <c r="M5" s="523">
        <f>+諸経費表!L11</f>
        <v>39763280</v>
      </c>
      <c r="N5" s="523">
        <f>+諸経費表!M11</f>
        <v>27426558</v>
      </c>
      <c r="O5" s="523">
        <f>+諸経費表!N11</f>
        <v>130641775</v>
      </c>
      <c r="P5" s="543"/>
    </row>
    <row r="6" spans="1:16" s="423" customFormat="1" ht="13.5" customHeight="1">
      <c r="A6" s="424"/>
      <c r="B6" s="425"/>
      <c r="C6" s="505"/>
      <c r="D6" s="416"/>
      <c r="E6" s="414"/>
      <c r="F6" s="504" t="s">
        <v>246</v>
      </c>
      <c r="G6" s="460">
        <f t="shared" ca="1" si="0"/>
        <v>9193812</v>
      </c>
      <c r="H6" s="531">
        <f t="shared" ref="H6:O6" ca="1" si="1">IF(H$3&gt;0,INDIRECT("'"&amp;H$3&amp;"'!＄i$7"),"")</f>
        <v>546687</v>
      </c>
      <c r="I6" s="531">
        <f t="shared" ca="1" si="1"/>
        <v>88905</v>
      </c>
      <c r="J6" s="531">
        <f t="shared" ca="1" si="1"/>
        <v>151065</v>
      </c>
      <c r="K6" s="531">
        <f t="shared" ca="1" si="1"/>
        <v>2706600</v>
      </c>
      <c r="L6" s="531">
        <f t="shared" ca="1" si="1"/>
        <v>1197300</v>
      </c>
      <c r="M6" s="531">
        <f t="shared" ca="1" si="1"/>
        <v>869646</v>
      </c>
      <c r="N6" s="531">
        <f t="shared" ca="1" si="1"/>
        <v>109959</v>
      </c>
      <c r="O6" s="531">
        <f t="shared" ca="1" si="1"/>
        <v>3523650</v>
      </c>
      <c r="P6" s="445"/>
    </row>
    <row r="7" spans="1:16" s="423" customFormat="1" ht="13.5" customHeight="1">
      <c r="A7" s="424"/>
      <c r="B7" s="425"/>
      <c r="C7" s="505"/>
      <c r="D7" s="565"/>
      <c r="E7" s="566"/>
      <c r="F7" s="567" t="s">
        <v>247</v>
      </c>
      <c r="G7" s="568">
        <f t="shared" ca="1" si="0"/>
        <v>134485585</v>
      </c>
      <c r="H7" s="569">
        <f t="shared" ref="H7:O7" ca="1" si="2">IF(COUNTIF(INDIRECT("'"&amp;H$3&amp;"'!＄ｄ:$ｄ"),"部分撤去工事")=0,"0",VLOOKUP("部分撤去工事",INDIRECT("'"&amp;H$3&amp;"'!＄D:$L"),6,FALSE))</f>
        <v>8779041</v>
      </c>
      <c r="I7" s="569">
        <f t="shared" ca="1" si="2"/>
        <v>1396561</v>
      </c>
      <c r="J7" s="569">
        <f t="shared" ca="1" si="2"/>
        <v>215282</v>
      </c>
      <c r="K7" s="569">
        <f t="shared" ca="1" si="2"/>
        <v>50969756</v>
      </c>
      <c r="L7" s="569" t="str">
        <f t="shared" ca="1" si="2"/>
        <v>0</v>
      </c>
      <c r="M7" s="569">
        <f t="shared" ca="1" si="2"/>
        <v>10303991</v>
      </c>
      <c r="N7" s="569">
        <f t="shared" ca="1" si="2"/>
        <v>1662219</v>
      </c>
      <c r="O7" s="569">
        <f t="shared" ca="1" si="2"/>
        <v>61158735</v>
      </c>
      <c r="P7" s="445"/>
    </row>
    <row r="8" spans="1:16" s="423" customFormat="1" ht="13.5" customHeight="1">
      <c r="A8" s="424"/>
      <c r="B8" s="425"/>
      <c r="C8" s="505"/>
      <c r="D8" s="2094"/>
      <c r="E8" s="2095"/>
      <c r="F8" s="2096" t="s">
        <v>248</v>
      </c>
      <c r="G8" s="570">
        <f t="shared" ca="1" si="0"/>
        <v>219979686</v>
      </c>
      <c r="H8" s="2097">
        <f t="shared" ref="H8:I8" ca="1" si="3">H5-H6-H7</f>
        <v>19889559</v>
      </c>
      <c r="I8" s="2097">
        <f t="shared" ca="1" si="3"/>
        <v>20070180</v>
      </c>
      <c r="J8" s="2097">
        <f t="shared" ref="J8:O8" ca="1" si="4">J5-J6-J7</f>
        <v>1686134</v>
      </c>
      <c r="K8" s="2097">
        <f t="shared" ca="1" si="4"/>
        <v>49536140</v>
      </c>
      <c r="L8" s="2097">
        <f t="shared" ca="1" si="4"/>
        <v>8594260</v>
      </c>
      <c r="M8" s="2097">
        <f t="shared" ca="1" si="4"/>
        <v>28589643</v>
      </c>
      <c r="N8" s="2097">
        <f t="shared" ca="1" si="4"/>
        <v>25654380</v>
      </c>
      <c r="O8" s="2097">
        <f t="shared" ca="1" si="4"/>
        <v>65959390</v>
      </c>
      <c r="P8" s="543"/>
    </row>
    <row r="9" spans="1:16" s="423" customFormat="1" ht="13.5" customHeight="1">
      <c r="A9" s="424"/>
      <c r="B9" s="425"/>
      <c r="C9" s="505"/>
      <c r="D9" s="571"/>
      <c r="E9" s="2635" t="s">
        <v>249</v>
      </c>
      <c r="F9" s="572" t="s">
        <v>118</v>
      </c>
      <c r="G9" s="568">
        <f t="shared" ca="1" si="0"/>
        <v>229173498</v>
      </c>
      <c r="H9" s="569">
        <f t="shared" ref="H9:I9" ca="1" si="5">H5-H12</f>
        <v>20436246</v>
      </c>
      <c r="I9" s="569">
        <f t="shared" ca="1" si="5"/>
        <v>20159085</v>
      </c>
      <c r="J9" s="569">
        <f t="shared" ref="J9:O9" ca="1" si="6">J5-J12</f>
        <v>1837199</v>
      </c>
      <c r="K9" s="569">
        <f t="shared" ca="1" si="6"/>
        <v>52242740</v>
      </c>
      <c r="L9" s="569">
        <f t="shared" ca="1" si="6"/>
        <v>9791560</v>
      </c>
      <c r="M9" s="569">
        <f t="shared" ca="1" si="6"/>
        <v>29459289</v>
      </c>
      <c r="N9" s="569">
        <f t="shared" ca="1" si="6"/>
        <v>25764339</v>
      </c>
      <c r="O9" s="569">
        <f t="shared" ca="1" si="6"/>
        <v>69483040</v>
      </c>
      <c r="P9" s="543"/>
    </row>
    <row r="10" spans="1:16" s="423" customFormat="1" ht="13.5" customHeight="1">
      <c r="A10" s="424"/>
      <c r="B10" s="425"/>
      <c r="C10" s="505"/>
      <c r="D10" s="573"/>
      <c r="E10" s="2636"/>
      <c r="F10" s="2098" t="s">
        <v>250</v>
      </c>
      <c r="G10" s="568">
        <f t="shared" ca="1" si="0"/>
        <v>0</v>
      </c>
      <c r="H10" s="569">
        <f t="shared" ref="H10:I11" ca="1" si="7">H7-H13</f>
        <v>0</v>
      </c>
      <c r="I10" s="569">
        <f t="shared" ca="1" si="7"/>
        <v>0</v>
      </c>
      <c r="J10" s="569">
        <f t="shared" ref="J10:O10" ca="1" si="8">J7-J13</f>
        <v>0</v>
      </c>
      <c r="K10" s="569">
        <f t="shared" ca="1" si="8"/>
        <v>0</v>
      </c>
      <c r="L10" s="569">
        <f t="shared" ca="1" si="8"/>
        <v>0</v>
      </c>
      <c r="M10" s="569">
        <f t="shared" ca="1" si="8"/>
        <v>0</v>
      </c>
      <c r="N10" s="569">
        <f t="shared" ca="1" si="8"/>
        <v>0</v>
      </c>
      <c r="O10" s="569">
        <f t="shared" ca="1" si="8"/>
        <v>0</v>
      </c>
      <c r="P10" s="543"/>
    </row>
    <row r="11" spans="1:16" s="423" customFormat="1" ht="13.5" customHeight="1">
      <c r="A11" s="424"/>
      <c r="B11" s="425"/>
      <c r="C11" s="505"/>
      <c r="D11" s="573"/>
      <c r="E11" s="2637"/>
      <c r="F11" s="2099" t="s">
        <v>248</v>
      </c>
      <c r="G11" s="568">
        <f t="shared" ca="1" si="0"/>
        <v>219979686</v>
      </c>
      <c r="H11" s="569">
        <f t="shared" ca="1" si="7"/>
        <v>19889559</v>
      </c>
      <c r="I11" s="569">
        <f t="shared" ca="1" si="7"/>
        <v>20070180</v>
      </c>
      <c r="J11" s="569">
        <f t="shared" ref="J11:O11" ca="1" si="9">J8-J14</f>
        <v>1686134</v>
      </c>
      <c r="K11" s="569">
        <f t="shared" ca="1" si="9"/>
        <v>49536140</v>
      </c>
      <c r="L11" s="569">
        <f t="shared" ca="1" si="9"/>
        <v>8594260</v>
      </c>
      <c r="M11" s="569">
        <f t="shared" ca="1" si="9"/>
        <v>28589643</v>
      </c>
      <c r="N11" s="569">
        <f t="shared" ca="1" si="9"/>
        <v>25654380</v>
      </c>
      <c r="O11" s="569">
        <f t="shared" ca="1" si="9"/>
        <v>65959390</v>
      </c>
      <c r="P11" s="543"/>
    </row>
    <row r="12" spans="1:16" s="423" customFormat="1" ht="13.5" customHeight="1">
      <c r="A12" s="424"/>
      <c r="B12" s="425"/>
      <c r="C12" s="505"/>
      <c r="D12" s="574"/>
      <c r="E12" s="2635" t="s">
        <v>251</v>
      </c>
      <c r="F12" s="572" t="s">
        <v>118</v>
      </c>
      <c r="G12" s="575">
        <f t="shared" ca="1" si="0"/>
        <v>134485585</v>
      </c>
      <c r="H12" s="528">
        <f t="shared" ref="H12:I12" ca="1" si="10">IF(H4="費用",H5,SUMIF(INDIRECT(H$3&amp;"!$ｊ:$ｊ"),"うち費用",INDIRECT(H$3&amp;"!$ｋ:$ｋ")))</f>
        <v>8779041</v>
      </c>
      <c r="I12" s="528">
        <f t="shared" ca="1" si="10"/>
        <v>1396561</v>
      </c>
      <c r="J12" s="528">
        <f t="shared" ref="J12:O12" ca="1" si="11">IF(J4="費用",J5,SUMIF(INDIRECT(J$3&amp;"!$ｊ:$ｊ"),"うち費用",INDIRECT(J$3&amp;"!$ｋ:$ｋ")))</f>
        <v>215282</v>
      </c>
      <c r="K12" s="528">
        <f t="shared" ca="1" si="11"/>
        <v>50969756</v>
      </c>
      <c r="L12" s="528">
        <f t="shared" ca="1" si="11"/>
        <v>0</v>
      </c>
      <c r="M12" s="528">
        <f t="shared" ca="1" si="11"/>
        <v>10303991</v>
      </c>
      <c r="N12" s="528">
        <f t="shared" ca="1" si="11"/>
        <v>1662219</v>
      </c>
      <c r="O12" s="528">
        <f t="shared" ca="1" si="11"/>
        <v>61158735</v>
      </c>
      <c r="P12" s="543"/>
    </row>
    <row r="13" spans="1:16" s="423" customFormat="1" ht="13.5" customHeight="1">
      <c r="A13" s="424"/>
      <c r="B13" s="425"/>
      <c r="C13" s="505"/>
      <c r="D13" s="573"/>
      <c r="E13" s="2636"/>
      <c r="F13" s="2098" t="s">
        <v>250</v>
      </c>
      <c r="G13" s="2100">
        <f t="shared" ca="1" si="0"/>
        <v>134485585</v>
      </c>
      <c r="H13" s="2101">
        <f t="shared" ref="H13:I13" ca="1" si="12">IF(H4="費用",H7,SUMIF(INDIRECT(H$3&amp;"!$ｊ:$ｊ"),"）うち費用",INDIRECT(H$3&amp;"!$ｋ:$ｋ")))</f>
        <v>8779041</v>
      </c>
      <c r="I13" s="2101">
        <f t="shared" ca="1" si="12"/>
        <v>1396561</v>
      </c>
      <c r="J13" s="2101">
        <f t="shared" ref="J13:O13" ca="1" si="13">IF(J4="費用",J7,SUMIF(INDIRECT(J$3&amp;"!$ｊ:$ｊ"),"）うち費用",INDIRECT(J$3&amp;"!$ｋ:$ｋ")))</f>
        <v>215282</v>
      </c>
      <c r="K13" s="2101">
        <f t="shared" ca="1" si="13"/>
        <v>50969756</v>
      </c>
      <c r="L13" s="2101">
        <f t="shared" ca="1" si="13"/>
        <v>0</v>
      </c>
      <c r="M13" s="2101">
        <f t="shared" ca="1" si="13"/>
        <v>10303991</v>
      </c>
      <c r="N13" s="2101">
        <f t="shared" ca="1" si="13"/>
        <v>1662219</v>
      </c>
      <c r="O13" s="2101">
        <f t="shared" ca="1" si="13"/>
        <v>61158735</v>
      </c>
      <c r="P13" s="543"/>
    </row>
    <row r="14" spans="1:16" s="423" customFormat="1" ht="13.5" customHeight="1">
      <c r="A14" s="424"/>
      <c r="B14" s="425"/>
      <c r="C14" s="505"/>
      <c r="D14" s="576"/>
      <c r="E14" s="2637"/>
      <c r="F14" s="2102" t="s">
        <v>248</v>
      </c>
      <c r="G14" s="2103">
        <f t="shared" ca="1" si="0"/>
        <v>0</v>
      </c>
      <c r="H14" s="2097">
        <f t="shared" ref="H14:I14" ca="1" si="14">IF(H4="費用",H12-H13-H6,H12-H13)</f>
        <v>0</v>
      </c>
      <c r="I14" s="2097">
        <f t="shared" ca="1" si="14"/>
        <v>0</v>
      </c>
      <c r="J14" s="2097">
        <f t="shared" ref="J14:O14" ca="1" si="15">IF(J4="費用",J12-J13-J6,J12-J13)</f>
        <v>0</v>
      </c>
      <c r="K14" s="2097">
        <f t="shared" ca="1" si="15"/>
        <v>0</v>
      </c>
      <c r="L14" s="2097">
        <f t="shared" ca="1" si="15"/>
        <v>0</v>
      </c>
      <c r="M14" s="2097">
        <f t="shared" ca="1" si="15"/>
        <v>0</v>
      </c>
      <c r="N14" s="2097">
        <f t="shared" ca="1" si="15"/>
        <v>0</v>
      </c>
      <c r="O14" s="2097">
        <f t="shared" ca="1" si="15"/>
        <v>0</v>
      </c>
      <c r="P14" s="543"/>
    </row>
    <row r="15" spans="1:16" s="423" customFormat="1" ht="13.5" customHeight="1">
      <c r="A15" s="424"/>
      <c r="B15" s="425"/>
      <c r="C15" s="510"/>
      <c r="D15" s="506" t="s">
        <v>120</v>
      </c>
      <c r="E15" s="415"/>
      <c r="F15" s="461"/>
      <c r="G15" s="462">
        <f t="shared" ca="1" si="0"/>
        <v>119040917</v>
      </c>
      <c r="H15" s="524">
        <f t="shared" ref="H15:I15" ca="1" si="16">SUM(H16:H18)</f>
        <v>12206713</v>
      </c>
      <c r="I15" s="524">
        <f t="shared" ca="1" si="16"/>
        <v>5918354</v>
      </c>
      <c r="J15" s="524">
        <f t="shared" ref="J15:O15" ca="1" si="17">SUM(J16:J18)</f>
        <v>575519</v>
      </c>
      <c r="K15" s="524">
        <f t="shared" ca="1" si="17"/>
        <v>31622504</v>
      </c>
      <c r="L15" s="524">
        <f t="shared" ca="1" si="17"/>
        <v>2932440</v>
      </c>
      <c r="M15" s="524">
        <f t="shared" ca="1" si="17"/>
        <v>15616720</v>
      </c>
      <c r="N15" s="524">
        <f t="shared" ca="1" si="17"/>
        <v>7920442</v>
      </c>
      <c r="O15" s="524">
        <f t="shared" ca="1" si="17"/>
        <v>42248225</v>
      </c>
      <c r="P15" s="543"/>
    </row>
    <row r="16" spans="1:16" s="423" customFormat="1" ht="13.5" customHeight="1">
      <c r="A16" s="424"/>
      <c r="B16" s="425"/>
      <c r="C16" s="505"/>
      <c r="D16" s="416"/>
      <c r="E16" s="414"/>
      <c r="F16" s="504" t="s">
        <v>252</v>
      </c>
      <c r="G16" s="460">
        <f t="shared" ca="1" si="0"/>
        <v>25132079</v>
      </c>
      <c r="H16" s="531">
        <f t="shared" ref="H16:O16" ca="1" si="18">SUMIF(INDIRECT(H$3&amp;"!$ｄ:$ｄ"),"共通仮設費",INDIRECT(H$3&amp;"!$I:$ｉ"))</f>
        <v>4210598</v>
      </c>
      <c r="I16" s="531">
        <f t="shared" ca="1" si="18"/>
        <v>763237</v>
      </c>
      <c r="J16" s="531">
        <f t="shared" ca="1" si="18"/>
        <v>79180</v>
      </c>
      <c r="K16" s="531">
        <f t="shared" ca="1" si="18"/>
        <v>4716990</v>
      </c>
      <c r="L16" s="531">
        <f t="shared" ca="1" si="18"/>
        <v>416603</v>
      </c>
      <c r="M16" s="531">
        <f t="shared" ca="1" si="18"/>
        <v>5032681</v>
      </c>
      <c r="N16" s="531">
        <f t="shared" ca="1" si="18"/>
        <v>1487376</v>
      </c>
      <c r="O16" s="531">
        <f t="shared" ca="1" si="18"/>
        <v>8425414</v>
      </c>
      <c r="P16" s="543"/>
    </row>
    <row r="17" spans="1:24" ht="13.5" customHeight="1">
      <c r="A17" s="424"/>
      <c r="B17" s="425"/>
      <c r="C17" s="505"/>
      <c r="D17" s="2104"/>
      <c r="E17" s="2105"/>
      <c r="F17" s="2106" t="s">
        <v>253</v>
      </c>
      <c r="G17" s="2107">
        <f t="shared" si="0"/>
        <v>43436477</v>
      </c>
      <c r="H17" s="2108">
        <f>+諸経費表!G22</f>
        <v>3667017</v>
      </c>
      <c r="I17" s="2108">
        <f>+諸経費表!H22</f>
        <v>2282113</v>
      </c>
      <c r="J17" s="2108">
        <f>+諸経費表!I22</f>
        <v>221648</v>
      </c>
      <c r="K17" s="2108">
        <f>+諸経費表!J22</f>
        <v>12806355</v>
      </c>
      <c r="L17" s="2108">
        <f>+諸経費表!K22</f>
        <v>1185589</v>
      </c>
      <c r="M17" s="2108">
        <f>+諸経費表!L22</f>
        <v>4792956</v>
      </c>
      <c r="N17" s="2108">
        <f>+諸経費表!M22</f>
        <v>2736856</v>
      </c>
      <c r="O17" s="2108">
        <f>+諸経費表!N22</f>
        <v>15743943</v>
      </c>
    </row>
    <row r="18" spans="1:24" ht="13.5" customHeight="1">
      <c r="A18" s="424"/>
      <c r="B18" s="425"/>
      <c r="C18" s="505"/>
      <c r="D18" s="2094"/>
      <c r="E18" s="2095"/>
      <c r="F18" s="2109" t="s">
        <v>254</v>
      </c>
      <c r="G18" s="2110">
        <f t="shared" si="0"/>
        <v>50472361</v>
      </c>
      <c r="H18" s="2111">
        <f>+諸経費表!G27</f>
        <v>4329098</v>
      </c>
      <c r="I18" s="2111">
        <f>+諸経費表!H27</f>
        <v>2873004</v>
      </c>
      <c r="J18" s="2111">
        <f>+諸経費表!I27</f>
        <v>274691</v>
      </c>
      <c r="K18" s="2111">
        <f>+諸経費表!J27</f>
        <v>14099159</v>
      </c>
      <c r="L18" s="2111">
        <f>+諸経費表!K27</f>
        <v>1330248</v>
      </c>
      <c r="M18" s="2111">
        <f>+諸経費表!L27</f>
        <v>5791083</v>
      </c>
      <c r="N18" s="2111">
        <f>+諸経費表!M27</f>
        <v>3696210</v>
      </c>
      <c r="O18" s="2111">
        <f>+諸経費表!N27</f>
        <v>18078868</v>
      </c>
      <c r="X18" s="428"/>
    </row>
    <row r="19" spans="1:24" s="428" customFormat="1" ht="13.5" customHeight="1">
      <c r="A19" s="426"/>
      <c r="B19" s="405"/>
      <c r="C19" s="417"/>
      <c r="D19" s="507" t="s">
        <v>255</v>
      </c>
      <c r="E19" s="413"/>
      <c r="F19" s="427"/>
      <c r="G19" s="463">
        <f t="shared" ca="1" si="0"/>
        <v>482700000</v>
      </c>
      <c r="H19" s="525">
        <f t="shared" ref="H19:I19" ca="1" si="19">+H15+H5</f>
        <v>41422000</v>
      </c>
      <c r="I19" s="525">
        <f t="shared" ca="1" si="19"/>
        <v>27474000</v>
      </c>
      <c r="J19" s="525">
        <f t="shared" ref="J19:O19" ca="1" si="20">+J15+J5</f>
        <v>2628000</v>
      </c>
      <c r="K19" s="525">
        <f t="shared" ca="1" si="20"/>
        <v>134835000</v>
      </c>
      <c r="L19" s="525">
        <f t="shared" ca="1" si="20"/>
        <v>12724000</v>
      </c>
      <c r="M19" s="525">
        <f t="shared" ca="1" si="20"/>
        <v>55380000</v>
      </c>
      <c r="N19" s="525">
        <f t="shared" ca="1" si="20"/>
        <v>35347000</v>
      </c>
      <c r="O19" s="525">
        <f t="shared" ca="1" si="20"/>
        <v>172890000</v>
      </c>
      <c r="P19" s="544"/>
    </row>
    <row r="20" spans="1:24" s="428" customFormat="1" ht="13.5" customHeight="1">
      <c r="A20" s="412"/>
      <c r="B20" s="412"/>
      <c r="C20" s="429"/>
      <c r="D20" s="412"/>
      <c r="E20" s="412"/>
      <c r="F20" s="430"/>
      <c r="G20" s="431" t="str">
        <f ca="1">IF(G$19=G324,"","工事価格が一致ません。↑")</f>
        <v/>
      </c>
      <c r="H20" s="526" t="str">
        <f t="shared" ref="H20:I20" ca="1" si="21">IF(H$19=H324,"","↑error")</f>
        <v/>
      </c>
      <c r="I20" s="526" t="str">
        <f t="shared" ca="1" si="21"/>
        <v/>
      </c>
      <c r="J20" s="526" t="str">
        <f t="shared" ref="J20:O20" ca="1" si="22">IF(J$19=J324,"","↑error")</f>
        <v/>
      </c>
      <c r="K20" s="526" t="str">
        <f t="shared" ca="1" si="22"/>
        <v/>
      </c>
      <c r="L20" s="526" t="str">
        <f t="shared" ca="1" si="22"/>
        <v/>
      </c>
      <c r="M20" s="526" t="str">
        <f t="shared" ca="1" si="22"/>
        <v/>
      </c>
      <c r="N20" s="526" t="str">
        <f t="shared" ca="1" si="22"/>
        <v/>
      </c>
      <c r="O20" s="526" t="str">
        <f t="shared" ca="1" si="22"/>
        <v/>
      </c>
      <c r="P20" s="544"/>
    </row>
    <row r="21" spans="1:24" s="428" customFormat="1" ht="13.5" customHeight="1">
      <c r="A21" s="432" t="s">
        <v>256</v>
      </c>
      <c r="B21" s="406"/>
      <c r="C21" s="433"/>
      <c r="D21" s="406"/>
      <c r="E21" s="2633" t="s">
        <v>257</v>
      </c>
      <c r="F21" s="434"/>
      <c r="G21" s="466" t="s">
        <v>258</v>
      </c>
      <c r="H21" s="527" t="s">
        <v>259</v>
      </c>
      <c r="I21" s="527" t="s">
        <v>259</v>
      </c>
      <c r="J21" s="527" t="s">
        <v>259</v>
      </c>
      <c r="K21" s="527" t="s">
        <v>259</v>
      </c>
      <c r="L21" s="527" t="s">
        <v>259</v>
      </c>
      <c r="M21" s="527" t="s">
        <v>259</v>
      </c>
      <c r="N21" s="527" t="s">
        <v>259</v>
      </c>
      <c r="O21" s="527" t="s">
        <v>259</v>
      </c>
      <c r="P21" s="544"/>
    </row>
    <row r="22" spans="1:24" s="428" customFormat="1" ht="13.5" customHeight="1">
      <c r="A22" s="411"/>
      <c r="B22" s="2630" t="s">
        <v>260</v>
      </c>
      <c r="C22" s="2631"/>
      <c r="D22" s="2632"/>
      <c r="E22" s="2634"/>
      <c r="F22" s="435"/>
      <c r="G22" s="467" t="s">
        <v>261</v>
      </c>
      <c r="H22" s="550" t="s">
        <v>262</v>
      </c>
      <c r="I22" s="550" t="s">
        <v>262</v>
      </c>
      <c r="J22" s="550" t="s">
        <v>262</v>
      </c>
      <c r="K22" s="550" t="s">
        <v>262</v>
      </c>
      <c r="L22" s="550" t="s">
        <v>262</v>
      </c>
      <c r="M22" s="550" t="s">
        <v>262</v>
      </c>
      <c r="N22" s="550" t="s">
        <v>262</v>
      </c>
      <c r="O22" s="550" t="s">
        <v>262</v>
      </c>
      <c r="P22" s="544"/>
    </row>
    <row r="23" spans="1:24" ht="13.5" customHeight="1">
      <c r="A23" s="424"/>
      <c r="B23" s="436"/>
      <c r="C23" s="2112" t="s">
        <v>263</v>
      </c>
      <c r="D23" s="437" t="s">
        <v>264</v>
      </c>
      <c r="E23" s="476">
        <v>38</v>
      </c>
      <c r="F23" s="438" t="s">
        <v>265</v>
      </c>
      <c r="G23" s="439">
        <f t="shared" ref="G23:G49" ca="1" si="23">SUM(H23:P23)</f>
        <v>209184286</v>
      </c>
      <c r="H23" s="528">
        <f t="shared" ref="H23:I23" ca="1" si="24">IF(H$4="費用",0,H11-SUM(H24:H48)-H87-H69)</f>
        <v>16542359</v>
      </c>
      <c r="I23" s="528">
        <f t="shared" ca="1" si="24"/>
        <v>20070180</v>
      </c>
      <c r="J23" s="528">
        <f t="shared" ref="J23:O23" ca="1" si="25">IF(J$4="費用",0,J11-SUM(J24:J48)-J87-J69)</f>
        <v>1348134</v>
      </c>
      <c r="K23" s="528">
        <f t="shared" ca="1" si="25"/>
        <v>48449340</v>
      </c>
      <c r="L23" s="528">
        <f t="shared" ca="1" si="25"/>
        <v>8194560</v>
      </c>
      <c r="M23" s="528">
        <f t="shared" ca="1" si="25"/>
        <v>24967643</v>
      </c>
      <c r="N23" s="528">
        <f t="shared" ca="1" si="25"/>
        <v>25654380</v>
      </c>
      <c r="O23" s="528">
        <f t="shared" ca="1" si="25"/>
        <v>63957690</v>
      </c>
    </row>
    <row r="24" spans="1:24" ht="13.5" customHeight="1">
      <c r="A24" s="424"/>
      <c r="B24" s="425"/>
      <c r="C24" s="2113" t="s">
        <v>266</v>
      </c>
      <c r="D24" s="2114" t="s">
        <v>264</v>
      </c>
      <c r="E24" s="2115">
        <v>34</v>
      </c>
      <c r="F24" s="2116" t="s">
        <v>267</v>
      </c>
      <c r="G24" s="2117">
        <f t="shared" si="23"/>
        <v>0</v>
      </c>
      <c r="H24" s="2118"/>
      <c r="I24" s="2118"/>
      <c r="J24" s="2118"/>
      <c r="K24" s="2118"/>
      <c r="L24" s="2118"/>
      <c r="M24" s="2118"/>
      <c r="N24" s="2118"/>
      <c r="O24" s="2118"/>
    </row>
    <row r="25" spans="1:24" ht="13.5" customHeight="1">
      <c r="A25" s="424"/>
      <c r="B25" s="425"/>
      <c r="C25" s="2112" t="s">
        <v>268</v>
      </c>
      <c r="D25" s="2114" t="s">
        <v>264</v>
      </c>
      <c r="E25" s="2115">
        <v>31</v>
      </c>
      <c r="F25" s="2116" t="s">
        <v>269</v>
      </c>
      <c r="G25" s="2117">
        <f t="shared" si="23"/>
        <v>0</v>
      </c>
      <c r="H25" s="2118"/>
      <c r="I25" s="2118"/>
      <c r="J25" s="2118"/>
      <c r="K25" s="2118"/>
      <c r="L25" s="2118"/>
      <c r="M25" s="2118"/>
      <c r="N25" s="2118"/>
      <c r="O25" s="2118"/>
    </row>
    <row r="26" spans="1:24" ht="13.5" customHeight="1">
      <c r="A26" s="424"/>
      <c r="B26" s="425"/>
      <c r="C26" s="2113" t="s">
        <v>270</v>
      </c>
      <c r="D26" s="2114" t="s">
        <v>264</v>
      </c>
      <c r="E26" s="2115">
        <v>25</v>
      </c>
      <c r="F26" s="2116" t="s">
        <v>271</v>
      </c>
      <c r="G26" s="2117">
        <f t="shared" si="23"/>
        <v>0</v>
      </c>
      <c r="H26" s="2118"/>
      <c r="I26" s="2118"/>
      <c r="J26" s="2118"/>
      <c r="K26" s="2118"/>
      <c r="L26" s="2118"/>
      <c r="M26" s="2118"/>
      <c r="N26" s="2118"/>
      <c r="O26" s="2118"/>
    </row>
    <row r="27" spans="1:24" ht="13.5" customHeight="1">
      <c r="A27" s="424"/>
      <c r="B27" s="425"/>
      <c r="C27" s="2112" t="s">
        <v>272</v>
      </c>
      <c r="D27" s="2114" t="s">
        <v>264</v>
      </c>
      <c r="E27" s="2115">
        <v>19</v>
      </c>
      <c r="F27" s="2116" t="s">
        <v>273</v>
      </c>
      <c r="G27" s="2117">
        <f t="shared" si="23"/>
        <v>0</v>
      </c>
      <c r="H27" s="2118"/>
      <c r="I27" s="2118"/>
      <c r="J27" s="2118"/>
      <c r="K27" s="2118"/>
      <c r="L27" s="2118"/>
      <c r="M27" s="2118"/>
      <c r="N27" s="2118"/>
      <c r="O27" s="2118"/>
    </row>
    <row r="28" spans="1:24" ht="13.5" customHeight="1">
      <c r="A28" s="424"/>
      <c r="B28" s="425"/>
      <c r="C28" s="2113" t="s">
        <v>274</v>
      </c>
      <c r="D28" s="2114" t="s">
        <v>264</v>
      </c>
      <c r="E28" s="2115">
        <v>17</v>
      </c>
      <c r="F28" s="2116" t="s">
        <v>275</v>
      </c>
      <c r="G28" s="2117">
        <f t="shared" si="23"/>
        <v>0</v>
      </c>
      <c r="H28" s="2118"/>
      <c r="I28" s="2118"/>
      <c r="J28" s="2118"/>
      <c r="K28" s="2118"/>
      <c r="L28" s="2118"/>
      <c r="M28" s="2118"/>
      <c r="N28" s="2118"/>
      <c r="O28" s="2118"/>
    </row>
    <row r="29" spans="1:24" ht="13.5" customHeight="1">
      <c r="A29" s="424"/>
      <c r="B29" s="425"/>
      <c r="C29" s="2112" t="s">
        <v>276</v>
      </c>
      <c r="D29" s="2114" t="s">
        <v>264</v>
      </c>
      <c r="E29" s="2115">
        <v>15</v>
      </c>
      <c r="F29" s="2116" t="s">
        <v>277</v>
      </c>
      <c r="G29" s="2117">
        <f t="shared" si="23"/>
        <v>0</v>
      </c>
      <c r="H29" s="2118"/>
      <c r="I29" s="2118"/>
      <c r="J29" s="2118"/>
      <c r="K29" s="2118"/>
      <c r="L29" s="2118"/>
      <c r="M29" s="2118"/>
      <c r="N29" s="2118"/>
      <c r="O29" s="2118"/>
    </row>
    <row r="30" spans="1:24" ht="13.5" customHeight="1">
      <c r="A30" s="424"/>
      <c r="B30" s="425"/>
      <c r="C30" s="2113" t="s">
        <v>278</v>
      </c>
      <c r="D30" s="2114" t="s">
        <v>264</v>
      </c>
      <c r="E30" s="2115">
        <v>10</v>
      </c>
      <c r="F30" s="2116" t="s">
        <v>279</v>
      </c>
      <c r="G30" s="2117">
        <f t="shared" si="23"/>
        <v>0</v>
      </c>
      <c r="H30" s="2118"/>
      <c r="I30" s="2118"/>
      <c r="J30" s="2118"/>
      <c r="K30" s="2118"/>
      <c r="L30" s="2118"/>
      <c r="M30" s="2118"/>
      <c r="N30" s="2118"/>
      <c r="O30" s="2118"/>
    </row>
    <row r="31" spans="1:24" ht="13.5" customHeight="1">
      <c r="A31" s="424"/>
      <c r="B31" s="425"/>
      <c r="C31" s="2112" t="s">
        <v>280</v>
      </c>
      <c r="D31" s="2114" t="s">
        <v>264</v>
      </c>
      <c r="E31" s="2115">
        <v>7</v>
      </c>
      <c r="F31" s="2116" t="s">
        <v>281</v>
      </c>
      <c r="G31" s="2117">
        <f t="shared" si="23"/>
        <v>0</v>
      </c>
      <c r="H31" s="2118"/>
      <c r="I31" s="2118"/>
      <c r="J31" s="2118"/>
      <c r="K31" s="2118"/>
      <c r="L31" s="2118"/>
      <c r="M31" s="2118"/>
      <c r="N31" s="2118"/>
      <c r="O31" s="2118"/>
    </row>
    <row r="32" spans="1:24" s="445" customFormat="1" ht="13.5" customHeight="1">
      <c r="A32" s="424"/>
      <c r="B32" s="425"/>
      <c r="C32" s="2113" t="s">
        <v>282</v>
      </c>
      <c r="D32" s="2119" t="s">
        <v>283</v>
      </c>
      <c r="E32" s="2115">
        <v>6</v>
      </c>
      <c r="F32" s="2120" t="s">
        <v>284</v>
      </c>
      <c r="G32" s="2121">
        <f t="shared" si="23"/>
        <v>0</v>
      </c>
      <c r="H32" s="2122"/>
      <c r="I32" s="2122"/>
      <c r="J32" s="2122"/>
      <c r="K32" s="2122"/>
      <c r="L32" s="2122"/>
      <c r="M32" s="2122"/>
      <c r="N32" s="2122"/>
      <c r="O32" s="2122"/>
    </row>
    <row r="33" spans="1:16" s="445" customFormat="1" ht="13.5" customHeight="1">
      <c r="A33" s="424"/>
      <c r="B33" s="425"/>
      <c r="C33" s="2112" t="s">
        <v>285</v>
      </c>
      <c r="D33" s="2119" t="s">
        <v>283</v>
      </c>
      <c r="E33" s="2115">
        <v>15</v>
      </c>
      <c r="F33" s="2120" t="s">
        <v>286</v>
      </c>
      <c r="G33" s="2121">
        <f t="shared" si="23"/>
        <v>0</v>
      </c>
      <c r="H33" s="2122"/>
      <c r="I33" s="2122"/>
      <c r="J33" s="2122"/>
      <c r="K33" s="2122"/>
      <c r="L33" s="2122"/>
      <c r="M33" s="2122"/>
      <c r="N33" s="2122"/>
      <c r="O33" s="2122"/>
    </row>
    <row r="34" spans="1:16" s="445" customFormat="1" ht="13.5" customHeight="1">
      <c r="A34" s="424"/>
      <c r="B34" s="425"/>
      <c r="C34" s="2113" t="s">
        <v>287</v>
      </c>
      <c r="D34" s="2119" t="s">
        <v>283</v>
      </c>
      <c r="E34" s="2115">
        <v>15</v>
      </c>
      <c r="F34" s="2120" t="s">
        <v>288</v>
      </c>
      <c r="G34" s="2121">
        <f t="shared" si="23"/>
        <v>0</v>
      </c>
      <c r="H34" s="2122"/>
      <c r="I34" s="2122"/>
      <c r="J34" s="2122"/>
      <c r="K34" s="2122"/>
      <c r="L34" s="2122"/>
      <c r="M34" s="2122"/>
      <c r="N34" s="2122"/>
      <c r="O34" s="2122"/>
    </row>
    <row r="35" spans="1:16" s="445" customFormat="1" ht="13.5" customHeight="1">
      <c r="A35" s="424"/>
      <c r="B35" s="425"/>
      <c r="C35" s="2112" t="s">
        <v>289</v>
      </c>
      <c r="D35" s="2119" t="s">
        <v>283</v>
      </c>
      <c r="E35" s="2115">
        <v>13</v>
      </c>
      <c r="F35" s="2120" t="s">
        <v>290</v>
      </c>
      <c r="G35" s="2121">
        <f t="shared" si="23"/>
        <v>0</v>
      </c>
      <c r="H35" s="2122"/>
      <c r="I35" s="2122"/>
      <c r="J35" s="2122"/>
      <c r="K35" s="2122"/>
      <c r="L35" s="2122"/>
      <c r="M35" s="2122"/>
      <c r="N35" s="2122"/>
      <c r="O35" s="2122"/>
    </row>
    <row r="36" spans="1:16" s="445" customFormat="1" ht="13.5" customHeight="1">
      <c r="A36" s="424"/>
      <c r="B36" s="425"/>
      <c r="C36" s="2113" t="s">
        <v>291</v>
      </c>
      <c r="D36" s="2119" t="s">
        <v>283</v>
      </c>
      <c r="E36" s="2115">
        <v>15</v>
      </c>
      <c r="F36" s="2120" t="s">
        <v>292</v>
      </c>
      <c r="G36" s="2121">
        <f t="shared" si="23"/>
        <v>0</v>
      </c>
      <c r="H36" s="2122"/>
      <c r="I36" s="2122"/>
      <c r="J36" s="2122"/>
      <c r="K36" s="2122"/>
      <c r="L36" s="2122"/>
      <c r="M36" s="2122"/>
      <c r="N36" s="2122"/>
      <c r="O36" s="2122"/>
    </row>
    <row r="37" spans="1:16" s="445" customFormat="1" ht="13.5" customHeight="1">
      <c r="A37" s="424"/>
      <c r="B37" s="425"/>
      <c r="C37" s="2112" t="s">
        <v>293</v>
      </c>
      <c r="D37" s="2119" t="s">
        <v>283</v>
      </c>
      <c r="E37" s="2115">
        <v>17</v>
      </c>
      <c r="F37" s="2120" t="s">
        <v>294</v>
      </c>
      <c r="G37" s="2121">
        <f t="shared" si="23"/>
        <v>0</v>
      </c>
      <c r="H37" s="2122"/>
      <c r="I37" s="2122"/>
      <c r="J37" s="2122"/>
      <c r="K37" s="2122"/>
      <c r="L37" s="2122"/>
      <c r="M37" s="2122"/>
      <c r="N37" s="2122"/>
      <c r="O37" s="2122"/>
    </row>
    <row r="38" spans="1:16" s="445" customFormat="1" ht="13.5" customHeight="1">
      <c r="A38" s="424"/>
      <c r="B38" s="425"/>
      <c r="C38" s="2113" t="s">
        <v>295</v>
      </c>
      <c r="D38" s="2119" t="s">
        <v>283</v>
      </c>
      <c r="E38" s="2115">
        <v>15</v>
      </c>
      <c r="F38" s="2120" t="s">
        <v>296</v>
      </c>
      <c r="G38" s="2121">
        <f t="shared" si="23"/>
        <v>0</v>
      </c>
      <c r="H38" s="2122"/>
      <c r="I38" s="2122"/>
      <c r="J38" s="2122"/>
      <c r="K38" s="2122"/>
      <c r="L38" s="2122"/>
      <c r="M38" s="2122"/>
      <c r="N38" s="2122"/>
      <c r="O38" s="2122"/>
    </row>
    <row r="39" spans="1:16" ht="13.5" customHeight="1">
      <c r="A39" s="424"/>
      <c r="B39" s="425"/>
      <c r="C39" s="2112" t="s">
        <v>297</v>
      </c>
      <c r="D39" s="2114"/>
      <c r="E39" s="2115">
        <v>8</v>
      </c>
      <c r="F39" s="2116" t="s">
        <v>298</v>
      </c>
      <c r="G39" s="2117">
        <f t="shared" si="23"/>
        <v>0</v>
      </c>
      <c r="H39" s="2118"/>
      <c r="I39" s="2118"/>
      <c r="J39" s="2118"/>
      <c r="K39" s="2118"/>
      <c r="L39" s="2118"/>
      <c r="M39" s="2118"/>
      <c r="N39" s="2118"/>
      <c r="O39" s="2118"/>
    </row>
    <row r="40" spans="1:16" ht="13.5" customHeight="1">
      <c r="A40" s="424"/>
      <c r="B40" s="425"/>
      <c r="C40" s="2113" t="s">
        <v>299</v>
      </c>
      <c r="D40" s="2114" t="s">
        <v>300</v>
      </c>
      <c r="E40" s="2115">
        <v>12</v>
      </c>
      <c r="F40" s="2116" t="s">
        <v>301</v>
      </c>
      <c r="G40" s="2117">
        <f t="shared" si="23"/>
        <v>0</v>
      </c>
      <c r="H40" s="2118"/>
      <c r="I40" s="2118"/>
      <c r="J40" s="2118"/>
      <c r="K40" s="2118"/>
      <c r="L40" s="2118"/>
      <c r="M40" s="2118"/>
      <c r="N40" s="2118"/>
      <c r="O40" s="2118"/>
    </row>
    <row r="41" spans="1:16" ht="13.5" customHeight="1">
      <c r="A41" s="424"/>
      <c r="B41" s="425"/>
      <c r="C41" s="2112" t="s">
        <v>302</v>
      </c>
      <c r="D41" s="2114" t="s">
        <v>300</v>
      </c>
      <c r="E41" s="2115">
        <v>15</v>
      </c>
      <c r="F41" s="2116" t="s">
        <v>303</v>
      </c>
      <c r="G41" s="2117">
        <f t="shared" si="23"/>
        <v>0</v>
      </c>
      <c r="H41" s="2118"/>
      <c r="I41" s="2118"/>
      <c r="J41" s="2118"/>
      <c r="K41" s="2118"/>
      <c r="L41" s="2118"/>
      <c r="M41" s="2118"/>
      <c r="N41" s="2118"/>
      <c r="O41" s="2118"/>
    </row>
    <row r="42" spans="1:16" ht="13.5" customHeight="1">
      <c r="A42" s="424"/>
      <c r="B42" s="425"/>
      <c r="C42" s="2113" t="s">
        <v>304</v>
      </c>
      <c r="D42" s="2114" t="s">
        <v>300</v>
      </c>
      <c r="E42" s="2115">
        <v>8</v>
      </c>
      <c r="F42" s="2116" t="s">
        <v>305</v>
      </c>
      <c r="G42" s="2117">
        <f t="shared" si="23"/>
        <v>0</v>
      </c>
      <c r="H42" s="2118"/>
      <c r="I42" s="2118"/>
      <c r="J42" s="2118"/>
      <c r="K42" s="2118"/>
      <c r="L42" s="2118"/>
      <c r="M42" s="2118"/>
      <c r="N42" s="2118"/>
      <c r="O42" s="2118"/>
    </row>
    <row r="43" spans="1:16" ht="13.5" customHeight="1">
      <c r="A43" s="424"/>
      <c r="B43" s="425"/>
      <c r="C43" s="2112" t="s">
        <v>306</v>
      </c>
      <c r="D43" s="2114" t="s">
        <v>300</v>
      </c>
      <c r="E43" s="2115">
        <v>3</v>
      </c>
      <c r="F43" s="2116" t="s">
        <v>307</v>
      </c>
      <c r="G43" s="2117">
        <f t="shared" ca="1" si="23"/>
        <v>0</v>
      </c>
      <c r="H43" s="2122">
        <f t="shared" ref="H43:O43" ca="1" si="26">SUMIF(INDIRECT(H$3&amp;"!$ｎ:$ｎ"),"店舗用簡易設備",INDIRECT(H$3&amp;"!$i:$i"))</f>
        <v>0</v>
      </c>
      <c r="I43" s="2122">
        <f t="shared" ca="1" si="26"/>
        <v>0</v>
      </c>
      <c r="J43" s="2122">
        <f t="shared" ca="1" si="26"/>
        <v>0</v>
      </c>
      <c r="K43" s="2122">
        <f t="shared" ca="1" si="26"/>
        <v>0</v>
      </c>
      <c r="L43" s="2122">
        <f t="shared" ca="1" si="26"/>
        <v>0</v>
      </c>
      <c r="M43" s="2122">
        <f t="shared" ca="1" si="26"/>
        <v>0</v>
      </c>
      <c r="N43" s="2122">
        <f t="shared" ca="1" si="26"/>
        <v>0</v>
      </c>
      <c r="O43" s="2122">
        <f t="shared" ca="1" si="26"/>
        <v>0</v>
      </c>
    </row>
    <row r="44" spans="1:16" ht="13.5" customHeight="1">
      <c r="A44" s="424"/>
      <c r="B44" s="425"/>
      <c r="C44" s="2113" t="s">
        <v>308</v>
      </c>
      <c r="D44" s="2114" t="s">
        <v>300</v>
      </c>
      <c r="E44" s="2115">
        <v>3</v>
      </c>
      <c r="F44" s="2116" t="s">
        <v>309</v>
      </c>
      <c r="G44" s="2117">
        <f t="shared" ca="1" si="23"/>
        <v>0</v>
      </c>
      <c r="H44" s="2122">
        <f t="shared" ref="H44:O44" ca="1" si="27">SUMIF(INDIRECT(H$3&amp;"!$ｎ:$ｎ"),"可動間仕切り-簡易なもの",INDIRECT(H$3&amp;"!$i:$i"))</f>
        <v>0</v>
      </c>
      <c r="I44" s="2122">
        <f t="shared" ca="1" si="27"/>
        <v>0</v>
      </c>
      <c r="J44" s="2122">
        <f t="shared" ca="1" si="27"/>
        <v>0</v>
      </c>
      <c r="K44" s="2122">
        <f t="shared" ca="1" si="27"/>
        <v>0</v>
      </c>
      <c r="L44" s="2122">
        <f t="shared" ca="1" si="27"/>
        <v>0</v>
      </c>
      <c r="M44" s="2122">
        <f t="shared" ca="1" si="27"/>
        <v>0</v>
      </c>
      <c r="N44" s="2122">
        <f t="shared" ca="1" si="27"/>
        <v>0</v>
      </c>
      <c r="O44" s="2122">
        <f t="shared" ca="1" si="27"/>
        <v>0</v>
      </c>
    </row>
    <row r="45" spans="1:16" ht="13.5" customHeight="1">
      <c r="A45" s="424"/>
      <c r="B45" s="436"/>
      <c r="C45" s="2112" t="s">
        <v>310</v>
      </c>
      <c r="D45" s="2114" t="s">
        <v>300</v>
      </c>
      <c r="E45" s="2115">
        <v>15</v>
      </c>
      <c r="F45" s="2116" t="s">
        <v>311</v>
      </c>
      <c r="G45" s="2117">
        <f t="shared" ca="1" si="23"/>
        <v>0</v>
      </c>
      <c r="H45" s="2122">
        <f t="shared" ref="H45:O45" ca="1" si="28">SUMIF(INDIRECT(H$3&amp;"!$ｎ:$ｎ"),"可動間仕切り-その他",INDIRECT(H$3&amp;"!$i:$i"))</f>
        <v>0</v>
      </c>
      <c r="I45" s="2122">
        <f t="shared" ca="1" si="28"/>
        <v>0</v>
      </c>
      <c r="J45" s="2122">
        <f t="shared" ca="1" si="28"/>
        <v>0</v>
      </c>
      <c r="K45" s="2122">
        <f t="shared" ca="1" si="28"/>
        <v>0</v>
      </c>
      <c r="L45" s="2122">
        <f t="shared" ca="1" si="28"/>
        <v>0</v>
      </c>
      <c r="M45" s="2122">
        <f t="shared" ca="1" si="28"/>
        <v>0</v>
      </c>
      <c r="N45" s="2122">
        <f t="shared" ca="1" si="28"/>
        <v>0</v>
      </c>
      <c r="O45" s="2122">
        <f t="shared" ca="1" si="28"/>
        <v>0</v>
      </c>
    </row>
    <row r="46" spans="1:16" ht="13.5" customHeight="1">
      <c r="A46" s="424"/>
      <c r="B46" s="425"/>
      <c r="C46" s="2113" t="s">
        <v>312</v>
      </c>
      <c r="D46" s="2114" t="s">
        <v>300</v>
      </c>
      <c r="E46" s="2115">
        <v>18</v>
      </c>
      <c r="F46" s="2116" t="s">
        <v>313</v>
      </c>
      <c r="G46" s="2117">
        <f t="shared" ca="1" si="23"/>
        <v>0</v>
      </c>
      <c r="H46" s="2122">
        <f t="shared" ref="H46:O46" ca="1" si="29">SUMIF(INDIRECT(H$3&amp;"!$ｎ:$ｎ"),"シャッター等（金属製）",INDIRECT(H$3&amp;"!$i:$i"))</f>
        <v>0</v>
      </c>
      <c r="I46" s="2122">
        <f t="shared" ca="1" si="29"/>
        <v>0</v>
      </c>
      <c r="J46" s="2122">
        <f t="shared" ca="1" si="29"/>
        <v>0</v>
      </c>
      <c r="K46" s="2122">
        <f t="shared" ca="1" si="29"/>
        <v>0</v>
      </c>
      <c r="L46" s="2122">
        <f t="shared" ca="1" si="29"/>
        <v>0</v>
      </c>
      <c r="M46" s="2122">
        <f t="shared" ca="1" si="29"/>
        <v>0</v>
      </c>
      <c r="N46" s="2122">
        <f t="shared" ca="1" si="29"/>
        <v>0</v>
      </c>
      <c r="O46" s="2122">
        <f t="shared" ca="1" si="29"/>
        <v>0</v>
      </c>
    </row>
    <row r="47" spans="1:16" ht="13.5" customHeight="1">
      <c r="A47" s="424"/>
      <c r="B47" s="425"/>
      <c r="C47" s="2112" t="s">
        <v>314</v>
      </c>
      <c r="D47" s="2114" t="s">
        <v>300</v>
      </c>
      <c r="E47" s="2123">
        <v>10</v>
      </c>
      <c r="F47" s="2116" t="s">
        <v>315</v>
      </c>
      <c r="G47" s="2117">
        <f t="shared" ca="1" si="23"/>
        <v>0</v>
      </c>
      <c r="H47" s="2122">
        <f t="shared" ref="H47:O47" ca="1" si="30">SUMIF(INDIRECT(H$3&amp;"!$ｎ:$ｎ"),"シャッター等（その他）",INDIRECT(H$3&amp;"!$i:$i"))</f>
        <v>0</v>
      </c>
      <c r="I47" s="2122">
        <f t="shared" ca="1" si="30"/>
        <v>0</v>
      </c>
      <c r="J47" s="2122">
        <f t="shared" ca="1" si="30"/>
        <v>0</v>
      </c>
      <c r="K47" s="2122">
        <f t="shared" ca="1" si="30"/>
        <v>0</v>
      </c>
      <c r="L47" s="2122">
        <f t="shared" ca="1" si="30"/>
        <v>0</v>
      </c>
      <c r="M47" s="2122">
        <f t="shared" ca="1" si="30"/>
        <v>0</v>
      </c>
      <c r="N47" s="2122">
        <f t="shared" ca="1" si="30"/>
        <v>0</v>
      </c>
      <c r="O47" s="2122">
        <f t="shared" ca="1" si="30"/>
        <v>0</v>
      </c>
    </row>
    <row r="48" spans="1:16" ht="13.5" customHeight="1">
      <c r="A48" s="424"/>
      <c r="B48" s="425"/>
      <c r="C48" s="2124"/>
      <c r="D48" s="2125"/>
      <c r="E48" s="2126"/>
      <c r="F48" s="2127"/>
      <c r="G48" s="2128">
        <f t="shared" si="23"/>
        <v>0</v>
      </c>
      <c r="H48" s="2118"/>
      <c r="I48" s="2118"/>
      <c r="J48" s="2118"/>
      <c r="K48" s="2118"/>
      <c r="L48" s="2118"/>
      <c r="M48" s="2118"/>
      <c r="N48" s="2118"/>
      <c r="O48" s="2118"/>
    </row>
    <row r="49" spans="1:16" ht="13.5" customHeight="1">
      <c r="A49" s="440"/>
      <c r="B49" s="441"/>
      <c r="C49" s="441"/>
      <c r="D49" s="441"/>
      <c r="E49" s="515"/>
      <c r="F49" s="494" t="s">
        <v>316</v>
      </c>
      <c r="G49" s="443">
        <f t="shared" ca="1" si="23"/>
        <v>209184286</v>
      </c>
      <c r="H49" s="529">
        <f t="shared" ref="H49:I49" ca="1" si="31">IF(H$4="費用",0,SUM(H23:H48))</f>
        <v>16542359</v>
      </c>
      <c r="I49" s="529">
        <f t="shared" ca="1" si="31"/>
        <v>20070180</v>
      </c>
      <c r="J49" s="529">
        <f t="shared" ref="J49:O49" ca="1" si="32">IF(J$4="費用",0,SUM(J23:J48))</f>
        <v>1348134</v>
      </c>
      <c r="K49" s="529">
        <f t="shared" ca="1" si="32"/>
        <v>48449340</v>
      </c>
      <c r="L49" s="529">
        <f t="shared" ca="1" si="32"/>
        <v>8194560</v>
      </c>
      <c r="M49" s="529">
        <f t="shared" ca="1" si="32"/>
        <v>24967643</v>
      </c>
      <c r="N49" s="529">
        <f t="shared" ca="1" si="32"/>
        <v>25654380</v>
      </c>
      <c r="O49" s="529">
        <f t="shared" ca="1" si="32"/>
        <v>63957690</v>
      </c>
    </row>
    <row r="50" spans="1:16" s="428" customFormat="1" ht="13.5" customHeight="1">
      <c r="A50" s="432" t="s">
        <v>317</v>
      </c>
      <c r="B50" s="406"/>
      <c r="C50" s="433"/>
      <c r="D50" s="406"/>
      <c r="E50" s="2633" t="s">
        <v>257</v>
      </c>
      <c r="F50" s="434"/>
      <c r="G50" s="466" t="s">
        <v>258</v>
      </c>
      <c r="H50" s="527" t="s">
        <v>318</v>
      </c>
      <c r="I50" s="527" t="s">
        <v>318</v>
      </c>
      <c r="J50" s="527" t="s">
        <v>318</v>
      </c>
      <c r="K50" s="527" t="s">
        <v>318</v>
      </c>
      <c r="L50" s="527" t="s">
        <v>318</v>
      </c>
      <c r="M50" s="527" t="s">
        <v>318</v>
      </c>
      <c r="N50" s="527" t="s">
        <v>318</v>
      </c>
      <c r="O50" s="527" t="s">
        <v>318</v>
      </c>
      <c r="P50" s="544"/>
    </row>
    <row r="51" spans="1:16" s="428" customFormat="1" ht="13.5" customHeight="1">
      <c r="A51" s="411"/>
      <c r="B51" s="2630" t="s">
        <v>260</v>
      </c>
      <c r="C51" s="2631"/>
      <c r="D51" s="2632"/>
      <c r="E51" s="2634"/>
      <c r="F51" s="435"/>
      <c r="G51" s="467" t="s">
        <v>319</v>
      </c>
      <c r="H51" s="530" t="s">
        <v>320</v>
      </c>
      <c r="I51" s="530" t="s">
        <v>320</v>
      </c>
      <c r="J51" s="530" t="s">
        <v>320</v>
      </c>
      <c r="K51" s="530" t="s">
        <v>320</v>
      </c>
      <c r="L51" s="530" t="s">
        <v>320</v>
      </c>
      <c r="M51" s="530" t="s">
        <v>320</v>
      </c>
      <c r="N51" s="530" t="s">
        <v>320</v>
      </c>
      <c r="O51" s="530" t="s">
        <v>320</v>
      </c>
      <c r="P51" s="544"/>
    </row>
    <row r="52" spans="1:16" ht="13.5" customHeight="1">
      <c r="A52" s="424"/>
      <c r="B52" s="436"/>
      <c r="C52" s="437" t="s">
        <v>321</v>
      </c>
      <c r="D52" s="437"/>
      <c r="E52" s="476">
        <v>32</v>
      </c>
      <c r="F52" s="438"/>
      <c r="G52" s="2117">
        <f>SUM(H52:P52)</f>
        <v>0</v>
      </c>
      <c r="H52" s="2122">
        <f t="shared" ref="H52:I52" si="33">SUM(H53:H54)</f>
        <v>0</v>
      </c>
      <c r="I52" s="2122">
        <f t="shared" si="33"/>
        <v>0</v>
      </c>
      <c r="J52" s="2122">
        <f t="shared" ref="J52:O52" si="34">SUM(J53:J54)</f>
        <v>0</v>
      </c>
      <c r="K52" s="2122">
        <f t="shared" si="34"/>
        <v>0</v>
      </c>
      <c r="L52" s="2122">
        <f t="shared" si="34"/>
        <v>0</v>
      </c>
      <c r="M52" s="2122">
        <f t="shared" si="34"/>
        <v>0</v>
      </c>
      <c r="N52" s="2122">
        <f t="shared" si="34"/>
        <v>0</v>
      </c>
      <c r="O52" s="2122">
        <f t="shared" si="34"/>
        <v>0</v>
      </c>
    </row>
    <row r="53" spans="1:16" ht="13.5" customHeight="1">
      <c r="A53" s="424"/>
      <c r="B53" s="425"/>
      <c r="C53" s="2113" t="s">
        <v>263</v>
      </c>
      <c r="D53" s="2114" t="s">
        <v>322</v>
      </c>
      <c r="E53" s="2115"/>
      <c r="F53" s="2116" t="s">
        <v>323</v>
      </c>
      <c r="G53" s="2117"/>
      <c r="H53" s="2118"/>
      <c r="I53" s="2118"/>
      <c r="J53" s="2118"/>
      <c r="K53" s="2118"/>
      <c r="L53" s="2118"/>
      <c r="M53" s="2118"/>
      <c r="N53" s="2118"/>
      <c r="O53" s="2118"/>
    </row>
    <row r="54" spans="1:16" ht="13.5" customHeight="1">
      <c r="A54" s="424"/>
      <c r="B54" s="425"/>
      <c r="C54" s="2129" t="s">
        <v>324</v>
      </c>
      <c r="D54" s="2130" t="s">
        <v>325</v>
      </c>
      <c r="E54" s="2131"/>
      <c r="F54" s="2132" t="s">
        <v>325</v>
      </c>
      <c r="G54" s="2133"/>
      <c r="H54" s="2134"/>
      <c r="I54" s="2134"/>
      <c r="J54" s="2134"/>
      <c r="K54" s="2134"/>
      <c r="L54" s="2134"/>
      <c r="M54" s="2134"/>
      <c r="N54" s="2134"/>
      <c r="O54" s="2134"/>
    </row>
    <row r="55" spans="1:16" ht="13.5" customHeight="1">
      <c r="A55" s="424"/>
      <c r="B55" s="425"/>
      <c r="C55" s="559"/>
      <c r="D55" s="560"/>
      <c r="E55" s="561"/>
      <c r="F55" s="562"/>
      <c r="G55" s="563" t="s">
        <v>258</v>
      </c>
      <c r="H55" s="564" t="s">
        <v>318</v>
      </c>
      <c r="I55" s="564" t="s">
        <v>318</v>
      </c>
      <c r="J55" s="564" t="s">
        <v>318</v>
      </c>
      <c r="K55" s="564" t="s">
        <v>318</v>
      </c>
      <c r="L55" s="564" t="s">
        <v>318</v>
      </c>
      <c r="M55" s="564" t="s">
        <v>318</v>
      </c>
      <c r="N55" s="564" t="s">
        <v>318</v>
      </c>
      <c r="O55" s="564" t="s">
        <v>318</v>
      </c>
    </row>
    <row r="56" spans="1:16" ht="13.5" customHeight="1">
      <c r="A56" s="424"/>
      <c r="B56" s="425"/>
      <c r="C56" s="497"/>
      <c r="D56" s="498"/>
      <c r="E56" s="499"/>
      <c r="F56" s="500"/>
      <c r="G56" s="467" t="s">
        <v>261</v>
      </c>
      <c r="H56" s="553"/>
      <c r="I56" s="553"/>
      <c r="J56" s="553"/>
      <c r="K56" s="553"/>
      <c r="L56" s="553"/>
      <c r="M56" s="553"/>
      <c r="N56" s="553"/>
      <c r="O56" s="553"/>
    </row>
    <row r="57" spans="1:16" ht="13.5" customHeight="1">
      <c r="A57" s="424"/>
      <c r="B57" s="425"/>
      <c r="C57" s="491" t="s">
        <v>326</v>
      </c>
      <c r="D57" s="491"/>
      <c r="E57" s="492"/>
      <c r="F57" s="493"/>
      <c r="G57" s="495"/>
      <c r="H57" s="531"/>
      <c r="I57" s="531"/>
      <c r="J57" s="531"/>
      <c r="K57" s="531"/>
      <c r="L57" s="531"/>
      <c r="M57" s="531"/>
      <c r="N57" s="531"/>
      <c r="O57" s="531"/>
    </row>
    <row r="58" spans="1:16" ht="13.5" customHeight="1">
      <c r="A58" s="424"/>
      <c r="B58" s="425"/>
      <c r="C58" s="2113" t="s">
        <v>263</v>
      </c>
      <c r="D58" s="2114" t="s">
        <v>322</v>
      </c>
      <c r="E58" s="2115">
        <v>15</v>
      </c>
      <c r="F58" s="2116" t="s">
        <v>327</v>
      </c>
      <c r="G58" s="2117">
        <f t="shared" ref="G58:G69" si="35">SUM(H58:P58)</f>
        <v>0</v>
      </c>
      <c r="H58" s="2118"/>
      <c r="I58" s="2118"/>
      <c r="J58" s="2118"/>
      <c r="K58" s="2118"/>
      <c r="L58" s="2118"/>
      <c r="M58" s="2118"/>
      <c r="N58" s="2118"/>
      <c r="O58" s="2118"/>
    </row>
    <row r="59" spans="1:16" ht="13.5" customHeight="1">
      <c r="A59" s="424"/>
      <c r="B59" s="425"/>
      <c r="C59" s="2113" t="s">
        <v>324</v>
      </c>
      <c r="D59" s="2114" t="s">
        <v>322</v>
      </c>
      <c r="E59" s="2115">
        <v>10</v>
      </c>
      <c r="F59" s="2116" t="s">
        <v>328</v>
      </c>
      <c r="G59" s="2117">
        <f t="shared" si="35"/>
        <v>0</v>
      </c>
      <c r="H59" s="2118"/>
      <c r="I59" s="2118"/>
      <c r="J59" s="2118"/>
      <c r="K59" s="2118"/>
      <c r="L59" s="2118"/>
      <c r="M59" s="2118"/>
      <c r="N59" s="2118"/>
      <c r="O59" s="2118"/>
    </row>
    <row r="60" spans="1:16" ht="13.5" customHeight="1">
      <c r="A60" s="424"/>
      <c r="B60" s="425"/>
      <c r="C60" s="2113" t="s">
        <v>329</v>
      </c>
      <c r="D60" s="2114" t="s">
        <v>322</v>
      </c>
      <c r="E60" s="2115">
        <v>3</v>
      </c>
      <c r="F60" s="2120" t="s">
        <v>330</v>
      </c>
      <c r="G60" s="2121">
        <f t="shared" si="35"/>
        <v>0</v>
      </c>
      <c r="H60" s="2118"/>
      <c r="I60" s="2118"/>
      <c r="J60" s="2118"/>
      <c r="K60" s="2118"/>
      <c r="L60" s="2118"/>
      <c r="M60" s="2118"/>
      <c r="N60" s="2118"/>
      <c r="O60" s="2118"/>
    </row>
    <row r="61" spans="1:16" ht="13.5" customHeight="1">
      <c r="A61" s="424"/>
      <c r="B61" s="425"/>
      <c r="C61" s="2113" t="s">
        <v>331</v>
      </c>
      <c r="D61" s="2114" t="s">
        <v>332</v>
      </c>
      <c r="E61" s="2115">
        <v>30</v>
      </c>
      <c r="F61" s="2120" t="s">
        <v>333</v>
      </c>
      <c r="G61" s="2121">
        <f t="shared" si="35"/>
        <v>0</v>
      </c>
      <c r="H61" s="2118"/>
      <c r="I61" s="2118"/>
      <c r="J61" s="2118"/>
      <c r="K61" s="2118"/>
      <c r="L61" s="2118"/>
      <c r="M61" s="2118"/>
      <c r="N61" s="2118"/>
      <c r="O61" s="2118"/>
    </row>
    <row r="62" spans="1:16" ht="13.5" customHeight="1">
      <c r="A62" s="424"/>
      <c r="B62" s="425"/>
      <c r="C62" s="2113" t="s">
        <v>334</v>
      </c>
      <c r="D62" s="2114" t="s">
        <v>335</v>
      </c>
      <c r="E62" s="2115">
        <v>60</v>
      </c>
      <c r="F62" s="2120" t="s">
        <v>333</v>
      </c>
      <c r="G62" s="2121">
        <f t="shared" si="35"/>
        <v>0</v>
      </c>
      <c r="H62" s="2118"/>
      <c r="I62" s="2118"/>
      <c r="J62" s="2118"/>
      <c r="K62" s="2118"/>
      <c r="L62" s="2118"/>
      <c r="M62" s="2118"/>
      <c r="N62" s="2118"/>
      <c r="O62" s="2118"/>
    </row>
    <row r="63" spans="1:16" ht="13.5" customHeight="1">
      <c r="A63" s="424"/>
      <c r="B63" s="425"/>
      <c r="C63" s="2113" t="s">
        <v>336</v>
      </c>
      <c r="D63" s="2114" t="s">
        <v>332</v>
      </c>
      <c r="E63" s="2115">
        <v>15</v>
      </c>
      <c r="F63" s="2120" t="s">
        <v>337</v>
      </c>
      <c r="G63" s="2121">
        <f t="shared" si="35"/>
        <v>0</v>
      </c>
      <c r="H63" s="2118"/>
      <c r="I63" s="2118"/>
      <c r="J63" s="2118"/>
      <c r="K63" s="2118"/>
      <c r="L63" s="2118"/>
      <c r="M63" s="2118"/>
      <c r="N63" s="2118"/>
      <c r="O63" s="2118"/>
    </row>
    <row r="64" spans="1:16" ht="13.5" customHeight="1">
      <c r="A64" s="424"/>
      <c r="B64" s="425"/>
      <c r="C64" s="2113" t="s">
        <v>338</v>
      </c>
      <c r="D64" s="2114" t="s">
        <v>335</v>
      </c>
      <c r="E64" s="2115">
        <v>40</v>
      </c>
      <c r="F64" s="2120" t="s">
        <v>337</v>
      </c>
      <c r="G64" s="2121">
        <f t="shared" si="35"/>
        <v>0</v>
      </c>
      <c r="H64" s="2118"/>
      <c r="I64" s="2118"/>
      <c r="J64" s="2118"/>
      <c r="K64" s="2118"/>
      <c r="L64" s="2118"/>
      <c r="M64" s="2118"/>
      <c r="N64" s="2118"/>
      <c r="O64" s="2118"/>
    </row>
    <row r="65" spans="1:16" ht="13.5" customHeight="1">
      <c r="A65" s="424"/>
      <c r="B65" s="425"/>
      <c r="C65" s="2113" t="s">
        <v>339</v>
      </c>
      <c r="D65" s="2114" t="s">
        <v>332</v>
      </c>
      <c r="E65" s="2115">
        <v>10</v>
      </c>
      <c r="F65" s="2120" t="s">
        <v>340</v>
      </c>
      <c r="G65" s="2121">
        <f t="shared" si="35"/>
        <v>0</v>
      </c>
      <c r="H65" s="2118"/>
      <c r="I65" s="2118"/>
      <c r="J65" s="2118"/>
      <c r="K65" s="2118"/>
      <c r="L65" s="2118"/>
      <c r="M65" s="2118"/>
      <c r="N65" s="2118"/>
      <c r="O65" s="2118"/>
    </row>
    <row r="66" spans="1:16" ht="13.5" customHeight="1">
      <c r="A66" s="424"/>
      <c r="B66" s="425"/>
      <c r="C66" s="2113" t="s">
        <v>341</v>
      </c>
      <c r="D66" s="2114" t="s">
        <v>335</v>
      </c>
      <c r="E66" s="2115">
        <v>45</v>
      </c>
      <c r="F66" s="2120" t="s">
        <v>340</v>
      </c>
      <c r="G66" s="2121">
        <f t="shared" si="35"/>
        <v>0</v>
      </c>
      <c r="H66" s="2118"/>
      <c r="I66" s="2118"/>
      <c r="J66" s="2118"/>
      <c r="K66" s="2118"/>
      <c r="L66" s="2118"/>
      <c r="M66" s="2118"/>
      <c r="N66" s="2118"/>
      <c r="O66" s="2118"/>
    </row>
    <row r="67" spans="1:16" ht="13.5" customHeight="1">
      <c r="A67" s="424"/>
      <c r="B67" s="425"/>
      <c r="C67" s="2113" t="s">
        <v>282</v>
      </c>
      <c r="D67" s="2114" t="s">
        <v>332</v>
      </c>
      <c r="E67" s="2115">
        <v>10</v>
      </c>
      <c r="F67" s="2120" t="s">
        <v>342</v>
      </c>
      <c r="G67" s="2121">
        <f t="shared" si="35"/>
        <v>0</v>
      </c>
      <c r="H67" s="2118"/>
      <c r="I67" s="2118"/>
      <c r="J67" s="2118"/>
      <c r="K67" s="2118"/>
      <c r="L67" s="2118"/>
      <c r="M67" s="2118"/>
      <c r="N67" s="2118"/>
      <c r="O67" s="2118"/>
    </row>
    <row r="68" spans="1:16" ht="13.5" customHeight="1">
      <c r="A68" s="424"/>
      <c r="B68" s="425"/>
      <c r="C68" s="2113" t="s">
        <v>285</v>
      </c>
      <c r="D68" s="2114" t="s">
        <v>335</v>
      </c>
      <c r="E68" s="2115">
        <v>15</v>
      </c>
      <c r="F68" s="2120" t="s">
        <v>342</v>
      </c>
      <c r="G68" s="2121">
        <f t="shared" si="35"/>
        <v>0</v>
      </c>
      <c r="H68" s="2118"/>
      <c r="I68" s="2118"/>
      <c r="J68" s="2118"/>
      <c r="K68" s="2118"/>
      <c r="L68" s="2118"/>
      <c r="M68" s="2118"/>
      <c r="N68" s="2118"/>
      <c r="O68" s="2118"/>
    </row>
    <row r="69" spans="1:16" ht="13.5" customHeight="1">
      <c r="A69" s="440"/>
      <c r="B69" s="441"/>
      <c r="C69" s="441"/>
      <c r="D69" s="441"/>
      <c r="E69" s="515"/>
      <c r="F69" s="494" t="s">
        <v>343</v>
      </c>
      <c r="G69" s="443">
        <f t="shared" si="35"/>
        <v>0</v>
      </c>
      <c r="H69" s="529">
        <f t="shared" ref="H69:I69" si="36">IF(H$4="費用",0,SUM(H52,H58:H68))</f>
        <v>0</v>
      </c>
      <c r="I69" s="529">
        <f t="shared" si="36"/>
        <v>0</v>
      </c>
      <c r="J69" s="529">
        <f t="shared" ref="J69:O69" si="37">IF(J$4="費用",0,SUM(J52,J58:J68))</f>
        <v>0</v>
      </c>
      <c r="K69" s="529">
        <f t="shared" si="37"/>
        <v>0</v>
      </c>
      <c r="L69" s="529">
        <f t="shared" si="37"/>
        <v>0</v>
      </c>
      <c r="M69" s="529">
        <f t="shared" si="37"/>
        <v>0</v>
      </c>
      <c r="N69" s="529">
        <f t="shared" si="37"/>
        <v>0</v>
      </c>
      <c r="O69" s="529">
        <f t="shared" si="37"/>
        <v>0</v>
      </c>
    </row>
    <row r="70" spans="1:16" ht="13.5" customHeight="1">
      <c r="A70" s="425"/>
      <c r="B70" s="436"/>
      <c r="C70" s="436"/>
      <c r="D70" s="436"/>
      <c r="E70" s="436"/>
      <c r="F70" s="511"/>
      <c r="G70" s="514"/>
      <c r="H70" s="532"/>
      <c r="I70" s="532"/>
      <c r="J70" s="532"/>
      <c r="K70" s="532"/>
      <c r="L70" s="532"/>
      <c r="M70" s="532"/>
      <c r="N70" s="532"/>
      <c r="O70" s="532"/>
    </row>
    <row r="71" spans="1:16" ht="13.5" customHeight="1">
      <c r="A71" s="497"/>
      <c r="B71" s="507"/>
      <c r="C71" s="507"/>
      <c r="D71" s="507"/>
      <c r="E71" s="507"/>
      <c r="F71" s="474"/>
      <c r="G71" s="513"/>
      <c r="H71" s="533"/>
      <c r="I71" s="533"/>
      <c r="J71" s="533"/>
      <c r="K71" s="533"/>
      <c r="L71" s="533"/>
      <c r="M71" s="533"/>
      <c r="N71" s="533"/>
      <c r="O71" s="533"/>
    </row>
    <row r="72" spans="1:16" s="428" customFormat="1" ht="13.5" customHeight="1">
      <c r="A72" s="465" t="s">
        <v>344</v>
      </c>
      <c r="B72" s="406"/>
      <c r="C72" s="433"/>
      <c r="D72" s="406"/>
      <c r="E72" s="2633" t="s">
        <v>257</v>
      </c>
      <c r="F72" s="434"/>
      <c r="G72" s="466" t="s">
        <v>258</v>
      </c>
      <c r="H72" s="527" t="s">
        <v>345</v>
      </c>
      <c r="I72" s="527" t="s">
        <v>345</v>
      </c>
      <c r="J72" s="527" t="s">
        <v>345</v>
      </c>
      <c r="K72" s="527" t="s">
        <v>345</v>
      </c>
      <c r="L72" s="527" t="s">
        <v>345</v>
      </c>
      <c r="M72" s="527" t="s">
        <v>345</v>
      </c>
      <c r="N72" s="527" t="s">
        <v>345</v>
      </c>
      <c r="O72" s="527" t="s">
        <v>345</v>
      </c>
      <c r="P72" s="544"/>
    </row>
    <row r="73" spans="1:16" s="428" customFormat="1" ht="13.5" customHeight="1">
      <c r="A73" s="411"/>
      <c r="B73" s="2630" t="s">
        <v>260</v>
      </c>
      <c r="C73" s="2631"/>
      <c r="D73" s="2632"/>
      <c r="E73" s="2634"/>
      <c r="F73" s="435"/>
      <c r="G73" s="467" t="s">
        <v>319</v>
      </c>
      <c r="H73" s="530" t="s">
        <v>346</v>
      </c>
      <c r="I73" s="530" t="s">
        <v>346</v>
      </c>
      <c r="J73" s="530" t="s">
        <v>346</v>
      </c>
      <c r="K73" s="530" t="s">
        <v>346</v>
      </c>
      <c r="L73" s="530" t="s">
        <v>346</v>
      </c>
      <c r="M73" s="530" t="s">
        <v>346</v>
      </c>
      <c r="N73" s="530" t="s">
        <v>346</v>
      </c>
      <c r="O73" s="530" t="s">
        <v>346</v>
      </c>
      <c r="P73" s="544"/>
    </row>
    <row r="74" spans="1:16" ht="13.5" customHeight="1">
      <c r="A74" s="424"/>
      <c r="B74" s="436"/>
      <c r="C74" s="2135" t="s">
        <v>347</v>
      </c>
      <c r="D74" s="437"/>
      <c r="E74" s="476">
        <v>10</v>
      </c>
      <c r="F74" s="444" t="s">
        <v>348</v>
      </c>
      <c r="G74" s="439">
        <f ca="1">SUM(H74:P74)</f>
        <v>0</v>
      </c>
      <c r="H74" s="2122">
        <f t="shared" ref="H74:I74" ca="1" si="38">SUM(H75:H79)</f>
        <v>0</v>
      </c>
      <c r="I74" s="2122">
        <f t="shared" ca="1" si="38"/>
        <v>0</v>
      </c>
      <c r="J74" s="2122">
        <f t="shared" ref="J74:O74" ca="1" si="39">SUM(J75:J79)</f>
        <v>0</v>
      </c>
      <c r="K74" s="2122">
        <f t="shared" ca="1" si="39"/>
        <v>0</v>
      </c>
      <c r="L74" s="2122">
        <f t="shared" ca="1" si="39"/>
        <v>0</v>
      </c>
      <c r="M74" s="2122">
        <f t="shared" ca="1" si="39"/>
        <v>0</v>
      </c>
      <c r="N74" s="2122">
        <f t="shared" ca="1" si="39"/>
        <v>0</v>
      </c>
      <c r="O74" s="2122">
        <f t="shared" ca="1" si="39"/>
        <v>0</v>
      </c>
    </row>
    <row r="75" spans="1:16" ht="13.5" customHeight="1">
      <c r="A75" s="424"/>
      <c r="B75" s="425"/>
      <c r="C75" s="2113" t="s">
        <v>263</v>
      </c>
      <c r="D75" s="2114" t="s">
        <v>349</v>
      </c>
      <c r="E75" s="2115"/>
      <c r="F75" s="2136" t="s">
        <v>350</v>
      </c>
      <c r="G75" s="2121"/>
      <c r="H75" s="2122">
        <f t="shared" ref="H75:O75" ca="1" si="40">SUMIF(INDIRECT(H$3&amp;"!$ｎ:$ｎ"),"電照サイン（金属製）",INDIRECT(H$3&amp;"!$i:$i"))</f>
        <v>0</v>
      </c>
      <c r="I75" s="2122">
        <f t="shared" ca="1" si="40"/>
        <v>0</v>
      </c>
      <c r="J75" s="2122">
        <f t="shared" ca="1" si="40"/>
        <v>0</v>
      </c>
      <c r="K75" s="2122">
        <f t="shared" ca="1" si="40"/>
        <v>0</v>
      </c>
      <c r="L75" s="2122">
        <f t="shared" ca="1" si="40"/>
        <v>0</v>
      </c>
      <c r="M75" s="2122">
        <f t="shared" ca="1" si="40"/>
        <v>0</v>
      </c>
      <c r="N75" s="2122">
        <f t="shared" ca="1" si="40"/>
        <v>0</v>
      </c>
      <c r="O75" s="2122">
        <f t="shared" ca="1" si="40"/>
        <v>0</v>
      </c>
    </row>
    <row r="76" spans="1:16" ht="13.5" customHeight="1">
      <c r="A76" s="424"/>
      <c r="B76" s="425"/>
      <c r="C76" s="2113" t="s">
        <v>324</v>
      </c>
      <c r="D76" s="2114" t="s">
        <v>351</v>
      </c>
      <c r="E76" s="2115"/>
      <c r="F76" s="2136"/>
      <c r="G76" s="2121"/>
      <c r="H76" s="2122">
        <f t="shared" ref="H76:O76" ca="1" si="41">SUMIF(INDIRECT(H$3&amp;"!$ｎ:$ｎ"),"非電照サイン（金属製）",INDIRECT(H$3&amp;"!$i:$i"))</f>
        <v>0</v>
      </c>
      <c r="I76" s="2122">
        <f t="shared" ca="1" si="41"/>
        <v>0</v>
      </c>
      <c r="J76" s="2122">
        <f t="shared" ca="1" si="41"/>
        <v>0</v>
      </c>
      <c r="K76" s="2122">
        <f t="shared" ca="1" si="41"/>
        <v>0</v>
      </c>
      <c r="L76" s="2122">
        <f t="shared" ca="1" si="41"/>
        <v>0</v>
      </c>
      <c r="M76" s="2122">
        <f t="shared" ca="1" si="41"/>
        <v>0</v>
      </c>
      <c r="N76" s="2122">
        <f t="shared" ca="1" si="41"/>
        <v>0</v>
      </c>
      <c r="O76" s="2122">
        <f t="shared" ca="1" si="41"/>
        <v>0</v>
      </c>
    </row>
    <row r="77" spans="1:16" ht="13.5" customHeight="1">
      <c r="A77" s="424"/>
      <c r="B77" s="425"/>
      <c r="C77" s="2113" t="s">
        <v>329</v>
      </c>
      <c r="D77" s="2114" t="s">
        <v>352</v>
      </c>
      <c r="E77" s="2115"/>
      <c r="F77" s="2136"/>
      <c r="G77" s="2121"/>
      <c r="H77" s="2122">
        <f t="shared" ref="H77:O77" ca="1" si="42">SUMIF(INDIRECT(H$3&amp;"!$ｎ:$ｎ"),"電照広告（金属製）",INDIRECT(H$3&amp;"!$i:$i"))</f>
        <v>0</v>
      </c>
      <c r="I77" s="2122">
        <f t="shared" ca="1" si="42"/>
        <v>0</v>
      </c>
      <c r="J77" s="2122">
        <f t="shared" ca="1" si="42"/>
        <v>0</v>
      </c>
      <c r="K77" s="2122">
        <f t="shared" ca="1" si="42"/>
        <v>0</v>
      </c>
      <c r="L77" s="2122">
        <f t="shared" ca="1" si="42"/>
        <v>0</v>
      </c>
      <c r="M77" s="2122">
        <f t="shared" ca="1" si="42"/>
        <v>0</v>
      </c>
      <c r="N77" s="2122">
        <f t="shared" ca="1" si="42"/>
        <v>0</v>
      </c>
      <c r="O77" s="2122">
        <f t="shared" ca="1" si="42"/>
        <v>0</v>
      </c>
    </row>
    <row r="78" spans="1:16" s="445" customFormat="1" ht="13.5" customHeight="1">
      <c r="A78" s="424"/>
      <c r="B78" s="425"/>
      <c r="C78" s="2113" t="s">
        <v>331</v>
      </c>
      <c r="D78" s="2114" t="s">
        <v>353</v>
      </c>
      <c r="E78" s="2137"/>
      <c r="F78" s="2138"/>
      <c r="G78" s="2121"/>
      <c r="H78" s="2122">
        <f t="shared" ref="H78:O78" ca="1" si="43">SUMIF(INDIRECT(H$3&amp;"!$ｎ:$ｎ"),"非電照広告（金属製）",INDIRECT(H$3&amp;"!$i:$i"))</f>
        <v>0</v>
      </c>
      <c r="I78" s="2122">
        <f t="shared" ca="1" si="43"/>
        <v>0</v>
      </c>
      <c r="J78" s="2122">
        <f t="shared" ca="1" si="43"/>
        <v>0</v>
      </c>
      <c r="K78" s="2122">
        <f t="shared" ca="1" si="43"/>
        <v>0</v>
      </c>
      <c r="L78" s="2122">
        <f t="shared" ca="1" si="43"/>
        <v>0</v>
      </c>
      <c r="M78" s="2122">
        <f t="shared" ca="1" si="43"/>
        <v>0</v>
      </c>
      <c r="N78" s="2122">
        <f t="shared" ca="1" si="43"/>
        <v>0</v>
      </c>
      <c r="O78" s="2122">
        <f t="shared" ca="1" si="43"/>
        <v>0</v>
      </c>
    </row>
    <row r="79" spans="1:16" s="445" customFormat="1" ht="13.5" customHeight="1">
      <c r="A79" s="424"/>
      <c r="B79" s="425"/>
      <c r="C79" s="2113" t="s">
        <v>334</v>
      </c>
      <c r="D79" s="2139" t="s">
        <v>354</v>
      </c>
      <c r="E79" s="2137"/>
      <c r="F79" s="2138"/>
      <c r="G79" s="2121"/>
      <c r="H79" s="2122">
        <f t="shared" ref="H79:O79" ca="1" si="44">SUMIF(INDIRECT(H$3&amp;"!$ｎ:$ｎ"),"電気設備",INDIRECT(H$3&amp;"!$i:$i"))</f>
        <v>0</v>
      </c>
      <c r="I79" s="2122">
        <f t="shared" ca="1" si="44"/>
        <v>0</v>
      </c>
      <c r="J79" s="2122">
        <f t="shared" ca="1" si="44"/>
        <v>0</v>
      </c>
      <c r="K79" s="2122">
        <f t="shared" ca="1" si="44"/>
        <v>0</v>
      </c>
      <c r="L79" s="2122">
        <f t="shared" ca="1" si="44"/>
        <v>0</v>
      </c>
      <c r="M79" s="2122">
        <f t="shared" ca="1" si="44"/>
        <v>0</v>
      </c>
      <c r="N79" s="2122">
        <f t="shared" ca="1" si="44"/>
        <v>0</v>
      </c>
      <c r="O79" s="2122">
        <f t="shared" ca="1" si="44"/>
        <v>0</v>
      </c>
    </row>
    <row r="80" spans="1:16" ht="13.5" customHeight="1">
      <c r="A80" s="424"/>
      <c r="B80" s="425"/>
      <c r="C80" s="2140" t="s">
        <v>355</v>
      </c>
      <c r="D80" s="2114"/>
      <c r="E80" s="2115">
        <v>5</v>
      </c>
      <c r="F80" s="2136" t="s">
        <v>356</v>
      </c>
      <c r="G80" s="2117">
        <f ca="1">SUM(H80:P80)</f>
        <v>10795400</v>
      </c>
      <c r="H80" s="2122">
        <f t="shared" ref="H80:I80" ca="1" si="45">SUM(H81:H82)</f>
        <v>3347200</v>
      </c>
      <c r="I80" s="2122">
        <f t="shared" ca="1" si="45"/>
        <v>0</v>
      </c>
      <c r="J80" s="2122">
        <f t="shared" ref="J80:O80" ca="1" si="46">SUM(J81:J82)</f>
        <v>338000</v>
      </c>
      <c r="K80" s="2122">
        <f t="shared" ca="1" si="46"/>
        <v>1086800</v>
      </c>
      <c r="L80" s="2122">
        <f t="shared" ca="1" si="46"/>
        <v>399700</v>
      </c>
      <c r="M80" s="2122">
        <f t="shared" ca="1" si="46"/>
        <v>3622000</v>
      </c>
      <c r="N80" s="2122">
        <f t="shared" ca="1" si="46"/>
        <v>0</v>
      </c>
      <c r="O80" s="2122">
        <f t="shared" ca="1" si="46"/>
        <v>2001700</v>
      </c>
    </row>
    <row r="81" spans="1:15" ht="13.5" customHeight="1">
      <c r="A81" s="424"/>
      <c r="B81" s="425"/>
      <c r="C81" s="2113" t="s">
        <v>263</v>
      </c>
      <c r="D81" s="2114" t="s">
        <v>351</v>
      </c>
      <c r="E81" s="2115"/>
      <c r="F81" s="2136" t="s">
        <v>357</v>
      </c>
      <c r="G81" s="2121"/>
      <c r="H81" s="2122">
        <f t="shared" ref="H81:O81" ca="1" si="47">SUMIF(INDIRECT(H$3&amp;"!$ｎ:$ｎ"),"非電照サイン（その他）",INDIRECT(H$3&amp;"!$i:$i"))</f>
        <v>3347200</v>
      </c>
      <c r="I81" s="2122">
        <f t="shared" ca="1" si="47"/>
        <v>0</v>
      </c>
      <c r="J81" s="2122">
        <f t="shared" ca="1" si="47"/>
        <v>338000</v>
      </c>
      <c r="K81" s="2122">
        <f t="shared" ca="1" si="47"/>
        <v>1086800</v>
      </c>
      <c r="L81" s="2122">
        <f t="shared" ca="1" si="47"/>
        <v>399700</v>
      </c>
      <c r="M81" s="2122">
        <f t="shared" ca="1" si="47"/>
        <v>3622000</v>
      </c>
      <c r="N81" s="2122">
        <f t="shared" ca="1" si="47"/>
        <v>0</v>
      </c>
      <c r="O81" s="2122">
        <f t="shared" ca="1" si="47"/>
        <v>2001700</v>
      </c>
    </row>
    <row r="82" spans="1:15" ht="13.5" customHeight="1">
      <c r="A82" s="424"/>
      <c r="B82" s="425"/>
      <c r="C82" s="2113" t="s">
        <v>324</v>
      </c>
      <c r="D82" s="2114" t="s">
        <v>358</v>
      </c>
      <c r="E82" s="2115"/>
      <c r="F82" s="2136"/>
      <c r="G82" s="2121"/>
      <c r="H82" s="2122">
        <f t="shared" ref="H82:O82" ca="1" si="48">SUMIF(INDIRECT(H$3&amp;"!$ｎ:$ｎ"),"非電照広告（その他）",INDIRECT(H$3&amp;"!$i:$i"))</f>
        <v>0</v>
      </c>
      <c r="I82" s="2122">
        <f t="shared" ca="1" si="48"/>
        <v>0</v>
      </c>
      <c r="J82" s="2122">
        <f t="shared" ca="1" si="48"/>
        <v>0</v>
      </c>
      <c r="K82" s="2122">
        <f t="shared" ca="1" si="48"/>
        <v>0</v>
      </c>
      <c r="L82" s="2122">
        <f t="shared" ca="1" si="48"/>
        <v>0</v>
      </c>
      <c r="M82" s="2122">
        <f t="shared" ca="1" si="48"/>
        <v>0</v>
      </c>
      <c r="N82" s="2122">
        <f t="shared" ca="1" si="48"/>
        <v>0</v>
      </c>
      <c r="O82" s="2122">
        <f t="shared" ca="1" si="48"/>
        <v>0</v>
      </c>
    </row>
    <row r="83" spans="1:15" ht="13.5" customHeight="1">
      <c r="A83" s="424"/>
      <c r="B83" s="425"/>
      <c r="C83" s="2141" t="s">
        <v>359</v>
      </c>
      <c r="D83" s="2114" t="s">
        <v>360</v>
      </c>
      <c r="E83" s="2115">
        <v>5</v>
      </c>
      <c r="F83" s="2136"/>
      <c r="G83" s="2121">
        <f t="shared" ref="G83:G88" ca="1" si="49">SUM(H83:P83)</f>
        <v>0</v>
      </c>
      <c r="H83" s="2122">
        <f t="shared" ref="H83:O83" ca="1" si="50">SUMIF(INDIRECT(H$3&amp;"!$ｎ:$ｎ"),"無人駐車管理装置",INDIRECT(H$3&amp;"!$i:$i"))</f>
        <v>0</v>
      </c>
      <c r="I83" s="2122">
        <f t="shared" ca="1" si="50"/>
        <v>0</v>
      </c>
      <c r="J83" s="2122">
        <f t="shared" ca="1" si="50"/>
        <v>0</v>
      </c>
      <c r="K83" s="2122">
        <f t="shared" ca="1" si="50"/>
        <v>0</v>
      </c>
      <c r="L83" s="2122">
        <f t="shared" ca="1" si="50"/>
        <v>0</v>
      </c>
      <c r="M83" s="2122">
        <f t="shared" ca="1" si="50"/>
        <v>0</v>
      </c>
      <c r="N83" s="2122">
        <f t="shared" ca="1" si="50"/>
        <v>0</v>
      </c>
      <c r="O83" s="2122">
        <f t="shared" ca="1" si="50"/>
        <v>0</v>
      </c>
    </row>
    <row r="84" spans="1:15" ht="13.5" customHeight="1">
      <c r="A84" s="424"/>
      <c r="B84" s="425"/>
      <c r="C84" s="2141" t="s">
        <v>361</v>
      </c>
      <c r="D84" s="2114" t="s">
        <v>362</v>
      </c>
      <c r="E84" s="2115">
        <v>10</v>
      </c>
      <c r="F84" s="2136"/>
      <c r="G84" s="2121">
        <f t="shared" ca="1" si="49"/>
        <v>0</v>
      </c>
      <c r="H84" s="2122">
        <f t="shared" ref="H84:O84" ca="1" si="51">SUMIF(INDIRECT(H$3&amp;"!$ｎ:$ｎ"),"その他（金造製）",INDIRECT(H$3&amp;"!$i:$i"))</f>
        <v>0</v>
      </c>
      <c r="I84" s="2122">
        <f t="shared" ca="1" si="51"/>
        <v>0</v>
      </c>
      <c r="J84" s="2122">
        <f t="shared" ca="1" si="51"/>
        <v>0</v>
      </c>
      <c r="K84" s="2122">
        <f t="shared" ca="1" si="51"/>
        <v>0</v>
      </c>
      <c r="L84" s="2122">
        <f t="shared" ca="1" si="51"/>
        <v>0</v>
      </c>
      <c r="M84" s="2122">
        <f t="shared" ca="1" si="51"/>
        <v>0</v>
      </c>
      <c r="N84" s="2122">
        <f t="shared" ca="1" si="51"/>
        <v>0</v>
      </c>
      <c r="O84" s="2122">
        <f t="shared" ca="1" si="51"/>
        <v>0</v>
      </c>
    </row>
    <row r="85" spans="1:15" ht="13.5" customHeight="1">
      <c r="A85" s="424"/>
      <c r="B85" s="425"/>
      <c r="C85" s="2141" t="s">
        <v>363</v>
      </c>
      <c r="D85" s="2114" t="s">
        <v>364</v>
      </c>
      <c r="E85" s="2115">
        <v>5</v>
      </c>
      <c r="F85" s="2136"/>
      <c r="G85" s="2121">
        <f t="shared" ca="1" si="49"/>
        <v>0</v>
      </c>
      <c r="H85" s="2122">
        <f t="shared" ref="H85:O85" ca="1" si="52">SUMIF(INDIRECT(H$3&amp;"!$ｎ:$ｎ"),"その他（その他）",INDIRECT(H$3&amp;"!$i:$i"))</f>
        <v>0</v>
      </c>
      <c r="I85" s="2122">
        <f t="shared" ca="1" si="52"/>
        <v>0</v>
      </c>
      <c r="J85" s="2122">
        <f t="shared" ca="1" si="52"/>
        <v>0</v>
      </c>
      <c r="K85" s="2122">
        <f t="shared" ca="1" si="52"/>
        <v>0</v>
      </c>
      <c r="L85" s="2122">
        <f t="shared" ca="1" si="52"/>
        <v>0</v>
      </c>
      <c r="M85" s="2122">
        <f t="shared" ca="1" si="52"/>
        <v>0</v>
      </c>
      <c r="N85" s="2122">
        <f t="shared" ca="1" si="52"/>
        <v>0</v>
      </c>
      <c r="O85" s="2122">
        <f t="shared" ca="1" si="52"/>
        <v>0</v>
      </c>
    </row>
    <row r="86" spans="1:15" ht="13.5" customHeight="1">
      <c r="A86" s="424"/>
      <c r="B86" s="425"/>
      <c r="C86" s="2142"/>
      <c r="D86" s="2125"/>
      <c r="E86" s="2143"/>
      <c r="F86" s="2144"/>
      <c r="G86" s="2145">
        <f t="shared" si="49"/>
        <v>0</v>
      </c>
      <c r="H86" s="2118"/>
      <c r="I86" s="2118"/>
      <c r="J86" s="2118"/>
      <c r="K86" s="2118"/>
      <c r="L86" s="2118"/>
      <c r="M86" s="2118"/>
      <c r="N86" s="2118"/>
      <c r="O86" s="2118"/>
    </row>
    <row r="87" spans="1:15" ht="13.5" customHeight="1" thickBot="1">
      <c r="A87" s="446"/>
      <c r="B87" s="447"/>
      <c r="C87" s="447"/>
      <c r="D87" s="447"/>
      <c r="E87" s="447"/>
      <c r="F87" s="496" t="s">
        <v>365</v>
      </c>
      <c r="G87" s="448">
        <f t="shared" ca="1" si="49"/>
        <v>10795400</v>
      </c>
      <c r="H87" s="534">
        <f t="shared" ref="H87:I87" ca="1" si="53">IF(H4="費用",0,SUM(H74,H80,H83:H86))</f>
        <v>3347200</v>
      </c>
      <c r="I87" s="534">
        <f t="shared" ca="1" si="53"/>
        <v>0</v>
      </c>
      <c r="J87" s="534">
        <f t="shared" ref="J87:O87" ca="1" si="54">IF(J4="費用",0,SUM(J74,J80,J83:J86))</f>
        <v>338000</v>
      </c>
      <c r="K87" s="534">
        <f t="shared" ca="1" si="54"/>
        <v>1086800</v>
      </c>
      <c r="L87" s="534">
        <f t="shared" ca="1" si="54"/>
        <v>399700</v>
      </c>
      <c r="M87" s="534">
        <f t="shared" ca="1" si="54"/>
        <v>3622000</v>
      </c>
      <c r="N87" s="534">
        <f t="shared" ca="1" si="54"/>
        <v>0</v>
      </c>
      <c r="O87" s="534">
        <f t="shared" ca="1" si="54"/>
        <v>2001700</v>
      </c>
    </row>
    <row r="88" spans="1:15" ht="13.5" customHeight="1" thickTop="1">
      <c r="A88" s="449"/>
      <c r="B88" s="450"/>
      <c r="C88" s="450"/>
      <c r="D88" s="450"/>
      <c r="E88" s="450"/>
      <c r="F88" s="464" t="s">
        <v>366</v>
      </c>
      <c r="G88" s="451">
        <f t="shared" ca="1" si="49"/>
        <v>219979686</v>
      </c>
      <c r="H88" s="535">
        <f t="shared" ref="H88:I88" ca="1" si="55">+H87+H49+H69</f>
        <v>19889559</v>
      </c>
      <c r="I88" s="535">
        <f t="shared" ca="1" si="55"/>
        <v>20070180</v>
      </c>
      <c r="J88" s="535">
        <f t="shared" ref="J88:O88" ca="1" si="56">+J87+J49+J69</f>
        <v>1686134</v>
      </c>
      <c r="K88" s="535">
        <f t="shared" ca="1" si="56"/>
        <v>49536140</v>
      </c>
      <c r="L88" s="535">
        <f t="shared" ca="1" si="56"/>
        <v>8594260</v>
      </c>
      <c r="M88" s="535">
        <f t="shared" ca="1" si="56"/>
        <v>28589643</v>
      </c>
      <c r="N88" s="535">
        <f t="shared" ca="1" si="56"/>
        <v>25654380</v>
      </c>
      <c r="O88" s="535">
        <f t="shared" ca="1" si="56"/>
        <v>65959390</v>
      </c>
    </row>
    <row r="89" spans="1:15" ht="13.5" hidden="1" customHeight="1">
      <c r="A89" s="425"/>
      <c r="B89" s="436"/>
      <c r="C89" s="436"/>
      <c r="D89" s="436"/>
      <c r="E89" s="436"/>
      <c r="F89" s="511"/>
      <c r="G89" s="512"/>
      <c r="H89" s="532"/>
      <c r="I89" s="532"/>
      <c r="J89" s="532"/>
      <c r="K89" s="532"/>
      <c r="L89" s="532"/>
      <c r="M89" s="532"/>
      <c r="N89" s="532"/>
      <c r="O89" s="532"/>
    </row>
    <row r="90" spans="1:15" ht="13.5" customHeight="1">
      <c r="A90" s="418"/>
      <c r="B90" s="407" t="s">
        <v>243</v>
      </c>
      <c r="C90" s="419"/>
      <c r="D90" s="419"/>
      <c r="E90" s="419"/>
      <c r="F90" s="420" t="s">
        <v>242</v>
      </c>
      <c r="G90" s="407" t="str">
        <f>+G1</f>
        <v>東梅田外１駅可動式ホーム柵設置に伴う建築その他工事</v>
      </c>
      <c r="H90" s="536"/>
      <c r="I90" s="536"/>
      <c r="J90" s="536"/>
      <c r="K90" s="536"/>
      <c r="L90" s="536"/>
      <c r="M90" s="536"/>
      <c r="N90" s="536"/>
      <c r="O90" s="536"/>
    </row>
    <row r="91" spans="1:15" ht="13.5" customHeight="1">
      <c r="A91" s="422"/>
      <c r="C91" s="516"/>
      <c r="D91" s="404"/>
      <c r="E91" s="419" t="s">
        <v>367</v>
      </c>
      <c r="F91" s="419"/>
      <c r="G91" s="419" t="s">
        <v>241</v>
      </c>
      <c r="H91" s="537" t="str">
        <f t="shared" ref="H91:I91" si="57">H3</f>
        <v>工事1</v>
      </c>
      <c r="I91" s="537" t="str">
        <f t="shared" si="57"/>
        <v>工事2</v>
      </c>
      <c r="J91" s="537" t="str">
        <f t="shared" ref="J91:O91" si="58">J3</f>
        <v>工事3</v>
      </c>
      <c r="K91" s="537" t="str">
        <f t="shared" si="58"/>
        <v>工事4</v>
      </c>
      <c r="L91" s="537" t="str">
        <f t="shared" si="58"/>
        <v>工事5</v>
      </c>
      <c r="M91" s="537" t="str">
        <f t="shared" si="58"/>
        <v>工事6</v>
      </c>
      <c r="N91" s="537" t="str">
        <f t="shared" si="58"/>
        <v>工事7</v>
      </c>
      <c r="O91" s="537" t="str">
        <f t="shared" si="58"/>
        <v>工事8</v>
      </c>
    </row>
    <row r="92" spans="1:15" s="445" customFormat="1" ht="13.5" customHeight="1">
      <c r="A92" s="577"/>
      <c r="B92" s="578"/>
      <c r="C92" s="579">
        <v>10500701</v>
      </c>
      <c r="D92" s="580" t="s">
        <v>368</v>
      </c>
      <c r="E92" s="581"/>
      <c r="F92" s="582"/>
      <c r="G92" s="583">
        <f t="shared" ref="G92:G155" ca="1" si="59">SUM(H92:P92)</f>
        <v>284315000</v>
      </c>
      <c r="H92" s="528">
        <f t="shared" ref="H92:I107" ca="1" si="60">IF(H$22="007停車場建物",ROUND(H23+H23/(H$5-H$6)*H$6+H23/(H$5-H$6)*H$15,-3),"")</f>
        <v>23901000</v>
      </c>
      <c r="I92" s="528">
        <f t="shared" ca="1" si="60"/>
        <v>25687000</v>
      </c>
      <c r="J92" s="528">
        <f t="shared" ref="J92:O92" ca="1" si="61">IF(J$22="007停車場建物",ROUND(J23+J23/(J$5-J$6)*J$6+J23/(J$5-J$6)*J$15,-3),"")</f>
        <v>1863000</v>
      </c>
      <c r="K92" s="528">
        <f t="shared" ca="1" si="61"/>
        <v>64998000</v>
      </c>
      <c r="L92" s="528">
        <f t="shared" ca="1" si="61"/>
        <v>12132000</v>
      </c>
      <c r="M92" s="528">
        <f t="shared" ca="1" si="61"/>
        <v>35551000</v>
      </c>
      <c r="N92" s="528">
        <f t="shared" ca="1" si="61"/>
        <v>33196000</v>
      </c>
      <c r="O92" s="528">
        <f t="shared" ca="1" si="61"/>
        <v>86987000</v>
      </c>
    </row>
    <row r="93" spans="1:15" s="445" customFormat="1" ht="13.5" hidden="1" customHeight="1">
      <c r="A93" s="584"/>
      <c r="B93" s="585"/>
      <c r="C93" s="2146">
        <v>10500702</v>
      </c>
      <c r="D93" s="2147" t="s">
        <v>369</v>
      </c>
      <c r="E93" s="2148"/>
      <c r="F93" s="2149"/>
      <c r="G93" s="2121">
        <f t="shared" ca="1" si="59"/>
        <v>0</v>
      </c>
      <c r="H93" s="531">
        <f t="shared" ca="1" si="60"/>
        <v>0</v>
      </c>
      <c r="I93" s="531">
        <f t="shared" ca="1" si="60"/>
        <v>0</v>
      </c>
      <c r="J93" s="531">
        <f t="shared" ref="J93:O93" ca="1" si="62">IF(J$22="007停車場建物",ROUND(J24+J24/(J$5-J$6)*J$6+J24/(J$5-J$6)*J$15,-3),"")</f>
        <v>0</v>
      </c>
      <c r="K93" s="531">
        <f t="shared" ca="1" si="62"/>
        <v>0</v>
      </c>
      <c r="L93" s="531">
        <f t="shared" ca="1" si="62"/>
        <v>0</v>
      </c>
      <c r="M93" s="531">
        <f t="shared" ca="1" si="62"/>
        <v>0</v>
      </c>
      <c r="N93" s="531">
        <f t="shared" ca="1" si="62"/>
        <v>0</v>
      </c>
      <c r="O93" s="531">
        <f t="shared" ca="1" si="62"/>
        <v>0</v>
      </c>
    </row>
    <row r="94" spans="1:15" ht="13.5" hidden="1" customHeight="1">
      <c r="A94" s="501"/>
      <c r="B94" s="503"/>
      <c r="C94" s="2150">
        <v>10500703</v>
      </c>
      <c r="D94" s="2151" t="s">
        <v>370</v>
      </c>
      <c r="E94" s="2152"/>
      <c r="F94" s="2153"/>
      <c r="G94" s="2117">
        <f t="shared" ca="1" si="59"/>
        <v>0</v>
      </c>
      <c r="H94" s="2154">
        <f t="shared" ca="1" si="60"/>
        <v>0</v>
      </c>
      <c r="I94" s="2154">
        <f t="shared" ca="1" si="60"/>
        <v>0</v>
      </c>
      <c r="J94" s="2154">
        <f t="shared" ref="J94:O94" ca="1" si="63">IF(J$22="007停車場建物",ROUND(J25+J25/(J$5-J$6)*J$6+J25/(J$5-J$6)*J$15,-3),"")</f>
        <v>0</v>
      </c>
      <c r="K94" s="2154">
        <f t="shared" ca="1" si="63"/>
        <v>0</v>
      </c>
      <c r="L94" s="2154">
        <f t="shared" ca="1" si="63"/>
        <v>0</v>
      </c>
      <c r="M94" s="2154">
        <f t="shared" ca="1" si="63"/>
        <v>0</v>
      </c>
      <c r="N94" s="2154">
        <f t="shared" ca="1" si="63"/>
        <v>0</v>
      </c>
      <c r="O94" s="2154">
        <f t="shared" ca="1" si="63"/>
        <v>0</v>
      </c>
    </row>
    <row r="95" spans="1:15" ht="13.5" hidden="1" customHeight="1">
      <c r="A95" s="501"/>
      <c r="B95" s="503"/>
      <c r="C95" s="2150">
        <v>10500704</v>
      </c>
      <c r="D95" s="2151" t="s">
        <v>371</v>
      </c>
      <c r="E95" s="2152"/>
      <c r="F95" s="2153"/>
      <c r="G95" s="2117">
        <f t="shared" ca="1" si="59"/>
        <v>0</v>
      </c>
      <c r="H95" s="2154">
        <f t="shared" ca="1" si="60"/>
        <v>0</v>
      </c>
      <c r="I95" s="2154">
        <f t="shared" ca="1" si="60"/>
        <v>0</v>
      </c>
      <c r="J95" s="2154">
        <f t="shared" ref="J95:O95" ca="1" si="64">IF(J$22="007停車場建物",ROUND(J26+J26/(J$5-J$6)*J$6+J26/(J$5-J$6)*J$15,-3),"")</f>
        <v>0</v>
      </c>
      <c r="K95" s="2154">
        <f t="shared" ca="1" si="64"/>
        <v>0</v>
      </c>
      <c r="L95" s="2154">
        <f t="shared" ca="1" si="64"/>
        <v>0</v>
      </c>
      <c r="M95" s="2154">
        <f t="shared" ca="1" si="64"/>
        <v>0</v>
      </c>
      <c r="N95" s="2154">
        <f t="shared" ca="1" si="64"/>
        <v>0</v>
      </c>
      <c r="O95" s="2154">
        <f t="shared" ca="1" si="64"/>
        <v>0</v>
      </c>
    </row>
    <row r="96" spans="1:15" ht="13.5" hidden="1" customHeight="1">
      <c r="A96" s="501"/>
      <c r="B96" s="503"/>
      <c r="C96" s="2150">
        <v>10500705</v>
      </c>
      <c r="D96" s="2151" t="s">
        <v>372</v>
      </c>
      <c r="E96" s="2152"/>
      <c r="F96" s="2153"/>
      <c r="G96" s="2117">
        <f t="shared" ca="1" si="59"/>
        <v>0</v>
      </c>
      <c r="H96" s="2154">
        <f t="shared" ca="1" si="60"/>
        <v>0</v>
      </c>
      <c r="I96" s="2154">
        <f t="shared" ca="1" si="60"/>
        <v>0</v>
      </c>
      <c r="J96" s="2154">
        <f t="shared" ref="J96:O96" ca="1" si="65">IF(J$22="007停車場建物",ROUND(J27+J27/(J$5-J$6)*J$6+J27/(J$5-J$6)*J$15,-3),"")</f>
        <v>0</v>
      </c>
      <c r="K96" s="2154">
        <f t="shared" ca="1" si="65"/>
        <v>0</v>
      </c>
      <c r="L96" s="2154">
        <f t="shared" ca="1" si="65"/>
        <v>0</v>
      </c>
      <c r="M96" s="2154">
        <f t="shared" ca="1" si="65"/>
        <v>0</v>
      </c>
      <c r="N96" s="2154">
        <f t="shared" ca="1" si="65"/>
        <v>0</v>
      </c>
      <c r="O96" s="2154">
        <f t="shared" ca="1" si="65"/>
        <v>0</v>
      </c>
    </row>
    <row r="97" spans="1:15" ht="13.5" hidden="1" customHeight="1">
      <c r="A97" s="501"/>
      <c r="B97" s="503"/>
      <c r="C97" s="2150">
        <v>10500706</v>
      </c>
      <c r="D97" s="2151" t="s">
        <v>373</v>
      </c>
      <c r="E97" s="2152"/>
      <c r="F97" s="2153"/>
      <c r="G97" s="2117">
        <f t="shared" ca="1" si="59"/>
        <v>0</v>
      </c>
      <c r="H97" s="2154">
        <f t="shared" ca="1" si="60"/>
        <v>0</v>
      </c>
      <c r="I97" s="2154">
        <f t="shared" ca="1" si="60"/>
        <v>0</v>
      </c>
      <c r="J97" s="2154">
        <f t="shared" ref="J97:O97" ca="1" si="66">IF(J$22="007停車場建物",ROUND(J28+J28/(J$5-J$6)*J$6+J28/(J$5-J$6)*J$15,-3),"")</f>
        <v>0</v>
      </c>
      <c r="K97" s="2154">
        <f t="shared" ca="1" si="66"/>
        <v>0</v>
      </c>
      <c r="L97" s="2154">
        <f t="shared" ca="1" si="66"/>
        <v>0</v>
      </c>
      <c r="M97" s="2154">
        <f t="shared" ca="1" si="66"/>
        <v>0</v>
      </c>
      <c r="N97" s="2154">
        <f t="shared" ca="1" si="66"/>
        <v>0</v>
      </c>
      <c r="O97" s="2154">
        <f t="shared" ca="1" si="66"/>
        <v>0</v>
      </c>
    </row>
    <row r="98" spans="1:15" ht="13.5" hidden="1" customHeight="1">
      <c r="A98" s="501"/>
      <c r="B98" s="503"/>
      <c r="C98" s="2150">
        <v>10500707</v>
      </c>
      <c r="D98" s="2151" t="s">
        <v>374</v>
      </c>
      <c r="E98" s="2152"/>
      <c r="F98" s="2153"/>
      <c r="G98" s="2117">
        <f t="shared" ca="1" si="59"/>
        <v>0</v>
      </c>
      <c r="H98" s="2154">
        <f t="shared" ca="1" si="60"/>
        <v>0</v>
      </c>
      <c r="I98" s="2154">
        <f t="shared" ca="1" si="60"/>
        <v>0</v>
      </c>
      <c r="J98" s="2154">
        <f t="shared" ref="J98:O98" ca="1" si="67">IF(J$22="007停車場建物",ROUND(J29+J29/(J$5-J$6)*J$6+J29/(J$5-J$6)*J$15,-3),"")</f>
        <v>0</v>
      </c>
      <c r="K98" s="2154">
        <f t="shared" ca="1" si="67"/>
        <v>0</v>
      </c>
      <c r="L98" s="2154">
        <f t="shared" ca="1" si="67"/>
        <v>0</v>
      </c>
      <c r="M98" s="2154">
        <f t="shared" ca="1" si="67"/>
        <v>0</v>
      </c>
      <c r="N98" s="2154">
        <f t="shared" ca="1" si="67"/>
        <v>0</v>
      </c>
      <c r="O98" s="2154">
        <f t="shared" ca="1" si="67"/>
        <v>0</v>
      </c>
    </row>
    <row r="99" spans="1:15" ht="13.5" hidden="1" customHeight="1">
      <c r="A99" s="501"/>
      <c r="B99" s="503"/>
      <c r="C99" s="2150">
        <v>10500708</v>
      </c>
      <c r="D99" s="2151" t="s">
        <v>375</v>
      </c>
      <c r="E99" s="2152"/>
      <c r="F99" s="2153"/>
      <c r="G99" s="2117">
        <f t="shared" ca="1" si="59"/>
        <v>0</v>
      </c>
      <c r="H99" s="2154">
        <f t="shared" ca="1" si="60"/>
        <v>0</v>
      </c>
      <c r="I99" s="2154">
        <f t="shared" ca="1" si="60"/>
        <v>0</v>
      </c>
      <c r="J99" s="2154">
        <f t="shared" ref="J99:O99" ca="1" si="68">IF(J$22="007停車場建物",ROUND(J30+J30/(J$5-J$6)*J$6+J30/(J$5-J$6)*J$15,-3),"")</f>
        <v>0</v>
      </c>
      <c r="K99" s="2154">
        <f t="shared" ca="1" si="68"/>
        <v>0</v>
      </c>
      <c r="L99" s="2154">
        <f t="shared" ca="1" si="68"/>
        <v>0</v>
      </c>
      <c r="M99" s="2154">
        <f t="shared" ca="1" si="68"/>
        <v>0</v>
      </c>
      <c r="N99" s="2154">
        <f t="shared" ca="1" si="68"/>
        <v>0</v>
      </c>
      <c r="O99" s="2154">
        <f t="shared" ca="1" si="68"/>
        <v>0</v>
      </c>
    </row>
    <row r="100" spans="1:15" ht="13.5" hidden="1" customHeight="1">
      <c r="A100" s="501"/>
      <c r="B100" s="503"/>
      <c r="C100" s="2150">
        <v>10500709</v>
      </c>
      <c r="D100" s="2151" t="s">
        <v>376</v>
      </c>
      <c r="E100" s="2152"/>
      <c r="F100" s="2153"/>
      <c r="G100" s="2117">
        <f t="shared" ca="1" si="59"/>
        <v>0</v>
      </c>
      <c r="H100" s="2154">
        <f t="shared" ca="1" si="60"/>
        <v>0</v>
      </c>
      <c r="I100" s="2154">
        <f t="shared" ca="1" si="60"/>
        <v>0</v>
      </c>
      <c r="J100" s="2154">
        <f t="shared" ref="J100:O100" ca="1" si="69">IF(J$22="007停車場建物",ROUND(J31+J31/(J$5-J$6)*J$6+J31/(J$5-J$6)*J$15,-3),"")</f>
        <v>0</v>
      </c>
      <c r="K100" s="2154">
        <f t="shared" ca="1" si="69"/>
        <v>0</v>
      </c>
      <c r="L100" s="2154">
        <f t="shared" ca="1" si="69"/>
        <v>0</v>
      </c>
      <c r="M100" s="2154">
        <f t="shared" ca="1" si="69"/>
        <v>0</v>
      </c>
      <c r="N100" s="2154">
        <f t="shared" ca="1" si="69"/>
        <v>0</v>
      </c>
      <c r="O100" s="2154">
        <f t="shared" ca="1" si="69"/>
        <v>0</v>
      </c>
    </row>
    <row r="101" spans="1:15" ht="13.5" hidden="1" customHeight="1">
      <c r="A101" s="501"/>
      <c r="B101" s="503"/>
      <c r="C101" s="2150">
        <v>10500710</v>
      </c>
      <c r="D101" s="2151" t="s">
        <v>377</v>
      </c>
      <c r="E101" s="2152"/>
      <c r="F101" s="2153"/>
      <c r="G101" s="2117">
        <f t="shared" ca="1" si="59"/>
        <v>0</v>
      </c>
      <c r="H101" s="2154">
        <f t="shared" ca="1" si="60"/>
        <v>0</v>
      </c>
      <c r="I101" s="2154">
        <f t="shared" ca="1" si="60"/>
        <v>0</v>
      </c>
      <c r="J101" s="2154">
        <f t="shared" ref="J101:O101" ca="1" si="70">IF(J$22="007停車場建物",ROUND(J32+J32/(J$5-J$6)*J$6+J32/(J$5-J$6)*J$15,-3),"")</f>
        <v>0</v>
      </c>
      <c r="K101" s="2154">
        <f t="shared" ca="1" si="70"/>
        <v>0</v>
      </c>
      <c r="L101" s="2154">
        <f t="shared" ca="1" si="70"/>
        <v>0</v>
      </c>
      <c r="M101" s="2154">
        <f t="shared" ca="1" si="70"/>
        <v>0</v>
      </c>
      <c r="N101" s="2154">
        <f t="shared" ca="1" si="70"/>
        <v>0</v>
      </c>
      <c r="O101" s="2154">
        <f t="shared" ca="1" si="70"/>
        <v>0</v>
      </c>
    </row>
    <row r="102" spans="1:15" ht="13.5" hidden="1" customHeight="1">
      <c r="A102" s="501"/>
      <c r="B102" s="503"/>
      <c r="C102" s="2150">
        <v>10500711</v>
      </c>
      <c r="D102" s="2151" t="s">
        <v>378</v>
      </c>
      <c r="E102" s="2152"/>
      <c r="F102" s="2153"/>
      <c r="G102" s="2117">
        <f t="shared" ca="1" si="59"/>
        <v>0</v>
      </c>
      <c r="H102" s="2154">
        <f t="shared" ca="1" si="60"/>
        <v>0</v>
      </c>
      <c r="I102" s="2154">
        <f t="shared" ca="1" si="60"/>
        <v>0</v>
      </c>
      <c r="J102" s="2154">
        <f t="shared" ref="J102:O102" ca="1" si="71">IF(J$22="007停車場建物",ROUND(J33+J33/(J$5-J$6)*J$6+J33/(J$5-J$6)*J$15,-3),"")</f>
        <v>0</v>
      </c>
      <c r="K102" s="2154">
        <f t="shared" ca="1" si="71"/>
        <v>0</v>
      </c>
      <c r="L102" s="2154">
        <f t="shared" ca="1" si="71"/>
        <v>0</v>
      </c>
      <c r="M102" s="2154">
        <f t="shared" ca="1" si="71"/>
        <v>0</v>
      </c>
      <c r="N102" s="2154">
        <f t="shared" ca="1" si="71"/>
        <v>0</v>
      </c>
      <c r="O102" s="2154">
        <f t="shared" ca="1" si="71"/>
        <v>0</v>
      </c>
    </row>
    <row r="103" spans="1:15" ht="13.5" hidden="1" customHeight="1">
      <c r="A103" s="501"/>
      <c r="B103" s="503"/>
      <c r="C103" s="2150">
        <v>10500712</v>
      </c>
      <c r="D103" s="2151" t="s">
        <v>379</v>
      </c>
      <c r="E103" s="2152"/>
      <c r="F103" s="2153"/>
      <c r="G103" s="2117">
        <f t="shared" ca="1" si="59"/>
        <v>0</v>
      </c>
      <c r="H103" s="2154">
        <f t="shared" ca="1" si="60"/>
        <v>0</v>
      </c>
      <c r="I103" s="2154">
        <f t="shared" ca="1" si="60"/>
        <v>0</v>
      </c>
      <c r="J103" s="2154">
        <f t="shared" ref="J103:O103" ca="1" si="72">IF(J$22="007停車場建物",ROUND(J34+J34/(J$5-J$6)*J$6+J34/(J$5-J$6)*J$15,-3),"")</f>
        <v>0</v>
      </c>
      <c r="K103" s="2154">
        <f t="shared" ca="1" si="72"/>
        <v>0</v>
      </c>
      <c r="L103" s="2154">
        <f t="shared" ca="1" si="72"/>
        <v>0</v>
      </c>
      <c r="M103" s="2154">
        <f t="shared" ca="1" si="72"/>
        <v>0</v>
      </c>
      <c r="N103" s="2154">
        <f t="shared" ca="1" si="72"/>
        <v>0</v>
      </c>
      <c r="O103" s="2154">
        <f t="shared" ca="1" si="72"/>
        <v>0</v>
      </c>
    </row>
    <row r="104" spans="1:15" ht="13.5" hidden="1" customHeight="1">
      <c r="A104" s="501"/>
      <c r="B104" s="503"/>
      <c r="C104" s="2150">
        <v>10500713</v>
      </c>
      <c r="D104" s="2151" t="s">
        <v>380</v>
      </c>
      <c r="E104" s="2152"/>
      <c r="F104" s="2153"/>
      <c r="G104" s="2117">
        <f t="shared" ca="1" si="59"/>
        <v>0</v>
      </c>
      <c r="H104" s="2154">
        <f t="shared" ca="1" si="60"/>
        <v>0</v>
      </c>
      <c r="I104" s="2154">
        <f t="shared" ca="1" si="60"/>
        <v>0</v>
      </c>
      <c r="J104" s="2154">
        <f t="shared" ref="J104:O104" ca="1" si="73">IF(J$22="007停車場建物",ROUND(J35+J35/(J$5-J$6)*J$6+J35/(J$5-J$6)*J$15,-3),"")</f>
        <v>0</v>
      </c>
      <c r="K104" s="2154">
        <f t="shared" ca="1" si="73"/>
        <v>0</v>
      </c>
      <c r="L104" s="2154">
        <f t="shared" ca="1" si="73"/>
        <v>0</v>
      </c>
      <c r="M104" s="2154">
        <f t="shared" ca="1" si="73"/>
        <v>0</v>
      </c>
      <c r="N104" s="2154">
        <f t="shared" ca="1" si="73"/>
        <v>0</v>
      </c>
      <c r="O104" s="2154">
        <f t="shared" ca="1" si="73"/>
        <v>0</v>
      </c>
    </row>
    <row r="105" spans="1:15" ht="13.5" hidden="1" customHeight="1">
      <c r="A105" s="501"/>
      <c r="B105" s="503"/>
      <c r="C105" s="2150">
        <v>10500714</v>
      </c>
      <c r="D105" s="2151" t="s">
        <v>381</v>
      </c>
      <c r="E105" s="2152"/>
      <c r="F105" s="2153"/>
      <c r="G105" s="2117">
        <f t="shared" ca="1" si="59"/>
        <v>0</v>
      </c>
      <c r="H105" s="2154">
        <f t="shared" ca="1" si="60"/>
        <v>0</v>
      </c>
      <c r="I105" s="2154">
        <f t="shared" ca="1" si="60"/>
        <v>0</v>
      </c>
      <c r="J105" s="2154">
        <f t="shared" ref="J105:O105" ca="1" si="74">IF(J$22="007停車場建物",ROUND(J36+J36/(J$5-J$6)*J$6+J36/(J$5-J$6)*J$15,-3),"")</f>
        <v>0</v>
      </c>
      <c r="K105" s="2154">
        <f t="shared" ca="1" si="74"/>
        <v>0</v>
      </c>
      <c r="L105" s="2154">
        <f t="shared" ca="1" si="74"/>
        <v>0</v>
      </c>
      <c r="M105" s="2154">
        <f t="shared" ca="1" si="74"/>
        <v>0</v>
      </c>
      <c r="N105" s="2154">
        <f t="shared" ca="1" si="74"/>
        <v>0</v>
      </c>
      <c r="O105" s="2154">
        <f t="shared" ca="1" si="74"/>
        <v>0</v>
      </c>
    </row>
    <row r="106" spans="1:15" ht="13.5" hidden="1" customHeight="1">
      <c r="A106" s="501"/>
      <c r="B106" s="503"/>
      <c r="C106" s="2150">
        <v>10500715</v>
      </c>
      <c r="D106" s="2151" t="s">
        <v>382</v>
      </c>
      <c r="E106" s="2152"/>
      <c r="F106" s="2153"/>
      <c r="G106" s="2117">
        <f t="shared" ca="1" si="59"/>
        <v>0</v>
      </c>
      <c r="H106" s="2154">
        <f t="shared" ca="1" si="60"/>
        <v>0</v>
      </c>
      <c r="I106" s="2154">
        <f t="shared" ca="1" si="60"/>
        <v>0</v>
      </c>
      <c r="J106" s="2154">
        <f t="shared" ref="J106:O106" ca="1" si="75">IF(J$22="007停車場建物",ROUND(J37+J37/(J$5-J$6)*J$6+J37/(J$5-J$6)*J$15,-3),"")</f>
        <v>0</v>
      </c>
      <c r="K106" s="2154">
        <f t="shared" ca="1" si="75"/>
        <v>0</v>
      </c>
      <c r="L106" s="2154">
        <f t="shared" ca="1" si="75"/>
        <v>0</v>
      </c>
      <c r="M106" s="2154">
        <f t="shared" ca="1" si="75"/>
        <v>0</v>
      </c>
      <c r="N106" s="2154">
        <f t="shared" ca="1" si="75"/>
        <v>0</v>
      </c>
      <c r="O106" s="2154">
        <f t="shared" ca="1" si="75"/>
        <v>0</v>
      </c>
    </row>
    <row r="107" spans="1:15" ht="13.5" hidden="1" customHeight="1">
      <c r="A107" s="501"/>
      <c r="B107" s="503"/>
      <c r="C107" s="2150">
        <v>10500716</v>
      </c>
      <c r="D107" s="2151" t="s">
        <v>383</v>
      </c>
      <c r="E107" s="2152"/>
      <c r="F107" s="2153"/>
      <c r="G107" s="2117">
        <f t="shared" ca="1" si="59"/>
        <v>0</v>
      </c>
      <c r="H107" s="2154">
        <f t="shared" ca="1" si="60"/>
        <v>0</v>
      </c>
      <c r="I107" s="2154">
        <f t="shared" ca="1" si="60"/>
        <v>0</v>
      </c>
      <c r="J107" s="2154">
        <f t="shared" ref="J107:O107" ca="1" si="76">IF(J$22="007停車場建物",ROUND(J38+J38/(J$5-J$6)*J$6+J38/(J$5-J$6)*J$15,-3),"")</f>
        <v>0</v>
      </c>
      <c r="K107" s="2154">
        <f t="shared" ca="1" si="76"/>
        <v>0</v>
      </c>
      <c r="L107" s="2154">
        <f t="shared" ca="1" si="76"/>
        <v>0</v>
      </c>
      <c r="M107" s="2154">
        <f t="shared" ca="1" si="76"/>
        <v>0</v>
      </c>
      <c r="N107" s="2154">
        <f t="shared" ca="1" si="76"/>
        <v>0</v>
      </c>
      <c r="O107" s="2154">
        <f t="shared" ca="1" si="76"/>
        <v>0</v>
      </c>
    </row>
    <row r="108" spans="1:15" ht="13.5" hidden="1" customHeight="1">
      <c r="A108" s="501"/>
      <c r="B108" s="503"/>
      <c r="C108" s="2150">
        <v>10500717</v>
      </c>
      <c r="D108" s="2151" t="s">
        <v>384</v>
      </c>
      <c r="E108" s="2152"/>
      <c r="F108" s="2153"/>
      <c r="G108" s="2117">
        <f t="shared" ca="1" si="59"/>
        <v>0</v>
      </c>
      <c r="H108" s="2154">
        <f t="shared" ref="H108:I117" ca="1" si="77">IF(H$22="007停車場建物",ROUND(H39+H39/(H$5-H$6)*H$6+H39/(H$5-H$6)*H$15,-3),"")</f>
        <v>0</v>
      </c>
      <c r="I108" s="2154">
        <f t="shared" ca="1" si="77"/>
        <v>0</v>
      </c>
      <c r="J108" s="2154">
        <f t="shared" ref="J108:O108" ca="1" si="78">IF(J$22="007停車場建物",ROUND(J39+J39/(J$5-J$6)*J$6+J39/(J$5-J$6)*J$15,-3),"")</f>
        <v>0</v>
      </c>
      <c r="K108" s="2154">
        <f t="shared" ca="1" si="78"/>
        <v>0</v>
      </c>
      <c r="L108" s="2154">
        <f t="shared" ca="1" si="78"/>
        <v>0</v>
      </c>
      <c r="M108" s="2154">
        <f t="shared" ca="1" si="78"/>
        <v>0</v>
      </c>
      <c r="N108" s="2154">
        <f t="shared" ca="1" si="78"/>
        <v>0</v>
      </c>
      <c r="O108" s="2154">
        <f t="shared" ca="1" si="78"/>
        <v>0</v>
      </c>
    </row>
    <row r="109" spans="1:15" ht="13.5" hidden="1" customHeight="1">
      <c r="A109" s="501"/>
      <c r="B109" s="503"/>
      <c r="C109" s="2150">
        <v>10500718</v>
      </c>
      <c r="D109" s="2151" t="s">
        <v>385</v>
      </c>
      <c r="E109" s="2152"/>
      <c r="F109" s="2153"/>
      <c r="G109" s="2117">
        <f t="shared" ca="1" si="59"/>
        <v>0</v>
      </c>
      <c r="H109" s="2154">
        <f t="shared" ca="1" si="77"/>
        <v>0</v>
      </c>
      <c r="I109" s="2154">
        <f t="shared" ca="1" si="77"/>
        <v>0</v>
      </c>
      <c r="J109" s="2154">
        <f t="shared" ref="J109:O109" ca="1" si="79">IF(J$22="007停車場建物",ROUND(J40+J40/(J$5-J$6)*J$6+J40/(J$5-J$6)*J$15,-3),"")</f>
        <v>0</v>
      </c>
      <c r="K109" s="2154">
        <f t="shared" ca="1" si="79"/>
        <v>0</v>
      </c>
      <c r="L109" s="2154">
        <f t="shared" ca="1" si="79"/>
        <v>0</v>
      </c>
      <c r="M109" s="2154">
        <f t="shared" ca="1" si="79"/>
        <v>0</v>
      </c>
      <c r="N109" s="2154">
        <f t="shared" ca="1" si="79"/>
        <v>0</v>
      </c>
      <c r="O109" s="2154">
        <f t="shared" ca="1" si="79"/>
        <v>0</v>
      </c>
    </row>
    <row r="110" spans="1:15" ht="13.5" hidden="1" customHeight="1">
      <c r="A110" s="501"/>
      <c r="B110" s="503"/>
      <c r="C110" s="2150">
        <v>10500719</v>
      </c>
      <c r="D110" s="2151" t="s">
        <v>386</v>
      </c>
      <c r="E110" s="2152"/>
      <c r="F110" s="2153"/>
      <c r="G110" s="2117">
        <f t="shared" ca="1" si="59"/>
        <v>0</v>
      </c>
      <c r="H110" s="2154">
        <f t="shared" ca="1" si="77"/>
        <v>0</v>
      </c>
      <c r="I110" s="2154">
        <f t="shared" ca="1" si="77"/>
        <v>0</v>
      </c>
      <c r="J110" s="2154">
        <f t="shared" ref="J110:O110" ca="1" si="80">IF(J$22="007停車場建物",ROUND(J41+J41/(J$5-J$6)*J$6+J41/(J$5-J$6)*J$15,-3),"")</f>
        <v>0</v>
      </c>
      <c r="K110" s="2154">
        <f t="shared" ca="1" si="80"/>
        <v>0</v>
      </c>
      <c r="L110" s="2154">
        <f t="shared" ca="1" si="80"/>
        <v>0</v>
      </c>
      <c r="M110" s="2154">
        <f t="shared" ca="1" si="80"/>
        <v>0</v>
      </c>
      <c r="N110" s="2154">
        <f t="shared" ca="1" si="80"/>
        <v>0</v>
      </c>
      <c r="O110" s="2154">
        <f t="shared" ca="1" si="80"/>
        <v>0</v>
      </c>
    </row>
    <row r="111" spans="1:15" ht="13.5" hidden="1" customHeight="1">
      <c r="A111" s="501"/>
      <c r="B111" s="503"/>
      <c r="C111" s="2150">
        <v>10500720</v>
      </c>
      <c r="D111" s="2151" t="s">
        <v>387</v>
      </c>
      <c r="E111" s="2152"/>
      <c r="F111" s="2153"/>
      <c r="G111" s="2117">
        <f t="shared" ca="1" si="59"/>
        <v>0</v>
      </c>
      <c r="H111" s="2154">
        <f t="shared" ca="1" si="77"/>
        <v>0</v>
      </c>
      <c r="I111" s="2154">
        <f t="shared" ca="1" si="77"/>
        <v>0</v>
      </c>
      <c r="J111" s="2154">
        <f t="shared" ref="J111:O111" ca="1" si="81">IF(J$22="007停車場建物",ROUND(J42+J42/(J$5-J$6)*J$6+J42/(J$5-J$6)*J$15,-3),"")</f>
        <v>0</v>
      </c>
      <c r="K111" s="2154">
        <f t="shared" ca="1" si="81"/>
        <v>0</v>
      </c>
      <c r="L111" s="2154">
        <f t="shared" ca="1" si="81"/>
        <v>0</v>
      </c>
      <c r="M111" s="2154">
        <f t="shared" ca="1" si="81"/>
        <v>0</v>
      </c>
      <c r="N111" s="2154">
        <f t="shared" ca="1" si="81"/>
        <v>0</v>
      </c>
      <c r="O111" s="2154">
        <f t="shared" ca="1" si="81"/>
        <v>0</v>
      </c>
    </row>
    <row r="112" spans="1:15" ht="13.5" hidden="1" customHeight="1">
      <c r="A112" s="501"/>
      <c r="B112" s="503"/>
      <c r="C112" s="2150">
        <v>10500721</v>
      </c>
      <c r="D112" s="2151" t="s">
        <v>388</v>
      </c>
      <c r="E112" s="2152"/>
      <c r="F112" s="2153"/>
      <c r="G112" s="2117">
        <f t="shared" ca="1" si="59"/>
        <v>0</v>
      </c>
      <c r="H112" s="2154">
        <f t="shared" ca="1" si="77"/>
        <v>0</v>
      </c>
      <c r="I112" s="2154">
        <f t="shared" ca="1" si="77"/>
        <v>0</v>
      </c>
      <c r="J112" s="2154">
        <f t="shared" ref="J112:O112" ca="1" si="82">IF(J$22="007停車場建物",ROUND(J43+J43/(J$5-J$6)*J$6+J43/(J$5-J$6)*J$15,-3),"")</f>
        <v>0</v>
      </c>
      <c r="K112" s="2154">
        <f t="shared" ca="1" si="82"/>
        <v>0</v>
      </c>
      <c r="L112" s="2154">
        <f t="shared" ca="1" si="82"/>
        <v>0</v>
      </c>
      <c r="M112" s="2154">
        <f t="shared" ca="1" si="82"/>
        <v>0</v>
      </c>
      <c r="N112" s="2154">
        <f t="shared" ca="1" si="82"/>
        <v>0</v>
      </c>
      <c r="O112" s="2154">
        <f t="shared" ca="1" si="82"/>
        <v>0</v>
      </c>
    </row>
    <row r="113" spans="1:15" ht="13.5" hidden="1" customHeight="1">
      <c r="A113" s="501"/>
      <c r="B113" s="503"/>
      <c r="C113" s="2150">
        <v>10500722</v>
      </c>
      <c r="D113" s="2151" t="s">
        <v>389</v>
      </c>
      <c r="E113" s="2152"/>
      <c r="F113" s="2153"/>
      <c r="G113" s="2117">
        <f t="shared" ca="1" si="59"/>
        <v>0</v>
      </c>
      <c r="H113" s="2154">
        <f t="shared" ca="1" si="77"/>
        <v>0</v>
      </c>
      <c r="I113" s="2154">
        <f t="shared" ca="1" si="77"/>
        <v>0</v>
      </c>
      <c r="J113" s="2154">
        <f t="shared" ref="J113:O113" ca="1" si="83">IF(J$22="007停車場建物",ROUND(J44+J44/(J$5-J$6)*J$6+J44/(J$5-J$6)*J$15,-3),"")</f>
        <v>0</v>
      </c>
      <c r="K113" s="2154">
        <f t="shared" ca="1" si="83"/>
        <v>0</v>
      </c>
      <c r="L113" s="2154">
        <f t="shared" ca="1" si="83"/>
        <v>0</v>
      </c>
      <c r="M113" s="2154">
        <f t="shared" ca="1" si="83"/>
        <v>0</v>
      </c>
      <c r="N113" s="2154">
        <f t="shared" ca="1" si="83"/>
        <v>0</v>
      </c>
      <c r="O113" s="2154">
        <f t="shared" ca="1" si="83"/>
        <v>0</v>
      </c>
    </row>
    <row r="114" spans="1:15" ht="13.5" hidden="1" customHeight="1">
      <c r="A114" s="501"/>
      <c r="B114" s="503"/>
      <c r="C114" s="2150">
        <v>10500723</v>
      </c>
      <c r="D114" s="2151" t="s">
        <v>390</v>
      </c>
      <c r="E114" s="2152"/>
      <c r="F114" s="2153"/>
      <c r="G114" s="2117">
        <f t="shared" ca="1" si="59"/>
        <v>0</v>
      </c>
      <c r="H114" s="2154">
        <f t="shared" ca="1" si="77"/>
        <v>0</v>
      </c>
      <c r="I114" s="2154">
        <f t="shared" ca="1" si="77"/>
        <v>0</v>
      </c>
      <c r="J114" s="2154">
        <f t="shared" ref="J114:O114" ca="1" si="84">IF(J$22="007停車場建物",ROUND(J45+J45/(J$5-J$6)*J$6+J45/(J$5-J$6)*J$15,-3),"")</f>
        <v>0</v>
      </c>
      <c r="K114" s="2154">
        <f t="shared" ca="1" si="84"/>
        <v>0</v>
      </c>
      <c r="L114" s="2154">
        <f t="shared" ca="1" si="84"/>
        <v>0</v>
      </c>
      <c r="M114" s="2154">
        <f t="shared" ca="1" si="84"/>
        <v>0</v>
      </c>
      <c r="N114" s="2154">
        <f t="shared" ca="1" si="84"/>
        <v>0</v>
      </c>
      <c r="O114" s="2154">
        <f t="shared" ca="1" si="84"/>
        <v>0</v>
      </c>
    </row>
    <row r="115" spans="1:15" ht="13.5" hidden="1" customHeight="1">
      <c r="A115" s="501"/>
      <c r="B115" s="503"/>
      <c r="C115" s="2150">
        <v>10500724</v>
      </c>
      <c r="D115" s="2151" t="s">
        <v>391</v>
      </c>
      <c r="E115" s="2152"/>
      <c r="F115" s="2153"/>
      <c r="G115" s="2117">
        <f t="shared" ca="1" si="59"/>
        <v>0</v>
      </c>
      <c r="H115" s="2154">
        <f t="shared" ca="1" si="77"/>
        <v>0</v>
      </c>
      <c r="I115" s="2154">
        <f t="shared" ca="1" si="77"/>
        <v>0</v>
      </c>
      <c r="J115" s="2154">
        <f t="shared" ref="J115:O115" ca="1" si="85">IF(J$22="007停車場建物",ROUND(J46+J46/(J$5-J$6)*J$6+J46/(J$5-J$6)*J$15,-3),"")</f>
        <v>0</v>
      </c>
      <c r="K115" s="2154">
        <f t="shared" ca="1" si="85"/>
        <v>0</v>
      </c>
      <c r="L115" s="2154">
        <f t="shared" ca="1" si="85"/>
        <v>0</v>
      </c>
      <c r="M115" s="2154">
        <f t="shared" ca="1" si="85"/>
        <v>0</v>
      </c>
      <c r="N115" s="2154">
        <f t="shared" ca="1" si="85"/>
        <v>0</v>
      </c>
      <c r="O115" s="2154">
        <f t="shared" ca="1" si="85"/>
        <v>0</v>
      </c>
    </row>
    <row r="116" spans="1:15" ht="13.5" hidden="1" customHeight="1">
      <c r="A116" s="501"/>
      <c r="B116" s="503"/>
      <c r="C116" s="2150">
        <v>10500725</v>
      </c>
      <c r="D116" s="2151" t="s">
        <v>392</v>
      </c>
      <c r="E116" s="2152"/>
      <c r="F116" s="2153"/>
      <c r="G116" s="2117">
        <f t="shared" ca="1" si="59"/>
        <v>0</v>
      </c>
      <c r="H116" s="2154">
        <f t="shared" ca="1" si="77"/>
        <v>0</v>
      </c>
      <c r="I116" s="2154">
        <f t="shared" ca="1" si="77"/>
        <v>0</v>
      </c>
      <c r="J116" s="2154">
        <f t="shared" ref="J116:O116" ca="1" si="86">IF(J$22="007停車場建物",ROUND(J47+J47/(J$5-J$6)*J$6+J47/(J$5-J$6)*J$15,-3),"")</f>
        <v>0</v>
      </c>
      <c r="K116" s="2154">
        <f t="shared" ca="1" si="86"/>
        <v>0</v>
      </c>
      <c r="L116" s="2154">
        <f t="shared" ca="1" si="86"/>
        <v>0</v>
      </c>
      <c r="M116" s="2154">
        <f t="shared" ca="1" si="86"/>
        <v>0</v>
      </c>
      <c r="N116" s="2154">
        <f t="shared" ca="1" si="86"/>
        <v>0</v>
      </c>
      <c r="O116" s="2154">
        <f t="shared" ca="1" si="86"/>
        <v>0</v>
      </c>
    </row>
    <row r="117" spans="1:15" ht="13.5" hidden="1" customHeight="1">
      <c r="A117" s="501"/>
      <c r="B117" s="503"/>
      <c r="C117" s="2155"/>
      <c r="D117" s="2156"/>
      <c r="E117" s="2157"/>
      <c r="F117" s="2125"/>
      <c r="G117" s="2158">
        <f t="shared" ca="1" si="59"/>
        <v>0</v>
      </c>
      <c r="H117" s="2159">
        <f t="shared" ca="1" si="77"/>
        <v>0</v>
      </c>
      <c r="I117" s="2159">
        <f t="shared" ca="1" si="77"/>
        <v>0</v>
      </c>
      <c r="J117" s="2159">
        <f t="shared" ref="J117:O117" ca="1" si="87">IF(J$22="007停車場建物",ROUND(J48+J48/(J$5-J$6)*J$6+J48/(J$5-J$6)*J$15,-3),"")</f>
        <v>0</v>
      </c>
      <c r="K117" s="2159">
        <f t="shared" ca="1" si="87"/>
        <v>0</v>
      </c>
      <c r="L117" s="2159">
        <f t="shared" ca="1" si="87"/>
        <v>0</v>
      </c>
      <c r="M117" s="2159">
        <f t="shared" ca="1" si="87"/>
        <v>0</v>
      </c>
      <c r="N117" s="2159">
        <f t="shared" ca="1" si="87"/>
        <v>0</v>
      </c>
      <c r="O117" s="2159">
        <f t="shared" ca="1" si="87"/>
        <v>0</v>
      </c>
    </row>
    <row r="118" spans="1:15" ht="13.5" hidden="1" customHeight="1">
      <c r="A118" s="501"/>
      <c r="B118" s="503"/>
      <c r="C118" s="2150">
        <v>10500801</v>
      </c>
      <c r="D118" s="2151" t="s">
        <v>393</v>
      </c>
      <c r="E118" s="2152"/>
      <c r="F118" s="2153"/>
      <c r="G118" s="2117">
        <f t="shared" si="59"/>
        <v>0</v>
      </c>
      <c r="H118" s="586" t="str">
        <f t="shared" ref="H118:I133" si="88">IF(H$22="008変電所建物",ROUND(H23+H23/(H$5-H$6)*H$6+H23/(H$5-H$6)*H$15,-3),"")</f>
        <v/>
      </c>
      <c r="I118" s="586" t="str">
        <f t="shared" si="88"/>
        <v/>
      </c>
      <c r="J118" s="586" t="str">
        <f t="shared" ref="J118:O118" si="89">IF(J$22="008変電所建物",ROUND(J23+J23/(J$5-J$6)*J$6+J23/(J$5-J$6)*J$15,-3),"")</f>
        <v/>
      </c>
      <c r="K118" s="586" t="str">
        <f t="shared" si="89"/>
        <v/>
      </c>
      <c r="L118" s="586" t="str">
        <f t="shared" si="89"/>
        <v/>
      </c>
      <c r="M118" s="586" t="str">
        <f t="shared" si="89"/>
        <v/>
      </c>
      <c r="N118" s="586" t="str">
        <f t="shared" si="89"/>
        <v/>
      </c>
      <c r="O118" s="586" t="str">
        <f t="shared" si="89"/>
        <v/>
      </c>
    </row>
    <row r="119" spans="1:15" ht="13.5" hidden="1" customHeight="1">
      <c r="A119" s="501"/>
      <c r="B119" s="503"/>
      <c r="C119" s="2150">
        <v>10500802</v>
      </c>
      <c r="D119" s="2151" t="s">
        <v>394</v>
      </c>
      <c r="E119" s="2152"/>
      <c r="F119" s="2153"/>
      <c r="G119" s="2117">
        <f t="shared" si="59"/>
        <v>0</v>
      </c>
      <c r="H119" s="2160" t="str">
        <f t="shared" si="88"/>
        <v/>
      </c>
      <c r="I119" s="2160" t="str">
        <f t="shared" si="88"/>
        <v/>
      </c>
      <c r="J119" s="2160" t="str">
        <f t="shared" ref="J119:O119" si="90">IF(J$22="008変電所建物",ROUND(J24+J24/(J$5-J$6)*J$6+J24/(J$5-J$6)*J$15,-3),"")</f>
        <v/>
      </c>
      <c r="K119" s="2160" t="str">
        <f t="shared" si="90"/>
        <v/>
      </c>
      <c r="L119" s="2160" t="str">
        <f t="shared" si="90"/>
        <v/>
      </c>
      <c r="M119" s="2160" t="str">
        <f t="shared" si="90"/>
        <v/>
      </c>
      <c r="N119" s="2160" t="str">
        <f t="shared" si="90"/>
        <v/>
      </c>
      <c r="O119" s="2160" t="str">
        <f t="shared" si="90"/>
        <v/>
      </c>
    </row>
    <row r="120" spans="1:15" ht="13.5" hidden="1" customHeight="1">
      <c r="A120" s="501"/>
      <c r="B120" s="503"/>
      <c r="C120" s="2150">
        <v>10500803</v>
      </c>
      <c r="D120" s="2151" t="s">
        <v>395</v>
      </c>
      <c r="E120" s="2152"/>
      <c r="F120" s="2153"/>
      <c r="G120" s="2117">
        <f t="shared" si="59"/>
        <v>0</v>
      </c>
      <c r="H120" s="2160" t="str">
        <f t="shared" si="88"/>
        <v/>
      </c>
      <c r="I120" s="2160" t="str">
        <f t="shared" si="88"/>
        <v/>
      </c>
      <c r="J120" s="2160" t="str">
        <f t="shared" ref="J120:O120" si="91">IF(J$22="008変電所建物",ROUND(J25+J25/(J$5-J$6)*J$6+J25/(J$5-J$6)*J$15,-3),"")</f>
        <v/>
      </c>
      <c r="K120" s="2160" t="str">
        <f t="shared" si="91"/>
        <v/>
      </c>
      <c r="L120" s="2160" t="str">
        <f t="shared" si="91"/>
        <v/>
      </c>
      <c r="M120" s="2160" t="str">
        <f t="shared" si="91"/>
        <v/>
      </c>
      <c r="N120" s="2160" t="str">
        <f t="shared" si="91"/>
        <v/>
      </c>
      <c r="O120" s="2160" t="str">
        <f t="shared" si="91"/>
        <v/>
      </c>
    </row>
    <row r="121" spans="1:15" ht="13.5" hidden="1" customHeight="1">
      <c r="A121" s="501"/>
      <c r="B121" s="503"/>
      <c r="C121" s="2150">
        <v>10500804</v>
      </c>
      <c r="D121" s="2151" t="s">
        <v>396</v>
      </c>
      <c r="E121" s="2152"/>
      <c r="F121" s="2153"/>
      <c r="G121" s="2117">
        <f t="shared" si="59"/>
        <v>0</v>
      </c>
      <c r="H121" s="2160" t="str">
        <f t="shared" si="88"/>
        <v/>
      </c>
      <c r="I121" s="2160" t="str">
        <f t="shared" si="88"/>
        <v/>
      </c>
      <c r="J121" s="2160" t="str">
        <f t="shared" ref="J121:O121" si="92">IF(J$22="008変電所建物",ROUND(J26+J26/(J$5-J$6)*J$6+J26/(J$5-J$6)*J$15,-3),"")</f>
        <v/>
      </c>
      <c r="K121" s="2160" t="str">
        <f t="shared" si="92"/>
        <v/>
      </c>
      <c r="L121" s="2160" t="str">
        <f t="shared" si="92"/>
        <v/>
      </c>
      <c r="M121" s="2160" t="str">
        <f t="shared" si="92"/>
        <v/>
      </c>
      <c r="N121" s="2160" t="str">
        <f t="shared" si="92"/>
        <v/>
      </c>
      <c r="O121" s="2160" t="str">
        <f t="shared" si="92"/>
        <v/>
      </c>
    </row>
    <row r="122" spans="1:15" ht="13.5" hidden="1" customHeight="1">
      <c r="A122" s="501"/>
      <c r="B122" s="503"/>
      <c r="C122" s="2150">
        <v>10500805</v>
      </c>
      <c r="D122" s="2151" t="s">
        <v>397</v>
      </c>
      <c r="E122" s="2152"/>
      <c r="F122" s="2153"/>
      <c r="G122" s="2117">
        <f t="shared" si="59"/>
        <v>0</v>
      </c>
      <c r="H122" s="2160" t="str">
        <f t="shared" si="88"/>
        <v/>
      </c>
      <c r="I122" s="2160" t="str">
        <f t="shared" si="88"/>
        <v/>
      </c>
      <c r="J122" s="2160" t="str">
        <f t="shared" ref="J122:O122" si="93">IF(J$22="008変電所建物",ROUND(J27+J27/(J$5-J$6)*J$6+J27/(J$5-J$6)*J$15,-3),"")</f>
        <v/>
      </c>
      <c r="K122" s="2160" t="str">
        <f t="shared" si="93"/>
        <v/>
      </c>
      <c r="L122" s="2160" t="str">
        <f t="shared" si="93"/>
        <v/>
      </c>
      <c r="M122" s="2160" t="str">
        <f t="shared" si="93"/>
        <v/>
      </c>
      <c r="N122" s="2160" t="str">
        <f t="shared" si="93"/>
        <v/>
      </c>
      <c r="O122" s="2160" t="str">
        <f t="shared" si="93"/>
        <v/>
      </c>
    </row>
    <row r="123" spans="1:15" ht="13.5" hidden="1" customHeight="1">
      <c r="A123" s="501"/>
      <c r="B123" s="503"/>
      <c r="C123" s="2150">
        <v>10500806</v>
      </c>
      <c r="D123" s="2151" t="s">
        <v>398</v>
      </c>
      <c r="E123" s="2152"/>
      <c r="F123" s="2153"/>
      <c r="G123" s="2117">
        <f t="shared" si="59"/>
        <v>0</v>
      </c>
      <c r="H123" s="2160" t="str">
        <f t="shared" si="88"/>
        <v/>
      </c>
      <c r="I123" s="2160" t="str">
        <f t="shared" si="88"/>
        <v/>
      </c>
      <c r="J123" s="2160" t="str">
        <f t="shared" ref="J123:O123" si="94">IF(J$22="008変電所建物",ROUND(J28+J28/(J$5-J$6)*J$6+J28/(J$5-J$6)*J$15,-3),"")</f>
        <v/>
      </c>
      <c r="K123" s="2160" t="str">
        <f t="shared" si="94"/>
        <v/>
      </c>
      <c r="L123" s="2160" t="str">
        <f t="shared" si="94"/>
        <v/>
      </c>
      <c r="M123" s="2160" t="str">
        <f t="shared" si="94"/>
        <v/>
      </c>
      <c r="N123" s="2160" t="str">
        <f t="shared" si="94"/>
        <v/>
      </c>
      <c r="O123" s="2160" t="str">
        <f t="shared" si="94"/>
        <v/>
      </c>
    </row>
    <row r="124" spans="1:15" ht="13.5" hidden="1" customHeight="1">
      <c r="A124" s="501"/>
      <c r="B124" s="503"/>
      <c r="C124" s="2150">
        <v>10500807</v>
      </c>
      <c r="D124" s="2151" t="s">
        <v>399</v>
      </c>
      <c r="E124" s="2152"/>
      <c r="F124" s="2153"/>
      <c r="G124" s="2117">
        <f t="shared" si="59"/>
        <v>0</v>
      </c>
      <c r="H124" s="2160" t="str">
        <f t="shared" si="88"/>
        <v/>
      </c>
      <c r="I124" s="2160" t="str">
        <f t="shared" si="88"/>
        <v/>
      </c>
      <c r="J124" s="2160" t="str">
        <f t="shared" ref="J124:O124" si="95">IF(J$22="008変電所建物",ROUND(J29+J29/(J$5-J$6)*J$6+J29/(J$5-J$6)*J$15,-3),"")</f>
        <v/>
      </c>
      <c r="K124" s="2160" t="str">
        <f t="shared" si="95"/>
        <v/>
      </c>
      <c r="L124" s="2160" t="str">
        <f t="shared" si="95"/>
        <v/>
      </c>
      <c r="M124" s="2160" t="str">
        <f t="shared" si="95"/>
        <v/>
      </c>
      <c r="N124" s="2160" t="str">
        <f t="shared" si="95"/>
        <v/>
      </c>
      <c r="O124" s="2160" t="str">
        <f t="shared" si="95"/>
        <v/>
      </c>
    </row>
    <row r="125" spans="1:15" ht="13.5" hidden="1" customHeight="1">
      <c r="A125" s="501"/>
      <c r="B125" s="503"/>
      <c r="C125" s="2150">
        <v>10500808</v>
      </c>
      <c r="D125" s="2151" t="s">
        <v>400</v>
      </c>
      <c r="E125" s="2152"/>
      <c r="F125" s="2153"/>
      <c r="G125" s="2117">
        <f t="shared" si="59"/>
        <v>0</v>
      </c>
      <c r="H125" s="2160" t="str">
        <f t="shared" si="88"/>
        <v/>
      </c>
      <c r="I125" s="2160" t="str">
        <f t="shared" si="88"/>
        <v/>
      </c>
      <c r="J125" s="2160" t="str">
        <f t="shared" ref="J125:O125" si="96">IF(J$22="008変電所建物",ROUND(J30+J30/(J$5-J$6)*J$6+J30/(J$5-J$6)*J$15,-3),"")</f>
        <v/>
      </c>
      <c r="K125" s="2160" t="str">
        <f t="shared" si="96"/>
        <v/>
      </c>
      <c r="L125" s="2160" t="str">
        <f t="shared" si="96"/>
        <v/>
      </c>
      <c r="M125" s="2160" t="str">
        <f t="shared" si="96"/>
        <v/>
      </c>
      <c r="N125" s="2160" t="str">
        <f t="shared" si="96"/>
        <v/>
      </c>
      <c r="O125" s="2160" t="str">
        <f t="shared" si="96"/>
        <v/>
      </c>
    </row>
    <row r="126" spans="1:15" ht="13.5" hidden="1" customHeight="1">
      <c r="A126" s="501"/>
      <c r="B126" s="503"/>
      <c r="C126" s="2150">
        <v>10500809</v>
      </c>
      <c r="D126" s="2151" t="s">
        <v>401</v>
      </c>
      <c r="E126" s="2152"/>
      <c r="F126" s="2153"/>
      <c r="G126" s="2117">
        <f t="shared" si="59"/>
        <v>0</v>
      </c>
      <c r="H126" s="2160" t="str">
        <f t="shared" si="88"/>
        <v/>
      </c>
      <c r="I126" s="2160" t="str">
        <f t="shared" si="88"/>
        <v/>
      </c>
      <c r="J126" s="2160" t="str">
        <f t="shared" ref="J126:O126" si="97">IF(J$22="008変電所建物",ROUND(J31+J31/(J$5-J$6)*J$6+J31/(J$5-J$6)*J$15,-3),"")</f>
        <v/>
      </c>
      <c r="K126" s="2160" t="str">
        <f t="shared" si="97"/>
        <v/>
      </c>
      <c r="L126" s="2160" t="str">
        <f t="shared" si="97"/>
        <v/>
      </c>
      <c r="M126" s="2160" t="str">
        <f t="shared" si="97"/>
        <v/>
      </c>
      <c r="N126" s="2160" t="str">
        <f t="shared" si="97"/>
        <v/>
      </c>
      <c r="O126" s="2160" t="str">
        <f t="shared" si="97"/>
        <v/>
      </c>
    </row>
    <row r="127" spans="1:15" ht="13.5" hidden="1" customHeight="1">
      <c r="A127" s="501"/>
      <c r="B127" s="503"/>
      <c r="C127" s="2150">
        <v>10500810</v>
      </c>
      <c r="D127" s="2151" t="s">
        <v>402</v>
      </c>
      <c r="E127" s="2152"/>
      <c r="F127" s="2153"/>
      <c r="G127" s="2117">
        <f t="shared" si="59"/>
        <v>0</v>
      </c>
      <c r="H127" s="2160" t="str">
        <f t="shared" si="88"/>
        <v/>
      </c>
      <c r="I127" s="2160" t="str">
        <f t="shared" si="88"/>
        <v/>
      </c>
      <c r="J127" s="2160" t="str">
        <f t="shared" ref="J127:O127" si="98">IF(J$22="008変電所建物",ROUND(J32+J32/(J$5-J$6)*J$6+J32/(J$5-J$6)*J$15,-3),"")</f>
        <v/>
      </c>
      <c r="K127" s="2160" t="str">
        <f t="shared" si="98"/>
        <v/>
      </c>
      <c r="L127" s="2160" t="str">
        <f t="shared" si="98"/>
        <v/>
      </c>
      <c r="M127" s="2160" t="str">
        <f t="shared" si="98"/>
        <v/>
      </c>
      <c r="N127" s="2160" t="str">
        <f t="shared" si="98"/>
        <v/>
      </c>
      <c r="O127" s="2160" t="str">
        <f t="shared" si="98"/>
        <v/>
      </c>
    </row>
    <row r="128" spans="1:15" ht="13.5" hidden="1" customHeight="1">
      <c r="A128" s="501"/>
      <c r="B128" s="503"/>
      <c r="C128" s="2150">
        <v>10500811</v>
      </c>
      <c r="D128" s="2151" t="s">
        <v>403</v>
      </c>
      <c r="E128" s="2152"/>
      <c r="F128" s="2153"/>
      <c r="G128" s="2117">
        <f t="shared" si="59"/>
        <v>0</v>
      </c>
      <c r="H128" s="2160" t="str">
        <f t="shared" si="88"/>
        <v/>
      </c>
      <c r="I128" s="2160" t="str">
        <f t="shared" si="88"/>
        <v/>
      </c>
      <c r="J128" s="2160" t="str">
        <f t="shared" ref="J128:O128" si="99">IF(J$22="008変電所建物",ROUND(J33+J33/(J$5-J$6)*J$6+J33/(J$5-J$6)*J$15,-3),"")</f>
        <v/>
      </c>
      <c r="K128" s="2160" t="str">
        <f t="shared" si="99"/>
        <v/>
      </c>
      <c r="L128" s="2160" t="str">
        <f t="shared" si="99"/>
        <v/>
      </c>
      <c r="M128" s="2160" t="str">
        <f t="shared" si="99"/>
        <v/>
      </c>
      <c r="N128" s="2160" t="str">
        <f t="shared" si="99"/>
        <v/>
      </c>
      <c r="O128" s="2160" t="str">
        <f t="shared" si="99"/>
        <v/>
      </c>
    </row>
    <row r="129" spans="1:15" ht="13.5" hidden="1" customHeight="1">
      <c r="A129" s="501"/>
      <c r="B129" s="503"/>
      <c r="C129" s="2150">
        <v>10500812</v>
      </c>
      <c r="D129" s="2151" t="s">
        <v>404</v>
      </c>
      <c r="E129" s="2152"/>
      <c r="F129" s="2153"/>
      <c r="G129" s="2117">
        <f t="shared" si="59"/>
        <v>0</v>
      </c>
      <c r="H129" s="2160" t="str">
        <f t="shared" si="88"/>
        <v/>
      </c>
      <c r="I129" s="2160" t="str">
        <f t="shared" si="88"/>
        <v/>
      </c>
      <c r="J129" s="2160" t="str">
        <f t="shared" ref="J129:O129" si="100">IF(J$22="008変電所建物",ROUND(J34+J34/(J$5-J$6)*J$6+J34/(J$5-J$6)*J$15,-3),"")</f>
        <v/>
      </c>
      <c r="K129" s="2160" t="str">
        <f t="shared" si="100"/>
        <v/>
      </c>
      <c r="L129" s="2160" t="str">
        <f t="shared" si="100"/>
        <v/>
      </c>
      <c r="M129" s="2160" t="str">
        <f t="shared" si="100"/>
        <v/>
      </c>
      <c r="N129" s="2160" t="str">
        <f t="shared" si="100"/>
        <v/>
      </c>
      <c r="O129" s="2160" t="str">
        <f t="shared" si="100"/>
        <v/>
      </c>
    </row>
    <row r="130" spans="1:15" ht="13.5" hidden="1" customHeight="1">
      <c r="A130" s="501"/>
      <c r="B130" s="503"/>
      <c r="C130" s="2150">
        <v>10500813</v>
      </c>
      <c r="D130" s="2151" t="s">
        <v>405</v>
      </c>
      <c r="E130" s="2152"/>
      <c r="F130" s="2153"/>
      <c r="G130" s="2117">
        <f t="shared" si="59"/>
        <v>0</v>
      </c>
      <c r="H130" s="2160" t="str">
        <f t="shared" si="88"/>
        <v/>
      </c>
      <c r="I130" s="2160" t="str">
        <f t="shared" si="88"/>
        <v/>
      </c>
      <c r="J130" s="2160" t="str">
        <f t="shared" ref="J130:O130" si="101">IF(J$22="008変電所建物",ROUND(J35+J35/(J$5-J$6)*J$6+J35/(J$5-J$6)*J$15,-3),"")</f>
        <v/>
      </c>
      <c r="K130" s="2160" t="str">
        <f t="shared" si="101"/>
        <v/>
      </c>
      <c r="L130" s="2160" t="str">
        <f t="shared" si="101"/>
        <v/>
      </c>
      <c r="M130" s="2160" t="str">
        <f t="shared" si="101"/>
        <v/>
      </c>
      <c r="N130" s="2160" t="str">
        <f t="shared" si="101"/>
        <v/>
      </c>
      <c r="O130" s="2160" t="str">
        <f t="shared" si="101"/>
        <v/>
      </c>
    </row>
    <row r="131" spans="1:15" ht="13.5" hidden="1" customHeight="1">
      <c r="A131" s="501"/>
      <c r="B131" s="503"/>
      <c r="C131" s="2150">
        <v>10500814</v>
      </c>
      <c r="D131" s="2151" t="s">
        <v>406</v>
      </c>
      <c r="E131" s="2152"/>
      <c r="F131" s="2153"/>
      <c r="G131" s="2117">
        <f t="shared" si="59"/>
        <v>0</v>
      </c>
      <c r="H131" s="2160" t="str">
        <f t="shared" si="88"/>
        <v/>
      </c>
      <c r="I131" s="2160" t="str">
        <f t="shared" si="88"/>
        <v/>
      </c>
      <c r="J131" s="2160" t="str">
        <f t="shared" ref="J131:O131" si="102">IF(J$22="008変電所建物",ROUND(J36+J36/(J$5-J$6)*J$6+J36/(J$5-J$6)*J$15,-3),"")</f>
        <v/>
      </c>
      <c r="K131" s="2160" t="str">
        <f t="shared" si="102"/>
        <v/>
      </c>
      <c r="L131" s="2160" t="str">
        <f t="shared" si="102"/>
        <v/>
      </c>
      <c r="M131" s="2160" t="str">
        <f t="shared" si="102"/>
        <v/>
      </c>
      <c r="N131" s="2160" t="str">
        <f t="shared" si="102"/>
        <v/>
      </c>
      <c r="O131" s="2160" t="str">
        <f t="shared" si="102"/>
        <v/>
      </c>
    </row>
    <row r="132" spans="1:15" ht="13.5" hidden="1" customHeight="1">
      <c r="A132" s="501"/>
      <c r="B132" s="503"/>
      <c r="C132" s="2150">
        <v>10500815</v>
      </c>
      <c r="D132" s="2151" t="s">
        <v>407</v>
      </c>
      <c r="E132" s="2152"/>
      <c r="F132" s="2153"/>
      <c r="G132" s="2117">
        <f t="shared" si="59"/>
        <v>0</v>
      </c>
      <c r="H132" s="2160" t="str">
        <f t="shared" si="88"/>
        <v/>
      </c>
      <c r="I132" s="2160" t="str">
        <f t="shared" si="88"/>
        <v/>
      </c>
      <c r="J132" s="2160" t="str">
        <f t="shared" ref="J132:O132" si="103">IF(J$22="008変電所建物",ROUND(J37+J37/(J$5-J$6)*J$6+J37/(J$5-J$6)*J$15,-3),"")</f>
        <v/>
      </c>
      <c r="K132" s="2160" t="str">
        <f t="shared" si="103"/>
        <v/>
      </c>
      <c r="L132" s="2160" t="str">
        <f t="shared" si="103"/>
        <v/>
      </c>
      <c r="M132" s="2160" t="str">
        <f t="shared" si="103"/>
        <v/>
      </c>
      <c r="N132" s="2160" t="str">
        <f t="shared" si="103"/>
        <v/>
      </c>
      <c r="O132" s="2160" t="str">
        <f t="shared" si="103"/>
        <v/>
      </c>
    </row>
    <row r="133" spans="1:15" ht="13.5" hidden="1" customHeight="1">
      <c r="A133" s="501"/>
      <c r="B133" s="503"/>
      <c r="C133" s="2150">
        <v>10500816</v>
      </c>
      <c r="D133" s="2151" t="s">
        <v>408</v>
      </c>
      <c r="E133" s="2152"/>
      <c r="F133" s="2153"/>
      <c r="G133" s="2117">
        <f t="shared" si="59"/>
        <v>0</v>
      </c>
      <c r="H133" s="2160" t="str">
        <f t="shared" si="88"/>
        <v/>
      </c>
      <c r="I133" s="2160" t="str">
        <f t="shared" si="88"/>
        <v/>
      </c>
      <c r="J133" s="2160" t="str">
        <f t="shared" ref="J133:O133" si="104">IF(J$22="008変電所建物",ROUND(J38+J38/(J$5-J$6)*J$6+J38/(J$5-J$6)*J$15,-3),"")</f>
        <v/>
      </c>
      <c r="K133" s="2160" t="str">
        <f t="shared" si="104"/>
        <v/>
      </c>
      <c r="L133" s="2160" t="str">
        <f t="shared" si="104"/>
        <v/>
      </c>
      <c r="M133" s="2160" t="str">
        <f t="shared" si="104"/>
        <v/>
      </c>
      <c r="N133" s="2160" t="str">
        <f t="shared" si="104"/>
        <v/>
      </c>
      <c r="O133" s="2160" t="str">
        <f t="shared" si="104"/>
        <v/>
      </c>
    </row>
    <row r="134" spans="1:15" ht="13.5" hidden="1" customHeight="1">
      <c r="A134" s="501"/>
      <c r="B134" s="503"/>
      <c r="C134" s="2150">
        <v>10500817</v>
      </c>
      <c r="D134" s="2151" t="s">
        <v>409</v>
      </c>
      <c r="E134" s="2152"/>
      <c r="F134" s="2153"/>
      <c r="G134" s="2117">
        <f t="shared" si="59"/>
        <v>0</v>
      </c>
      <c r="H134" s="2160" t="str">
        <f t="shared" ref="H134:I143" si="105">IF(H$22="008変電所建物",ROUND(H39+H39/(H$5-H$6)*H$6+H39/(H$5-H$6)*H$15,-3),"")</f>
        <v/>
      </c>
      <c r="I134" s="2160" t="str">
        <f t="shared" si="105"/>
        <v/>
      </c>
      <c r="J134" s="2160" t="str">
        <f t="shared" ref="J134:O134" si="106">IF(J$22="008変電所建物",ROUND(J39+J39/(J$5-J$6)*J$6+J39/(J$5-J$6)*J$15,-3),"")</f>
        <v/>
      </c>
      <c r="K134" s="2160" t="str">
        <f t="shared" si="106"/>
        <v/>
      </c>
      <c r="L134" s="2160" t="str">
        <f t="shared" si="106"/>
        <v/>
      </c>
      <c r="M134" s="2160" t="str">
        <f t="shared" si="106"/>
        <v/>
      </c>
      <c r="N134" s="2160" t="str">
        <f t="shared" si="106"/>
        <v/>
      </c>
      <c r="O134" s="2160" t="str">
        <f t="shared" si="106"/>
        <v/>
      </c>
    </row>
    <row r="135" spans="1:15" ht="13.5" hidden="1" customHeight="1">
      <c r="A135" s="501"/>
      <c r="B135" s="503"/>
      <c r="C135" s="2150">
        <v>10500818</v>
      </c>
      <c r="D135" s="2151" t="s">
        <v>410</v>
      </c>
      <c r="E135" s="2152"/>
      <c r="F135" s="2153"/>
      <c r="G135" s="2117">
        <f t="shared" si="59"/>
        <v>0</v>
      </c>
      <c r="H135" s="2160" t="str">
        <f t="shared" si="105"/>
        <v/>
      </c>
      <c r="I135" s="2160" t="str">
        <f t="shared" si="105"/>
        <v/>
      </c>
      <c r="J135" s="2160" t="str">
        <f t="shared" ref="J135:O135" si="107">IF(J$22="008変電所建物",ROUND(J40+J40/(J$5-J$6)*J$6+J40/(J$5-J$6)*J$15,-3),"")</f>
        <v/>
      </c>
      <c r="K135" s="2160" t="str">
        <f t="shared" si="107"/>
        <v/>
      </c>
      <c r="L135" s="2160" t="str">
        <f t="shared" si="107"/>
        <v/>
      </c>
      <c r="M135" s="2160" t="str">
        <f t="shared" si="107"/>
        <v/>
      </c>
      <c r="N135" s="2160" t="str">
        <f t="shared" si="107"/>
        <v/>
      </c>
      <c r="O135" s="2160" t="str">
        <f t="shared" si="107"/>
        <v/>
      </c>
    </row>
    <row r="136" spans="1:15" ht="13.5" hidden="1" customHeight="1">
      <c r="A136" s="501"/>
      <c r="B136" s="503"/>
      <c r="C136" s="2150">
        <v>10500819</v>
      </c>
      <c r="D136" s="2151" t="s">
        <v>411</v>
      </c>
      <c r="E136" s="2152"/>
      <c r="F136" s="2153"/>
      <c r="G136" s="2117">
        <f t="shared" si="59"/>
        <v>0</v>
      </c>
      <c r="H136" s="2160" t="str">
        <f t="shared" si="105"/>
        <v/>
      </c>
      <c r="I136" s="2160" t="str">
        <f t="shared" si="105"/>
        <v/>
      </c>
      <c r="J136" s="2160" t="str">
        <f t="shared" ref="J136:O136" si="108">IF(J$22="008変電所建物",ROUND(J41+J41/(J$5-J$6)*J$6+J41/(J$5-J$6)*J$15,-3),"")</f>
        <v/>
      </c>
      <c r="K136" s="2160" t="str">
        <f t="shared" si="108"/>
        <v/>
      </c>
      <c r="L136" s="2160" t="str">
        <f t="shared" si="108"/>
        <v/>
      </c>
      <c r="M136" s="2160" t="str">
        <f t="shared" si="108"/>
        <v/>
      </c>
      <c r="N136" s="2160" t="str">
        <f t="shared" si="108"/>
        <v/>
      </c>
      <c r="O136" s="2160" t="str">
        <f t="shared" si="108"/>
        <v/>
      </c>
    </row>
    <row r="137" spans="1:15" ht="13.5" hidden="1" customHeight="1">
      <c r="A137" s="501"/>
      <c r="B137" s="503"/>
      <c r="C137" s="2150">
        <v>10500820</v>
      </c>
      <c r="D137" s="2151" t="s">
        <v>412</v>
      </c>
      <c r="E137" s="2152"/>
      <c r="F137" s="2153"/>
      <c r="G137" s="2117">
        <f t="shared" si="59"/>
        <v>0</v>
      </c>
      <c r="H137" s="2160" t="str">
        <f t="shared" si="105"/>
        <v/>
      </c>
      <c r="I137" s="2160" t="str">
        <f t="shared" si="105"/>
        <v/>
      </c>
      <c r="J137" s="2160" t="str">
        <f t="shared" ref="J137:O137" si="109">IF(J$22="008変電所建物",ROUND(J42+J42/(J$5-J$6)*J$6+J42/(J$5-J$6)*J$15,-3),"")</f>
        <v/>
      </c>
      <c r="K137" s="2160" t="str">
        <f t="shared" si="109"/>
        <v/>
      </c>
      <c r="L137" s="2160" t="str">
        <f t="shared" si="109"/>
        <v/>
      </c>
      <c r="M137" s="2160" t="str">
        <f t="shared" si="109"/>
        <v/>
      </c>
      <c r="N137" s="2160" t="str">
        <f t="shared" si="109"/>
        <v/>
      </c>
      <c r="O137" s="2160" t="str">
        <f t="shared" si="109"/>
        <v/>
      </c>
    </row>
    <row r="138" spans="1:15" ht="13.5" hidden="1" customHeight="1">
      <c r="A138" s="501"/>
      <c r="B138" s="503"/>
      <c r="C138" s="2150">
        <v>10500821</v>
      </c>
      <c r="D138" s="2151" t="s">
        <v>413</v>
      </c>
      <c r="E138" s="2152"/>
      <c r="F138" s="2153"/>
      <c r="G138" s="2117">
        <f t="shared" si="59"/>
        <v>0</v>
      </c>
      <c r="H138" s="2160" t="str">
        <f t="shared" si="105"/>
        <v/>
      </c>
      <c r="I138" s="2160" t="str">
        <f t="shared" si="105"/>
        <v/>
      </c>
      <c r="J138" s="2160" t="str">
        <f t="shared" ref="J138:O138" si="110">IF(J$22="008変電所建物",ROUND(J43+J43/(J$5-J$6)*J$6+J43/(J$5-J$6)*J$15,-3),"")</f>
        <v/>
      </c>
      <c r="K138" s="2160" t="str">
        <f t="shared" si="110"/>
        <v/>
      </c>
      <c r="L138" s="2160" t="str">
        <f t="shared" si="110"/>
        <v/>
      </c>
      <c r="M138" s="2160" t="str">
        <f t="shared" si="110"/>
        <v/>
      </c>
      <c r="N138" s="2160" t="str">
        <f t="shared" si="110"/>
        <v/>
      </c>
      <c r="O138" s="2160" t="str">
        <f t="shared" si="110"/>
        <v/>
      </c>
    </row>
    <row r="139" spans="1:15" ht="13.5" hidden="1" customHeight="1">
      <c r="A139" s="501"/>
      <c r="B139" s="503"/>
      <c r="C139" s="2150">
        <v>10500822</v>
      </c>
      <c r="D139" s="2151" t="s">
        <v>414</v>
      </c>
      <c r="E139" s="2152"/>
      <c r="F139" s="2153"/>
      <c r="G139" s="2117">
        <f t="shared" si="59"/>
        <v>0</v>
      </c>
      <c r="H139" s="2160" t="str">
        <f t="shared" si="105"/>
        <v/>
      </c>
      <c r="I139" s="2160" t="str">
        <f t="shared" si="105"/>
        <v/>
      </c>
      <c r="J139" s="2160" t="str">
        <f t="shared" ref="J139:O139" si="111">IF(J$22="008変電所建物",ROUND(J44+J44/(J$5-J$6)*J$6+J44/(J$5-J$6)*J$15,-3),"")</f>
        <v/>
      </c>
      <c r="K139" s="2160" t="str">
        <f t="shared" si="111"/>
        <v/>
      </c>
      <c r="L139" s="2160" t="str">
        <f t="shared" si="111"/>
        <v/>
      </c>
      <c r="M139" s="2160" t="str">
        <f t="shared" si="111"/>
        <v/>
      </c>
      <c r="N139" s="2160" t="str">
        <f t="shared" si="111"/>
        <v/>
      </c>
      <c r="O139" s="2160" t="str">
        <f t="shared" si="111"/>
        <v/>
      </c>
    </row>
    <row r="140" spans="1:15" ht="13.5" hidden="1" customHeight="1">
      <c r="A140" s="501"/>
      <c r="B140" s="503"/>
      <c r="C140" s="2150">
        <v>10500823</v>
      </c>
      <c r="D140" s="2151" t="s">
        <v>415</v>
      </c>
      <c r="E140" s="2152"/>
      <c r="F140" s="2153"/>
      <c r="G140" s="2117">
        <f t="shared" si="59"/>
        <v>0</v>
      </c>
      <c r="H140" s="2160" t="str">
        <f t="shared" si="105"/>
        <v/>
      </c>
      <c r="I140" s="2160" t="str">
        <f t="shared" si="105"/>
        <v/>
      </c>
      <c r="J140" s="2160" t="str">
        <f t="shared" ref="J140:O140" si="112">IF(J$22="008変電所建物",ROUND(J45+J45/(J$5-J$6)*J$6+J45/(J$5-J$6)*J$15,-3),"")</f>
        <v/>
      </c>
      <c r="K140" s="2160" t="str">
        <f t="shared" si="112"/>
        <v/>
      </c>
      <c r="L140" s="2160" t="str">
        <f t="shared" si="112"/>
        <v/>
      </c>
      <c r="M140" s="2160" t="str">
        <f t="shared" si="112"/>
        <v/>
      </c>
      <c r="N140" s="2160" t="str">
        <f t="shared" si="112"/>
        <v/>
      </c>
      <c r="O140" s="2160" t="str">
        <f t="shared" si="112"/>
        <v/>
      </c>
    </row>
    <row r="141" spans="1:15" ht="13.5" hidden="1" customHeight="1">
      <c r="A141" s="501"/>
      <c r="B141" s="503"/>
      <c r="C141" s="2150">
        <v>10500824</v>
      </c>
      <c r="D141" s="2151" t="s">
        <v>416</v>
      </c>
      <c r="E141" s="2152"/>
      <c r="F141" s="2153"/>
      <c r="G141" s="2117">
        <f t="shared" si="59"/>
        <v>0</v>
      </c>
      <c r="H141" s="2160" t="str">
        <f t="shared" si="105"/>
        <v/>
      </c>
      <c r="I141" s="2160" t="str">
        <f t="shared" si="105"/>
        <v/>
      </c>
      <c r="J141" s="2160" t="str">
        <f t="shared" ref="J141:O141" si="113">IF(J$22="008変電所建物",ROUND(J46+J46/(J$5-J$6)*J$6+J46/(J$5-J$6)*J$15,-3),"")</f>
        <v/>
      </c>
      <c r="K141" s="2160" t="str">
        <f t="shared" si="113"/>
        <v/>
      </c>
      <c r="L141" s="2160" t="str">
        <f t="shared" si="113"/>
        <v/>
      </c>
      <c r="M141" s="2160" t="str">
        <f t="shared" si="113"/>
        <v/>
      </c>
      <c r="N141" s="2160" t="str">
        <f t="shared" si="113"/>
        <v/>
      </c>
      <c r="O141" s="2160" t="str">
        <f t="shared" si="113"/>
        <v/>
      </c>
    </row>
    <row r="142" spans="1:15" ht="13.5" hidden="1" customHeight="1">
      <c r="A142" s="501"/>
      <c r="B142" s="503"/>
      <c r="C142" s="2150">
        <v>10500825</v>
      </c>
      <c r="D142" s="2151" t="s">
        <v>417</v>
      </c>
      <c r="E142" s="2152"/>
      <c r="F142" s="2153"/>
      <c r="G142" s="2117">
        <f t="shared" si="59"/>
        <v>0</v>
      </c>
      <c r="H142" s="2160" t="str">
        <f t="shared" si="105"/>
        <v/>
      </c>
      <c r="I142" s="2160" t="str">
        <f t="shared" si="105"/>
        <v/>
      </c>
      <c r="J142" s="2160" t="str">
        <f t="shared" ref="J142:O142" si="114">IF(J$22="008変電所建物",ROUND(J47+J47/(J$5-J$6)*J$6+J47/(J$5-J$6)*J$15,-3),"")</f>
        <v/>
      </c>
      <c r="K142" s="2160" t="str">
        <f t="shared" si="114"/>
        <v/>
      </c>
      <c r="L142" s="2160" t="str">
        <f t="shared" si="114"/>
        <v/>
      </c>
      <c r="M142" s="2160" t="str">
        <f t="shared" si="114"/>
        <v/>
      </c>
      <c r="N142" s="2160" t="str">
        <f t="shared" si="114"/>
        <v/>
      </c>
      <c r="O142" s="2160" t="str">
        <f t="shared" si="114"/>
        <v/>
      </c>
    </row>
    <row r="143" spans="1:15" ht="13.5" hidden="1" customHeight="1">
      <c r="A143" s="501"/>
      <c r="B143" s="503"/>
      <c r="C143" s="2155"/>
      <c r="D143" s="2156"/>
      <c r="E143" s="2157"/>
      <c r="F143" s="2125"/>
      <c r="G143" s="2158">
        <f t="shared" si="59"/>
        <v>0</v>
      </c>
      <c r="H143" s="2159" t="str">
        <f t="shared" si="105"/>
        <v/>
      </c>
      <c r="I143" s="2159" t="str">
        <f t="shared" si="105"/>
        <v/>
      </c>
      <c r="J143" s="2159" t="str">
        <f t="shared" ref="J143:O143" si="115">IF(J$22="008変電所建物",ROUND(J48+J48/(J$5-J$6)*J$6+J48/(J$5-J$6)*J$15,-3),"")</f>
        <v/>
      </c>
      <c r="K143" s="2159" t="str">
        <f t="shared" si="115"/>
        <v/>
      </c>
      <c r="L143" s="2159" t="str">
        <f t="shared" si="115"/>
        <v/>
      </c>
      <c r="M143" s="2159" t="str">
        <f t="shared" si="115"/>
        <v/>
      </c>
      <c r="N143" s="2159" t="str">
        <f t="shared" si="115"/>
        <v/>
      </c>
      <c r="O143" s="2159" t="str">
        <f t="shared" si="115"/>
        <v/>
      </c>
    </row>
    <row r="144" spans="1:15" ht="13.5" hidden="1" customHeight="1">
      <c r="A144" s="501"/>
      <c r="B144" s="503"/>
      <c r="C144" s="2150">
        <v>10500901</v>
      </c>
      <c r="D144" s="2151" t="s">
        <v>418</v>
      </c>
      <c r="E144" s="2152"/>
      <c r="F144" s="2153"/>
      <c r="G144" s="2117">
        <f t="shared" si="59"/>
        <v>0</v>
      </c>
      <c r="H144" s="587" t="str">
        <f t="shared" ref="H144:I159" si="116">IF(H$22="009車庫、工場建物",ROUND(H23+H23/(H$5-H$6)*H$6+H23/(H$5-H$6)*H$15,-3),"")</f>
        <v/>
      </c>
      <c r="I144" s="587" t="str">
        <f t="shared" si="116"/>
        <v/>
      </c>
      <c r="J144" s="587" t="str">
        <f t="shared" ref="J144:O144" si="117">IF(J$22="009車庫、工場建物",ROUND(J23+J23/(J$5-J$6)*J$6+J23/(J$5-J$6)*J$15,-3),"")</f>
        <v/>
      </c>
      <c r="K144" s="587" t="str">
        <f t="shared" si="117"/>
        <v/>
      </c>
      <c r="L144" s="587" t="str">
        <f t="shared" si="117"/>
        <v/>
      </c>
      <c r="M144" s="587" t="str">
        <f t="shared" si="117"/>
        <v/>
      </c>
      <c r="N144" s="587" t="str">
        <f t="shared" si="117"/>
        <v/>
      </c>
      <c r="O144" s="587" t="str">
        <f t="shared" si="117"/>
        <v/>
      </c>
    </row>
    <row r="145" spans="1:15" ht="13.5" hidden="1" customHeight="1">
      <c r="A145" s="501"/>
      <c r="B145" s="503"/>
      <c r="C145" s="2150">
        <v>10500902</v>
      </c>
      <c r="D145" s="2151" t="s">
        <v>419</v>
      </c>
      <c r="E145" s="2152"/>
      <c r="F145" s="2153"/>
      <c r="G145" s="2117">
        <f t="shared" si="59"/>
        <v>0</v>
      </c>
      <c r="H145" s="2154" t="str">
        <f t="shared" si="116"/>
        <v/>
      </c>
      <c r="I145" s="2154" t="str">
        <f t="shared" si="116"/>
        <v/>
      </c>
      <c r="J145" s="2154" t="str">
        <f t="shared" ref="J145:O145" si="118">IF(J$22="009車庫、工場建物",ROUND(J24+J24/(J$5-J$6)*J$6+J24/(J$5-J$6)*J$15,-3),"")</f>
        <v/>
      </c>
      <c r="K145" s="2154" t="str">
        <f t="shared" si="118"/>
        <v/>
      </c>
      <c r="L145" s="2154" t="str">
        <f t="shared" si="118"/>
        <v/>
      </c>
      <c r="M145" s="2154" t="str">
        <f t="shared" si="118"/>
        <v/>
      </c>
      <c r="N145" s="2154" t="str">
        <f t="shared" si="118"/>
        <v/>
      </c>
      <c r="O145" s="2154" t="str">
        <f t="shared" si="118"/>
        <v/>
      </c>
    </row>
    <row r="146" spans="1:15" ht="13.5" hidden="1" customHeight="1">
      <c r="A146" s="501"/>
      <c r="B146" s="503"/>
      <c r="C146" s="2150">
        <v>10500903</v>
      </c>
      <c r="D146" s="2151" t="s">
        <v>420</v>
      </c>
      <c r="E146" s="2152"/>
      <c r="F146" s="2153"/>
      <c r="G146" s="2117">
        <f t="shared" si="59"/>
        <v>0</v>
      </c>
      <c r="H146" s="2154" t="str">
        <f t="shared" si="116"/>
        <v/>
      </c>
      <c r="I146" s="2154" t="str">
        <f t="shared" si="116"/>
        <v/>
      </c>
      <c r="J146" s="2154" t="str">
        <f t="shared" ref="J146:O146" si="119">IF(J$22="009車庫、工場建物",ROUND(J25+J25/(J$5-J$6)*J$6+J25/(J$5-J$6)*J$15,-3),"")</f>
        <v/>
      </c>
      <c r="K146" s="2154" t="str">
        <f t="shared" si="119"/>
        <v/>
      </c>
      <c r="L146" s="2154" t="str">
        <f t="shared" si="119"/>
        <v/>
      </c>
      <c r="M146" s="2154" t="str">
        <f t="shared" si="119"/>
        <v/>
      </c>
      <c r="N146" s="2154" t="str">
        <f t="shared" si="119"/>
        <v/>
      </c>
      <c r="O146" s="2154" t="str">
        <f t="shared" si="119"/>
        <v/>
      </c>
    </row>
    <row r="147" spans="1:15" ht="13.5" hidden="1" customHeight="1">
      <c r="A147" s="501"/>
      <c r="B147" s="503"/>
      <c r="C147" s="2150">
        <v>10500904</v>
      </c>
      <c r="D147" s="2151" t="s">
        <v>421</v>
      </c>
      <c r="E147" s="2152"/>
      <c r="F147" s="2153"/>
      <c r="G147" s="2117">
        <f t="shared" si="59"/>
        <v>0</v>
      </c>
      <c r="H147" s="2154" t="str">
        <f t="shared" si="116"/>
        <v/>
      </c>
      <c r="I147" s="2154" t="str">
        <f t="shared" si="116"/>
        <v/>
      </c>
      <c r="J147" s="2154" t="str">
        <f t="shared" ref="J147:O147" si="120">IF(J$22="009車庫、工場建物",ROUND(J26+J26/(J$5-J$6)*J$6+J26/(J$5-J$6)*J$15,-3),"")</f>
        <v/>
      </c>
      <c r="K147" s="2154" t="str">
        <f t="shared" si="120"/>
        <v/>
      </c>
      <c r="L147" s="2154" t="str">
        <f t="shared" si="120"/>
        <v/>
      </c>
      <c r="M147" s="2154" t="str">
        <f t="shared" si="120"/>
        <v/>
      </c>
      <c r="N147" s="2154" t="str">
        <f t="shared" si="120"/>
        <v/>
      </c>
      <c r="O147" s="2154" t="str">
        <f t="shared" si="120"/>
        <v/>
      </c>
    </row>
    <row r="148" spans="1:15" ht="13.5" hidden="1" customHeight="1">
      <c r="A148" s="501"/>
      <c r="B148" s="503"/>
      <c r="C148" s="2150">
        <v>10500905</v>
      </c>
      <c r="D148" s="2151" t="s">
        <v>422</v>
      </c>
      <c r="E148" s="2152"/>
      <c r="F148" s="2153"/>
      <c r="G148" s="2117">
        <f t="shared" si="59"/>
        <v>0</v>
      </c>
      <c r="H148" s="2154" t="str">
        <f t="shared" si="116"/>
        <v/>
      </c>
      <c r="I148" s="2154" t="str">
        <f t="shared" si="116"/>
        <v/>
      </c>
      <c r="J148" s="2154" t="str">
        <f t="shared" ref="J148:O148" si="121">IF(J$22="009車庫、工場建物",ROUND(J27+J27/(J$5-J$6)*J$6+J27/(J$5-J$6)*J$15,-3),"")</f>
        <v/>
      </c>
      <c r="K148" s="2154" t="str">
        <f t="shared" si="121"/>
        <v/>
      </c>
      <c r="L148" s="2154" t="str">
        <f t="shared" si="121"/>
        <v/>
      </c>
      <c r="M148" s="2154" t="str">
        <f t="shared" si="121"/>
        <v/>
      </c>
      <c r="N148" s="2154" t="str">
        <f t="shared" si="121"/>
        <v/>
      </c>
      <c r="O148" s="2154" t="str">
        <f t="shared" si="121"/>
        <v/>
      </c>
    </row>
    <row r="149" spans="1:15" ht="13.5" hidden="1" customHeight="1">
      <c r="A149" s="501"/>
      <c r="B149" s="503"/>
      <c r="C149" s="2150">
        <v>10500906</v>
      </c>
      <c r="D149" s="2151" t="s">
        <v>423</v>
      </c>
      <c r="E149" s="2152"/>
      <c r="F149" s="2153"/>
      <c r="G149" s="2117">
        <f t="shared" si="59"/>
        <v>0</v>
      </c>
      <c r="H149" s="2154" t="str">
        <f t="shared" si="116"/>
        <v/>
      </c>
      <c r="I149" s="2154" t="str">
        <f t="shared" si="116"/>
        <v/>
      </c>
      <c r="J149" s="2154" t="str">
        <f t="shared" ref="J149:O149" si="122">IF(J$22="009車庫、工場建物",ROUND(J28+J28/(J$5-J$6)*J$6+J28/(J$5-J$6)*J$15,-3),"")</f>
        <v/>
      </c>
      <c r="K149" s="2154" t="str">
        <f t="shared" si="122"/>
        <v/>
      </c>
      <c r="L149" s="2154" t="str">
        <f t="shared" si="122"/>
        <v/>
      </c>
      <c r="M149" s="2154" t="str">
        <f t="shared" si="122"/>
        <v/>
      </c>
      <c r="N149" s="2154" t="str">
        <f t="shared" si="122"/>
        <v/>
      </c>
      <c r="O149" s="2154" t="str">
        <f t="shared" si="122"/>
        <v/>
      </c>
    </row>
    <row r="150" spans="1:15" ht="13.5" hidden="1" customHeight="1">
      <c r="A150" s="501"/>
      <c r="B150" s="503"/>
      <c r="C150" s="2150">
        <v>10500907</v>
      </c>
      <c r="D150" s="2151" t="s">
        <v>424</v>
      </c>
      <c r="E150" s="2152"/>
      <c r="F150" s="2153"/>
      <c r="G150" s="2117">
        <f t="shared" si="59"/>
        <v>0</v>
      </c>
      <c r="H150" s="2154" t="str">
        <f t="shared" si="116"/>
        <v/>
      </c>
      <c r="I150" s="2154" t="str">
        <f t="shared" si="116"/>
        <v/>
      </c>
      <c r="J150" s="2154" t="str">
        <f t="shared" ref="J150:O150" si="123">IF(J$22="009車庫、工場建物",ROUND(J29+J29/(J$5-J$6)*J$6+J29/(J$5-J$6)*J$15,-3),"")</f>
        <v/>
      </c>
      <c r="K150" s="2154" t="str">
        <f t="shared" si="123"/>
        <v/>
      </c>
      <c r="L150" s="2154" t="str">
        <f t="shared" si="123"/>
        <v/>
      </c>
      <c r="M150" s="2154" t="str">
        <f t="shared" si="123"/>
        <v/>
      </c>
      <c r="N150" s="2154" t="str">
        <f t="shared" si="123"/>
        <v/>
      </c>
      <c r="O150" s="2154" t="str">
        <f t="shared" si="123"/>
        <v/>
      </c>
    </row>
    <row r="151" spans="1:15" ht="13.5" hidden="1" customHeight="1">
      <c r="A151" s="501"/>
      <c r="B151" s="503"/>
      <c r="C151" s="2150">
        <v>10500908</v>
      </c>
      <c r="D151" s="2151" t="s">
        <v>425</v>
      </c>
      <c r="E151" s="2152"/>
      <c r="F151" s="2153"/>
      <c r="G151" s="2117">
        <f t="shared" si="59"/>
        <v>0</v>
      </c>
      <c r="H151" s="2154" t="str">
        <f t="shared" si="116"/>
        <v/>
      </c>
      <c r="I151" s="2154" t="str">
        <f t="shared" si="116"/>
        <v/>
      </c>
      <c r="J151" s="2154" t="str">
        <f t="shared" ref="J151:O151" si="124">IF(J$22="009車庫、工場建物",ROUND(J30+J30/(J$5-J$6)*J$6+J30/(J$5-J$6)*J$15,-3),"")</f>
        <v/>
      </c>
      <c r="K151" s="2154" t="str">
        <f t="shared" si="124"/>
        <v/>
      </c>
      <c r="L151" s="2154" t="str">
        <f t="shared" si="124"/>
        <v/>
      </c>
      <c r="M151" s="2154" t="str">
        <f t="shared" si="124"/>
        <v/>
      </c>
      <c r="N151" s="2154" t="str">
        <f t="shared" si="124"/>
        <v/>
      </c>
      <c r="O151" s="2154" t="str">
        <f t="shared" si="124"/>
        <v/>
      </c>
    </row>
    <row r="152" spans="1:15" ht="13.5" hidden="1" customHeight="1">
      <c r="A152" s="501"/>
      <c r="B152" s="503"/>
      <c r="C152" s="2150">
        <v>10500909</v>
      </c>
      <c r="D152" s="2151" t="s">
        <v>426</v>
      </c>
      <c r="E152" s="2152"/>
      <c r="F152" s="2153"/>
      <c r="G152" s="2117">
        <f t="shared" si="59"/>
        <v>0</v>
      </c>
      <c r="H152" s="2154" t="str">
        <f t="shared" si="116"/>
        <v/>
      </c>
      <c r="I152" s="2154" t="str">
        <f t="shared" si="116"/>
        <v/>
      </c>
      <c r="J152" s="2154" t="str">
        <f t="shared" ref="J152:O152" si="125">IF(J$22="009車庫、工場建物",ROUND(J31+J31/(J$5-J$6)*J$6+J31/(J$5-J$6)*J$15,-3),"")</f>
        <v/>
      </c>
      <c r="K152" s="2154" t="str">
        <f t="shared" si="125"/>
        <v/>
      </c>
      <c r="L152" s="2154" t="str">
        <f t="shared" si="125"/>
        <v/>
      </c>
      <c r="M152" s="2154" t="str">
        <f t="shared" si="125"/>
        <v/>
      </c>
      <c r="N152" s="2154" t="str">
        <f t="shared" si="125"/>
        <v/>
      </c>
      <c r="O152" s="2154" t="str">
        <f t="shared" si="125"/>
        <v/>
      </c>
    </row>
    <row r="153" spans="1:15" ht="13.5" hidden="1" customHeight="1">
      <c r="A153" s="501"/>
      <c r="B153" s="503"/>
      <c r="C153" s="2150">
        <v>10500910</v>
      </c>
      <c r="D153" s="2151" t="s">
        <v>427</v>
      </c>
      <c r="E153" s="2152"/>
      <c r="F153" s="2153"/>
      <c r="G153" s="2117">
        <f t="shared" si="59"/>
        <v>0</v>
      </c>
      <c r="H153" s="2154" t="str">
        <f t="shared" si="116"/>
        <v/>
      </c>
      <c r="I153" s="2154" t="str">
        <f t="shared" si="116"/>
        <v/>
      </c>
      <c r="J153" s="2154" t="str">
        <f t="shared" ref="J153:O153" si="126">IF(J$22="009車庫、工場建物",ROUND(J32+J32/(J$5-J$6)*J$6+J32/(J$5-J$6)*J$15,-3),"")</f>
        <v/>
      </c>
      <c r="K153" s="2154" t="str">
        <f t="shared" si="126"/>
        <v/>
      </c>
      <c r="L153" s="2154" t="str">
        <f t="shared" si="126"/>
        <v/>
      </c>
      <c r="M153" s="2154" t="str">
        <f t="shared" si="126"/>
        <v/>
      </c>
      <c r="N153" s="2154" t="str">
        <f t="shared" si="126"/>
        <v/>
      </c>
      <c r="O153" s="2154" t="str">
        <f t="shared" si="126"/>
        <v/>
      </c>
    </row>
    <row r="154" spans="1:15" ht="13.5" hidden="1" customHeight="1">
      <c r="A154" s="501"/>
      <c r="B154" s="503"/>
      <c r="C154" s="2150">
        <v>10500911</v>
      </c>
      <c r="D154" s="2151" t="s">
        <v>428</v>
      </c>
      <c r="E154" s="2152"/>
      <c r="F154" s="2153"/>
      <c r="G154" s="2117">
        <f t="shared" si="59"/>
        <v>0</v>
      </c>
      <c r="H154" s="2154" t="str">
        <f t="shared" si="116"/>
        <v/>
      </c>
      <c r="I154" s="2154" t="str">
        <f t="shared" si="116"/>
        <v/>
      </c>
      <c r="J154" s="2154" t="str">
        <f t="shared" ref="J154:O154" si="127">IF(J$22="009車庫、工場建物",ROUND(J33+J33/(J$5-J$6)*J$6+J33/(J$5-J$6)*J$15,-3),"")</f>
        <v/>
      </c>
      <c r="K154" s="2154" t="str">
        <f t="shared" si="127"/>
        <v/>
      </c>
      <c r="L154" s="2154" t="str">
        <f t="shared" si="127"/>
        <v/>
      </c>
      <c r="M154" s="2154" t="str">
        <f t="shared" si="127"/>
        <v/>
      </c>
      <c r="N154" s="2154" t="str">
        <f t="shared" si="127"/>
        <v/>
      </c>
      <c r="O154" s="2154" t="str">
        <f t="shared" si="127"/>
        <v/>
      </c>
    </row>
    <row r="155" spans="1:15" ht="13.5" hidden="1" customHeight="1">
      <c r="A155" s="501"/>
      <c r="B155" s="503"/>
      <c r="C155" s="2150">
        <v>10500912</v>
      </c>
      <c r="D155" s="2151" t="s">
        <v>429</v>
      </c>
      <c r="E155" s="2152"/>
      <c r="F155" s="2153"/>
      <c r="G155" s="2117">
        <f t="shared" si="59"/>
        <v>0</v>
      </c>
      <c r="H155" s="2154" t="str">
        <f t="shared" si="116"/>
        <v/>
      </c>
      <c r="I155" s="2154" t="str">
        <f t="shared" si="116"/>
        <v/>
      </c>
      <c r="J155" s="2154" t="str">
        <f t="shared" ref="J155:O155" si="128">IF(J$22="009車庫、工場建物",ROUND(J34+J34/(J$5-J$6)*J$6+J34/(J$5-J$6)*J$15,-3),"")</f>
        <v/>
      </c>
      <c r="K155" s="2154" t="str">
        <f t="shared" si="128"/>
        <v/>
      </c>
      <c r="L155" s="2154" t="str">
        <f t="shared" si="128"/>
        <v/>
      </c>
      <c r="M155" s="2154" t="str">
        <f t="shared" si="128"/>
        <v/>
      </c>
      <c r="N155" s="2154" t="str">
        <f t="shared" si="128"/>
        <v/>
      </c>
      <c r="O155" s="2154" t="str">
        <f t="shared" si="128"/>
        <v/>
      </c>
    </row>
    <row r="156" spans="1:15" ht="13.5" hidden="1" customHeight="1">
      <c r="A156" s="501"/>
      <c r="B156" s="503"/>
      <c r="C156" s="2150">
        <v>10500913</v>
      </c>
      <c r="D156" s="2151" t="s">
        <v>430</v>
      </c>
      <c r="E156" s="2152"/>
      <c r="F156" s="2153"/>
      <c r="G156" s="2117">
        <f t="shared" ref="G156:G219" si="129">SUM(H156:P156)</f>
        <v>0</v>
      </c>
      <c r="H156" s="2154" t="str">
        <f t="shared" si="116"/>
        <v/>
      </c>
      <c r="I156" s="2154" t="str">
        <f t="shared" si="116"/>
        <v/>
      </c>
      <c r="J156" s="2154" t="str">
        <f t="shared" ref="J156:O156" si="130">IF(J$22="009車庫、工場建物",ROUND(J35+J35/(J$5-J$6)*J$6+J35/(J$5-J$6)*J$15,-3),"")</f>
        <v/>
      </c>
      <c r="K156" s="2154" t="str">
        <f t="shared" si="130"/>
        <v/>
      </c>
      <c r="L156" s="2154" t="str">
        <f t="shared" si="130"/>
        <v/>
      </c>
      <c r="M156" s="2154" t="str">
        <f t="shared" si="130"/>
        <v/>
      </c>
      <c r="N156" s="2154" t="str">
        <f t="shared" si="130"/>
        <v/>
      </c>
      <c r="O156" s="2154" t="str">
        <f t="shared" si="130"/>
        <v/>
      </c>
    </row>
    <row r="157" spans="1:15" ht="13.5" hidden="1" customHeight="1">
      <c r="A157" s="501"/>
      <c r="B157" s="503"/>
      <c r="C157" s="2150">
        <v>10500914</v>
      </c>
      <c r="D157" s="2151" t="s">
        <v>431</v>
      </c>
      <c r="E157" s="2152"/>
      <c r="F157" s="2153"/>
      <c r="G157" s="2117">
        <f t="shared" si="129"/>
        <v>0</v>
      </c>
      <c r="H157" s="2154" t="str">
        <f t="shared" si="116"/>
        <v/>
      </c>
      <c r="I157" s="2154" t="str">
        <f t="shared" si="116"/>
        <v/>
      </c>
      <c r="J157" s="2154" t="str">
        <f t="shared" ref="J157:O157" si="131">IF(J$22="009車庫、工場建物",ROUND(J36+J36/(J$5-J$6)*J$6+J36/(J$5-J$6)*J$15,-3),"")</f>
        <v/>
      </c>
      <c r="K157" s="2154" t="str">
        <f t="shared" si="131"/>
        <v/>
      </c>
      <c r="L157" s="2154" t="str">
        <f t="shared" si="131"/>
        <v/>
      </c>
      <c r="M157" s="2154" t="str">
        <f t="shared" si="131"/>
        <v/>
      </c>
      <c r="N157" s="2154" t="str">
        <f t="shared" si="131"/>
        <v/>
      </c>
      <c r="O157" s="2154" t="str">
        <f t="shared" si="131"/>
        <v/>
      </c>
    </row>
    <row r="158" spans="1:15" ht="13.5" hidden="1" customHeight="1">
      <c r="A158" s="501"/>
      <c r="B158" s="503"/>
      <c r="C158" s="2150">
        <v>10500915</v>
      </c>
      <c r="D158" s="2151" t="s">
        <v>432</v>
      </c>
      <c r="E158" s="2152"/>
      <c r="F158" s="2153"/>
      <c r="G158" s="2117">
        <f t="shared" si="129"/>
        <v>0</v>
      </c>
      <c r="H158" s="2154" t="str">
        <f t="shared" si="116"/>
        <v/>
      </c>
      <c r="I158" s="2154" t="str">
        <f t="shared" si="116"/>
        <v/>
      </c>
      <c r="J158" s="2154" t="str">
        <f t="shared" ref="J158:O158" si="132">IF(J$22="009車庫、工場建物",ROUND(J37+J37/(J$5-J$6)*J$6+J37/(J$5-J$6)*J$15,-3),"")</f>
        <v/>
      </c>
      <c r="K158" s="2154" t="str">
        <f t="shared" si="132"/>
        <v/>
      </c>
      <c r="L158" s="2154" t="str">
        <f t="shared" si="132"/>
        <v/>
      </c>
      <c r="M158" s="2154" t="str">
        <f t="shared" si="132"/>
        <v/>
      </c>
      <c r="N158" s="2154" t="str">
        <f t="shared" si="132"/>
        <v/>
      </c>
      <c r="O158" s="2154" t="str">
        <f t="shared" si="132"/>
        <v/>
      </c>
    </row>
    <row r="159" spans="1:15" ht="13.5" hidden="1" customHeight="1">
      <c r="A159" s="501"/>
      <c r="B159" s="503"/>
      <c r="C159" s="2150">
        <v>10500916</v>
      </c>
      <c r="D159" s="2151" t="s">
        <v>433</v>
      </c>
      <c r="E159" s="2152"/>
      <c r="F159" s="2153"/>
      <c r="G159" s="2117">
        <f t="shared" si="129"/>
        <v>0</v>
      </c>
      <c r="H159" s="2154" t="str">
        <f t="shared" si="116"/>
        <v/>
      </c>
      <c r="I159" s="2154" t="str">
        <f t="shared" si="116"/>
        <v/>
      </c>
      <c r="J159" s="2154" t="str">
        <f t="shared" ref="J159:O159" si="133">IF(J$22="009車庫、工場建物",ROUND(J38+J38/(J$5-J$6)*J$6+J38/(J$5-J$6)*J$15,-3),"")</f>
        <v/>
      </c>
      <c r="K159" s="2154" t="str">
        <f t="shared" si="133"/>
        <v/>
      </c>
      <c r="L159" s="2154" t="str">
        <f t="shared" si="133"/>
        <v/>
      </c>
      <c r="M159" s="2154" t="str">
        <f t="shared" si="133"/>
        <v/>
      </c>
      <c r="N159" s="2154" t="str">
        <f t="shared" si="133"/>
        <v/>
      </c>
      <c r="O159" s="2154" t="str">
        <f t="shared" si="133"/>
        <v/>
      </c>
    </row>
    <row r="160" spans="1:15" ht="13.5" hidden="1" customHeight="1">
      <c r="A160" s="501"/>
      <c r="B160" s="503"/>
      <c r="C160" s="2150">
        <v>10500917</v>
      </c>
      <c r="D160" s="2151" t="s">
        <v>434</v>
      </c>
      <c r="E160" s="2152"/>
      <c r="F160" s="2153"/>
      <c r="G160" s="2117">
        <f t="shared" si="129"/>
        <v>0</v>
      </c>
      <c r="H160" s="2154" t="str">
        <f t="shared" ref="H160:I169" si="134">IF(H$22="009車庫、工場建物",ROUND(H39+H39/(H$5-H$6)*H$6+H39/(H$5-H$6)*H$15,-3),"")</f>
        <v/>
      </c>
      <c r="I160" s="2154" t="str">
        <f t="shared" si="134"/>
        <v/>
      </c>
      <c r="J160" s="2154" t="str">
        <f t="shared" ref="J160:O160" si="135">IF(J$22="009車庫、工場建物",ROUND(J39+J39/(J$5-J$6)*J$6+J39/(J$5-J$6)*J$15,-3),"")</f>
        <v/>
      </c>
      <c r="K160" s="2154" t="str">
        <f t="shared" si="135"/>
        <v/>
      </c>
      <c r="L160" s="2154" t="str">
        <f t="shared" si="135"/>
        <v/>
      </c>
      <c r="M160" s="2154" t="str">
        <f t="shared" si="135"/>
        <v/>
      </c>
      <c r="N160" s="2154" t="str">
        <f t="shared" si="135"/>
        <v/>
      </c>
      <c r="O160" s="2154" t="str">
        <f t="shared" si="135"/>
        <v/>
      </c>
    </row>
    <row r="161" spans="1:15" ht="13.5" hidden="1" customHeight="1">
      <c r="A161" s="501"/>
      <c r="B161" s="503"/>
      <c r="C161" s="2150">
        <v>10500918</v>
      </c>
      <c r="D161" s="2151" t="s">
        <v>435</v>
      </c>
      <c r="E161" s="2152"/>
      <c r="F161" s="2153"/>
      <c r="G161" s="2117">
        <f t="shared" si="129"/>
        <v>0</v>
      </c>
      <c r="H161" s="2154" t="str">
        <f t="shared" si="134"/>
        <v/>
      </c>
      <c r="I161" s="2154" t="str">
        <f t="shared" si="134"/>
        <v/>
      </c>
      <c r="J161" s="2154" t="str">
        <f t="shared" ref="J161:O161" si="136">IF(J$22="009車庫、工場建物",ROUND(J40+J40/(J$5-J$6)*J$6+J40/(J$5-J$6)*J$15,-3),"")</f>
        <v/>
      </c>
      <c r="K161" s="2154" t="str">
        <f t="shared" si="136"/>
        <v/>
      </c>
      <c r="L161" s="2154" t="str">
        <f t="shared" si="136"/>
        <v/>
      </c>
      <c r="M161" s="2154" t="str">
        <f t="shared" si="136"/>
        <v/>
      </c>
      <c r="N161" s="2154" t="str">
        <f t="shared" si="136"/>
        <v/>
      </c>
      <c r="O161" s="2154" t="str">
        <f t="shared" si="136"/>
        <v/>
      </c>
    </row>
    <row r="162" spans="1:15" ht="13.5" hidden="1" customHeight="1">
      <c r="A162" s="501"/>
      <c r="B162" s="503"/>
      <c r="C162" s="2150">
        <v>10500919</v>
      </c>
      <c r="D162" s="2151" t="s">
        <v>436</v>
      </c>
      <c r="E162" s="2152"/>
      <c r="F162" s="2153"/>
      <c r="G162" s="2117">
        <f t="shared" si="129"/>
        <v>0</v>
      </c>
      <c r="H162" s="2154" t="str">
        <f t="shared" si="134"/>
        <v/>
      </c>
      <c r="I162" s="2154" t="str">
        <f t="shared" si="134"/>
        <v/>
      </c>
      <c r="J162" s="2154" t="str">
        <f t="shared" ref="J162:O162" si="137">IF(J$22="009車庫、工場建物",ROUND(J41+J41/(J$5-J$6)*J$6+J41/(J$5-J$6)*J$15,-3),"")</f>
        <v/>
      </c>
      <c r="K162" s="2154" t="str">
        <f t="shared" si="137"/>
        <v/>
      </c>
      <c r="L162" s="2154" t="str">
        <f t="shared" si="137"/>
        <v/>
      </c>
      <c r="M162" s="2154" t="str">
        <f t="shared" si="137"/>
        <v/>
      </c>
      <c r="N162" s="2154" t="str">
        <f t="shared" si="137"/>
        <v/>
      </c>
      <c r="O162" s="2154" t="str">
        <f t="shared" si="137"/>
        <v/>
      </c>
    </row>
    <row r="163" spans="1:15" ht="13.5" hidden="1" customHeight="1">
      <c r="A163" s="501"/>
      <c r="B163" s="503"/>
      <c r="C163" s="2150">
        <v>10500920</v>
      </c>
      <c r="D163" s="2151" t="s">
        <v>437</v>
      </c>
      <c r="E163" s="2152"/>
      <c r="F163" s="2153"/>
      <c r="G163" s="2117">
        <f t="shared" si="129"/>
        <v>0</v>
      </c>
      <c r="H163" s="2154" t="str">
        <f t="shared" si="134"/>
        <v/>
      </c>
      <c r="I163" s="2154" t="str">
        <f t="shared" si="134"/>
        <v/>
      </c>
      <c r="J163" s="2154" t="str">
        <f t="shared" ref="J163:O163" si="138">IF(J$22="009車庫、工場建物",ROUND(J42+J42/(J$5-J$6)*J$6+J42/(J$5-J$6)*J$15,-3),"")</f>
        <v/>
      </c>
      <c r="K163" s="2154" t="str">
        <f t="shared" si="138"/>
        <v/>
      </c>
      <c r="L163" s="2154" t="str">
        <f t="shared" si="138"/>
        <v/>
      </c>
      <c r="M163" s="2154" t="str">
        <f t="shared" si="138"/>
        <v/>
      </c>
      <c r="N163" s="2154" t="str">
        <f t="shared" si="138"/>
        <v/>
      </c>
      <c r="O163" s="2154" t="str">
        <f t="shared" si="138"/>
        <v/>
      </c>
    </row>
    <row r="164" spans="1:15" ht="13.5" hidden="1" customHeight="1">
      <c r="A164" s="501"/>
      <c r="B164" s="503"/>
      <c r="C164" s="2150">
        <v>10500921</v>
      </c>
      <c r="D164" s="2151" t="s">
        <v>438</v>
      </c>
      <c r="E164" s="2152"/>
      <c r="F164" s="2153"/>
      <c r="G164" s="2117">
        <f t="shared" si="129"/>
        <v>0</v>
      </c>
      <c r="H164" s="2154" t="str">
        <f t="shared" si="134"/>
        <v/>
      </c>
      <c r="I164" s="2154" t="str">
        <f t="shared" si="134"/>
        <v/>
      </c>
      <c r="J164" s="2154" t="str">
        <f t="shared" ref="J164:O164" si="139">IF(J$22="009車庫、工場建物",ROUND(J43+J43/(J$5-J$6)*J$6+J43/(J$5-J$6)*J$15,-3),"")</f>
        <v/>
      </c>
      <c r="K164" s="2154" t="str">
        <f t="shared" si="139"/>
        <v/>
      </c>
      <c r="L164" s="2154" t="str">
        <f t="shared" si="139"/>
        <v/>
      </c>
      <c r="M164" s="2154" t="str">
        <f t="shared" si="139"/>
        <v/>
      </c>
      <c r="N164" s="2154" t="str">
        <f t="shared" si="139"/>
        <v/>
      </c>
      <c r="O164" s="2154" t="str">
        <f t="shared" si="139"/>
        <v/>
      </c>
    </row>
    <row r="165" spans="1:15" ht="13.5" hidden="1" customHeight="1">
      <c r="A165" s="501"/>
      <c r="B165" s="503"/>
      <c r="C165" s="2150">
        <v>10500922</v>
      </c>
      <c r="D165" s="2151" t="s">
        <v>439</v>
      </c>
      <c r="E165" s="2152"/>
      <c r="F165" s="2153"/>
      <c r="G165" s="2117">
        <f t="shared" si="129"/>
        <v>0</v>
      </c>
      <c r="H165" s="2154" t="str">
        <f t="shared" si="134"/>
        <v/>
      </c>
      <c r="I165" s="2154" t="str">
        <f t="shared" si="134"/>
        <v/>
      </c>
      <c r="J165" s="2154" t="str">
        <f t="shared" ref="J165:O165" si="140">IF(J$22="009車庫、工場建物",ROUND(J44+J44/(J$5-J$6)*J$6+J44/(J$5-J$6)*J$15,-3),"")</f>
        <v/>
      </c>
      <c r="K165" s="2154" t="str">
        <f t="shared" si="140"/>
        <v/>
      </c>
      <c r="L165" s="2154" t="str">
        <f t="shared" si="140"/>
        <v/>
      </c>
      <c r="M165" s="2154" t="str">
        <f t="shared" si="140"/>
        <v/>
      </c>
      <c r="N165" s="2154" t="str">
        <f t="shared" si="140"/>
        <v/>
      </c>
      <c r="O165" s="2154" t="str">
        <f t="shared" si="140"/>
        <v/>
      </c>
    </row>
    <row r="166" spans="1:15" ht="13.5" hidden="1" customHeight="1">
      <c r="A166" s="501"/>
      <c r="B166" s="503"/>
      <c r="C166" s="2150">
        <v>10500923</v>
      </c>
      <c r="D166" s="2151" t="s">
        <v>440</v>
      </c>
      <c r="E166" s="2152"/>
      <c r="F166" s="2153"/>
      <c r="G166" s="2117">
        <f t="shared" si="129"/>
        <v>0</v>
      </c>
      <c r="H166" s="2154" t="str">
        <f t="shared" si="134"/>
        <v/>
      </c>
      <c r="I166" s="2154" t="str">
        <f t="shared" si="134"/>
        <v/>
      </c>
      <c r="J166" s="2154" t="str">
        <f t="shared" ref="J166:O166" si="141">IF(J$22="009車庫、工場建物",ROUND(J45+J45/(J$5-J$6)*J$6+J45/(J$5-J$6)*J$15,-3),"")</f>
        <v/>
      </c>
      <c r="K166" s="2154" t="str">
        <f t="shared" si="141"/>
        <v/>
      </c>
      <c r="L166" s="2154" t="str">
        <f t="shared" si="141"/>
        <v/>
      </c>
      <c r="M166" s="2154" t="str">
        <f t="shared" si="141"/>
        <v/>
      </c>
      <c r="N166" s="2154" t="str">
        <f t="shared" si="141"/>
        <v/>
      </c>
      <c r="O166" s="2154" t="str">
        <f t="shared" si="141"/>
        <v/>
      </c>
    </row>
    <row r="167" spans="1:15" ht="13.5" hidden="1" customHeight="1">
      <c r="A167" s="501"/>
      <c r="B167" s="503"/>
      <c r="C167" s="2150">
        <v>10500924</v>
      </c>
      <c r="D167" s="2151" t="s">
        <v>441</v>
      </c>
      <c r="E167" s="2152"/>
      <c r="F167" s="2153"/>
      <c r="G167" s="2117">
        <f t="shared" si="129"/>
        <v>0</v>
      </c>
      <c r="H167" s="2154" t="str">
        <f t="shared" si="134"/>
        <v/>
      </c>
      <c r="I167" s="2154" t="str">
        <f t="shared" si="134"/>
        <v/>
      </c>
      <c r="J167" s="2154" t="str">
        <f t="shared" ref="J167:O167" si="142">IF(J$22="009車庫、工場建物",ROUND(J46+J46/(J$5-J$6)*J$6+J46/(J$5-J$6)*J$15,-3),"")</f>
        <v/>
      </c>
      <c r="K167" s="2154" t="str">
        <f t="shared" si="142"/>
        <v/>
      </c>
      <c r="L167" s="2154" t="str">
        <f t="shared" si="142"/>
        <v/>
      </c>
      <c r="M167" s="2154" t="str">
        <f t="shared" si="142"/>
        <v/>
      </c>
      <c r="N167" s="2154" t="str">
        <f t="shared" si="142"/>
        <v/>
      </c>
      <c r="O167" s="2154" t="str">
        <f t="shared" si="142"/>
        <v/>
      </c>
    </row>
    <row r="168" spans="1:15" ht="13.5" hidden="1" customHeight="1">
      <c r="A168" s="501"/>
      <c r="B168" s="503"/>
      <c r="C168" s="2150">
        <v>10500925</v>
      </c>
      <c r="D168" s="2151" t="s">
        <v>442</v>
      </c>
      <c r="E168" s="2152"/>
      <c r="F168" s="2153"/>
      <c r="G168" s="2117">
        <f t="shared" si="129"/>
        <v>0</v>
      </c>
      <c r="H168" s="2154" t="str">
        <f t="shared" si="134"/>
        <v/>
      </c>
      <c r="I168" s="2154" t="str">
        <f t="shared" si="134"/>
        <v/>
      </c>
      <c r="J168" s="2154" t="str">
        <f t="shared" ref="J168:O168" si="143">IF(J$22="009車庫、工場建物",ROUND(J47+J47/(J$5-J$6)*J$6+J47/(J$5-J$6)*J$15,-3),"")</f>
        <v/>
      </c>
      <c r="K168" s="2154" t="str">
        <f t="shared" si="143"/>
        <v/>
      </c>
      <c r="L168" s="2154" t="str">
        <f t="shared" si="143"/>
        <v/>
      </c>
      <c r="M168" s="2154" t="str">
        <f t="shared" si="143"/>
        <v/>
      </c>
      <c r="N168" s="2154" t="str">
        <f t="shared" si="143"/>
        <v/>
      </c>
      <c r="O168" s="2154" t="str">
        <f t="shared" si="143"/>
        <v/>
      </c>
    </row>
    <row r="169" spans="1:15" ht="13.5" hidden="1" customHeight="1">
      <c r="A169" s="501"/>
      <c r="B169" s="503"/>
      <c r="C169" s="2155"/>
      <c r="D169" s="2156"/>
      <c r="E169" s="2157"/>
      <c r="F169" s="2125"/>
      <c r="G169" s="2158">
        <f t="shared" si="129"/>
        <v>0</v>
      </c>
      <c r="H169" s="2159" t="str">
        <f t="shared" si="134"/>
        <v/>
      </c>
      <c r="I169" s="2159" t="str">
        <f t="shared" si="134"/>
        <v/>
      </c>
      <c r="J169" s="2159" t="str">
        <f t="shared" ref="J169:O169" si="144">IF(J$22="009車庫、工場建物",ROUND(J48+J48/(J$5-J$6)*J$6+J48/(J$5-J$6)*J$15,-3),"")</f>
        <v/>
      </c>
      <c r="K169" s="2159" t="str">
        <f t="shared" si="144"/>
        <v/>
      </c>
      <c r="L169" s="2159" t="str">
        <f t="shared" si="144"/>
        <v/>
      </c>
      <c r="M169" s="2159" t="str">
        <f t="shared" si="144"/>
        <v/>
      </c>
      <c r="N169" s="2159" t="str">
        <f t="shared" si="144"/>
        <v/>
      </c>
      <c r="O169" s="2159" t="str">
        <f t="shared" si="144"/>
        <v/>
      </c>
    </row>
    <row r="170" spans="1:15" ht="13.5" hidden="1" customHeight="1">
      <c r="A170" s="501"/>
      <c r="B170" s="425"/>
      <c r="C170" s="2150">
        <v>10501001</v>
      </c>
      <c r="D170" s="2151" t="s">
        <v>443</v>
      </c>
      <c r="E170" s="2152"/>
      <c r="F170" s="2153"/>
      <c r="G170" s="2117">
        <f t="shared" si="129"/>
        <v>0</v>
      </c>
      <c r="H170" s="587" t="str">
        <f t="shared" ref="H170:I185" si="145">IF(H$22="010倉庫建物",ROUND(H23+H23/(H$5-H$6)*H$6+H23/(H$5-H$6)*H$15,-3),"")</f>
        <v/>
      </c>
      <c r="I170" s="587" t="str">
        <f t="shared" si="145"/>
        <v/>
      </c>
      <c r="J170" s="587" t="str">
        <f t="shared" ref="J170:O170" si="146">IF(J$22="010倉庫建物",ROUND(J23+J23/(J$5-J$6)*J$6+J23/(J$5-J$6)*J$15,-3),"")</f>
        <v/>
      </c>
      <c r="K170" s="587" t="str">
        <f t="shared" si="146"/>
        <v/>
      </c>
      <c r="L170" s="587" t="str">
        <f t="shared" si="146"/>
        <v/>
      </c>
      <c r="M170" s="587" t="str">
        <f t="shared" si="146"/>
        <v/>
      </c>
      <c r="N170" s="587" t="str">
        <f t="shared" si="146"/>
        <v/>
      </c>
      <c r="O170" s="587" t="str">
        <f t="shared" si="146"/>
        <v/>
      </c>
    </row>
    <row r="171" spans="1:15" ht="13.5" hidden="1" customHeight="1">
      <c r="A171" s="501"/>
      <c r="C171" s="2150">
        <v>10501002</v>
      </c>
      <c r="D171" s="2151" t="s">
        <v>444</v>
      </c>
      <c r="E171" s="2152"/>
      <c r="F171" s="2153"/>
      <c r="G171" s="2117">
        <f t="shared" si="129"/>
        <v>0</v>
      </c>
      <c r="H171" s="2154" t="str">
        <f t="shared" si="145"/>
        <v/>
      </c>
      <c r="I171" s="2154" t="str">
        <f t="shared" si="145"/>
        <v/>
      </c>
      <c r="J171" s="2154" t="str">
        <f t="shared" ref="J171:O171" si="147">IF(J$22="010倉庫建物",ROUND(J24+J24/(J$5-J$6)*J$6+J24/(J$5-J$6)*J$15,-3),"")</f>
        <v/>
      </c>
      <c r="K171" s="2154" t="str">
        <f t="shared" si="147"/>
        <v/>
      </c>
      <c r="L171" s="2154" t="str">
        <f t="shared" si="147"/>
        <v/>
      </c>
      <c r="M171" s="2154" t="str">
        <f t="shared" si="147"/>
        <v/>
      </c>
      <c r="N171" s="2154" t="str">
        <f t="shared" si="147"/>
        <v/>
      </c>
      <c r="O171" s="2154" t="str">
        <f t="shared" si="147"/>
        <v/>
      </c>
    </row>
    <row r="172" spans="1:15" ht="13.5" hidden="1" customHeight="1">
      <c r="A172" s="501"/>
      <c r="C172" s="2150">
        <v>10501003</v>
      </c>
      <c r="D172" s="2151" t="s">
        <v>445</v>
      </c>
      <c r="E172" s="2152"/>
      <c r="F172" s="2153"/>
      <c r="G172" s="2117">
        <f t="shared" si="129"/>
        <v>0</v>
      </c>
      <c r="H172" s="2154" t="str">
        <f t="shared" si="145"/>
        <v/>
      </c>
      <c r="I172" s="2154" t="str">
        <f t="shared" si="145"/>
        <v/>
      </c>
      <c r="J172" s="2154" t="str">
        <f t="shared" ref="J172:O172" si="148">IF(J$22="010倉庫建物",ROUND(J25+J25/(J$5-J$6)*J$6+J25/(J$5-J$6)*J$15,-3),"")</f>
        <v/>
      </c>
      <c r="K172" s="2154" t="str">
        <f t="shared" si="148"/>
        <v/>
      </c>
      <c r="L172" s="2154" t="str">
        <f t="shared" si="148"/>
        <v/>
      </c>
      <c r="M172" s="2154" t="str">
        <f t="shared" si="148"/>
        <v/>
      </c>
      <c r="N172" s="2154" t="str">
        <f t="shared" si="148"/>
        <v/>
      </c>
      <c r="O172" s="2154" t="str">
        <f t="shared" si="148"/>
        <v/>
      </c>
    </row>
    <row r="173" spans="1:15" ht="13.5" hidden="1" customHeight="1">
      <c r="A173" s="501"/>
      <c r="C173" s="2150">
        <v>10501004</v>
      </c>
      <c r="D173" s="2151" t="s">
        <v>446</v>
      </c>
      <c r="E173" s="2152"/>
      <c r="F173" s="2153"/>
      <c r="G173" s="2117">
        <f t="shared" si="129"/>
        <v>0</v>
      </c>
      <c r="H173" s="2154" t="str">
        <f t="shared" si="145"/>
        <v/>
      </c>
      <c r="I173" s="2154" t="str">
        <f t="shared" si="145"/>
        <v/>
      </c>
      <c r="J173" s="2154" t="str">
        <f t="shared" ref="J173:O173" si="149">IF(J$22="010倉庫建物",ROUND(J26+J26/(J$5-J$6)*J$6+J26/(J$5-J$6)*J$15,-3),"")</f>
        <v/>
      </c>
      <c r="K173" s="2154" t="str">
        <f t="shared" si="149"/>
        <v/>
      </c>
      <c r="L173" s="2154" t="str">
        <f t="shared" si="149"/>
        <v/>
      </c>
      <c r="M173" s="2154" t="str">
        <f t="shared" si="149"/>
        <v/>
      </c>
      <c r="N173" s="2154" t="str">
        <f t="shared" si="149"/>
        <v/>
      </c>
      <c r="O173" s="2154" t="str">
        <f t="shared" si="149"/>
        <v/>
      </c>
    </row>
    <row r="174" spans="1:15" ht="13.5" hidden="1" customHeight="1">
      <c r="A174" s="501"/>
      <c r="C174" s="2150">
        <v>10501005</v>
      </c>
      <c r="D174" s="2151" t="s">
        <v>447</v>
      </c>
      <c r="E174" s="2152"/>
      <c r="F174" s="2153"/>
      <c r="G174" s="2117">
        <f t="shared" si="129"/>
        <v>0</v>
      </c>
      <c r="H174" s="2154" t="str">
        <f t="shared" si="145"/>
        <v/>
      </c>
      <c r="I174" s="2154" t="str">
        <f t="shared" si="145"/>
        <v/>
      </c>
      <c r="J174" s="2154" t="str">
        <f t="shared" ref="J174:O174" si="150">IF(J$22="010倉庫建物",ROUND(J27+J27/(J$5-J$6)*J$6+J27/(J$5-J$6)*J$15,-3),"")</f>
        <v/>
      </c>
      <c r="K174" s="2154" t="str">
        <f t="shared" si="150"/>
        <v/>
      </c>
      <c r="L174" s="2154" t="str">
        <f t="shared" si="150"/>
        <v/>
      </c>
      <c r="M174" s="2154" t="str">
        <f t="shared" si="150"/>
        <v/>
      </c>
      <c r="N174" s="2154" t="str">
        <f t="shared" si="150"/>
        <v/>
      </c>
      <c r="O174" s="2154" t="str">
        <f t="shared" si="150"/>
        <v/>
      </c>
    </row>
    <row r="175" spans="1:15" ht="13.5" hidden="1" customHeight="1">
      <c r="A175" s="501"/>
      <c r="C175" s="2150">
        <v>10501006</v>
      </c>
      <c r="D175" s="2151" t="s">
        <v>448</v>
      </c>
      <c r="E175" s="2152"/>
      <c r="F175" s="2153"/>
      <c r="G175" s="2117">
        <f t="shared" si="129"/>
        <v>0</v>
      </c>
      <c r="H175" s="2154" t="str">
        <f t="shared" si="145"/>
        <v/>
      </c>
      <c r="I175" s="2154" t="str">
        <f t="shared" si="145"/>
        <v/>
      </c>
      <c r="J175" s="2154" t="str">
        <f t="shared" ref="J175:O175" si="151">IF(J$22="010倉庫建物",ROUND(J28+J28/(J$5-J$6)*J$6+J28/(J$5-J$6)*J$15,-3),"")</f>
        <v/>
      </c>
      <c r="K175" s="2154" t="str">
        <f t="shared" si="151"/>
        <v/>
      </c>
      <c r="L175" s="2154" t="str">
        <f t="shared" si="151"/>
        <v/>
      </c>
      <c r="M175" s="2154" t="str">
        <f t="shared" si="151"/>
        <v/>
      </c>
      <c r="N175" s="2154" t="str">
        <f t="shared" si="151"/>
        <v/>
      </c>
      <c r="O175" s="2154" t="str">
        <f t="shared" si="151"/>
        <v/>
      </c>
    </row>
    <row r="176" spans="1:15" ht="13.5" hidden="1" customHeight="1">
      <c r="A176" s="501"/>
      <c r="C176" s="2150">
        <v>10501007</v>
      </c>
      <c r="D176" s="2151" t="s">
        <v>449</v>
      </c>
      <c r="E176" s="2152"/>
      <c r="F176" s="2153"/>
      <c r="G176" s="2117">
        <f t="shared" si="129"/>
        <v>0</v>
      </c>
      <c r="H176" s="2154" t="str">
        <f t="shared" si="145"/>
        <v/>
      </c>
      <c r="I176" s="2154" t="str">
        <f t="shared" si="145"/>
        <v/>
      </c>
      <c r="J176" s="2154" t="str">
        <f t="shared" ref="J176:O176" si="152">IF(J$22="010倉庫建物",ROUND(J29+J29/(J$5-J$6)*J$6+J29/(J$5-J$6)*J$15,-3),"")</f>
        <v/>
      </c>
      <c r="K176" s="2154" t="str">
        <f t="shared" si="152"/>
        <v/>
      </c>
      <c r="L176" s="2154" t="str">
        <f t="shared" si="152"/>
        <v/>
      </c>
      <c r="M176" s="2154" t="str">
        <f t="shared" si="152"/>
        <v/>
      </c>
      <c r="N176" s="2154" t="str">
        <f t="shared" si="152"/>
        <v/>
      </c>
      <c r="O176" s="2154" t="str">
        <f t="shared" si="152"/>
        <v/>
      </c>
    </row>
    <row r="177" spans="1:15" ht="13.5" hidden="1" customHeight="1">
      <c r="A177" s="501"/>
      <c r="C177" s="2150">
        <v>10501008</v>
      </c>
      <c r="D177" s="2151" t="s">
        <v>450</v>
      </c>
      <c r="E177" s="2152"/>
      <c r="F177" s="2153"/>
      <c r="G177" s="2117">
        <f t="shared" si="129"/>
        <v>0</v>
      </c>
      <c r="H177" s="2154" t="str">
        <f t="shared" si="145"/>
        <v/>
      </c>
      <c r="I177" s="2154" t="str">
        <f t="shared" si="145"/>
        <v/>
      </c>
      <c r="J177" s="2154" t="str">
        <f t="shared" ref="J177:O177" si="153">IF(J$22="010倉庫建物",ROUND(J30+J30/(J$5-J$6)*J$6+J30/(J$5-J$6)*J$15,-3),"")</f>
        <v/>
      </c>
      <c r="K177" s="2154" t="str">
        <f t="shared" si="153"/>
        <v/>
      </c>
      <c r="L177" s="2154" t="str">
        <f t="shared" si="153"/>
        <v/>
      </c>
      <c r="M177" s="2154" t="str">
        <f t="shared" si="153"/>
        <v/>
      </c>
      <c r="N177" s="2154" t="str">
        <f t="shared" si="153"/>
        <v/>
      </c>
      <c r="O177" s="2154" t="str">
        <f t="shared" si="153"/>
        <v/>
      </c>
    </row>
    <row r="178" spans="1:15" ht="13.5" hidden="1" customHeight="1">
      <c r="A178" s="501"/>
      <c r="C178" s="2150">
        <v>10501009</v>
      </c>
      <c r="D178" s="2151" t="s">
        <v>451</v>
      </c>
      <c r="E178" s="2152"/>
      <c r="F178" s="2153"/>
      <c r="G178" s="2117">
        <f t="shared" si="129"/>
        <v>0</v>
      </c>
      <c r="H178" s="2154" t="str">
        <f t="shared" si="145"/>
        <v/>
      </c>
      <c r="I178" s="2154" t="str">
        <f t="shared" si="145"/>
        <v/>
      </c>
      <c r="J178" s="2154" t="str">
        <f t="shared" ref="J178:O178" si="154">IF(J$22="010倉庫建物",ROUND(J31+J31/(J$5-J$6)*J$6+J31/(J$5-J$6)*J$15,-3),"")</f>
        <v/>
      </c>
      <c r="K178" s="2154" t="str">
        <f t="shared" si="154"/>
        <v/>
      </c>
      <c r="L178" s="2154" t="str">
        <f t="shared" si="154"/>
        <v/>
      </c>
      <c r="M178" s="2154" t="str">
        <f t="shared" si="154"/>
        <v/>
      </c>
      <c r="N178" s="2154" t="str">
        <f t="shared" si="154"/>
        <v/>
      </c>
      <c r="O178" s="2154" t="str">
        <f t="shared" si="154"/>
        <v/>
      </c>
    </row>
    <row r="179" spans="1:15" ht="13.5" hidden="1" customHeight="1">
      <c r="A179" s="501"/>
      <c r="C179" s="2150">
        <v>10501010</v>
      </c>
      <c r="D179" s="2151" t="s">
        <v>452</v>
      </c>
      <c r="E179" s="2152"/>
      <c r="F179" s="2153"/>
      <c r="G179" s="2117">
        <f t="shared" si="129"/>
        <v>0</v>
      </c>
      <c r="H179" s="2154" t="str">
        <f t="shared" si="145"/>
        <v/>
      </c>
      <c r="I179" s="2154" t="str">
        <f t="shared" si="145"/>
        <v/>
      </c>
      <c r="J179" s="2154" t="str">
        <f t="shared" ref="J179:O179" si="155">IF(J$22="010倉庫建物",ROUND(J32+J32/(J$5-J$6)*J$6+J32/(J$5-J$6)*J$15,-3),"")</f>
        <v/>
      </c>
      <c r="K179" s="2154" t="str">
        <f t="shared" si="155"/>
        <v/>
      </c>
      <c r="L179" s="2154" t="str">
        <f t="shared" si="155"/>
        <v/>
      </c>
      <c r="M179" s="2154" t="str">
        <f t="shared" si="155"/>
        <v/>
      </c>
      <c r="N179" s="2154" t="str">
        <f t="shared" si="155"/>
        <v/>
      </c>
      <c r="O179" s="2154" t="str">
        <f t="shared" si="155"/>
        <v/>
      </c>
    </row>
    <row r="180" spans="1:15" ht="13.5" hidden="1" customHeight="1">
      <c r="A180" s="501"/>
      <c r="C180" s="2150">
        <v>10501011</v>
      </c>
      <c r="D180" s="2151" t="s">
        <v>453</v>
      </c>
      <c r="E180" s="2152"/>
      <c r="F180" s="2153"/>
      <c r="G180" s="2117">
        <f t="shared" si="129"/>
        <v>0</v>
      </c>
      <c r="H180" s="2154" t="str">
        <f t="shared" si="145"/>
        <v/>
      </c>
      <c r="I180" s="2154" t="str">
        <f t="shared" si="145"/>
        <v/>
      </c>
      <c r="J180" s="2154" t="str">
        <f t="shared" ref="J180:O180" si="156">IF(J$22="010倉庫建物",ROUND(J33+J33/(J$5-J$6)*J$6+J33/(J$5-J$6)*J$15,-3),"")</f>
        <v/>
      </c>
      <c r="K180" s="2154" t="str">
        <f t="shared" si="156"/>
        <v/>
      </c>
      <c r="L180" s="2154" t="str">
        <f t="shared" si="156"/>
        <v/>
      </c>
      <c r="M180" s="2154" t="str">
        <f t="shared" si="156"/>
        <v/>
      </c>
      <c r="N180" s="2154" t="str">
        <f t="shared" si="156"/>
        <v/>
      </c>
      <c r="O180" s="2154" t="str">
        <f t="shared" si="156"/>
        <v/>
      </c>
    </row>
    <row r="181" spans="1:15" ht="13.5" hidden="1" customHeight="1">
      <c r="A181" s="501"/>
      <c r="C181" s="2150">
        <v>10501012</v>
      </c>
      <c r="D181" s="2151" t="s">
        <v>454</v>
      </c>
      <c r="E181" s="2152"/>
      <c r="F181" s="2153"/>
      <c r="G181" s="2117">
        <f t="shared" si="129"/>
        <v>0</v>
      </c>
      <c r="H181" s="2154" t="str">
        <f t="shared" si="145"/>
        <v/>
      </c>
      <c r="I181" s="2154" t="str">
        <f t="shared" si="145"/>
        <v/>
      </c>
      <c r="J181" s="2154" t="str">
        <f t="shared" ref="J181:O181" si="157">IF(J$22="010倉庫建物",ROUND(J34+J34/(J$5-J$6)*J$6+J34/(J$5-J$6)*J$15,-3),"")</f>
        <v/>
      </c>
      <c r="K181" s="2154" t="str">
        <f t="shared" si="157"/>
        <v/>
      </c>
      <c r="L181" s="2154" t="str">
        <f t="shared" si="157"/>
        <v/>
      </c>
      <c r="M181" s="2154" t="str">
        <f t="shared" si="157"/>
        <v/>
      </c>
      <c r="N181" s="2154" t="str">
        <f t="shared" si="157"/>
        <v/>
      </c>
      <c r="O181" s="2154" t="str">
        <f t="shared" si="157"/>
        <v/>
      </c>
    </row>
    <row r="182" spans="1:15" ht="13.5" hidden="1" customHeight="1">
      <c r="A182" s="501"/>
      <c r="C182" s="2150">
        <v>10501013</v>
      </c>
      <c r="D182" s="2151" t="s">
        <v>455</v>
      </c>
      <c r="E182" s="2152"/>
      <c r="F182" s="2153"/>
      <c r="G182" s="2117">
        <f t="shared" si="129"/>
        <v>0</v>
      </c>
      <c r="H182" s="2154" t="str">
        <f t="shared" si="145"/>
        <v/>
      </c>
      <c r="I182" s="2154" t="str">
        <f t="shared" si="145"/>
        <v/>
      </c>
      <c r="J182" s="2154" t="str">
        <f t="shared" ref="J182:O182" si="158">IF(J$22="010倉庫建物",ROUND(J35+J35/(J$5-J$6)*J$6+J35/(J$5-J$6)*J$15,-3),"")</f>
        <v/>
      </c>
      <c r="K182" s="2154" t="str">
        <f t="shared" si="158"/>
        <v/>
      </c>
      <c r="L182" s="2154" t="str">
        <f t="shared" si="158"/>
        <v/>
      </c>
      <c r="M182" s="2154" t="str">
        <f t="shared" si="158"/>
        <v/>
      </c>
      <c r="N182" s="2154" t="str">
        <f t="shared" si="158"/>
        <v/>
      </c>
      <c r="O182" s="2154" t="str">
        <f t="shared" si="158"/>
        <v/>
      </c>
    </row>
    <row r="183" spans="1:15" ht="13.5" hidden="1" customHeight="1">
      <c r="A183" s="501"/>
      <c r="C183" s="2150">
        <v>10501014</v>
      </c>
      <c r="D183" s="2151" t="s">
        <v>456</v>
      </c>
      <c r="E183" s="2152"/>
      <c r="F183" s="2153"/>
      <c r="G183" s="2117">
        <f t="shared" si="129"/>
        <v>0</v>
      </c>
      <c r="H183" s="2154" t="str">
        <f t="shared" si="145"/>
        <v/>
      </c>
      <c r="I183" s="2154" t="str">
        <f t="shared" si="145"/>
        <v/>
      </c>
      <c r="J183" s="2154" t="str">
        <f t="shared" ref="J183:O183" si="159">IF(J$22="010倉庫建物",ROUND(J36+J36/(J$5-J$6)*J$6+J36/(J$5-J$6)*J$15,-3),"")</f>
        <v/>
      </c>
      <c r="K183" s="2154" t="str">
        <f t="shared" si="159"/>
        <v/>
      </c>
      <c r="L183" s="2154" t="str">
        <f t="shared" si="159"/>
        <v/>
      </c>
      <c r="M183" s="2154" t="str">
        <f t="shared" si="159"/>
        <v/>
      </c>
      <c r="N183" s="2154" t="str">
        <f t="shared" si="159"/>
        <v/>
      </c>
      <c r="O183" s="2154" t="str">
        <f t="shared" si="159"/>
        <v/>
      </c>
    </row>
    <row r="184" spans="1:15" ht="13.5" hidden="1" customHeight="1">
      <c r="A184" s="501"/>
      <c r="C184" s="2150">
        <v>10501015</v>
      </c>
      <c r="D184" s="2151" t="s">
        <v>457</v>
      </c>
      <c r="E184" s="2152"/>
      <c r="F184" s="2153"/>
      <c r="G184" s="2117">
        <f t="shared" si="129"/>
        <v>0</v>
      </c>
      <c r="H184" s="2154" t="str">
        <f t="shared" si="145"/>
        <v/>
      </c>
      <c r="I184" s="2154" t="str">
        <f t="shared" si="145"/>
        <v/>
      </c>
      <c r="J184" s="2154" t="str">
        <f t="shared" ref="J184:O184" si="160">IF(J$22="010倉庫建物",ROUND(J37+J37/(J$5-J$6)*J$6+J37/(J$5-J$6)*J$15,-3),"")</f>
        <v/>
      </c>
      <c r="K184" s="2154" t="str">
        <f t="shared" si="160"/>
        <v/>
      </c>
      <c r="L184" s="2154" t="str">
        <f t="shared" si="160"/>
        <v/>
      </c>
      <c r="M184" s="2154" t="str">
        <f t="shared" si="160"/>
        <v/>
      </c>
      <c r="N184" s="2154" t="str">
        <f t="shared" si="160"/>
        <v/>
      </c>
      <c r="O184" s="2154" t="str">
        <f t="shared" si="160"/>
        <v/>
      </c>
    </row>
    <row r="185" spans="1:15" ht="13.5" hidden="1" customHeight="1">
      <c r="A185" s="501"/>
      <c r="C185" s="2150">
        <v>10501016</v>
      </c>
      <c r="D185" s="2151" t="s">
        <v>458</v>
      </c>
      <c r="E185" s="2152"/>
      <c r="F185" s="2153"/>
      <c r="G185" s="2117">
        <f t="shared" si="129"/>
        <v>0</v>
      </c>
      <c r="H185" s="2154" t="str">
        <f t="shared" si="145"/>
        <v/>
      </c>
      <c r="I185" s="2154" t="str">
        <f t="shared" si="145"/>
        <v/>
      </c>
      <c r="J185" s="2154" t="str">
        <f t="shared" ref="J185:O185" si="161">IF(J$22="010倉庫建物",ROUND(J38+J38/(J$5-J$6)*J$6+J38/(J$5-J$6)*J$15,-3),"")</f>
        <v/>
      </c>
      <c r="K185" s="2154" t="str">
        <f t="shared" si="161"/>
        <v/>
      </c>
      <c r="L185" s="2154" t="str">
        <f t="shared" si="161"/>
        <v/>
      </c>
      <c r="M185" s="2154" t="str">
        <f t="shared" si="161"/>
        <v/>
      </c>
      <c r="N185" s="2154" t="str">
        <f t="shared" si="161"/>
        <v/>
      </c>
      <c r="O185" s="2154" t="str">
        <f t="shared" si="161"/>
        <v/>
      </c>
    </row>
    <row r="186" spans="1:15" ht="13.5" hidden="1" customHeight="1">
      <c r="A186" s="501"/>
      <c r="C186" s="2150">
        <v>10501017</v>
      </c>
      <c r="D186" s="2151" t="s">
        <v>459</v>
      </c>
      <c r="E186" s="2152"/>
      <c r="F186" s="2153"/>
      <c r="G186" s="2117">
        <f t="shared" si="129"/>
        <v>0</v>
      </c>
      <c r="H186" s="2154" t="str">
        <f t="shared" ref="H186:I195" si="162">IF(H$22="010倉庫建物",ROUND(H39+H39/(H$5-H$6)*H$6+H39/(H$5-H$6)*H$15,-3),"")</f>
        <v/>
      </c>
      <c r="I186" s="2154" t="str">
        <f t="shared" si="162"/>
        <v/>
      </c>
      <c r="J186" s="2154" t="str">
        <f t="shared" ref="J186:O186" si="163">IF(J$22="010倉庫建物",ROUND(J39+J39/(J$5-J$6)*J$6+J39/(J$5-J$6)*J$15,-3),"")</f>
        <v/>
      </c>
      <c r="K186" s="2154" t="str">
        <f t="shared" si="163"/>
        <v/>
      </c>
      <c r="L186" s="2154" t="str">
        <f t="shared" si="163"/>
        <v/>
      </c>
      <c r="M186" s="2154" t="str">
        <f t="shared" si="163"/>
        <v/>
      </c>
      <c r="N186" s="2154" t="str">
        <f t="shared" si="163"/>
        <v/>
      </c>
      <c r="O186" s="2154" t="str">
        <f t="shared" si="163"/>
        <v/>
      </c>
    </row>
    <row r="187" spans="1:15" ht="13.5" hidden="1" customHeight="1">
      <c r="A187" s="501"/>
      <c r="C187" s="2150">
        <v>10501018</v>
      </c>
      <c r="D187" s="2151" t="s">
        <v>460</v>
      </c>
      <c r="E187" s="2152"/>
      <c r="F187" s="2153"/>
      <c r="G187" s="2117">
        <f t="shared" si="129"/>
        <v>0</v>
      </c>
      <c r="H187" s="2154" t="str">
        <f t="shared" si="162"/>
        <v/>
      </c>
      <c r="I187" s="2154" t="str">
        <f t="shared" si="162"/>
        <v/>
      </c>
      <c r="J187" s="2154" t="str">
        <f t="shared" ref="J187:O187" si="164">IF(J$22="010倉庫建物",ROUND(J40+J40/(J$5-J$6)*J$6+J40/(J$5-J$6)*J$15,-3),"")</f>
        <v/>
      </c>
      <c r="K187" s="2154" t="str">
        <f t="shared" si="164"/>
        <v/>
      </c>
      <c r="L187" s="2154" t="str">
        <f t="shared" si="164"/>
        <v/>
      </c>
      <c r="M187" s="2154" t="str">
        <f t="shared" si="164"/>
        <v/>
      </c>
      <c r="N187" s="2154" t="str">
        <f t="shared" si="164"/>
        <v/>
      </c>
      <c r="O187" s="2154" t="str">
        <f t="shared" si="164"/>
        <v/>
      </c>
    </row>
    <row r="188" spans="1:15" ht="13.5" hidden="1" customHeight="1">
      <c r="A188" s="501"/>
      <c r="C188" s="2150">
        <v>10501019</v>
      </c>
      <c r="D188" s="2151" t="s">
        <v>461</v>
      </c>
      <c r="E188" s="2152"/>
      <c r="F188" s="2153"/>
      <c r="G188" s="2117">
        <f t="shared" si="129"/>
        <v>0</v>
      </c>
      <c r="H188" s="2154" t="str">
        <f t="shared" si="162"/>
        <v/>
      </c>
      <c r="I188" s="2154" t="str">
        <f t="shared" si="162"/>
        <v/>
      </c>
      <c r="J188" s="2154" t="str">
        <f t="shared" ref="J188:O188" si="165">IF(J$22="010倉庫建物",ROUND(J41+J41/(J$5-J$6)*J$6+J41/(J$5-J$6)*J$15,-3),"")</f>
        <v/>
      </c>
      <c r="K188" s="2154" t="str">
        <f t="shared" si="165"/>
        <v/>
      </c>
      <c r="L188" s="2154" t="str">
        <f t="shared" si="165"/>
        <v/>
      </c>
      <c r="M188" s="2154" t="str">
        <f t="shared" si="165"/>
        <v/>
      </c>
      <c r="N188" s="2154" t="str">
        <f t="shared" si="165"/>
        <v/>
      </c>
      <c r="O188" s="2154" t="str">
        <f t="shared" si="165"/>
        <v/>
      </c>
    </row>
    <row r="189" spans="1:15" ht="13.5" hidden="1" customHeight="1">
      <c r="A189" s="501"/>
      <c r="C189" s="2150">
        <v>10501020</v>
      </c>
      <c r="D189" s="2151" t="s">
        <v>462</v>
      </c>
      <c r="E189" s="2152"/>
      <c r="F189" s="2153"/>
      <c r="G189" s="2117">
        <f t="shared" si="129"/>
        <v>0</v>
      </c>
      <c r="H189" s="2154" t="str">
        <f t="shared" si="162"/>
        <v/>
      </c>
      <c r="I189" s="2154" t="str">
        <f t="shared" si="162"/>
        <v/>
      </c>
      <c r="J189" s="2154" t="str">
        <f t="shared" ref="J189:O189" si="166">IF(J$22="010倉庫建物",ROUND(J42+J42/(J$5-J$6)*J$6+J42/(J$5-J$6)*J$15,-3),"")</f>
        <v/>
      </c>
      <c r="K189" s="2154" t="str">
        <f t="shared" si="166"/>
        <v/>
      </c>
      <c r="L189" s="2154" t="str">
        <f t="shared" si="166"/>
        <v/>
      </c>
      <c r="M189" s="2154" t="str">
        <f t="shared" si="166"/>
        <v/>
      </c>
      <c r="N189" s="2154" t="str">
        <f t="shared" si="166"/>
        <v/>
      </c>
      <c r="O189" s="2154" t="str">
        <f t="shared" si="166"/>
        <v/>
      </c>
    </row>
    <row r="190" spans="1:15" ht="13.5" hidden="1" customHeight="1">
      <c r="A190" s="501"/>
      <c r="C190" s="2150">
        <v>10501021</v>
      </c>
      <c r="D190" s="2151" t="s">
        <v>463</v>
      </c>
      <c r="E190" s="2152"/>
      <c r="F190" s="2153"/>
      <c r="G190" s="2117">
        <f t="shared" si="129"/>
        <v>0</v>
      </c>
      <c r="H190" s="2154" t="str">
        <f t="shared" si="162"/>
        <v/>
      </c>
      <c r="I190" s="2154" t="str">
        <f t="shared" si="162"/>
        <v/>
      </c>
      <c r="J190" s="2154" t="str">
        <f t="shared" ref="J190:O190" si="167">IF(J$22="010倉庫建物",ROUND(J43+J43/(J$5-J$6)*J$6+J43/(J$5-J$6)*J$15,-3),"")</f>
        <v/>
      </c>
      <c r="K190" s="2154" t="str">
        <f t="shared" si="167"/>
        <v/>
      </c>
      <c r="L190" s="2154" t="str">
        <f t="shared" si="167"/>
        <v/>
      </c>
      <c r="M190" s="2154" t="str">
        <f t="shared" si="167"/>
        <v/>
      </c>
      <c r="N190" s="2154" t="str">
        <f t="shared" si="167"/>
        <v/>
      </c>
      <c r="O190" s="2154" t="str">
        <f t="shared" si="167"/>
        <v/>
      </c>
    </row>
    <row r="191" spans="1:15" ht="13.5" hidden="1" customHeight="1">
      <c r="A191" s="501"/>
      <c r="C191" s="2150">
        <v>10501022</v>
      </c>
      <c r="D191" s="2151" t="s">
        <v>464</v>
      </c>
      <c r="E191" s="2152"/>
      <c r="F191" s="2153"/>
      <c r="G191" s="2117">
        <f t="shared" si="129"/>
        <v>0</v>
      </c>
      <c r="H191" s="2154" t="str">
        <f t="shared" si="162"/>
        <v/>
      </c>
      <c r="I191" s="2154" t="str">
        <f t="shared" si="162"/>
        <v/>
      </c>
      <c r="J191" s="2154" t="str">
        <f t="shared" ref="J191:O191" si="168">IF(J$22="010倉庫建物",ROUND(J44+J44/(J$5-J$6)*J$6+J44/(J$5-J$6)*J$15,-3),"")</f>
        <v/>
      </c>
      <c r="K191" s="2154" t="str">
        <f t="shared" si="168"/>
        <v/>
      </c>
      <c r="L191" s="2154" t="str">
        <f t="shared" si="168"/>
        <v/>
      </c>
      <c r="M191" s="2154" t="str">
        <f t="shared" si="168"/>
        <v/>
      </c>
      <c r="N191" s="2154" t="str">
        <f t="shared" si="168"/>
        <v/>
      </c>
      <c r="O191" s="2154" t="str">
        <f t="shared" si="168"/>
        <v/>
      </c>
    </row>
    <row r="192" spans="1:15" ht="13.5" hidden="1" customHeight="1">
      <c r="A192" s="501"/>
      <c r="C192" s="2150">
        <v>10501023</v>
      </c>
      <c r="D192" s="2151" t="s">
        <v>465</v>
      </c>
      <c r="E192" s="2152"/>
      <c r="F192" s="2153"/>
      <c r="G192" s="2117">
        <f t="shared" si="129"/>
        <v>0</v>
      </c>
      <c r="H192" s="2154" t="str">
        <f t="shared" si="162"/>
        <v/>
      </c>
      <c r="I192" s="2154" t="str">
        <f t="shared" si="162"/>
        <v/>
      </c>
      <c r="J192" s="2154" t="str">
        <f t="shared" ref="J192:O192" si="169">IF(J$22="010倉庫建物",ROUND(J45+J45/(J$5-J$6)*J$6+J45/(J$5-J$6)*J$15,-3),"")</f>
        <v/>
      </c>
      <c r="K192" s="2154" t="str">
        <f t="shared" si="169"/>
        <v/>
      </c>
      <c r="L192" s="2154" t="str">
        <f t="shared" si="169"/>
        <v/>
      </c>
      <c r="M192" s="2154" t="str">
        <f t="shared" si="169"/>
        <v/>
      </c>
      <c r="N192" s="2154" t="str">
        <f t="shared" si="169"/>
        <v/>
      </c>
      <c r="O192" s="2154" t="str">
        <f t="shared" si="169"/>
        <v/>
      </c>
    </row>
    <row r="193" spans="1:15" ht="13.5" hidden="1" customHeight="1">
      <c r="A193" s="501"/>
      <c r="C193" s="2150">
        <v>10501024</v>
      </c>
      <c r="D193" s="2151" t="s">
        <v>466</v>
      </c>
      <c r="E193" s="2152"/>
      <c r="F193" s="2153"/>
      <c r="G193" s="2117">
        <f t="shared" si="129"/>
        <v>0</v>
      </c>
      <c r="H193" s="2154" t="str">
        <f t="shared" si="162"/>
        <v/>
      </c>
      <c r="I193" s="2154" t="str">
        <f t="shared" si="162"/>
        <v/>
      </c>
      <c r="J193" s="2154" t="str">
        <f t="shared" ref="J193:O193" si="170">IF(J$22="010倉庫建物",ROUND(J46+J46/(J$5-J$6)*J$6+J46/(J$5-J$6)*J$15,-3),"")</f>
        <v/>
      </c>
      <c r="K193" s="2154" t="str">
        <f t="shared" si="170"/>
        <v/>
      </c>
      <c r="L193" s="2154" t="str">
        <f t="shared" si="170"/>
        <v/>
      </c>
      <c r="M193" s="2154" t="str">
        <f t="shared" si="170"/>
        <v/>
      </c>
      <c r="N193" s="2154" t="str">
        <f t="shared" si="170"/>
        <v/>
      </c>
      <c r="O193" s="2154" t="str">
        <f t="shared" si="170"/>
        <v/>
      </c>
    </row>
    <row r="194" spans="1:15" ht="13.5" hidden="1" customHeight="1">
      <c r="A194" s="501"/>
      <c r="C194" s="2150">
        <v>10501025</v>
      </c>
      <c r="D194" s="2151" t="s">
        <v>467</v>
      </c>
      <c r="E194" s="2152"/>
      <c r="F194" s="2153"/>
      <c r="G194" s="2117">
        <f t="shared" si="129"/>
        <v>0</v>
      </c>
      <c r="H194" s="2154" t="str">
        <f t="shared" si="162"/>
        <v/>
      </c>
      <c r="I194" s="2154" t="str">
        <f t="shared" si="162"/>
        <v/>
      </c>
      <c r="J194" s="2154" t="str">
        <f t="shared" ref="J194:O194" si="171">IF(J$22="010倉庫建物",ROUND(J47+J47/(J$5-J$6)*J$6+J47/(J$5-J$6)*J$15,-3),"")</f>
        <v/>
      </c>
      <c r="K194" s="2154" t="str">
        <f t="shared" si="171"/>
        <v/>
      </c>
      <c r="L194" s="2154" t="str">
        <f t="shared" si="171"/>
        <v/>
      </c>
      <c r="M194" s="2154" t="str">
        <f t="shared" si="171"/>
        <v/>
      </c>
      <c r="N194" s="2154" t="str">
        <f t="shared" si="171"/>
        <v/>
      </c>
      <c r="O194" s="2154" t="str">
        <f t="shared" si="171"/>
        <v/>
      </c>
    </row>
    <row r="195" spans="1:15" ht="13.5" hidden="1" customHeight="1">
      <c r="A195" s="501"/>
      <c r="B195" s="503"/>
      <c r="C195" s="2155"/>
      <c r="D195" s="2156"/>
      <c r="E195" s="2157"/>
      <c r="F195" s="2125"/>
      <c r="G195" s="2158">
        <f t="shared" si="129"/>
        <v>0</v>
      </c>
      <c r="H195" s="2159" t="str">
        <f t="shared" si="162"/>
        <v/>
      </c>
      <c r="I195" s="2159" t="str">
        <f t="shared" si="162"/>
        <v/>
      </c>
      <c r="J195" s="2159" t="str">
        <f t="shared" ref="J195:O195" si="172">IF(J$22="010倉庫建物",ROUND(J48+J48/(J$5-J$6)*J$6+J48/(J$5-J$6)*J$15,-3),"")</f>
        <v/>
      </c>
      <c r="K195" s="2159" t="str">
        <f t="shared" si="172"/>
        <v/>
      </c>
      <c r="L195" s="2159" t="str">
        <f t="shared" si="172"/>
        <v/>
      </c>
      <c r="M195" s="2159" t="str">
        <f t="shared" si="172"/>
        <v/>
      </c>
      <c r="N195" s="2159" t="str">
        <f t="shared" si="172"/>
        <v/>
      </c>
      <c r="O195" s="2159" t="str">
        <f t="shared" si="172"/>
        <v/>
      </c>
    </row>
    <row r="196" spans="1:15" ht="13.5" hidden="1" customHeight="1">
      <c r="A196" s="501"/>
      <c r="C196" s="2150">
        <v>10501101</v>
      </c>
      <c r="D196" s="2151" t="s">
        <v>468</v>
      </c>
      <c r="E196" s="2152"/>
      <c r="F196" s="2153"/>
      <c r="G196" s="2117">
        <f t="shared" si="129"/>
        <v>0</v>
      </c>
      <c r="H196" s="587" t="str">
        <f t="shared" ref="H196:I211" si="173">IF(H$22="011詰所建物",ROUND(H23+H23/(H$5-H$6)*H$6+H23/(H$5-H$6)*H$15,-3),"")</f>
        <v/>
      </c>
      <c r="I196" s="587" t="str">
        <f t="shared" si="173"/>
        <v/>
      </c>
      <c r="J196" s="587" t="str">
        <f t="shared" ref="J196:O196" si="174">IF(J$22="011詰所建物",ROUND(J23+J23/(J$5-J$6)*J$6+J23/(J$5-J$6)*J$15,-3),"")</f>
        <v/>
      </c>
      <c r="K196" s="587" t="str">
        <f t="shared" si="174"/>
        <v/>
      </c>
      <c r="L196" s="587" t="str">
        <f t="shared" si="174"/>
        <v/>
      </c>
      <c r="M196" s="587" t="str">
        <f t="shared" si="174"/>
        <v/>
      </c>
      <c r="N196" s="587" t="str">
        <f t="shared" si="174"/>
        <v/>
      </c>
      <c r="O196" s="587" t="str">
        <f t="shared" si="174"/>
        <v/>
      </c>
    </row>
    <row r="197" spans="1:15" ht="13.5" hidden="1" customHeight="1">
      <c r="A197" s="501"/>
      <c r="C197" s="2150">
        <v>10501102</v>
      </c>
      <c r="D197" s="2151" t="s">
        <v>469</v>
      </c>
      <c r="E197" s="2152"/>
      <c r="F197" s="2153"/>
      <c r="G197" s="2117">
        <f t="shared" si="129"/>
        <v>0</v>
      </c>
      <c r="H197" s="2154" t="str">
        <f t="shared" si="173"/>
        <v/>
      </c>
      <c r="I197" s="2154" t="str">
        <f t="shared" si="173"/>
        <v/>
      </c>
      <c r="J197" s="2154" t="str">
        <f t="shared" ref="J197:O197" si="175">IF(J$22="011詰所建物",ROUND(J24+J24/(J$5-J$6)*J$6+J24/(J$5-J$6)*J$15,-3),"")</f>
        <v/>
      </c>
      <c r="K197" s="2154" t="str">
        <f t="shared" si="175"/>
        <v/>
      </c>
      <c r="L197" s="2154" t="str">
        <f t="shared" si="175"/>
        <v/>
      </c>
      <c r="M197" s="2154" t="str">
        <f t="shared" si="175"/>
        <v/>
      </c>
      <c r="N197" s="2154" t="str">
        <f t="shared" si="175"/>
        <v/>
      </c>
      <c r="O197" s="2154" t="str">
        <f t="shared" si="175"/>
        <v/>
      </c>
    </row>
    <row r="198" spans="1:15" ht="13.5" hidden="1" customHeight="1">
      <c r="A198" s="501"/>
      <c r="C198" s="2150">
        <v>10501103</v>
      </c>
      <c r="D198" s="2151" t="s">
        <v>470</v>
      </c>
      <c r="E198" s="2152"/>
      <c r="F198" s="2153"/>
      <c r="G198" s="2117">
        <f t="shared" si="129"/>
        <v>0</v>
      </c>
      <c r="H198" s="2154" t="str">
        <f t="shared" si="173"/>
        <v/>
      </c>
      <c r="I198" s="2154" t="str">
        <f t="shared" si="173"/>
        <v/>
      </c>
      <c r="J198" s="2154" t="str">
        <f t="shared" ref="J198:O198" si="176">IF(J$22="011詰所建物",ROUND(J25+J25/(J$5-J$6)*J$6+J25/(J$5-J$6)*J$15,-3),"")</f>
        <v/>
      </c>
      <c r="K198" s="2154" t="str">
        <f t="shared" si="176"/>
        <v/>
      </c>
      <c r="L198" s="2154" t="str">
        <f t="shared" si="176"/>
        <v/>
      </c>
      <c r="M198" s="2154" t="str">
        <f t="shared" si="176"/>
        <v/>
      </c>
      <c r="N198" s="2154" t="str">
        <f t="shared" si="176"/>
        <v/>
      </c>
      <c r="O198" s="2154" t="str">
        <f t="shared" si="176"/>
        <v/>
      </c>
    </row>
    <row r="199" spans="1:15" ht="13.5" hidden="1" customHeight="1">
      <c r="A199" s="501"/>
      <c r="C199" s="2150">
        <v>10501104</v>
      </c>
      <c r="D199" s="2151" t="s">
        <v>471</v>
      </c>
      <c r="E199" s="2152"/>
      <c r="F199" s="2153"/>
      <c r="G199" s="2117">
        <f t="shared" si="129"/>
        <v>0</v>
      </c>
      <c r="H199" s="2154" t="str">
        <f t="shared" si="173"/>
        <v/>
      </c>
      <c r="I199" s="2154" t="str">
        <f t="shared" si="173"/>
        <v/>
      </c>
      <c r="J199" s="2154" t="str">
        <f t="shared" ref="J199:O199" si="177">IF(J$22="011詰所建物",ROUND(J26+J26/(J$5-J$6)*J$6+J26/(J$5-J$6)*J$15,-3),"")</f>
        <v/>
      </c>
      <c r="K199" s="2154" t="str">
        <f t="shared" si="177"/>
        <v/>
      </c>
      <c r="L199" s="2154" t="str">
        <f t="shared" si="177"/>
        <v/>
      </c>
      <c r="M199" s="2154" t="str">
        <f t="shared" si="177"/>
        <v/>
      </c>
      <c r="N199" s="2154" t="str">
        <f t="shared" si="177"/>
        <v/>
      </c>
      <c r="O199" s="2154" t="str">
        <f t="shared" si="177"/>
        <v/>
      </c>
    </row>
    <row r="200" spans="1:15" ht="13.5" hidden="1" customHeight="1">
      <c r="A200" s="501"/>
      <c r="C200" s="2150">
        <v>10501105</v>
      </c>
      <c r="D200" s="2151" t="s">
        <v>472</v>
      </c>
      <c r="E200" s="2152"/>
      <c r="F200" s="2153"/>
      <c r="G200" s="2117">
        <f t="shared" si="129"/>
        <v>0</v>
      </c>
      <c r="H200" s="2154" t="str">
        <f t="shared" si="173"/>
        <v/>
      </c>
      <c r="I200" s="2154" t="str">
        <f t="shared" si="173"/>
        <v/>
      </c>
      <c r="J200" s="2154" t="str">
        <f t="shared" ref="J200:O200" si="178">IF(J$22="011詰所建物",ROUND(J27+J27/(J$5-J$6)*J$6+J27/(J$5-J$6)*J$15,-3),"")</f>
        <v/>
      </c>
      <c r="K200" s="2154" t="str">
        <f t="shared" si="178"/>
        <v/>
      </c>
      <c r="L200" s="2154" t="str">
        <f t="shared" si="178"/>
        <v/>
      </c>
      <c r="M200" s="2154" t="str">
        <f t="shared" si="178"/>
        <v/>
      </c>
      <c r="N200" s="2154" t="str">
        <f t="shared" si="178"/>
        <v/>
      </c>
      <c r="O200" s="2154" t="str">
        <f t="shared" si="178"/>
        <v/>
      </c>
    </row>
    <row r="201" spans="1:15" ht="13.5" hidden="1" customHeight="1">
      <c r="A201" s="501"/>
      <c r="C201" s="2150">
        <v>10501106</v>
      </c>
      <c r="D201" s="2151" t="s">
        <v>473</v>
      </c>
      <c r="E201" s="2152"/>
      <c r="F201" s="2153"/>
      <c r="G201" s="2117">
        <f t="shared" si="129"/>
        <v>0</v>
      </c>
      <c r="H201" s="2154" t="str">
        <f t="shared" si="173"/>
        <v/>
      </c>
      <c r="I201" s="2154" t="str">
        <f t="shared" si="173"/>
        <v/>
      </c>
      <c r="J201" s="2154" t="str">
        <f t="shared" ref="J201:O201" si="179">IF(J$22="011詰所建物",ROUND(J28+J28/(J$5-J$6)*J$6+J28/(J$5-J$6)*J$15,-3),"")</f>
        <v/>
      </c>
      <c r="K201" s="2154" t="str">
        <f t="shared" si="179"/>
        <v/>
      </c>
      <c r="L201" s="2154" t="str">
        <f t="shared" si="179"/>
        <v/>
      </c>
      <c r="M201" s="2154" t="str">
        <f t="shared" si="179"/>
        <v/>
      </c>
      <c r="N201" s="2154" t="str">
        <f t="shared" si="179"/>
        <v/>
      </c>
      <c r="O201" s="2154" t="str">
        <f t="shared" si="179"/>
        <v/>
      </c>
    </row>
    <row r="202" spans="1:15" ht="13.5" hidden="1" customHeight="1">
      <c r="A202" s="501"/>
      <c r="C202" s="2150">
        <v>10501107</v>
      </c>
      <c r="D202" s="2151" t="s">
        <v>474</v>
      </c>
      <c r="E202" s="2152"/>
      <c r="F202" s="2153"/>
      <c r="G202" s="2117">
        <f t="shared" si="129"/>
        <v>0</v>
      </c>
      <c r="H202" s="2154" t="str">
        <f t="shared" si="173"/>
        <v/>
      </c>
      <c r="I202" s="2154" t="str">
        <f t="shared" si="173"/>
        <v/>
      </c>
      <c r="J202" s="2154" t="str">
        <f t="shared" ref="J202:O202" si="180">IF(J$22="011詰所建物",ROUND(J29+J29/(J$5-J$6)*J$6+J29/(J$5-J$6)*J$15,-3),"")</f>
        <v/>
      </c>
      <c r="K202" s="2154" t="str">
        <f t="shared" si="180"/>
        <v/>
      </c>
      <c r="L202" s="2154" t="str">
        <f t="shared" si="180"/>
        <v/>
      </c>
      <c r="M202" s="2154" t="str">
        <f t="shared" si="180"/>
        <v/>
      </c>
      <c r="N202" s="2154" t="str">
        <f t="shared" si="180"/>
        <v/>
      </c>
      <c r="O202" s="2154" t="str">
        <f t="shared" si="180"/>
        <v/>
      </c>
    </row>
    <row r="203" spans="1:15" ht="13.5" hidden="1" customHeight="1">
      <c r="A203" s="501"/>
      <c r="C203" s="2150">
        <v>10501108</v>
      </c>
      <c r="D203" s="2151" t="s">
        <v>475</v>
      </c>
      <c r="E203" s="2152"/>
      <c r="F203" s="2153"/>
      <c r="G203" s="2117">
        <f t="shared" si="129"/>
        <v>0</v>
      </c>
      <c r="H203" s="2154" t="str">
        <f t="shared" si="173"/>
        <v/>
      </c>
      <c r="I203" s="2154" t="str">
        <f t="shared" si="173"/>
        <v/>
      </c>
      <c r="J203" s="2154" t="str">
        <f t="shared" ref="J203:O203" si="181">IF(J$22="011詰所建物",ROUND(J30+J30/(J$5-J$6)*J$6+J30/(J$5-J$6)*J$15,-3),"")</f>
        <v/>
      </c>
      <c r="K203" s="2154" t="str">
        <f t="shared" si="181"/>
        <v/>
      </c>
      <c r="L203" s="2154" t="str">
        <f t="shared" si="181"/>
        <v/>
      </c>
      <c r="M203" s="2154" t="str">
        <f t="shared" si="181"/>
        <v/>
      </c>
      <c r="N203" s="2154" t="str">
        <f t="shared" si="181"/>
        <v/>
      </c>
      <c r="O203" s="2154" t="str">
        <f t="shared" si="181"/>
        <v/>
      </c>
    </row>
    <row r="204" spans="1:15" ht="13.5" hidden="1" customHeight="1">
      <c r="A204" s="501"/>
      <c r="C204" s="2150">
        <v>10501109</v>
      </c>
      <c r="D204" s="2151" t="s">
        <v>476</v>
      </c>
      <c r="E204" s="2152"/>
      <c r="F204" s="2153"/>
      <c r="G204" s="2117">
        <f t="shared" si="129"/>
        <v>0</v>
      </c>
      <c r="H204" s="2154" t="str">
        <f t="shared" si="173"/>
        <v/>
      </c>
      <c r="I204" s="2154" t="str">
        <f t="shared" si="173"/>
        <v/>
      </c>
      <c r="J204" s="2154" t="str">
        <f t="shared" ref="J204:O204" si="182">IF(J$22="011詰所建物",ROUND(J31+J31/(J$5-J$6)*J$6+J31/(J$5-J$6)*J$15,-3),"")</f>
        <v/>
      </c>
      <c r="K204" s="2154" t="str">
        <f t="shared" si="182"/>
        <v/>
      </c>
      <c r="L204" s="2154" t="str">
        <f t="shared" si="182"/>
        <v/>
      </c>
      <c r="M204" s="2154" t="str">
        <f t="shared" si="182"/>
        <v/>
      </c>
      <c r="N204" s="2154" t="str">
        <f t="shared" si="182"/>
        <v/>
      </c>
      <c r="O204" s="2154" t="str">
        <f t="shared" si="182"/>
        <v/>
      </c>
    </row>
    <row r="205" spans="1:15" ht="13.5" hidden="1" customHeight="1">
      <c r="A205" s="501"/>
      <c r="C205" s="2150">
        <v>10501110</v>
      </c>
      <c r="D205" s="2151" t="s">
        <v>477</v>
      </c>
      <c r="E205" s="2152"/>
      <c r="F205" s="2153"/>
      <c r="G205" s="2117">
        <f t="shared" si="129"/>
        <v>0</v>
      </c>
      <c r="H205" s="2154" t="str">
        <f t="shared" si="173"/>
        <v/>
      </c>
      <c r="I205" s="2154" t="str">
        <f t="shared" si="173"/>
        <v/>
      </c>
      <c r="J205" s="2154" t="str">
        <f t="shared" ref="J205:O205" si="183">IF(J$22="011詰所建物",ROUND(J32+J32/(J$5-J$6)*J$6+J32/(J$5-J$6)*J$15,-3),"")</f>
        <v/>
      </c>
      <c r="K205" s="2154" t="str">
        <f t="shared" si="183"/>
        <v/>
      </c>
      <c r="L205" s="2154" t="str">
        <f t="shared" si="183"/>
        <v/>
      </c>
      <c r="M205" s="2154" t="str">
        <f t="shared" si="183"/>
        <v/>
      </c>
      <c r="N205" s="2154" t="str">
        <f t="shared" si="183"/>
        <v/>
      </c>
      <c r="O205" s="2154" t="str">
        <f t="shared" si="183"/>
        <v/>
      </c>
    </row>
    <row r="206" spans="1:15" ht="13.5" hidden="1" customHeight="1">
      <c r="A206" s="501"/>
      <c r="C206" s="2150">
        <v>10501111</v>
      </c>
      <c r="D206" s="2151" t="s">
        <v>478</v>
      </c>
      <c r="E206" s="2152"/>
      <c r="F206" s="2153"/>
      <c r="G206" s="2117">
        <f t="shared" si="129"/>
        <v>0</v>
      </c>
      <c r="H206" s="2154" t="str">
        <f t="shared" si="173"/>
        <v/>
      </c>
      <c r="I206" s="2154" t="str">
        <f t="shared" si="173"/>
        <v/>
      </c>
      <c r="J206" s="2154" t="str">
        <f t="shared" ref="J206:O206" si="184">IF(J$22="011詰所建物",ROUND(J33+J33/(J$5-J$6)*J$6+J33/(J$5-J$6)*J$15,-3),"")</f>
        <v/>
      </c>
      <c r="K206" s="2154" t="str">
        <f t="shared" si="184"/>
        <v/>
      </c>
      <c r="L206" s="2154" t="str">
        <f t="shared" si="184"/>
        <v/>
      </c>
      <c r="M206" s="2154" t="str">
        <f t="shared" si="184"/>
        <v/>
      </c>
      <c r="N206" s="2154" t="str">
        <f t="shared" si="184"/>
        <v/>
      </c>
      <c r="O206" s="2154" t="str">
        <f t="shared" si="184"/>
        <v/>
      </c>
    </row>
    <row r="207" spans="1:15" ht="13.5" hidden="1" customHeight="1">
      <c r="A207" s="501"/>
      <c r="C207" s="2150">
        <v>10501112</v>
      </c>
      <c r="D207" s="2151" t="s">
        <v>479</v>
      </c>
      <c r="E207" s="2152"/>
      <c r="F207" s="2153"/>
      <c r="G207" s="2117">
        <f t="shared" si="129"/>
        <v>0</v>
      </c>
      <c r="H207" s="2154" t="str">
        <f t="shared" si="173"/>
        <v/>
      </c>
      <c r="I207" s="2154" t="str">
        <f t="shared" si="173"/>
        <v/>
      </c>
      <c r="J207" s="2154" t="str">
        <f t="shared" ref="J207:O207" si="185">IF(J$22="011詰所建物",ROUND(J34+J34/(J$5-J$6)*J$6+J34/(J$5-J$6)*J$15,-3),"")</f>
        <v/>
      </c>
      <c r="K207" s="2154" t="str">
        <f t="shared" si="185"/>
        <v/>
      </c>
      <c r="L207" s="2154" t="str">
        <f t="shared" si="185"/>
        <v/>
      </c>
      <c r="M207" s="2154" t="str">
        <f t="shared" si="185"/>
        <v/>
      </c>
      <c r="N207" s="2154" t="str">
        <f t="shared" si="185"/>
        <v/>
      </c>
      <c r="O207" s="2154" t="str">
        <f t="shared" si="185"/>
        <v/>
      </c>
    </row>
    <row r="208" spans="1:15" ht="13.5" hidden="1" customHeight="1">
      <c r="A208" s="501"/>
      <c r="C208" s="2150">
        <v>10501113</v>
      </c>
      <c r="D208" s="2151" t="s">
        <v>480</v>
      </c>
      <c r="E208" s="2152"/>
      <c r="F208" s="2153"/>
      <c r="G208" s="2117">
        <f t="shared" si="129"/>
        <v>0</v>
      </c>
      <c r="H208" s="2154" t="str">
        <f t="shared" si="173"/>
        <v/>
      </c>
      <c r="I208" s="2154" t="str">
        <f t="shared" si="173"/>
        <v/>
      </c>
      <c r="J208" s="2154" t="str">
        <f t="shared" ref="J208:O208" si="186">IF(J$22="011詰所建物",ROUND(J35+J35/(J$5-J$6)*J$6+J35/(J$5-J$6)*J$15,-3),"")</f>
        <v/>
      </c>
      <c r="K208" s="2154" t="str">
        <f t="shared" si="186"/>
        <v/>
      </c>
      <c r="L208" s="2154" t="str">
        <f t="shared" si="186"/>
        <v/>
      </c>
      <c r="M208" s="2154" t="str">
        <f t="shared" si="186"/>
        <v/>
      </c>
      <c r="N208" s="2154" t="str">
        <f t="shared" si="186"/>
        <v/>
      </c>
      <c r="O208" s="2154" t="str">
        <f t="shared" si="186"/>
        <v/>
      </c>
    </row>
    <row r="209" spans="1:15" ht="13.5" hidden="1" customHeight="1">
      <c r="A209" s="501"/>
      <c r="C209" s="2150">
        <v>10501114</v>
      </c>
      <c r="D209" s="2151" t="s">
        <v>481</v>
      </c>
      <c r="E209" s="2152"/>
      <c r="F209" s="2153"/>
      <c r="G209" s="2117">
        <f t="shared" si="129"/>
        <v>0</v>
      </c>
      <c r="H209" s="2154" t="str">
        <f t="shared" si="173"/>
        <v/>
      </c>
      <c r="I209" s="2154" t="str">
        <f t="shared" si="173"/>
        <v/>
      </c>
      <c r="J209" s="2154" t="str">
        <f t="shared" ref="J209:O209" si="187">IF(J$22="011詰所建物",ROUND(J36+J36/(J$5-J$6)*J$6+J36/(J$5-J$6)*J$15,-3),"")</f>
        <v/>
      </c>
      <c r="K209" s="2154" t="str">
        <f t="shared" si="187"/>
        <v/>
      </c>
      <c r="L209" s="2154" t="str">
        <f t="shared" si="187"/>
        <v/>
      </c>
      <c r="M209" s="2154" t="str">
        <f t="shared" si="187"/>
        <v/>
      </c>
      <c r="N209" s="2154" t="str">
        <f t="shared" si="187"/>
        <v/>
      </c>
      <c r="O209" s="2154" t="str">
        <f t="shared" si="187"/>
        <v/>
      </c>
    </row>
    <row r="210" spans="1:15" ht="13.5" hidden="1" customHeight="1">
      <c r="A210" s="501"/>
      <c r="C210" s="2150">
        <v>10501115</v>
      </c>
      <c r="D210" s="2151" t="s">
        <v>482</v>
      </c>
      <c r="E210" s="2152"/>
      <c r="F210" s="2153"/>
      <c r="G210" s="2117">
        <f t="shared" si="129"/>
        <v>0</v>
      </c>
      <c r="H210" s="2154" t="str">
        <f t="shared" si="173"/>
        <v/>
      </c>
      <c r="I210" s="2154" t="str">
        <f t="shared" si="173"/>
        <v/>
      </c>
      <c r="J210" s="2154" t="str">
        <f t="shared" ref="J210:O210" si="188">IF(J$22="011詰所建物",ROUND(J37+J37/(J$5-J$6)*J$6+J37/(J$5-J$6)*J$15,-3),"")</f>
        <v/>
      </c>
      <c r="K210" s="2154" t="str">
        <f t="shared" si="188"/>
        <v/>
      </c>
      <c r="L210" s="2154" t="str">
        <f t="shared" si="188"/>
        <v/>
      </c>
      <c r="M210" s="2154" t="str">
        <f t="shared" si="188"/>
        <v/>
      </c>
      <c r="N210" s="2154" t="str">
        <f t="shared" si="188"/>
        <v/>
      </c>
      <c r="O210" s="2154" t="str">
        <f t="shared" si="188"/>
        <v/>
      </c>
    </row>
    <row r="211" spans="1:15" ht="13.5" hidden="1" customHeight="1">
      <c r="A211" s="501"/>
      <c r="C211" s="2150">
        <v>10501116</v>
      </c>
      <c r="D211" s="2151" t="s">
        <v>483</v>
      </c>
      <c r="E211" s="2152"/>
      <c r="F211" s="2153"/>
      <c r="G211" s="2117">
        <f t="shared" si="129"/>
        <v>0</v>
      </c>
      <c r="H211" s="2154" t="str">
        <f t="shared" si="173"/>
        <v/>
      </c>
      <c r="I211" s="2154" t="str">
        <f t="shared" si="173"/>
        <v/>
      </c>
      <c r="J211" s="2154" t="str">
        <f t="shared" ref="J211:O211" si="189">IF(J$22="011詰所建物",ROUND(J38+J38/(J$5-J$6)*J$6+J38/(J$5-J$6)*J$15,-3),"")</f>
        <v/>
      </c>
      <c r="K211" s="2154" t="str">
        <f t="shared" si="189"/>
        <v/>
      </c>
      <c r="L211" s="2154" t="str">
        <f t="shared" si="189"/>
        <v/>
      </c>
      <c r="M211" s="2154" t="str">
        <f t="shared" si="189"/>
        <v/>
      </c>
      <c r="N211" s="2154" t="str">
        <f t="shared" si="189"/>
        <v/>
      </c>
      <c r="O211" s="2154" t="str">
        <f t="shared" si="189"/>
        <v/>
      </c>
    </row>
    <row r="212" spans="1:15" ht="13.5" hidden="1" customHeight="1">
      <c r="A212" s="501"/>
      <c r="C212" s="2150">
        <v>10501117</v>
      </c>
      <c r="D212" s="2151" t="s">
        <v>484</v>
      </c>
      <c r="E212" s="2152"/>
      <c r="F212" s="2153"/>
      <c r="G212" s="2117">
        <f t="shared" si="129"/>
        <v>0</v>
      </c>
      <c r="H212" s="2154" t="str">
        <f t="shared" ref="H212:I221" si="190">IF(H$22="011詰所建物",ROUND(H39+H39/(H$5-H$6)*H$6+H39/(H$5-H$6)*H$15,-3),"")</f>
        <v/>
      </c>
      <c r="I212" s="2154" t="str">
        <f t="shared" si="190"/>
        <v/>
      </c>
      <c r="J212" s="2154" t="str">
        <f t="shared" ref="J212:O212" si="191">IF(J$22="011詰所建物",ROUND(J39+J39/(J$5-J$6)*J$6+J39/(J$5-J$6)*J$15,-3),"")</f>
        <v/>
      </c>
      <c r="K212" s="2154" t="str">
        <f t="shared" si="191"/>
        <v/>
      </c>
      <c r="L212" s="2154" t="str">
        <f t="shared" si="191"/>
        <v/>
      </c>
      <c r="M212" s="2154" t="str">
        <f t="shared" si="191"/>
        <v/>
      </c>
      <c r="N212" s="2154" t="str">
        <f t="shared" si="191"/>
        <v/>
      </c>
      <c r="O212" s="2154" t="str">
        <f t="shared" si="191"/>
        <v/>
      </c>
    </row>
    <row r="213" spans="1:15" ht="13.5" hidden="1" customHeight="1">
      <c r="A213" s="501"/>
      <c r="C213" s="2150">
        <v>10501118</v>
      </c>
      <c r="D213" s="2151" t="s">
        <v>485</v>
      </c>
      <c r="E213" s="2152"/>
      <c r="F213" s="2153"/>
      <c r="G213" s="2117">
        <f t="shared" si="129"/>
        <v>0</v>
      </c>
      <c r="H213" s="2154" t="str">
        <f t="shared" si="190"/>
        <v/>
      </c>
      <c r="I213" s="2154" t="str">
        <f t="shared" si="190"/>
        <v/>
      </c>
      <c r="J213" s="2154" t="str">
        <f t="shared" ref="J213:O213" si="192">IF(J$22="011詰所建物",ROUND(J40+J40/(J$5-J$6)*J$6+J40/(J$5-J$6)*J$15,-3),"")</f>
        <v/>
      </c>
      <c r="K213" s="2154" t="str">
        <f t="shared" si="192"/>
        <v/>
      </c>
      <c r="L213" s="2154" t="str">
        <f t="shared" si="192"/>
        <v/>
      </c>
      <c r="M213" s="2154" t="str">
        <f t="shared" si="192"/>
        <v/>
      </c>
      <c r="N213" s="2154" t="str">
        <f t="shared" si="192"/>
        <v/>
      </c>
      <c r="O213" s="2154" t="str">
        <f t="shared" si="192"/>
        <v/>
      </c>
    </row>
    <row r="214" spans="1:15" ht="13.5" hidden="1" customHeight="1">
      <c r="A214" s="501"/>
      <c r="C214" s="2150">
        <v>10501119</v>
      </c>
      <c r="D214" s="2151" t="s">
        <v>486</v>
      </c>
      <c r="E214" s="2152"/>
      <c r="F214" s="2153"/>
      <c r="G214" s="2117">
        <f t="shared" si="129"/>
        <v>0</v>
      </c>
      <c r="H214" s="2154" t="str">
        <f t="shared" si="190"/>
        <v/>
      </c>
      <c r="I214" s="2154" t="str">
        <f t="shared" si="190"/>
        <v/>
      </c>
      <c r="J214" s="2154" t="str">
        <f t="shared" ref="J214:O214" si="193">IF(J$22="011詰所建物",ROUND(J41+J41/(J$5-J$6)*J$6+J41/(J$5-J$6)*J$15,-3),"")</f>
        <v/>
      </c>
      <c r="K214" s="2154" t="str">
        <f t="shared" si="193"/>
        <v/>
      </c>
      <c r="L214" s="2154" t="str">
        <f t="shared" si="193"/>
        <v/>
      </c>
      <c r="M214" s="2154" t="str">
        <f t="shared" si="193"/>
        <v/>
      </c>
      <c r="N214" s="2154" t="str">
        <f t="shared" si="193"/>
        <v/>
      </c>
      <c r="O214" s="2154" t="str">
        <f t="shared" si="193"/>
        <v/>
      </c>
    </row>
    <row r="215" spans="1:15" ht="13.5" hidden="1" customHeight="1">
      <c r="A215" s="501"/>
      <c r="C215" s="2150">
        <v>10501120</v>
      </c>
      <c r="D215" s="2151" t="s">
        <v>487</v>
      </c>
      <c r="E215" s="2152"/>
      <c r="F215" s="2153"/>
      <c r="G215" s="2117">
        <f t="shared" si="129"/>
        <v>0</v>
      </c>
      <c r="H215" s="2154" t="str">
        <f t="shared" si="190"/>
        <v/>
      </c>
      <c r="I215" s="2154" t="str">
        <f t="shared" si="190"/>
        <v/>
      </c>
      <c r="J215" s="2154" t="str">
        <f t="shared" ref="J215:O215" si="194">IF(J$22="011詰所建物",ROUND(J42+J42/(J$5-J$6)*J$6+J42/(J$5-J$6)*J$15,-3),"")</f>
        <v/>
      </c>
      <c r="K215" s="2154" t="str">
        <f t="shared" si="194"/>
        <v/>
      </c>
      <c r="L215" s="2154" t="str">
        <f t="shared" si="194"/>
        <v/>
      </c>
      <c r="M215" s="2154" t="str">
        <f t="shared" si="194"/>
        <v/>
      </c>
      <c r="N215" s="2154" t="str">
        <f t="shared" si="194"/>
        <v/>
      </c>
      <c r="O215" s="2154" t="str">
        <f t="shared" si="194"/>
        <v/>
      </c>
    </row>
    <row r="216" spans="1:15" ht="13.5" hidden="1" customHeight="1">
      <c r="A216" s="501"/>
      <c r="C216" s="2150">
        <v>10501121</v>
      </c>
      <c r="D216" s="2151" t="s">
        <v>488</v>
      </c>
      <c r="E216" s="2152"/>
      <c r="F216" s="2153"/>
      <c r="G216" s="2117">
        <f t="shared" si="129"/>
        <v>0</v>
      </c>
      <c r="H216" s="2154" t="str">
        <f t="shared" si="190"/>
        <v/>
      </c>
      <c r="I216" s="2154" t="str">
        <f t="shared" si="190"/>
        <v/>
      </c>
      <c r="J216" s="2154" t="str">
        <f t="shared" ref="J216:O216" si="195">IF(J$22="011詰所建物",ROUND(J43+J43/(J$5-J$6)*J$6+J43/(J$5-J$6)*J$15,-3),"")</f>
        <v/>
      </c>
      <c r="K216" s="2154" t="str">
        <f t="shared" si="195"/>
        <v/>
      </c>
      <c r="L216" s="2154" t="str">
        <f t="shared" si="195"/>
        <v/>
      </c>
      <c r="M216" s="2154" t="str">
        <f t="shared" si="195"/>
        <v/>
      </c>
      <c r="N216" s="2154" t="str">
        <f t="shared" si="195"/>
        <v/>
      </c>
      <c r="O216" s="2154" t="str">
        <f t="shared" si="195"/>
        <v/>
      </c>
    </row>
    <row r="217" spans="1:15" ht="13.5" hidden="1" customHeight="1">
      <c r="A217" s="501"/>
      <c r="C217" s="2150">
        <v>10501122</v>
      </c>
      <c r="D217" s="2151" t="s">
        <v>489</v>
      </c>
      <c r="E217" s="2152"/>
      <c r="F217" s="2153"/>
      <c r="G217" s="2117">
        <f t="shared" si="129"/>
        <v>0</v>
      </c>
      <c r="H217" s="2154" t="str">
        <f t="shared" si="190"/>
        <v/>
      </c>
      <c r="I217" s="2154" t="str">
        <f t="shared" si="190"/>
        <v/>
      </c>
      <c r="J217" s="2154" t="str">
        <f t="shared" ref="J217:O217" si="196">IF(J$22="011詰所建物",ROUND(J44+J44/(J$5-J$6)*J$6+J44/(J$5-J$6)*J$15,-3),"")</f>
        <v/>
      </c>
      <c r="K217" s="2154" t="str">
        <f t="shared" si="196"/>
        <v/>
      </c>
      <c r="L217" s="2154" t="str">
        <f t="shared" si="196"/>
        <v/>
      </c>
      <c r="M217" s="2154" t="str">
        <f t="shared" si="196"/>
        <v/>
      </c>
      <c r="N217" s="2154" t="str">
        <f t="shared" si="196"/>
        <v/>
      </c>
      <c r="O217" s="2154" t="str">
        <f t="shared" si="196"/>
        <v/>
      </c>
    </row>
    <row r="218" spans="1:15" ht="13.5" hidden="1" customHeight="1">
      <c r="A218" s="501"/>
      <c r="C218" s="2150">
        <v>10501123</v>
      </c>
      <c r="D218" s="2151" t="s">
        <v>490</v>
      </c>
      <c r="E218" s="2152"/>
      <c r="F218" s="2153"/>
      <c r="G218" s="2117">
        <f t="shared" si="129"/>
        <v>0</v>
      </c>
      <c r="H218" s="2154" t="str">
        <f t="shared" si="190"/>
        <v/>
      </c>
      <c r="I218" s="2154" t="str">
        <f t="shared" si="190"/>
        <v/>
      </c>
      <c r="J218" s="2154" t="str">
        <f t="shared" ref="J218:O218" si="197">IF(J$22="011詰所建物",ROUND(J45+J45/(J$5-J$6)*J$6+J45/(J$5-J$6)*J$15,-3),"")</f>
        <v/>
      </c>
      <c r="K218" s="2154" t="str">
        <f t="shared" si="197"/>
        <v/>
      </c>
      <c r="L218" s="2154" t="str">
        <f t="shared" si="197"/>
        <v/>
      </c>
      <c r="M218" s="2154" t="str">
        <f t="shared" si="197"/>
        <v/>
      </c>
      <c r="N218" s="2154" t="str">
        <f t="shared" si="197"/>
        <v/>
      </c>
      <c r="O218" s="2154" t="str">
        <f t="shared" si="197"/>
        <v/>
      </c>
    </row>
    <row r="219" spans="1:15" ht="13.5" hidden="1" customHeight="1">
      <c r="A219" s="501"/>
      <c r="C219" s="2150">
        <v>10501124</v>
      </c>
      <c r="D219" s="2151" t="s">
        <v>491</v>
      </c>
      <c r="E219" s="2152"/>
      <c r="F219" s="2153"/>
      <c r="G219" s="2117">
        <f t="shared" si="129"/>
        <v>0</v>
      </c>
      <c r="H219" s="2154" t="str">
        <f t="shared" si="190"/>
        <v/>
      </c>
      <c r="I219" s="2154" t="str">
        <f t="shared" si="190"/>
        <v/>
      </c>
      <c r="J219" s="2154" t="str">
        <f t="shared" ref="J219:O219" si="198">IF(J$22="011詰所建物",ROUND(J46+J46/(J$5-J$6)*J$6+J46/(J$5-J$6)*J$15,-3),"")</f>
        <v/>
      </c>
      <c r="K219" s="2154" t="str">
        <f t="shared" si="198"/>
        <v/>
      </c>
      <c r="L219" s="2154" t="str">
        <f t="shared" si="198"/>
        <v/>
      </c>
      <c r="M219" s="2154" t="str">
        <f t="shared" si="198"/>
        <v/>
      </c>
      <c r="N219" s="2154" t="str">
        <f t="shared" si="198"/>
        <v/>
      </c>
      <c r="O219" s="2154" t="str">
        <f t="shared" si="198"/>
        <v/>
      </c>
    </row>
    <row r="220" spans="1:15" ht="13.5" hidden="1" customHeight="1">
      <c r="A220" s="501"/>
      <c r="C220" s="2150">
        <v>10501125</v>
      </c>
      <c r="D220" s="2151" t="s">
        <v>492</v>
      </c>
      <c r="E220" s="2152"/>
      <c r="F220" s="2153"/>
      <c r="G220" s="2117">
        <f t="shared" ref="G220:G283" si="199">SUM(H220:P220)</f>
        <v>0</v>
      </c>
      <c r="H220" s="2154" t="str">
        <f t="shared" si="190"/>
        <v/>
      </c>
      <c r="I220" s="2154" t="str">
        <f t="shared" si="190"/>
        <v/>
      </c>
      <c r="J220" s="2154" t="str">
        <f t="shared" ref="J220:O220" si="200">IF(J$22="011詰所建物",ROUND(J47+J47/(J$5-J$6)*J$6+J47/(J$5-J$6)*J$15,-3),"")</f>
        <v/>
      </c>
      <c r="K220" s="2154" t="str">
        <f t="shared" si="200"/>
        <v/>
      </c>
      <c r="L220" s="2154" t="str">
        <f t="shared" si="200"/>
        <v/>
      </c>
      <c r="M220" s="2154" t="str">
        <f t="shared" si="200"/>
        <v/>
      </c>
      <c r="N220" s="2154" t="str">
        <f t="shared" si="200"/>
        <v/>
      </c>
      <c r="O220" s="2154" t="str">
        <f t="shared" si="200"/>
        <v/>
      </c>
    </row>
    <row r="221" spans="1:15" ht="13.5" hidden="1" customHeight="1">
      <c r="A221" s="501"/>
      <c r="B221" s="503"/>
      <c r="C221" s="2155"/>
      <c r="D221" s="2156"/>
      <c r="E221" s="2157"/>
      <c r="F221" s="2125"/>
      <c r="G221" s="2158">
        <f t="shared" si="199"/>
        <v>0</v>
      </c>
      <c r="H221" s="2159" t="str">
        <f t="shared" si="190"/>
        <v/>
      </c>
      <c r="I221" s="2159" t="str">
        <f t="shared" si="190"/>
        <v/>
      </c>
      <c r="J221" s="2159" t="str">
        <f t="shared" ref="J221:O221" si="201">IF(J$22="011詰所建物",ROUND(J48+J48/(J$5-J$6)*J$6+J48/(J$5-J$6)*J$15,-3),"")</f>
        <v/>
      </c>
      <c r="K221" s="2159" t="str">
        <f t="shared" si="201"/>
        <v/>
      </c>
      <c r="L221" s="2159" t="str">
        <f t="shared" si="201"/>
        <v/>
      </c>
      <c r="M221" s="2159" t="str">
        <f t="shared" si="201"/>
        <v/>
      </c>
      <c r="N221" s="2159" t="str">
        <f t="shared" si="201"/>
        <v/>
      </c>
      <c r="O221" s="2159" t="str">
        <f t="shared" si="201"/>
        <v/>
      </c>
    </row>
    <row r="222" spans="1:15" ht="13.5" hidden="1" customHeight="1">
      <c r="A222" s="501"/>
      <c r="C222" s="2150">
        <v>10501201</v>
      </c>
      <c r="D222" s="2151" t="s">
        <v>493</v>
      </c>
      <c r="E222" s="2152"/>
      <c r="F222" s="2153"/>
      <c r="G222" s="2117">
        <f t="shared" si="199"/>
        <v>0</v>
      </c>
      <c r="H222" s="587" t="str">
        <f t="shared" ref="H222:I237" si="202">IF(H$22="012事務所建物",ROUND(H23+H23/(H$5-H$6)*H$6+H23/(H$5-H$6)*H$15,-3),"")</f>
        <v/>
      </c>
      <c r="I222" s="587" t="str">
        <f t="shared" si="202"/>
        <v/>
      </c>
      <c r="J222" s="587" t="str">
        <f t="shared" ref="J222:O222" si="203">IF(J$22="012事務所建物",ROUND(J23+J23/(J$5-J$6)*J$6+J23/(J$5-J$6)*J$15,-3),"")</f>
        <v/>
      </c>
      <c r="K222" s="587" t="str">
        <f t="shared" si="203"/>
        <v/>
      </c>
      <c r="L222" s="587" t="str">
        <f t="shared" si="203"/>
        <v/>
      </c>
      <c r="M222" s="587" t="str">
        <f t="shared" si="203"/>
        <v/>
      </c>
      <c r="N222" s="587" t="str">
        <f t="shared" si="203"/>
        <v/>
      </c>
      <c r="O222" s="587" t="str">
        <f t="shared" si="203"/>
        <v/>
      </c>
    </row>
    <row r="223" spans="1:15" ht="13.5" hidden="1" customHeight="1">
      <c r="A223" s="501"/>
      <c r="C223" s="2150">
        <v>10501202</v>
      </c>
      <c r="D223" s="2151" t="s">
        <v>494</v>
      </c>
      <c r="E223" s="2152"/>
      <c r="F223" s="2153"/>
      <c r="G223" s="2117">
        <f t="shared" si="199"/>
        <v>0</v>
      </c>
      <c r="H223" s="2154" t="str">
        <f t="shared" si="202"/>
        <v/>
      </c>
      <c r="I223" s="2154" t="str">
        <f t="shared" si="202"/>
        <v/>
      </c>
      <c r="J223" s="2154" t="str">
        <f t="shared" ref="J223:O223" si="204">IF(J$22="012事務所建物",ROUND(J24+J24/(J$5-J$6)*J$6+J24/(J$5-J$6)*J$15,-3),"")</f>
        <v/>
      </c>
      <c r="K223" s="2154" t="str">
        <f t="shared" si="204"/>
        <v/>
      </c>
      <c r="L223" s="2154" t="str">
        <f t="shared" si="204"/>
        <v/>
      </c>
      <c r="M223" s="2154" t="str">
        <f t="shared" si="204"/>
        <v/>
      </c>
      <c r="N223" s="2154" t="str">
        <f t="shared" si="204"/>
        <v/>
      </c>
      <c r="O223" s="2154" t="str">
        <f t="shared" si="204"/>
        <v/>
      </c>
    </row>
    <row r="224" spans="1:15" ht="13.5" hidden="1" customHeight="1">
      <c r="A224" s="501"/>
      <c r="C224" s="2150">
        <v>10501203</v>
      </c>
      <c r="D224" s="2151" t="s">
        <v>495</v>
      </c>
      <c r="E224" s="2152"/>
      <c r="F224" s="2153"/>
      <c r="G224" s="2117">
        <f t="shared" si="199"/>
        <v>0</v>
      </c>
      <c r="H224" s="2154" t="str">
        <f t="shared" si="202"/>
        <v/>
      </c>
      <c r="I224" s="2154" t="str">
        <f t="shared" si="202"/>
        <v/>
      </c>
      <c r="J224" s="2154" t="str">
        <f t="shared" ref="J224:O224" si="205">IF(J$22="012事務所建物",ROUND(J25+J25/(J$5-J$6)*J$6+J25/(J$5-J$6)*J$15,-3),"")</f>
        <v/>
      </c>
      <c r="K224" s="2154" t="str">
        <f t="shared" si="205"/>
        <v/>
      </c>
      <c r="L224" s="2154" t="str">
        <f t="shared" si="205"/>
        <v/>
      </c>
      <c r="M224" s="2154" t="str">
        <f t="shared" si="205"/>
        <v/>
      </c>
      <c r="N224" s="2154" t="str">
        <f t="shared" si="205"/>
        <v/>
      </c>
      <c r="O224" s="2154" t="str">
        <f t="shared" si="205"/>
        <v/>
      </c>
    </row>
    <row r="225" spans="1:15" ht="13.5" hidden="1" customHeight="1">
      <c r="A225" s="501"/>
      <c r="C225" s="2150">
        <v>10501204</v>
      </c>
      <c r="D225" s="2151" t="s">
        <v>496</v>
      </c>
      <c r="E225" s="2152"/>
      <c r="F225" s="2153"/>
      <c r="G225" s="2117">
        <f t="shared" si="199"/>
        <v>0</v>
      </c>
      <c r="H225" s="2154" t="str">
        <f t="shared" si="202"/>
        <v/>
      </c>
      <c r="I225" s="2154" t="str">
        <f t="shared" si="202"/>
        <v/>
      </c>
      <c r="J225" s="2154" t="str">
        <f t="shared" ref="J225:O225" si="206">IF(J$22="012事務所建物",ROUND(J26+J26/(J$5-J$6)*J$6+J26/(J$5-J$6)*J$15,-3),"")</f>
        <v/>
      </c>
      <c r="K225" s="2154" t="str">
        <f t="shared" si="206"/>
        <v/>
      </c>
      <c r="L225" s="2154" t="str">
        <f t="shared" si="206"/>
        <v/>
      </c>
      <c r="M225" s="2154" t="str">
        <f t="shared" si="206"/>
        <v/>
      </c>
      <c r="N225" s="2154" t="str">
        <f t="shared" si="206"/>
        <v/>
      </c>
      <c r="O225" s="2154" t="str">
        <f t="shared" si="206"/>
        <v/>
      </c>
    </row>
    <row r="226" spans="1:15" ht="13.5" hidden="1" customHeight="1">
      <c r="A226" s="501"/>
      <c r="C226" s="2150">
        <v>10501205</v>
      </c>
      <c r="D226" s="2151" t="s">
        <v>497</v>
      </c>
      <c r="E226" s="2152"/>
      <c r="F226" s="2153"/>
      <c r="G226" s="2117">
        <f t="shared" si="199"/>
        <v>0</v>
      </c>
      <c r="H226" s="2154" t="str">
        <f t="shared" si="202"/>
        <v/>
      </c>
      <c r="I226" s="2154" t="str">
        <f t="shared" si="202"/>
        <v/>
      </c>
      <c r="J226" s="2154" t="str">
        <f t="shared" ref="J226:O226" si="207">IF(J$22="012事務所建物",ROUND(J27+J27/(J$5-J$6)*J$6+J27/(J$5-J$6)*J$15,-3),"")</f>
        <v/>
      </c>
      <c r="K226" s="2154" t="str">
        <f t="shared" si="207"/>
        <v/>
      </c>
      <c r="L226" s="2154" t="str">
        <f t="shared" si="207"/>
        <v/>
      </c>
      <c r="M226" s="2154" t="str">
        <f t="shared" si="207"/>
        <v/>
      </c>
      <c r="N226" s="2154" t="str">
        <f t="shared" si="207"/>
        <v/>
      </c>
      <c r="O226" s="2154" t="str">
        <f t="shared" si="207"/>
        <v/>
      </c>
    </row>
    <row r="227" spans="1:15" ht="13.5" hidden="1" customHeight="1">
      <c r="A227" s="501"/>
      <c r="C227" s="2150">
        <v>10501206</v>
      </c>
      <c r="D227" s="2151" t="s">
        <v>498</v>
      </c>
      <c r="E227" s="2152"/>
      <c r="F227" s="2153"/>
      <c r="G227" s="2117">
        <f t="shared" si="199"/>
        <v>0</v>
      </c>
      <c r="H227" s="2154" t="str">
        <f t="shared" si="202"/>
        <v/>
      </c>
      <c r="I227" s="2154" t="str">
        <f t="shared" si="202"/>
        <v/>
      </c>
      <c r="J227" s="2154" t="str">
        <f t="shared" ref="J227:O227" si="208">IF(J$22="012事務所建物",ROUND(J28+J28/(J$5-J$6)*J$6+J28/(J$5-J$6)*J$15,-3),"")</f>
        <v/>
      </c>
      <c r="K227" s="2154" t="str">
        <f t="shared" si="208"/>
        <v/>
      </c>
      <c r="L227" s="2154" t="str">
        <f t="shared" si="208"/>
        <v/>
      </c>
      <c r="M227" s="2154" t="str">
        <f t="shared" si="208"/>
        <v/>
      </c>
      <c r="N227" s="2154" t="str">
        <f t="shared" si="208"/>
        <v/>
      </c>
      <c r="O227" s="2154" t="str">
        <f t="shared" si="208"/>
        <v/>
      </c>
    </row>
    <row r="228" spans="1:15" ht="13.5" hidden="1" customHeight="1">
      <c r="A228" s="501"/>
      <c r="C228" s="2150">
        <v>10501207</v>
      </c>
      <c r="D228" s="2151" t="s">
        <v>499</v>
      </c>
      <c r="E228" s="2152"/>
      <c r="F228" s="2153"/>
      <c r="G228" s="2117">
        <f t="shared" si="199"/>
        <v>0</v>
      </c>
      <c r="H228" s="2154" t="str">
        <f t="shared" si="202"/>
        <v/>
      </c>
      <c r="I228" s="2154" t="str">
        <f t="shared" si="202"/>
        <v/>
      </c>
      <c r="J228" s="2154" t="str">
        <f t="shared" ref="J228:O228" si="209">IF(J$22="012事務所建物",ROUND(J29+J29/(J$5-J$6)*J$6+J29/(J$5-J$6)*J$15,-3),"")</f>
        <v/>
      </c>
      <c r="K228" s="2154" t="str">
        <f t="shared" si="209"/>
        <v/>
      </c>
      <c r="L228" s="2154" t="str">
        <f t="shared" si="209"/>
        <v/>
      </c>
      <c r="M228" s="2154" t="str">
        <f t="shared" si="209"/>
        <v/>
      </c>
      <c r="N228" s="2154" t="str">
        <f t="shared" si="209"/>
        <v/>
      </c>
      <c r="O228" s="2154" t="str">
        <f t="shared" si="209"/>
        <v/>
      </c>
    </row>
    <row r="229" spans="1:15" ht="13.5" hidden="1" customHeight="1">
      <c r="A229" s="501"/>
      <c r="C229" s="2150">
        <v>10501208</v>
      </c>
      <c r="D229" s="2151" t="s">
        <v>500</v>
      </c>
      <c r="E229" s="2152"/>
      <c r="F229" s="2153"/>
      <c r="G229" s="2117">
        <f t="shared" si="199"/>
        <v>0</v>
      </c>
      <c r="H229" s="2154" t="str">
        <f t="shared" si="202"/>
        <v/>
      </c>
      <c r="I229" s="2154" t="str">
        <f t="shared" si="202"/>
        <v/>
      </c>
      <c r="J229" s="2154" t="str">
        <f t="shared" ref="J229:O229" si="210">IF(J$22="012事務所建物",ROUND(J30+J30/(J$5-J$6)*J$6+J30/(J$5-J$6)*J$15,-3),"")</f>
        <v/>
      </c>
      <c r="K229" s="2154" t="str">
        <f t="shared" si="210"/>
        <v/>
      </c>
      <c r="L229" s="2154" t="str">
        <f t="shared" si="210"/>
        <v/>
      </c>
      <c r="M229" s="2154" t="str">
        <f t="shared" si="210"/>
        <v/>
      </c>
      <c r="N229" s="2154" t="str">
        <f t="shared" si="210"/>
        <v/>
      </c>
      <c r="O229" s="2154" t="str">
        <f t="shared" si="210"/>
        <v/>
      </c>
    </row>
    <row r="230" spans="1:15" ht="13.5" hidden="1" customHeight="1">
      <c r="A230" s="501"/>
      <c r="C230" s="2150">
        <v>10501209</v>
      </c>
      <c r="D230" s="2151" t="s">
        <v>501</v>
      </c>
      <c r="E230" s="2152"/>
      <c r="F230" s="2153"/>
      <c r="G230" s="2117">
        <f t="shared" si="199"/>
        <v>0</v>
      </c>
      <c r="H230" s="2154" t="str">
        <f t="shared" si="202"/>
        <v/>
      </c>
      <c r="I230" s="2154" t="str">
        <f t="shared" si="202"/>
        <v/>
      </c>
      <c r="J230" s="2154" t="str">
        <f t="shared" ref="J230:O230" si="211">IF(J$22="012事務所建物",ROUND(J31+J31/(J$5-J$6)*J$6+J31/(J$5-J$6)*J$15,-3),"")</f>
        <v/>
      </c>
      <c r="K230" s="2154" t="str">
        <f t="shared" si="211"/>
        <v/>
      </c>
      <c r="L230" s="2154" t="str">
        <f t="shared" si="211"/>
        <v/>
      </c>
      <c r="M230" s="2154" t="str">
        <f t="shared" si="211"/>
        <v/>
      </c>
      <c r="N230" s="2154" t="str">
        <f t="shared" si="211"/>
        <v/>
      </c>
      <c r="O230" s="2154" t="str">
        <f t="shared" si="211"/>
        <v/>
      </c>
    </row>
    <row r="231" spans="1:15" ht="13.5" hidden="1" customHeight="1">
      <c r="A231" s="501"/>
      <c r="C231" s="2150">
        <v>10501210</v>
      </c>
      <c r="D231" s="2151" t="s">
        <v>502</v>
      </c>
      <c r="E231" s="2152"/>
      <c r="F231" s="2153"/>
      <c r="G231" s="2117">
        <f t="shared" si="199"/>
        <v>0</v>
      </c>
      <c r="H231" s="2154" t="str">
        <f t="shared" si="202"/>
        <v/>
      </c>
      <c r="I231" s="2154" t="str">
        <f t="shared" si="202"/>
        <v/>
      </c>
      <c r="J231" s="2154" t="str">
        <f t="shared" ref="J231:O231" si="212">IF(J$22="012事務所建物",ROUND(J32+J32/(J$5-J$6)*J$6+J32/(J$5-J$6)*J$15,-3),"")</f>
        <v/>
      </c>
      <c r="K231" s="2154" t="str">
        <f t="shared" si="212"/>
        <v/>
      </c>
      <c r="L231" s="2154" t="str">
        <f t="shared" si="212"/>
        <v/>
      </c>
      <c r="M231" s="2154" t="str">
        <f t="shared" si="212"/>
        <v/>
      </c>
      <c r="N231" s="2154" t="str">
        <f t="shared" si="212"/>
        <v/>
      </c>
      <c r="O231" s="2154" t="str">
        <f t="shared" si="212"/>
        <v/>
      </c>
    </row>
    <row r="232" spans="1:15" ht="13.5" hidden="1" customHeight="1">
      <c r="A232" s="501"/>
      <c r="C232" s="2150">
        <v>10501211</v>
      </c>
      <c r="D232" s="2151" t="s">
        <v>503</v>
      </c>
      <c r="E232" s="2152"/>
      <c r="F232" s="2153"/>
      <c r="G232" s="2117">
        <f t="shared" si="199"/>
        <v>0</v>
      </c>
      <c r="H232" s="2154" t="str">
        <f t="shared" si="202"/>
        <v/>
      </c>
      <c r="I232" s="2154" t="str">
        <f t="shared" si="202"/>
        <v/>
      </c>
      <c r="J232" s="2154" t="str">
        <f t="shared" ref="J232:O232" si="213">IF(J$22="012事務所建物",ROUND(J33+J33/(J$5-J$6)*J$6+J33/(J$5-J$6)*J$15,-3),"")</f>
        <v/>
      </c>
      <c r="K232" s="2154" t="str">
        <f t="shared" si="213"/>
        <v/>
      </c>
      <c r="L232" s="2154" t="str">
        <f t="shared" si="213"/>
        <v/>
      </c>
      <c r="M232" s="2154" t="str">
        <f t="shared" si="213"/>
        <v/>
      </c>
      <c r="N232" s="2154" t="str">
        <f t="shared" si="213"/>
        <v/>
      </c>
      <c r="O232" s="2154" t="str">
        <f t="shared" si="213"/>
        <v/>
      </c>
    </row>
    <row r="233" spans="1:15" ht="13.5" hidden="1" customHeight="1">
      <c r="A233" s="501"/>
      <c r="C233" s="2150">
        <v>10501212</v>
      </c>
      <c r="D233" s="2151" t="s">
        <v>504</v>
      </c>
      <c r="E233" s="2152"/>
      <c r="F233" s="2153"/>
      <c r="G233" s="2117">
        <f t="shared" si="199"/>
        <v>0</v>
      </c>
      <c r="H233" s="2154" t="str">
        <f t="shared" si="202"/>
        <v/>
      </c>
      <c r="I233" s="2154" t="str">
        <f t="shared" si="202"/>
        <v/>
      </c>
      <c r="J233" s="2154" t="str">
        <f t="shared" ref="J233:O233" si="214">IF(J$22="012事務所建物",ROUND(J34+J34/(J$5-J$6)*J$6+J34/(J$5-J$6)*J$15,-3),"")</f>
        <v/>
      </c>
      <c r="K233" s="2154" t="str">
        <f t="shared" si="214"/>
        <v/>
      </c>
      <c r="L233" s="2154" t="str">
        <f t="shared" si="214"/>
        <v/>
      </c>
      <c r="M233" s="2154" t="str">
        <f t="shared" si="214"/>
        <v/>
      </c>
      <c r="N233" s="2154" t="str">
        <f t="shared" si="214"/>
        <v/>
      </c>
      <c r="O233" s="2154" t="str">
        <f t="shared" si="214"/>
        <v/>
      </c>
    </row>
    <row r="234" spans="1:15" ht="13.5" hidden="1" customHeight="1">
      <c r="A234" s="501"/>
      <c r="C234" s="2150">
        <v>10501213</v>
      </c>
      <c r="D234" s="2151" t="s">
        <v>505</v>
      </c>
      <c r="E234" s="2152"/>
      <c r="F234" s="2153"/>
      <c r="G234" s="2117">
        <f t="shared" si="199"/>
        <v>0</v>
      </c>
      <c r="H234" s="2154" t="str">
        <f t="shared" si="202"/>
        <v/>
      </c>
      <c r="I234" s="2154" t="str">
        <f t="shared" si="202"/>
        <v/>
      </c>
      <c r="J234" s="2154" t="str">
        <f t="shared" ref="J234:O234" si="215">IF(J$22="012事務所建物",ROUND(J35+J35/(J$5-J$6)*J$6+J35/(J$5-J$6)*J$15,-3),"")</f>
        <v/>
      </c>
      <c r="K234" s="2154" t="str">
        <f t="shared" si="215"/>
        <v/>
      </c>
      <c r="L234" s="2154" t="str">
        <f t="shared" si="215"/>
        <v/>
      </c>
      <c r="M234" s="2154" t="str">
        <f t="shared" si="215"/>
        <v/>
      </c>
      <c r="N234" s="2154" t="str">
        <f t="shared" si="215"/>
        <v/>
      </c>
      <c r="O234" s="2154" t="str">
        <f t="shared" si="215"/>
        <v/>
      </c>
    </row>
    <row r="235" spans="1:15" ht="13.5" hidden="1" customHeight="1">
      <c r="A235" s="501"/>
      <c r="C235" s="2150">
        <v>10501214</v>
      </c>
      <c r="D235" s="2151" t="s">
        <v>506</v>
      </c>
      <c r="E235" s="2152"/>
      <c r="F235" s="2153"/>
      <c r="G235" s="2117">
        <f t="shared" si="199"/>
        <v>0</v>
      </c>
      <c r="H235" s="2154" t="str">
        <f t="shared" si="202"/>
        <v/>
      </c>
      <c r="I235" s="2154" t="str">
        <f t="shared" si="202"/>
        <v/>
      </c>
      <c r="J235" s="2154" t="str">
        <f t="shared" ref="J235:O235" si="216">IF(J$22="012事務所建物",ROUND(J36+J36/(J$5-J$6)*J$6+J36/(J$5-J$6)*J$15,-3),"")</f>
        <v/>
      </c>
      <c r="K235" s="2154" t="str">
        <f t="shared" si="216"/>
        <v/>
      </c>
      <c r="L235" s="2154" t="str">
        <f t="shared" si="216"/>
        <v/>
      </c>
      <c r="M235" s="2154" t="str">
        <f t="shared" si="216"/>
        <v/>
      </c>
      <c r="N235" s="2154" t="str">
        <f t="shared" si="216"/>
        <v/>
      </c>
      <c r="O235" s="2154" t="str">
        <f t="shared" si="216"/>
        <v/>
      </c>
    </row>
    <row r="236" spans="1:15" ht="13.5" hidden="1" customHeight="1">
      <c r="A236" s="501"/>
      <c r="C236" s="2150">
        <v>10501215</v>
      </c>
      <c r="D236" s="2151" t="s">
        <v>507</v>
      </c>
      <c r="E236" s="2152"/>
      <c r="F236" s="2153"/>
      <c r="G236" s="2117">
        <f t="shared" si="199"/>
        <v>0</v>
      </c>
      <c r="H236" s="2154" t="str">
        <f t="shared" si="202"/>
        <v/>
      </c>
      <c r="I236" s="2154" t="str">
        <f t="shared" si="202"/>
        <v/>
      </c>
      <c r="J236" s="2154" t="str">
        <f t="shared" ref="J236:O236" si="217">IF(J$22="012事務所建物",ROUND(J37+J37/(J$5-J$6)*J$6+J37/(J$5-J$6)*J$15,-3),"")</f>
        <v/>
      </c>
      <c r="K236" s="2154" t="str">
        <f t="shared" si="217"/>
        <v/>
      </c>
      <c r="L236" s="2154" t="str">
        <f t="shared" si="217"/>
        <v/>
      </c>
      <c r="M236" s="2154" t="str">
        <f t="shared" si="217"/>
        <v/>
      </c>
      <c r="N236" s="2154" t="str">
        <f t="shared" si="217"/>
        <v/>
      </c>
      <c r="O236" s="2154" t="str">
        <f t="shared" si="217"/>
        <v/>
      </c>
    </row>
    <row r="237" spans="1:15" ht="13.5" hidden="1" customHeight="1">
      <c r="A237" s="501"/>
      <c r="C237" s="2150">
        <v>10501216</v>
      </c>
      <c r="D237" s="2151" t="s">
        <v>508</v>
      </c>
      <c r="E237" s="2152"/>
      <c r="F237" s="2153"/>
      <c r="G237" s="2117">
        <f t="shared" si="199"/>
        <v>0</v>
      </c>
      <c r="H237" s="2154" t="str">
        <f t="shared" si="202"/>
        <v/>
      </c>
      <c r="I237" s="2154" t="str">
        <f t="shared" si="202"/>
        <v/>
      </c>
      <c r="J237" s="2154" t="str">
        <f t="shared" ref="J237:O237" si="218">IF(J$22="012事務所建物",ROUND(J38+J38/(J$5-J$6)*J$6+J38/(J$5-J$6)*J$15,-3),"")</f>
        <v/>
      </c>
      <c r="K237" s="2154" t="str">
        <f t="shared" si="218"/>
        <v/>
      </c>
      <c r="L237" s="2154" t="str">
        <f t="shared" si="218"/>
        <v/>
      </c>
      <c r="M237" s="2154" t="str">
        <f t="shared" si="218"/>
        <v/>
      </c>
      <c r="N237" s="2154" t="str">
        <f t="shared" si="218"/>
        <v/>
      </c>
      <c r="O237" s="2154" t="str">
        <f t="shared" si="218"/>
        <v/>
      </c>
    </row>
    <row r="238" spans="1:15" ht="13.5" hidden="1" customHeight="1">
      <c r="A238" s="501"/>
      <c r="C238" s="2150">
        <v>10501217</v>
      </c>
      <c r="D238" s="2151" t="s">
        <v>509</v>
      </c>
      <c r="E238" s="2152"/>
      <c r="F238" s="2153"/>
      <c r="G238" s="2117">
        <f t="shared" si="199"/>
        <v>0</v>
      </c>
      <c r="H238" s="2154" t="str">
        <f t="shared" ref="H238:I247" si="219">IF(H$22="012事務所建物",ROUND(H39+H39/(H$5-H$6)*H$6+H39/(H$5-H$6)*H$15,-3),"")</f>
        <v/>
      </c>
      <c r="I238" s="2154" t="str">
        <f t="shared" si="219"/>
        <v/>
      </c>
      <c r="J238" s="2154" t="str">
        <f t="shared" ref="J238:O238" si="220">IF(J$22="012事務所建物",ROUND(J39+J39/(J$5-J$6)*J$6+J39/(J$5-J$6)*J$15,-3),"")</f>
        <v/>
      </c>
      <c r="K238" s="2154" t="str">
        <f t="shared" si="220"/>
        <v/>
      </c>
      <c r="L238" s="2154" t="str">
        <f t="shared" si="220"/>
        <v/>
      </c>
      <c r="M238" s="2154" t="str">
        <f t="shared" si="220"/>
        <v/>
      </c>
      <c r="N238" s="2154" t="str">
        <f t="shared" si="220"/>
        <v/>
      </c>
      <c r="O238" s="2154" t="str">
        <f t="shared" si="220"/>
        <v/>
      </c>
    </row>
    <row r="239" spans="1:15" ht="13.5" hidden="1" customHeight="1">
      <c r="A239" s="501"/>
      <c r="C239" s="2150">
        <v>10501218</v>
      </c>
      <c r="D239" s="2151" t="s">
        <v>510</v>
      </c>
      <c r="E239" s="2152"/>
      <c r="F239" s="2153"/>
      <c r="G239" s="2117">
        <f t="shared" si="199"/>
        <v>0</v>
      </c>
      <c r="H239" s="2154" t="str">
        <f t="shared" si="219"/>
        <v/>
      </c>
      <c r="I239" s="2154" t="str">
        <f t="shared" si="219"/>
        <v/>
      </c>
      <c r="J239" s="2154" t="str">
        <f t="shared" ref="J239:O239" si="221">IF(J$22="012事務所建物",ROUND(J40+J40/(J$5-J$6)*J$6+J40/(J$5-J$6)*J$15,-3),"")</f>
        <v/>
      </c>
      <c r="K239" s="2154" t="str">
        <f t="shared" si="221"/>
        <v/>
      </c>
      <c r="L239" s="2154" t="str">
        <f t="shared" si="221"/>
        <v/>
      </c>
      <c r="M239" s="2154" t="str">
        <f t="shared" si="221"/>
        <v/>
      </c>
      <c r="N239" s="2154" t="str">
        <f t="shared" si="221"/>
        <v/>
      </c>
      <c r="O239" s="2154" t="str">
        <f t="shared" si="221"/>
        <v/>
      </c>
    </row>
    <row r="240" spans="1:15" ht="13.5" hidden="1" customHeight="1">
      <c r="A240" s="501"/>
      <c r="C240" s="2150">
        <v>10501219</v>
      </c>
      <c r="D240" s="2151" t="s">
        <v>511</v>
      </c>
      <c r="E240" s="2152"/>
      <c r="F240" s="2153"/>
      <c r="G240" s="2117">
        <f t="shared" si="199"/>
        <v>0</v>
      </c>
      <c r="H240" s="2154" t="str">
        <f t="shared" si="219"/>
        <v/>
      </c>
      <c r="I240" s="2154" t="str">
        <f t="shared" si="219"/>
        <v/>
      </c>
      <c r="J240" s="2154" t="str">
        <f t="shared" ref="J240:O240" si="222">IF(J$22="012事務所建物",ROUND(J41+J41/(J$5-J$6)*J$6+J41/(J$5-J$6)*J$15,-3),"")</f>
        <v/>
      </c>
      <c r="K240" s="2154" t="str">
        <f t="shared" si="222"/>
        <v/>
      </c>
      <c r="L240" s="2154" t="str">
        <f t="shared" si="222"/>
        <v/>
      </c>
      <c r="M240" s="2154" t="str">
        <f t="shared" si="222"/>
        <v/>
      </c>
      <c r="N240" s="2154" t="str">
        <f t="shared" si="222"/>
        <v/>
      </c>
      <c r="O240" s="2154" t="str">
        <f t="shared" si="222"/>
        <v/>
      </c>
    </row>
    <row r="241" spans="1:15" ht="13.5" hidden="1" customHeight="1">
      <c r="A241" s="501"/>
      <c r="C241" s="2150">
        <v>10501220</v>
      </c>
      <c r="D241" s="2151" t="s">
        <v>512</v>
      </c>
      <c r="E241" s="2152"/>
      <c r="F241" s="2153"/>
      <c r="G241" s="2117">
        <f t="shared" si="199"/>
        <v>0</v>
      </c>
      <c r="H241" s="2154" t="str">
        <f t="shared" si="219"/>
        <v/>
      </c>
      <c r="I241" s="2154" t="str">
        <f t="shared" si="219"/>
        <v/>
      </c>
      <c r="J241" s="2154" t="str">
        <f t="shared" ref="J241:O241" si="223">IF(J$22="012事務所建物",ROUND(J42+J42/(J$5-J$6)*J$6+J42/(J$5-J$6)*J$15,-3),"")</f>
        <v/>
      </c>
      <c r="K241" s="2154" t="str">
        <f t="shared" si="223"/>
        <v/>
      </c>
      <c r="L241" s="2154" t="str">
        <f t="shared" si="223"/>
        <v/>
      </c>
      <c r="M241" s="2154" t="str">
        <f t="shared" si="223"/>
        <v/>
      </c>
      <c r="N241" s="2154" t="str">
        <f t="shared" si="223"/>
        <v/>
      </c>
      <c r="O241" s="2154" t="str">
        <f t="shared" si="223"/>
        <v/>
      </c>
    </row>
    <row r="242" spans="1:15" ht="13.5" hidden="1" customHeight="1">
      <c r="A242" s="501"/>
      <c r="C242" s="2150">
        <v>10501221</v>
      </c>
      <c r="D242" s="2151" t="s">
        <v>513</v>
      </c>
      <c r="E242" s="2152"/>
      <c r="F242" s="2153"/>
      <c r="G242" s="2117">
        <f t="shared" si="199"/>
        <v>0</v>
      </c>
      <c r="H242" s="2154" t="str">
        <f t="shared" si="219"/>
        <v/>
      </c>
      <c r="I242" s="2154" t="str">
        <f t="shared" si="219"/>
        <v/>
      </c>
      <c r="J242" s="2154" t="str">
        <f t="shared" ref="J242:O242" si="224">IF(J$22="012事務所建物",ROUND(J43+J43/(J$5-J$6)*J$6+J43/(J$5-J$6)*J$15,-3),"")</f>
        <v/>
      </c>
      <c r="K242" s="2154" t="str">
        <f t="shared" si="224"/>
        <v/>
      </c>
      <c r="L242" s="2154" t="str">
        <f t="shared" si="224"/>
        <v/>
      </c>
      <c r="M242" s="2154" t="str">
        <f t="shared" si="224"/>
        <v/>
      </c>
      <c r="N242" s="2154" t="str">
        <f t="shared" si="224"/>
        <v/>
      </c>
      <c r="O242" s="2154" t="str">
        <f t="shared" si="224"/>
        <v/>
      </c>
    </row>
    <row r="243" spans="1:15" ht="13.5" hidden="1" customHeight="1">
      <c r="A243" s="501"/>
      <c r="C243" s="2150">
        <v>10501222</v>
      </c>
      <c r="D243" s="2151" t="s">
        <v>514</v>
      </c>
      <c r="E243" s="2152"/>
      <c r="F243" s="2153"/>
      <c r="G243" s="2117">
        <f t="shared" si="199"/>
        <v>0</v>
      </c>
      <c r="H243" s="2154" t="str">
        <f t="shared" si="219"/>
        <v/>
      </c>
      <c r="I243" s="2154" t="str">
        <f t="shared" si="219"/>
        <v/>
      </c>
      <c r="J243" s="2154" t="str">
        <f t="shared" ref="J243:O243" si="225">IF(J$22="012事務所建物",ROUND(J44+J44/(J$5-J$6)*J$6+J44/(J$5-J$6)*J$15,-3),"")</f>
        <v/>
      </c>
      <c r="K243" s="2154" t="str">
        <f t="shared" si="225"/>
        <v/>
      </c>
      <c r="L243" s="2154" t="str">
        <f t="shared" si="225"/>
        <v/>
      </c>
      <c r="M243" s="2154" t="str">
        <f t="shared" si="225"/>
        <v/>
      </c>
      <c r="N243" s="2154" t="str">
        <f t="shared" si="225"/>
        <v/>
      </c>
      <c r="O243" s="2154" t="str">
        <f t="shared" si="225"/>
        <v/>
      </c>
    </row>
    <row r="244" spans="1:15" ht="13.5" hidden="1" customHeight="1">
      <c r="A244" s="501"/>
      <c r="C244" s="2150">
        <v>10501223</v>
      </c>
      <c r="D244" s="2151" t="s">
        <v>515</v>
      </c>
      <c r="E244" s="2152"/>
      <c r="F244" s="2153"/>
      <c r="G244" s="2117">
        <f t="shared" si="199"/>
        <v>0</v>
      </c>
      <c r="H244" s="2154" t="str">
        <f t="shared" si="219"/>
        <v/>
      </c>
      <c r="I244" s="2154" t="str">
        <f t="shared" si="219"/>
        <v/>
      </c>
      <c r="J244" s="2154" t="str">
        <f t="shared" ref="J244:O244" si="226">IF(J$22="012事務所建物",ROUND(J45+J45/(J$5-J$6)*J$6+J45/(J$5-J$6)*J$15,-3),"")</f>
        <v/>
      </c>
      <c r="K244" s="2154" t="str">
        <f t="shared" si="226"/>
        <v/>
      </c>
      <c r="L244" s="2154" t="str">
        <f t="shared" si="226"/>
        <v/>
      </c>
      <c r="M244" s="2154" t="str">
        <f t="shared" si="226"/>
        <v/>
      </c>
      <c r="N244" s="2154" t="str">
        <f t="shared" si="226"/>
        <v/>
      </c>
      <c r="O244" s="2154" t="str">
        <f t="shared" si="226"/>
        <v/>
      </c>
    </row>
    <row r="245" spans="1:15" ht="13.5" hidden="1" customHeight="1">
      <c r="A245" s="501"/>
      <c r="C245" s="2150">
        <v>10501224</v>
      </c>
      <c r="D245" s="2151" t="s">
        <v>516</v>
      </c>
      <c r="E245" s="2152"/>
      <c r="F245" s="2153"/>
      <c r="G245" s="2117">
        <f t="shared" si="199"/>
        <v>0</v>
      </c>
      <c r="H245" s="2154" t="str">
        <f t="shared" si="219"/>
        <v/>
      </c>
      <c r="I245" s="2154" t="str">
        <f t="shared" si="219"/>
        <v/>
      </c>
      <c r="J245" s="2154" t="str">
        <f t="shared" ref="J245:O245" si="227">IF(J$22="012事務所建物",ROUND(J46+J46/(J$5-J$6)*J$6+J46/(J$5-J$6)*J$15,-3),"")</f>
        <v/>
      </c>
      <c r="K245" s="2154" t="str">
        <f t="shared" si="227"/>
        <v/>
      </c>
      <c r="L245" s="2154" t="str">
        <f t="shared" si="227"/>
        <v/>
      </c>
      <c r="M245" s="2154" t="str">
        <f t="shared" si="227"/>
        <v/>
      </c>
      <c r="N245" s="2154" t="str">
        <f t="shared" si="227"/>
        <v/>
      </c>
      <c r="O245" s="2154" t="str">
        <f t="shared" si="227"/>
        <v/>
      </c>
    </row>
    <row r="246" spans="1:15" ht="13.5" hidden="1" customHeight="1">
      <c r="A246" s="501"/>
      <c r="C246" s="2150">
        <v>10501225</v>
      </c>
      <c r="D246" s="2151" t="s">
        <v>517</v>
      </c>
      <c r="E246" s="2152"/>
      <c r="F246" s="2153"/>
      <c r="G246" s="2117">
        <f t="shared" si="199"/>
        <v>0</v>
      </c>
      <c r="H246" s="2154" t="str">
        <f t="shared" si="219"/>
        <v/>
      </c>
      <c r="I246" s="2154" t="str">
        <f t="shared" si="219"/>
        <v/>
      </c>
      <c r="J246" s="2154" t="str">
        <f t="shared" ref="J246:O246" si="228">IF(J$22="012事務所建物",ROUND(J47+J47/(J$5-J$6)*J$6+J47/(J$5-J$6)*J$15,-3),"")</f>
        <v/>
      </c>
      <c r="K246" s="2154" t="str">
        <f t="shared" si="228"/>
        <v/>
      </c>
      <c r="L246" s="2154" t="str">
        <f t="shared" si="228"/>
        <v/>
      </c>
      <c r="M246" s="2154" t="str">
        <f t="shared" si="228"/>
        <v/>
      </c>
      <c r="N246" s="2154" t="str">
        <f t="shared" si="228"/>
        <v/>
      </c>
      <c r="O246" s="2154" t="str">
        <f t="shared" si="228"/>
        <v/>
      </c>
    </row>
    <row r="247" spans="1:15" ht="13.5" hidden="1" customHeight="1">
      <c r="A247" s="501"/>
      <c r="B247" s="503"/>
      <c r="C247" s="2155"/>
      <c r="D247" s="2156"/>
      <c r="E247" s="2157"/>
      <c r="F247" s="2125"/>
      <c r="G247" s="2158">
        <f t="shared" si="199"/>
        <v>0</v>
      </c>
      <c r="H247" s="2159" t="str">
        <f t="shared" si="219"/>
        <v/>
      </c>
      <c r="I247" s="2159" t="str">
        <f t="shared" si="219"/>
        <v/>
      </c>
      <c r="J247" s="2159" t="str">
        <f t="shared" ref="J247:O247" si="229">IF(J$22="012事務所建物",ROUND(J48+J48/(J$5-J$6)*J$6+J48/(J$5-J$6)*J$15,-3),"")</f>
        <v/>
      </c>
      <c r="K247" s="2159" t="str">
        <f t="shared" si="229"/>
        <v/>
      </c>
      <c r="L247" s="2159" t="str">
        <f t="shared" si="229"/>
        <v/>
      </c>
      <c r="M247" s="2159" t="str">
        <f t="shared" si="229"/>
        <v/>
      </c>
      <c r="N247" s="2159" t="str">
        <f t="shared" si="229"/>
        <v/>
      </c>
      <c r="O247" s="2159" t="str">
        <f t="shared" si="229"/>
        <v/>
      </c>
    </row>
    <row r="248" spans="1:15" ht="13.5" hidden="1" customHeight="1">
      <c r="A248" s="501"/>
      <c r="C248" s="2150">
        <v>10501301</v>
      </c>
      <c r="D248" s="2151" t="s">
        <v>518</v>
      </c>
      <c r="E248" s="2152"/>
      <c r="F248" s="2153"/>
      <c r="G248" s="2117">
        <f t="shared" si="199"/>
        <v>0</v>
      </c>
      <c r="H248" s="587" t="str">
        <f t="shared" ref="H248:I263" si="230">IF(H$22="013社宅及び寮建物",ROUND(H23+H23/(H$5-H$6)*H$6+H23/(H$5-H$6)*H$15,-3),"")</f>
        <v/>
      </c>
      <c r="I248" s="587" t="str">
        <f t="shared" si="230"/>
        <v/>
      </c>
      <c r="J248" s="587" t="str">
        <f t="shared" ref="J248:O248" si="231">IF(J$22="013社宅及び寮建物",ROUND(J23+J23/(J$5-J$6)*J$6+J23/(J$5-J$6)*J$15,-3),"")</f>
        <v/>
      </c>
      <c r="K248" s="587" t="str">
        <f t="shared" si="231"/>
        <v/>
      </c>
      <c r="L248" s="587" t="str">
        <f t="shared" si="231"/>
        <v/>
      </c>
      <c r="M248" s="587" t="str">
        <f t="shared" si="231"/>
        <v/>
      </c>
      <c r="N248" s="587" t="str">
        <f t="shared" si="231"/>
        <v/>
      </c>
      <c r="O248" s="587" t="str">
        <f t="shared" si="231"/>
        <v/>
      </c>
    </row>
    <row r="249" spans="1:15" ht="13.5" hidden="1" customHeight="1">
      <c r="A249" s="501"/>
      <c r="C249" s="2150">
        <v>10501302</v>
      </c>
      <c r="D249" s="2151" t="s">
        <v>519</v>
      </c>
      <c r="E249" s="2152"/>
      <c r="F249" s="2153"/>
      <c r="G249" s="2117">
        <f t="shared" si="199"/>
        <v>0</v>
      </c>
      <c r="H249" s="2154" t="str">
        <f t="shared" si="230"/>
        <v/>
      </c>
      <c r="I249" s="2154" t="str">
        <f t="shared" si="230"/>
        <v/>
      </c>
      <c r="J249" s="2154" t="str">
        <f t="shared" ref="J249:O249" si="232">IF(J$22="013社宅及び寮建物",ROUND(J24+J24/(J$5-J$6)*J$6+J24/(J$5-J$6)*J$15,-3),"")</f>
        <v/>
      </c>
      <c r="K249" s="2154" t="str">
        <f t="shared" si="232"/>
        <v/>
      </c>
      <c r="L249" s="2154" t="str">
        <f t="shared" si="232"/>
        <v/>
      </c>
      <c r="M249" s="2154" t="str">
        <f t="shared" si="232"/>
        <v/>
      </c>
      <c r="N249" s="2154" t="str">
        <f t="shared" si="232"/>
        <v/>
      </c>
      <c r="O249" s="2154" t="str">
        <f t="shared" si="232"/>
        <v/>
      </c>
    </row>
    <row r="250" spans="1:15" ht="13.5" hidden="1" customHeight="1">
      <c r="A250" s="501"/>
      <c r="C250" s="2150">
        <v>10501303</v>
      </c>
      <c r="D250" s="2151" t="s">
        <v>520</v>
      </c>
      <c r="E250" s="2152"/>
      <c r="F250" s="2153"/>
      <c r="G250" s="2117">
        <f t="shared" si="199"/>
        <v>0</v>
      </c>
      <c r="H250" s="2154" t="str">
        <f t="shared" si="230"/>
        <v/>
      </c>
      <c r="I250" s="2154" t="str">
        <f t="shared" si="230"/>
        <v/>
      </c>
      <c r="J250" s="2154" t="str">
        <f t="shared" ref="J250:O250" si="233">IF(J$22="013社宅及び寮建物",ROUND(J25+J25/(J$5-J$6)*J$6+J25/(J$5-J$6)*J$15,-3),"")</f>
        <v/>
      </c>
      <c r="K250" s="2154" t="str">
        <f t="shared" si="233"/>
        <v/>
      </c>
      <c r="L250" s="2154" t="str">
        <f t="shared" si="233"/>
        <v/>
      </c>
      <c r="M250" s="2154" t="str">
        <f t="shared" si="233"/>
        <v/>
      </c>
      <c r="N250" s="2154" t="str">
        <f t="shared" si="233"/>
        <v/>
      </c>
      <c r="O250" s="2154" t="str">
        <f t="shared" si="233"/>
        <v/>
      </c>
    </row>
    <row r="251" spans="1:15" ht="13.5" hidden="1" customHeight="1">
      <c r="A251" s="501"/>
      <c r="C251" s="2150">
        <v>10501304</v>
      </c>
      <c r="D251" s="2151" t="s">
        <v>521</v>
      </c>
      <c r="E251" s="2152"/>
      <c r="F251" s="2153"/>
      <c r="G251" s="2117">
        <f t="shared" si="199"/>
        <v>0</v>
      </c>
      <c r="H251" s="2154" t="str">
        <f t="shared" si="230"/>
        <v/>
      </c>
      <c r="I251" s="2154" t="str">
        <f t="shared" si="230"/>
        <v/>
      </c>
      <c r="J251" s="2154" t="str">
        <f t="shared" ref="J251:O251" si="234">IF(J$22="013社宅及び寮建物",ROUND(J26+J26/(J$5-J$6)*J$6+J26/(J$5-J$6)*J$15,-3),"")</f>
        <v/>
      </c>
      <c r="K251" s="2154" t="str">
        <f t="shared" si="234"/>
        <v/>
      </c>
      <c r="L251" s="2154" t="str">
        <f t="shared" si="234"/>
        <v/>
      </c>
      <c r="M251" s="2154" t="str">
        <f t="shared" si="234"/>
        <v/>
      </c>
      <c r="N251" s="2154" t="str">
        <f t="shared" si="234"/>
        <v/>
      </c>
      <c r="O251" s="2154" t="str">
        <f t="shared" si="234"/>
        <v/>
      </c>
    </row>
    <row r="252" spans="1:15" ht="13.5" hidden="1" customHeight="1">
      <c r="A252" s="501"/>
      <c r="C252" s="2150">
        <v>10501305</v>
      </c>
      <c r="D252" s="2151" t="s">
        <v>522</v>
      </c>
      <c r="E252" s="2152"/>
      <c r="F252" s="2153"/>
      <c r="G252" s="2117">
        <f t="shared" si="199"/>
        <v>0</v>
      </c>
      <c r="H252" s="2154" t="str">
        <f t="shared" si="230"/>
        <v/>
      </c>
      <c r="I252" s="2154" t="str">
        <f t="shared" si="230"/>
        <v/>
      </c>
      <c r="J252" s="2154" t="str">
        <f t="shared" ref="J252:O252" si="235">IF(J$22="013社宅及び寮建物",ROUND(J27+J27/(J$5-J$6)*J$6+J27/(J$5-J$6)*J$15,-3),"")</f>
        <v/>
      </c>
      <c r="K252" s="2154" t="str">
        <f t="shared" si="235"/>
        <v/>
      </c>
      <c r="L252" s="2154" t="str">
        <f t="shared" si="235"/>
        <v/>
      </c>
      <c r="M252" s="2154" t="str">
        <f t="shared" si="235"/>
        <v/>
      </c>
      <c r="N252" s="2154" t="str">
        <f t="shared" si="235"/>
        <v/>
      </c>
      <c r="O252" s="2154" t="str">
        <f t="shared" si="235"/>
        <v/>
      </c>
    </row>
    <row r="253" spans="1:15" ht="13.5" hidden="1" customHeight="1">
      <c r="A253" s="501"/>
      <c r="C253" s="2150">
        <v>10501306</v>
      </c>
      <c r="D253" s="2151" t="s">
        <v>523</v>
      </c>
      <c r="E253" s="2152"/>
      <c r="F253" s="2153"/>
      <c r="G253" s="2117">
        <f t="shared" si="199"/>
        <v>0</v>
      </c>
      <c r="H253" s="2154" t="str">
        <f t="shared" si="230"/>
        <v/>
      </c>
      <c r="I253" s="2154" t="str">
        <f t="shared" si="230"/>
        <v/>
      </c>
      <c r="J253" s="2154" t="str">
        <f t="shared" ref="J253:O253" si="236">IF(J$22="013社宅及び寮建物",ROUND(J28+J28/(J$5-J$6)*J$6+J28/(J$5-J$6)*J$15,-3),"")</f>
        <v/>
      </c>
      <c r="K253" s="2154" t="str">
        <f t="shared" si="236"/>
        <v/>
      </c>
      <c r="L253" s="2154" t="str">
        <f t="shared" si="236"/>
        <v/>
      </c>
      <c r="M253" s="2154" t="str">
        <f t="shared" si="236"/>
        <v/>
      </c>
      <c r="N253" s="2154" t="str">
        <f t="shared" si="236"/>
        <v/>
      </c>
      <c r="O253" s="2154" t="str">
        <f t="shared" si="236"/>
        <v/>
      </c>
    </row>
    <row r="254" spans="1:15" ht="13.5" hidden="1" customHeight="1">
      <c r="A254" s="501"/>
      <c r="C254" s="2150">
        <v>10501307</v>
      </c>
      <c r="D254" s="2151" t="s">
        <v>524</v>
      </c>
      <c r="E254" s="2152"/>
      <c r="F254" s="2153"/>
      <c r="G254" s="2117">
        <f t="shared" si="199"/>
        <v>0</v>
      </c>
      <c r="H254" s="2154" t="str">
        <f t="shared" si="230"/>
        <v/>
      </c>
      <c r="I254" s="2154" t="str">
        <f t="shared" si="230"/>
        <v/>
      </c>
      <c r="J254" s="2154" t="str">
        <f t="shared" ref="J254:O254" si="237">IF(J$22="013社宅及び寮建物",ROUND(J29+J29/(J$5-J$6)*J$6+J29/(J$5-J$6)*J$15,-3),"")</f>
        <v/>
      </c>
      <c r="K254" s="2154" t="str">
        <f t="shared" si="237"/>
        <v/>
      </c>
      <c r="L254" s="2154" t="str">
        <f t="shared" si="237"/>
        <v/>
      </c>
      <c r="M254" s="2154" t="str">
        <f t="shared" si="237"/>
        <v/>
      </c>
      <c r="N254" s="2154" t="str">
        <f t="shared" si="237"/>
        <v/>
      </c>
      <c r="O254" s="2154" t="str">
        <f t="shared" si="237"/>
        <v/>
      </c>
    </row>
    <row r="255" spans="1:15" ht="13.5" hidden="1" customHeight="1">
      <c r="A255" s="501"/>
      <c r="C255" s="2150">
        <v>10501308</v>
      </c>
      <c r="D255" s="2151" t="s">
        <v>525</v>
      </c>
      <c r="E255" s="2152"/>
      <c r="F255" s="2153"/>
      <c r="G255" s="2117">
        <f t="shared" si="199"/>
        <v>0</v>
      </c>
      <c r="H255" s="2154" t="str">
        <f t="shared" si="230"/>
        <v/>
      </c>
      <c r="I255" s="2154" t="str">
        <f t="shared" si="230"/>
        <v/>
      </c>
      <c r="J255" s="2154" t="str">
        <f t="shared" ref="J255:O255" si="238">IF(J$22="013社宅及び寮建物",ROUND(J30+J30/(J$5-J$6)*J$6+J30/(J$5-J$6)*J$15,-3),"")</f>
        <v/>
      </c>
      <c r="K255" s="2154" t="str">
        <f t="shared" si="238"/>
        <v/>
      </c>
      <c r="L255" s="2154" t="str">
        <f t="shared" si="238"/>
        <v/>
      </c>
      <c r="M255" s="2154" t="str">
        <f t="shared" si="238"/>
        <v/>
      </c>
      <c r="N255" s="2154" t="str">
        <f t="shared" si="238"/>
        <v/>
      </c>
      <c r="O255" s="2154" t="str">
        <f t="shared" si="238"/>
        <v/>
      </c>
    </row>
    <row r="256" spans="1:15" ht="13.5" hidden="1" customHeight="1">
      <c r="A256" s="501"/>
      <c r="C256" s="2150">
        <v>10501309</v>
      </c>
      <c r="D256" s="2151" t="s">
        <v>526</v>
      </c>
      <c r="E256" s="2152"/>
      <c r="F256" s="2153"/>
      <c r="G256" s="2117">
        <f t="shared" si="199"/>
        <v>0</v>
      </c>
      <c r="H256" s="2154" t="str">
        <f t="shared" si="230"/>
        <v/>
      </c>
      <c r="I256" s="2154" t="str">
        <f t="shared" si="230"/>
        <v/>
      </c>
      <c r="J256" s="2154" t="str">
        <f t="shared" ref="J256:O256" si="239">IF(J$22="013社宅及び寮建物",ROUND(J31+J31/(J$5-J$6)*J$6+J31/(J$5-J$6)*J$15,-3),"")</f>
        <v/>
      </c>
      <c r="K256" s="2154" t="str">
        <f t="shared" si="239"/>
        <v/>
      </c>
      <c r="L256" s="2154" t="str">
        <f t="shared" si="239"/>
        <v/>
      </c>
      <c r="M256" s="2154" t="str">
        <f t="shared" si="239"/>
        <v/>
      </c>
      <c r="N256" s="2154" t="str">
        <f t="shared" si="239"/>
        <v/>
      </c>
      <c r="O256" s="2154" t="str">
        <f t="shared" si="239"/>
        <v/>
      </c>
    </row>
    <row r="257" spans="1:15" ht="13.5" hidden="1" customHeight="1">
      <c r="A257" s="501"/>
      <c r="C257" s="2150">
        <v>10501310</v>
      </c>
      <c r="D257" s="2151" t="s">
        <v>527</v>
      </c>
      <c r="E257" s="2152"/>
      <c r="F257" s="2153"/>
      <c r="G257" s="2117">
        <f t="shared" si="199"/>
        <v>0</v>
      </c>
      <c r="H257" s="2154" t="str">
        <f t="shared" si="230"/>
        <v/>
      </c>
      <c r="I257" s="2154" t="str">
        <f t="shared" si="230"/>
        <v/>
      </c>
      <c r="J257" s="2154" t="str">
        <f t="shared" ref="J257:O257" si="240">IF(J$22="013社宅及び寮建物",ROUND(J32+J32/(J$5-J$6)*J$6+J32/(J$5-J$6)*J$15,-3),"")</f>
        <v/>
      </c>
      <c r="K257" s="2154" t="str">
        <f t="shared" si="240"/>
        <v/>
      </c>
      <c r="L257" s="2154" t="str">
        <f t="shared" si="240"/>
        <v/>
      </c>
      <c r="M257" s="2154" t="str">
        <f t="shared" si="240"/>
        <v/>
      </c>
      <c r="N257" s="2154" t="str">
        <f t="shared" si="240"/>
        <v/>
      </c>
      <c r="O257" s="2154" t="str">
        <f t="shared" si="240"/>
        <v/>
      </c>
    </row>
    <row r="258" spans="1:15" ht="13.5" hidden="1" customHeight="1">
      <c r="A258" s="501"/>
      <c r="C258" s="2150">
        <v>10501311</v>
      </c>
      <c r="D258" s="2151" t="s">
        <v>528</v>
      </c>
      <c r="E258" s="2152"/>
      <c r="F258" s="2153"/>
      <c r="G258" s="2117">
        <f t="shared" si="199"/>
        <v>0</v>
      </c>
      <c r="H258" s="2154" t="str">
        <f t="shared" si="230"/>
        <v/>
      </c>
      <c r="I258" s="2154" t="str">
        <f t="shared" si="230"/>
        <v/>
      </c>
      <c r="J258" s="2154" t="str">
        <f t="shared" ref="J258:O258" si="241">IF(J$22="013社宅及び寮建物",ROUND(J33+J33/(J$5-J$6)*J$6+J33/(J$5-J$6)*J$15,-3),"")</f>
        <v/>
      </c>
      <c r="K258" s="2154" t="str">
        <f t="shared" si="241"/>
        <v/>
      </c>
      <c r="L258" s="2154" t="str">
        <f t="shared" si="241"/>
        <v/>
      </c>
      <c r="M258" s="2154" t="str">
        <f t="shared" si="241"/>
        <v/>
      </c>
      <c r="N258" s="2154" t="str">
        <f t="shared" si="241"/>
        <v/>
      </c>
      <c r="O258" s="2154" t="str">
        <f t="shared" si="241"/>
        <v/>
      </c>
    </row>
    <row r="259" spans="1:15" ht="13.5" hidden="1" customHeight="1">
      <c r="A259" s="501"/>
      <c r="C259" s="2150">
        <v>10501312</v>
      </c>
      <c r="D259" s="2151" t="s">
        <v>529</v>
      </c>
      <c r="E259" s="2152"/>
      <c r="F259" s="2153"/>
      <c r="G259" s="2117">
        <f t="shared" si="199"/>
        <v>0</v>
      </c>
      <c r="H259" s="2154" t="str">
        <f t="shared" si="230"/>
        <v/>
      </c>
      <c r="I259" s="2154" t="str">
        <f t="shared" si="230"/>
        <v/>
      </c>
      <c r="J259" s="2154" t="str">
        <f t="shared" ref="J259:O259" si="242">IF(J$22="013社宅及び寮建物",ROUND(J34+J34/(J$5-J$6)*J$6+J34/(J$5-J$6)*J$15,-3),"")</f>
        <v/>
      </c>
      <c r="K259" s="2154" t="str">
        <f t="shared" si="242"/>
        <v/>
      </c>
      <c r="L259" s="2154" t="str">
        <f t="shared" si="242"/>
        <v/>
      </c>
      <c r="M259" s="2154" t="str">
        <f t="shared" si="242"/>
        <v/>
      </c>
      <c r="N259" s="2154" t="str">
        <f t="shared" si="242"/>
        <v/>
      </c>
      <c r="O259" s="2154" t="str">
        <f t="shared" si="242"/>
        <v/>
      </c>
    </row>
    <row r="260" spans="1:15" ht="13.5" hidden="1" customHeight="1">
      <c r="A260" s="501"/>
      <c r="C260" s="2150">
        <v>10501313</v>
      </c>
      <c r="D260" s="2151" t="s">
        <v>530</v>
      </c>
      <c r="E260" s="2152"/>
      <c r="F260" s="2153"/>
      <c r="G260" s="2117">
        <f t="shared" si="199"/>
        <v>0</v>
      </c>
      <c r="H260" s="2154" t="str">
        <f t="shared" si="230"/>
        <v/>
      </c>
      <c r="I260" s="2154" t="str">
        <f t="shared" si="230"/>
        <v/>
      </c>
      <c r="J260" s="2154" t="str">
        <f t="shared" ref="J260:O260" si="243">IF(J$22="013社宅及び寮建物",ROUND(J35+J35/(J$5-J$6)*J$6+J35/(J$5-J$6)*J$15,-3),"")</f>
        <v/>
      </c>
      <c r="K260" s="2154" t="str">
        <f t="shared" si="243"/>
        <v/>
      </c>
      <c r="L260" s="2154" t="str">
        <f t="shared" si="243"/>
        <v/>
      </c>
      <c r="M260" s="2154" t="str">
        <f t="shared" si="243"/>
        <v/>
      </c>
      <c r="N260" s="2154" t="str">
        <f t="shared" si="243"/>
        <v/>
      </c>
      <c r="O260" s="2154" t="str">
        <f t="shared" si="243"/>
        <v/>
      </c>
    </row>
    <row r="261" spans="1:15" ht="13.5" hidden="1" customHeight="1">
      <c r="A261" s="501"/>
      <c r="C261" s="2150">
        <v>10501314</v>
      </c>
      <c r="D261" s="2151" t="s">
        <v>531</v>
      </c>
      <c r="E261" s="2152"/>
      <c r="F261" s="2153"/>
      <c r="G261" s="2117">
        <f t="shared" si="199"/>
        <v>0</v>
      </c>
      <c r="H261" s="2154" t="str">
        <f t="shared" si="230"/>
        <v/>
      </c>
      <c r="I261" s="2154" t="str">
        <f t="shared" si="230"/>
        <v/>
      </c>
      <c r="J261" s="2154" t="str">
        <f t="shared" ref="J261:O261" si="244">IF(J$22="013社宅及び寮建物",ROUND(J36+J36/(J$5-J$6)*J$6+J36/(J$5-J$6)*J$15,-3),"")</f>
        <v/>
      </c>
      <c r="K261" s="2154" t="str">
        <f t="shared" si="244"/>
        <v/>
      </c>
      <c r="L261" s="2154" t="str">
        <f t="shared" si="244"/>
        <v/>
      </c>
      <c r="M261" s="2154" t="str">
        <f t="shared" si="244"/>
        <v/>
      </c>
      <c r="N261" s="2154" t="str">
        <f t="shared" si="244"/>
        <v/>
      </c>
      <c r="O261" s="2154" t="str">
        <f t="shared" si="244"/>
        <v/>
      </c>
    </row>
    <row r="262" spans="1:15" ht="13.5" hidden="1" customHeight="1">
      <c r="A262" s="501"/>
      <c r="C262" s="2150">
        <v>10501315</v>
      </c>
      <c r="D262" s="2151" t="s">
        <v>532</v>
      </c>
      <c r="E262" s="2152"/>
      <c r="F262" s="2153"/>
      <c r="G262" s="2117">
        <f t="shared" si="199"/>
        <v>0</v>
      </c>
      <c r="H262" s="2154" t="str">
        <f t="shared" si="230"/>
        <v/>
      </c>
      <c r="I262" s="2154" t="str">
        <f t="shared" si="230"/>
        <v/>
      </c>
      <c r="J262" s="2154" t="str">
        <f t="shared" ref="J262:O262" si="245">IF(J$22="013社宅及び寮建物",ROUND(J37+J37/(J$5-J$6)*J$6+J37/(J$5-J$6)*J$15,-3),"")</f>
        <v/>
      </c>
      <c r="K262" s="2154" t="str">
        <f t="shared" si="245"/>
        <v/>
      </c>
      <c r="L262" s="2154" t="str">
        <f t="shared" si="245"/>
        <v/>
      </c>
      <c r="M262" s="2154" t="str">
        <f t="shared" si="245"/>
        <v/>
      </c>
      <c r="N262" s="2154" t="str">
        <f t="shared" si="245"/>
        <v/>
      </c>
      <c r="O262" s="2154" t="str">
        <f t="shared" si="245"/>
        <v/>
      </c>
    </row>
    <row r="263" spans="1:15" ht="13.5" hidden="1" customHeight="1">
      <c r="A263" s="501"/>
      <c r="C263" s="2150">
        <v>10501316</v>
      </c>
      <c r="D263" s="2151" t="s">
        <v>533</v>
      </c>
      <c r="E263" s="2152"/>
      <c r="F263" s="2153"/>
      <c r="G263" s="2117">
        <f t="shared" si="199"/>
        <v>0</v>
      </c>
      <c r="H263" s="2154" t="str">
        <f t="shared" si="230"/>
        <v/>
      </c>
      <c r="I263" s="2154" t="str">
        <f t="shared" si="230"/>
        <v/>
      </c>
      <c r="J263" s="2154" t="str">
        <f t="shared" ref="J263:O263" si="246">IF(J$22="013社宅及び寮建物",ROUND(J38+J38/(J$5-J$6)*J$6+J38/(J$5-J$6)*J$15,-3),"")</f>
        <v/>
      </c>
      <c r="K263" s="2154" t="str">
        <f t="shared" si="246"/>
        <v/>
      </c>
      <c r="L263" s="2154" t="str">
        <f t="shared" si="246"/>
        <v/>
      </c>
      <c r="M263" s="2154" t="str">
        <f t="shared" si="246"/>
        <v/>
      </c>
      <c r="N263" s="2154" t="str">
        <f t="shared" si="246"/>
        <v/>
      </c>
      <c r="O263" s="2154" t="str">
        <f t="shared" si="246"/>
        <v/>
      </c>
    </row>
    <row r="264" spans="1:15" ht="13.5" hidden="1" customHeight="1">
      <c r="A264" s="501"/>
      <c r="C264" s="2150">
        <v>10501317</v>
      </c>
      <c r="D264" s="2151" t="s">
        <v>534</v>
      </c>
      <c r="E264" s="2152"/>
      <c r="F264" s="2153"/>
      <c r="G264" s="2117">
        <f t="shared" si="199"/>
        <v>0</v>
      </c>
      <c r="H264" s="2154" t="str">
        <f t="shared" ref="H264:I273" si="247">IF(H$22="013社宅及び寮建物",ROUND(H39+H39/(H$5-H$6)*H$6+H39/(H$5-H$6)*H$15,-3),"")</f>
        <v/>
      </c>
      <c r="I264" s="2154" t="str">
        <f t="shared" si="247"/>
        <v/>
      </c>
      <c r="J264" s="2154" t="str">
        <f t="shared" ref="J264:O264" si="248">IF(J$22="013社宅及び寮建物",ROUND(J39+J39/(J$5-J$6)*J$6+J39/(J$5-J$6)*J$15,-3),"")</f>
        <v/>
      </c>
      <c r="K264" s="2154" t="str">
        <f t="shared" si="248"/>
        <v/>
      </c>
      <c r="L264" s="2154" t="str">
        <f t="shared" si="248"/>
        <v/>
      </c>
      <c r="M264" s="2154" t="str">
        <f t="shared" si="248"/>
        <v/>
      </c>
      <c r="N264" s="2154" t="str">
        <f t="shared" si="248"/>
        <v/>
      </c>
      <c r="O264" s="2154" t="str">
        <f t="shared" si="248"/>
        <v/>
      </c>
    </row>
    <row r="265" spans="1:15" ht="13.5" hidden="1" customHeight="1">
      <c r="A265" s="501"/>
      <c r="C265" s="2150">
        <v>10501318</v>
      </c>
      <c r="D265" s="2151" t="s">
        <v>535</v>
      </c>
      <c r="E265" s="2152"/>
      <c r="F265" s="2153"/>
      <c r="G265" s="2117">
        <f t="shared" si="199"/>
        <v>0</v>
      </c>
      <c r="H265" s="2154" t="str">
        <f t="shared" si="247"/>
        <v/>
      </c>
      <c r="I265" s="2154" t="str">
        <f t="shared" si="247"/>
        <v/>
      </c>
      <c r="J265" s="2154" t="str">
        <f t="shared" ref="J265:O265" si="249">IF(J$22="013社宅及び寮建物",ROUND(J40+J40/(J$5-J$6)*J$6+J40/(J$5-J$6)*J$15,-3),"")</f>
        <v/>
      </c>
      <c r="K265" s="2154" t="str">
        <f t="shared" si="249"/>
        <v/>
      </c>
      <c r="L265" s="2154" t="str">
        <f t="shared" si="249"/>
        <v/>
      </c>
      <c r="M265" s="2154" t="str">
        <f t="shared" si="249"/>
        <v/>
      </c>
      <c r="N265" s="2154" t="str">
        <f t="shared" si="249"/>
        <v/>
      </c>
      <c r="O265" s="2154" t="str">
        <f t="shared" si="249"/>
        <v/>
      </c>
    </row>
    <row r="266" spans="1:15" ht="13.5" hidden="1" customHeight="1">
      <c r="A266" s="501"/>
      <c r="C266" s="2150">
        <v>10501319</v>
      </c>
      <c r="D266" s="2151" t="s">
        <v>536</v>
      </c>
      <c r="E266" s="2152"/>
      <c r="F266" s="2153"/>
      <c r="G266" s="2117">
        <f t="shared" si="199"/>
        <v>0</v>
      </c>
      <c r="H266" s="2154" t="str">
        <f t="shared" si="247"/>
        <v/>
      </c>
      <c r="I266" s="2154" t="str">
        <f t="shared" si="247"/>
        <v/>
      </c>
      <c r="J266" s="2154" t="str">
        <f t="shared" ref="J266:O266" si="250">IF(J$22="013社宅及び寮建物",ROUND(J41+J41/(J$5-J$6)*J$6+J41/(J$5-J$6)*J$15,-3),"")</f>
        <v/>
      </c>
      <c r="K266" s="2154" t="str">
        <f t="shared" si="250"/>
        <v/>
      </c>
      <c r="L266" s="2154" t="str">
        <f t="shared" si="250"/>
        <v/>
      </c>
      <c r="M266" s="2154" t="str">
        <f t="shared" si="250"/>
        <v/>
      </c>
      <c r="N266" s="2154" t="str">
        <f t="shared" si="250"/>
        <v/>
      </c>
      <c r="O266" s="2154" t="str">
        <f t="shared" si="250"/>
        <v/>
      </c>
    </row>
    <row r="267" spans="1:15" ht="13.5" hidden="1" customHeight="1">
      <c r="A267" s="501"/>
      <c r="C267" s="2150">
        <v>10501320</v>
      </c>
      <c r="D267" s="2151" t="s">
        <v>537</v>
      </c>
      <c r="E267" s="2152"/>
      <c r="F267" s="2153"/>
      <c r="G267" s="2117">
        <f t="shared" si="199"/>
        <v>0</v>
      </c>
      <c r="H267" s="2154" t="str">
        <f t="shared" si="247"/>
        <v/>
      </c>
      <c r="I267" s="2154" t="str">
        <f t="shared" si="247"/>
        <v/>
      </c>
      <c r="J267" s="2154" t="str">
        <f t="shared" ref="J267:O267" si="251">IF(J$22="013社宅及び寮建物",ROUND(J42+J42/(J$5-J$6)*J$6+J42/(J$5-J$6)*J$15,-3),"")</f>
        <v/>
      </c>
      <c r="K267" s="2154" t="str">
        <f t="shared" si="251"/>
        <v/>
      </c>
      <c r="L267" s="2154" t="str">
        <f t="shared" si="251"/>
        <v/>
      </c>
      <c r="M267" s="2154" t="str">
        <f t="shared" si="251"/>
        <v/>
      </c>
      <c r="N267" s="2154" t="str">
        <f t="shared" si="251"/>
        <v/>
      </c>
      <c r="O267" s="2154" t="str">
        <f t="shared" si="251"/>
        <v/>
      </c>
    </row>
    <row r="268" spans="1:15" ht="13.5" hidden="1" customHeight="1">
      <c r="A268" s="501"/>
      <c r="C268" s="2150">
        <v>10501321</v>
      </c>
      <c r="D268" s="2151" t="s">
        <v>538</v>
      </c>
      <c r="E268" s="2152"/>
      <c r="F268" s="2153"/>
      <c r="G268" s="2117">
        <f t="shared" si="199"/>
        <v>0</v>
      </c>
      <c r="H268" s="2154" t="str">
        <f t="shared" si="247"/>
        <v/>
      </c>
      <c r="I268" s="2154" t="str">
        <f t="shared" si="247"/>
        <v/>
      </c>
      <c r="J268" s="2154" t="str">
        <f t="shared" ref="J268:O268" si="252">IF(J$22="013社宅及び寮建物",ROUND(J43+J43/(J$5-J$6)*J$6+J43/(J$5-J$6)*J$15,-3),"")</f>
        <v/>
      </c>
      <c r="K268" s="2154" t="str">
        <f t="shared" si="252"/>
        <v/>
      </c>
      <c r="L268" s="2154" t="str">
        <f t="shared" si="252"/>
        <v/>
      </c>
      <c r="M268" s="2154" t="str">
        <f t="shared" si="252"/>
        <v/>
      </c>
      <c r="N268" s="2154" t="str">
        <f t="shared" si="252"/>
        <v/>
      </c>
      <c r="O268" s="2154" t="str">
        <f t="shared" si="252"/>
        <v/>
      </c>
    </row>
    <row r="269" spans="1:15" ht="13.5" hidden="1" customHeight="1">
      <c r="A269" s="501"/>
      <c r="C269" s="2150">
        <v>10501322</v>
      </c>
      <c r="D269" s="2151" t="s">
        <v>539</v>
      </c>
      <c r="E269" s="2152"/>
      <c r="F269" s="2153"/>
      <c r="G269" s="2117">
        <f t="shared" si="199"/>
        <v>0</v>
      </c>
      <c r="H269" s="2154" t="str">
        <f t="shared" si="247"/>
        <v/>
      </c>
      <c r="I269" s="2154" t="str">
        <f t="shared" si="247"/>
        <v/>
      </c>
      <c r="J269" s="2154" t="str">
        <f t="shared" ref="J269:O269" si="253">IF(J$22="013社宅及び寮建物",ROUND(J44+J44/(J$5-J$6)*J$6+J44/(J$5-J$6)*J$15,-3),"")</f>
        <v/>
      </c>
      <c r="K269" s="2154" t="str">
        <f t="shared" si="253"/>
        <v/>
      </c>
      <c r="L269" s="2154" t="str">
        <f t="shared" si="253"/>
        <v/>
      </c>
      <c r="M269" s="2154" t="str">
        <f t="shared" si="253"/>
        <v/>
      </c>
      <c r="N269" s="2154" t="str">
        <f t="shared" si="253"/>
        <v/>
      </c>
      <c r="O269" s="2154" t="str">
        <f t="shared" si="253"/>
        <v/>
      </c>
    </row>
    <row r="270" spans="1:15" ht="13.5" hidden="1" customHeight="1">
      <c r="A270" s="501"/>
      <c r="C270" s="2150">
        <v>10501323</v>
      </c>
      <c r="D270" s="2151" t="s">
        <v>540</v>
      </c>
      <c r="E270" s="2152"/>
      <c r="F270" s="2153"/>
      <c r="G270" s="2117">
        <f t="shared" si="199"/>
        <v>0</v>
      </c>
      <c r="H270" s="2154" t="str">
        <f t="shared" si="247"/>
        <v/>
      </c>
      <c r="I270" s="2154" t="str">
        <f t="shared" si="247"/>
        <v/>
      </c>
      <c r="J270" s="2154" t="str">
        <f t="shared" ref="J270:O270" si="254">IF(J$22="013社宅及び寮建物",ROUND(J45+J45/(J$5-J$6)*J$6+J45/(J$5-J$6)*J$15,-3),"")</f>
        <v/>
      </c>
      <c r="K270" s="2154" t="str">
        <f t="shared" si="254"/>
        <v/>
      </c>
      <c r="L270" s="2154" t="str">
        <f t="shared" si="254"/>
        <v/>
      </c>
      <c r="M270" s="2154" t="str">
        <f t="shared" si="254"/>
        <v/>
      </c>
      <c r="N270" s="2154" t="str">
        <f t="shared" si="254"/>
        <v/>
      </c>
      <c r="O270" s="2154" t="str">
        <f t="shared" si="254"/>
        <v/>
      </c>
    </row>
    <row r="271" spans="1:15" ht="13.5" hidden="1" customHeight="1">
      <c r="A271" s="501"/>
      <c r="C271" s="2150">
        <v>10501324</v>
      </c>
      <c r="D271" s="2151" t="s">
        <v>541</v>
      </c>
      <c r="E271" s="2152"/>
      <c r="F271" s="2153"/>
      <c r="G271" s="2117">
        <f t="shared" si="199"/>
        <v>0</v>
      </c>
      <c r="H271" s="2154" t="str">
        <f t="shared" si="247"/>
        <v/>
      </c>
      <c r="I271" s="2154" t="str">
        <f t="shared" si="247"/>
        <v/>
      </c>
      <c r="J271" s="2154" t="str">
        <f t="shared" ref="J271:O271" si="255">IF(J$22="013社宅及び寮建物",ROUND(J46+J46/(J$5-J$6)*J$6+J46/(J$5-J$6)*J$15,-3),"")</f>
        <v/>
      </c>
      <c r="K271" s="2154" t="str">
        <f t="shared" si="255"/>
        <v/>
      </c>
      <c r="L271" s="2154" t="str">
        <f t="shared" si="255"/>
        <v/>
      </c>
      <c r="M271" s="2154" t="str">
        <f t="shared" si="255"/>
        <v/>
      </c>
      <c r="N271" s="2154" t="str">
        <f t="shared" si="255"/>
        <v/>
      </c>
      <c r="O271" s="2154" t="str">
        <f t="shared" si="255"/>
        <v/>
      </c>
    </row>
    <row r="272" spans="1:15" ht="13.5" hidden="1" customHeight="1">
      <c r="A272" s="501"/>
      <c r="C272" s="2150">
        <v>10501325</v>
      </c>
      <c r="D272" s="2151" t="s">
        <v>542</v>
      </c>
      <c r="E272" s="2152"/>
      <c r="F272" s="2153"/>
      <c r="G272" s="2117">
        <f t="shared" si="199"/>
        <v>0</v>
      </c>
      <c r="H272" s="2154" t="str">
        <f t="shared" si="247"/>
        <v/>
      </c>
      <c r="I272" s="2154" t="str">
        <f t="shared" si="247"/>
        <v/>
      </c>
      <c r="J272" s="2154" t="str">
        <f t="shared" ref="J272:O272" si="256">IF(J$22="013社宅及び寮建物",ROUND(J47+J47/(J$5-J$6)*J$6+J47/(J$5-J$6)*J$15,-3),"")</f>
        <v/>
      </c>
      <c r="K272" s="2154" t="str">
        <f t="shared" si="256"/>
        <v/>
      </c>
      <c r="L272" s="2154" t="str">
        <f t="shared" si="256"/>
        <v/>
      </c>
      <c r="M272" s="2154" t="str">
        <f t="shared" si="256"/>
        <v/>
      </c>
      <c r="N272" s="2154" t="str">
        <f t="shared" si="256"/>
        <v/>
      </c>
      <c r="O272" s="2154" t="str">
        <f t="shared" si="256"/>
        <v/>
      </c>
    </row>
    <row r="273" spans="1:16" ht="13.5" hidden="1" customHeight="1">
      <c r="A273" s="501"/>
      <c r="B273" s="503"/>
      <c r="C273" s="2155"/>
      <c r="D273" s="2156"/>
      <c r="E273" s="2157"/>
      <c r="F273" s="2125"/>
      <c r="G273" s="2158">
        <f t="shared" si="199"/>
        <v>0</v>
      </c>
      <c r="H273" s="2161" t="str">
        <f t="shared" si="247"/>
        <v/>
      </c>
      <c r="I273" s="2161" t="str">
        <f t="shared" si="247"/>
        <v/>
      </c>
      <c r="J273" s="2161" t="str">
        <f t="shared" ref="J273:O273" si="257">IF(J$22="013社宅及び寮建物",ROUND(J48+J48/(J$5-J$6)*J$6+J48/(J$5-J$6)*J$15,-3),"")</f>
        <v/>
      </c>
      <c r="K273" s="2161" t="str">
        <f t="shared" si="257"/>
        <v/>
      </c>
      <c r="L273" s="2161" t="str">
        <f t="shared" si="257"/>
        <v/>
      </c>
      <c r="M273" s="2161" t="str">
        <f t="shared" si="257"/>
        <v/>
      </c>
      <c r="N273" s="2161" t="str">
        <f t="shared" si="257"/>
        <v/>
      </c>
      <c r="O273" s="2161" t="str">
        <f t="shared" si="257"/>
        <v/>
      </c>
    </row>
    <row r="274" spans="1:16" s="458" customFormat="1" ht="13.5" hidden="1" customHeight="1">
      <c r="A274" s="480"/>
      <c r="B274" s="481"/>
      <c r="C274" s="481"/>
      <c r="D274" s="481"/>
      <c r="E274" s="481"/>
      <c r="F274" s="482" t="s">
        <v>543</v>
      </c>
      <c r="G274" s="483">
        <f t="shared" ca="1" si="199"/>
        <v>284315000</v>
      </c>
      <c r="H274" s="538">
        <f t="shared" ref="H274:I274" ca="1" si="258">IF(H4="費用",0,SUM(H92:H273))</f>
        <v>23901000</v>
      </c>
      <c r="I274" s="538">
        <f t="shared" ca="1" si="258"/>
        <v>25687000</v>
      </c>
      <c r="J274" s="538">
        <f t="shared" ref="J274:O274" ca="1" si="259">IF(J4="費用",0,SUM(J92:J273))</f>
        <v>1863000</v>
      </c>
      <c r="K274" s="538">
        <f t="shared" ca="1" si="259"/>
        <v>64998000</v>
      </c>
      <c r="L274" s="538">
        <f t="shared" ca="1" si="259"/>
        <v>12132000</v>
      </c>
      <c r="M274" s="538">
        <f t="shared" ca="1" si="259"/>
        <v>35551000</v>
      </c>
      <c r="N274" s="538">
        <f t="shared" ca="1" si="259"/>
        <v>33196000</v>
      </c>
      <c r="O274" s="538">
        <f t="shared" ca="1" si="259"/>
        <v>86987000</v>
      </c>
      <c r="P274" s="445"/>
    </row>
    <row r="275" spans="1:16" s="445" customFormat="1" ht="13.5" hidden="1" customHeight="1">
      <c r="A275" s="501"/>
      <c r="B275" s="421"/>
      <c r="C275" s="2146">
        <v>11002401</v>
      </c>
      <c r="D275" s="2151" t="s">
        <v>544</v>
      </c>
      <c r="E275" s="2152"/>
      <c r="F275" s="2153"/>
      <c r="G275" s="2121">
        <f t="shared" si="199"/>
        <v>0</v>
      </c>
      <c r="H275" s="2122" t="str">
        <f t="shared" ref="H275:I276" si="260">IF(H53="","",ROUND(H53+H53/(H$5-H$6)*H$6+H53/(H$5-H$6)*H$15,-3))</f>
        <v/>
      </c>
      <c r="I275" s="2122" t="str">
        <f t="shared" si="260"/>
        <v/>
      </c>
      <c r="J275" s="2122" t="str">
        <f t="shared" ref="J275:O275" si="261">IF(J53="","",ROUND(J53+J53/(J$5-J$6)*J$6+J53/(J$5-J$6)*J$15,-3))</f>
        <v/>
      </c>
      <c r="K275" s="2122" t="str">
        <f t="shared" si="261"/>
        <v/>
      </c>
      <c r="L275" s="2122" t="str">
        <f t="shared" si="261"/>
        <v/>
      </c>
      <c r="M275" s="2122" t="str">
        <f t="shared" si="261"/>
        <v/>
      </c>
      <c r="N275" s="2122" t="str">
        <f t="shared" si="261"/>
        <v/>
      </c>
      <c r="O275" s="2122" t="str">
        <f t="shared" si="261"/>
        <v/>
      </c>
    </row>
    <row r="276" spans="1:16" s="445" customFormat="1" ht="13.5" hidden="1" customHeight="1">
      <c r="A276" s="501"/>
      <c r="B276" s="421"/>
      <c r="C276" s="2146">
        <v>11002402</v>
      </c>
      <c r="D276" s="2151" t="s">
        <v>545</v>
      </c>
      <c r="E276" s="2152"/>
      <c r="F276" s="2153"/>
      <c r="G276" s="2121">
        <f t="shared" si="199"/>
        <v>0</v>
      </c>
      <c r="H276" s="2122" t="str">
        <f t="shared" si="260"/>
        <v/>
      </c>
      <c r="I276" s="2122" t="str">
        <f t="shared" si="260"/>
        <v/>
      </c>
      <c r="J276" s="2122" t="str">
        <f t="shared" ref="J276:O276" si="262">IF(J54="","",ROUND(J54+J54/(J$5-J$6)*J$6+J54/(J$5-J$6)*J$15,-3))</f>
        <v/>
      </c>
      <c r="K276" s="2122" t="str">
        <f t="shared" si="262"/>
        <v/>
      </c>
      <c r="L276" s="2122" t="str">
        <f t="shared" si="262"/>
        <v/>
      </c>
      <c r="M276" s="2122" t="str">
        <f t="shared" si="262"/>
        <v/>
      </c>
      <c r="N276" s="2122" t="str">
        <f t="shared" si="262"/>
        <v/>
      </c>
      <c r="O276" s="2122" t="str">
        <f t="shared" si="262"/>
        <v/>
      </c>
    </row>
    <row r="277" spans="1:16" s="445" customFormat="1" ht="13.5" hidden="1" customHeight="1">
      <c r="A277" s="501"/>
      <c r="B277" s="502"/>
      <c r="C277" s="2150">
        <v>11004901</v>
      </c>
      <c r="D277" s="2151" t="s">
        <v>546</v>
      </c>
      <c r="E277" s="2152"/>
      <c r="F277" s="2153"/>
      <c r="G277" s="2117">
        <f t="shared" si="199"/>
        <v>0</v>
      </c>
      <c r="H277" s="2154" t="str">
        <f t="shared" ref="H277:I287" si="263">IF(H58="","",ROUND(H58+H58/(H$5-H$6)*H$6+H58/(H$5-H$6)*H$15,-3))</f>
        <v/>
      </c>
      <c r="I277" s="2154" t="str">
        <f t="shared" si="263"/>
        <v/>
      </c>
      <c r="J277" s="2154" t="str">
        <f t="shared" ref="J277:O277" si="264">IF(J58="","",ROUND(J58+J58/(J$5-J$6)*J$6+J58/(J$5-J$6)*J$15,-3))</f>
        <v/>
      </c>
      <c r="K277" s="2154" t="str">
        <f t="shared" si="264"/>
        <v/>
      </c>
      <c r="L277" s="2154" t="str">
        <f t="shared" si="264"/>
        <v/>
      </c>
      <c r="M277" s="2154" t="str">
        <f t="shared" si="264"/>
        <v/>
      </c>
      <c r="N277" s="2154" t="str">
        <f t="shared" si="264"/>
        <v/>
      </c>
      <c r="O277" s="2154" t="str">
        <f t="shared" si="264"/>
        <v/>
      </c>
    </row>
    <row r="278" spans="1:16" s="445" customFormat="1" ht="13.5" hidden="1" customHeight="1">
      <c r="A278" s="501"/>
      <c r="B278" s="502"/>
      <c r="C278" s="2150">
        <v>11004902</v>
      </c>
      <c r="D278" s="2151" t="s">
        <v>547</v>
      </c>
      <c r="E278" s="2152"/>
      <c r="F278" s="2153"/>
      <c r="G278" s="2117">
        <f t="shared" si="199"/>
        <v>0</v>
      </c>
      <c r="H278" s="2154" t="str">
        <f t="shared" si="263"/>
        <v/>
      </c>
      <c r="I278" s="2154" t="str">
        <f t="shared" si="263"/>
        <v/>
      </c>
      <c r="J278" s="2154" t="str">
        <f t="shared" ref="J278:O278" si="265">IF(J59="","",ROUND(J59+J59/(J$5-J$6)*J$6+J59/(J$5-J$6)*J$15,-3))</f>
        <v/>
      </c>
      <c r="K278" s="2154" t="str">
        <f t="shared" si="265"/>
        <v/>
      </c>
      <c r="L278" s="2154" t="str">
        <f t="shared" si="265"/>
        <v/>
      </c>
      <c r="M278" s="2154" t="str">
        <f t="shared" si="265"/>
        <v/>
      </c>
      <c r="N278" s="2154" t="str">
        <f t="shared" si="265"/>
        <v/>
      </c>
      <c r="O278" s="2154" t="str">
        <f t="shared" si="265"/>
        <v/>
      </c>
    </row>
    <row r="279" spans="1:16" s="445" customFormat="1" ht="13.5" hidden="1" customHeight="1">
      <c r="A279" s="501"/>
      <c r="B279" s="502"/>
      <c r="C279" s="2150">
        <v>11004903</v>
      </c>
      <c r="D279" s="2151" t="s">
        <v>548</v>
      </c>
      <c r="E279" s="2152"/>
      <c r="F279" s="2153"/>
      <c r="G279" s="2117">
        <f t="shared" si="199"/>
        <v>0</v>
      </c>
      <c r="H279" s="2154" t="str">
        <f t="shared" si="263"/>
        <v/>
      </c>
      <c r="I279" s="2154" t="str">
        <f t="shared" si="263"/>
        <v/>
      </c>
      <c r="J279" s="2154" t="str">
        <f t="shared" ref="J279:O279" si="266">IF(J60="","",ROUND(J60+J60/(J$5-J$6)*J$6+J60/(J$5-J$6)*J$15,-3))</f>
        <v/>
      </c>
      <c r="K279" s="2154" t="str">
        <f t="shared" si="266"/>
        <v/>
      </c>
      <c r="L279" s="2154" t="str">
        <f t="shared" si="266"/>
        <v/>
      </c>
      <c r="M279" s="2154" t="str">
        <f t="shared" si="266"/>
        <v/>
      </c>
      <c r="N279" s="2154" t="str">
        <f t="shared" si="266"/>
        <v/>
      </c>
      <c r="O279" s="2154" t="str">
        <f t="shared" si="266"/>
        <v/>
      </c>
    </row>
    <row r="280" spans="1:16" s="445" customFormat="1" ht="13.5" hidden="1" customHeight="1">
      <c r="A280" s="501"/>
      <c r="B280" s="502"/>
      <c r="C280" s="2150">
        <v>11004904</v>
      </c>
      <c r="D280" s="2151" t="s">
        <v>549</v>
      </c>
      <c r="E280" s="2152"/>
      <c r="F280" s="2153"/>
      <c r="G280" s="2117">
        <f t="shared" si="199"/>
        <v>0</v>
      </c>
      <c r="H280" s="2154" t="str">
        <f t="shared" si="263"/>
        <v/>
      </c>
      <c r="I280" s="2154" t="str">
        <f t="shared" si="263"/>
        <v/>
      </c>
      <c r="J280" s="2154" t="str">
        <f t="shared" ref="J280:O280" si="267">IF(J61="","",ROUND(J61+J61/(J$5-J$6)*J$6+J61/(J$5-J$6)*J$15,-3))</f>
        <v/>
      </c>
      <c r="K280" s="2154" t="str">
        <f t="shared" si="267"/>
        <v/>
      </c>
      <c r="L280" s="2154" t="str">
        <f t="shared" si="267"/>
        <v/>
      </c>
      <c r="M280" s="2154" t="str">
        <f t="shared" si="267"/>
        <v/>
      </c>
      <c r="N280" s="2154" t="str">
        <f t="shared" si="267"/>
        <v/>
      </c>
      <c r="O280" s="2154" t="str">
        <f t="shared" si="267"/>
        <v/>
      </c>
    </row>
    <row r="281" spans="1:16" s="445" customFormat="1" ht="13.5" hidden="1" customHeight="1">
      <c r="A281" s="501"/>
      <c r="B281" s="502"/>
      <c r="C281" s="2150">
        <v>11004905</v>
      </c>
      <c r="D281" s="2151" t="s">
        <v>550</v>
      </c>
      <c r="E281" s="2152"/>
      <c r="F281" s="2153"/>
      <c r="G281" s="2117">
        <f t="shared" si="199"/>
        <v>0</v>
      </c>
      <c r="H281" s="2154" t="str">
        <f t="shared" si="263"/>
        <v/>
      </c>
      <c r="I281" s="2154" t="str">
        <f t="shared" si="263"/>
        <v/>
      </c>
      <c r="J281" s="2154" t="str">
        <f t="shared" ref="J281:O281" si="268">IF(J62="","",ROUND(J62+J62/(J$5-J$6)*J$6+J62/(J$5-J$6)*J$15,-3))</f>
        <v/>
      </c>
      <c r="K281" s="2154" t="str">
        <f t="shared" si="268"/>
        <v/>
      </c>
      <c r="L281" s="2154" t="str">
        <f t="shared" si="268"/>
        <v/>
      </c>
      <c r="M281" s="2154" t="str">
        <f t="shared" si="268"/>
        <v/>
      </c>
      <c r="N281" s="2154" t="str">
        <f t="shared" si="268"/>
        <v/>
      </c>
      <c r="O281" s="2154" t="str">
        <f t="shared" si="268"/>
        <v/>
      </c>
    </row>
    <row r="282" spans="1:16" s="445" customFormat="1" ht="13.5" hidden="1" customHeight="1">
      <c r="A282" s="501"/>
      <c r="B282" s="502"/>
      <c r="C282" s="2150">
        <v>11004906</v>
      </c>
      <c r="D282" s="2151" t="s">
        <v>551</v>
      </c>
      <c r="E282" s="2152"/>
      <c r="F282" s="2153"/>
      <c r="G282" s="2117">
        <f t="shared" si="199"/>
        <v>0</v>
      </c>
      <c r="H282" s="2154" t="str">
        <f t="shared" si="263"/>
        <v/>
      </c>
      <c r="I282" s="2154" t="str">
        <f t="shared" si="263"/>
        <v/>
      </c>
      <c r="J282" s="2154" t="str">
        <f t="shared" ref="J282:O282" si="269">IF(J63="","",ROUND(J63+J63/(J$5-J$6)*J$6+J63/(J$5-J$6)*J$15,-3))</f>
        <v/>
      </c>
      <c r="K282" s="2154" t="str">
        <f t="shared" si="269"/>
        <v/>
      </c>
      <c r="L282" s="2154" t="str">
        <f t="shared" si="269"/>
        <v/>
      </c>
      <c r="M282" s="2154" t="str">
        <f t="shared" si="269"/>
        <v/>
      </c>
      <c r="N282" s="2154" t="str">
        <f t="shared" si="269"/>
        <v/>
      </c>
      <c r="O282" s="2154" t="str">
        <f t="shared" si="269"/>
        <v/>
      </c>
    </row>
    <row r="283" spans="1:16" s="445" customFormat="1" ht="13.5" hidden="1" customHeight="1">
      <c r="A283" s="501"/>
      <c r="B283" s="502"/>
      <c r="C283" s="2150">
        <v>11004907</v>
      </c>
      <c r="D283" s="2151" t="s">
        <v>552</v>
      </c>
      <c r="E283" s="2152"/>
      <c r="F283" s="2153"/>
      <c r="G283" s="2117">
        <f t="shared" si="199"/>
        <v>0</v>
      </c>
      <c r="H283" s="2154" t="str">
        <f t="shared" si="263"/>
        <v/>
      </c>
      <c r="I283" s="2154" t="str">
        <f t="shared" si="263"/>
        <v/>
      </c>
      <c r="J283" s="2154" t="str">
        <f t="shared" ref="J283:O283" si="270">IF(J64="","",ROUND(J64+J64/(J$5-J$6)*J$6+J64/(J$5-J$6)*J$15,-3))</f>
        <v/>
      </c>
      <c r="K283" s="2154" t="str">
        <f t="shared" si="270"/>
        <v/>
      </c>
      <c r="L283" s="2154" t="str">
        <f t="shared" si="270"/>
        <v/>
      </c>
      <c r="M283" s="2154" t="str">
        <f t="shared" si="270"/>
        <v/>
      </c>
      <c r="N283" s="2154" t="str">
        <f t="shared" si="270"/>
        <v/>
      </c>
      <c r="O283" s="2154" t="str">
        <f t="shared" si="270"/>
        <v/>
      </c>
    </row>
    <row r="284" spans="1:16" s="445" customFormat="1" ht="13.5" hidden="1" customHeight="1">
      <c r="A284" s="501"/>
      <c r="B284" s="502"/>
      <c r="C284" s="2150">
        <v>11004908</v>
      </c>
      <c r="D284" s="2151" t="s">
        <v>553</v>
      </c>
      <c r="E284" s="2152"/>
      <c r="F284" s="2153"/>
      <c r="G284" s="2117">
        <f t="shared" ref="G284:G323" si="271">SUM(H284:P284)</f>
        <v>0</v>
      </c>
      <c r="H284" s="2154" t="str">
        <f t="shared" si="263"/>
        <v/>
      </c>
      <c r="I284" s="2154" t="str">
        <f t="shared" si="263"/>
        <v/>
      </c>
      <c r="J284" s="2154" t="str">
        <f t="shared" ref="J284:O284" si="272">IF(J65="","",ROUND(J65+J65/(J$5-J$6)*J$6+J65/(J$5-J$6)*J$15,-3))</f>
        <v/>
      </c>
      <c r="K284" s="2154" t="str">
        <f t="shared" si="272"/>
        <v/>
      </c>
      <c r="L284" s="2154" t="str">
        <f t="shared" si="272"/>
        <v/>
      </c>
      <c r="M284" s="2154" t="str">
        <f t="shared" si="272"/>
        <v/>
      </c>
      <c r="N284" s="2154" t="str">
        <f t="shared" si="272"/>
        <v/>
      </c>
      <c r="O284" s="2154" t="str">
        <f t="shared" si="272"/>
        <v/>
      </c>
    </row>
    <row r="285" spans="1:16" s="445" customFormat="1" ht="13.5" hidden="1" customHeight="1">
      <c r="A285" s="501"/>
      <c r="B285" s="502"/>
      <c r="C285" s="2150">
        <v>11004909</v>
      </c>
      <c r="D285" s="2151" t="s">
        <v>554</v>
      </c>
      <c r="E285" s="2152"/>
      <c r="F285" s="2153"/>
      <c r="G285" s="2117">
        <f t="shared" si="271"/>
        <v>0</v>
      </c>
      <c r="H285" s="2154" t="str">
        <f t="shared" si="263"/>
        <v/>
      </c>
      <c r="I285" s="2154" t="str">
        <f t="shared" si="263"/>
        <v/>
      </c>
      <c r="J285" s="2154" t="str">
        <f t="shared" ref="J285:O285" si="273">IF(J66="","",ROUND(J66+J66/(J$5-J$6)*J$6+J66/(J$5-J$6)*J$15,-3))</f>
        <v/>
      </c>
      <c r="K285" s="2154" t="str">
        <f t="shared" si="273"/>
        <v/>
      </c>
      <c r="L285" s="2154" t="str">
        <f t="shared" si="273"/>
        <v/>
      </c>
      <c r="M285" s="2154" t="str">
        <f t="shared" si="273"/>
        <v/>
      </c>
      <c r="N285" s="2154" t="str">
        <f t="shared" si="273"/>
        <v/>
      </c>
      <c r="O285" s="2154" t="str">
        <f t="shared" si="273"/>
        <v/>
      </c>
    </row>
    <row r="286" spans="1:16" s="445" customFormat="1" ht="13.5" hidden="1" customHeight="1">
      <c r="A286" s="501"/>
      <c r="B286" s="502"/>
      <c r="C286" s="2150">
        <v>11004910</v>
      </c>
      <c r="D286" s="2151" t="s">
        <v>555</v>
      </c>
      <c r="E286" s="2152"/>
      <c r="F286" s="2153"/>
      <c r="G286" s="2117">
        <f t="shared" si="271"/>
        <v>0</v>
      </c>
      <c r="H286" s="2154" t="str">
        <f t="shared" si="263"/>
        <v/>
      </c>
      <c r="I286" s="2154" t="str">
        <f t="shared" si="263"/>
        <v/>
      </c>
      <c r="J286" s="2154" t="str">
        <f t="shared" ref="J286:O286" si="274">IF(J67="","",ROUND(J67+J67/(J$5-J$6)*J$6+J67/(J$5-J$6)*J$15,-3))</f>
        <v/>
      </c>
      <c r="K286" s="2154" t="str">
        <f t="shared" si="274"/>
        <v/>
      </c>
      <c r="L286" s="2154" t="str">
        <f t="shared" si="274"/>
        <v/>
      </c>
      <c r="M286" s="2154" t="str">
        <f t="shared" si="274"/>
        <v/>
      </c>
      <c r="N286" s="2154" t="str">
        <f t="shared" si="274"/>
        <v/>
      </c>
      <c r="O286" s="2154" t="str">
        <f t="shared" si="274"/>
        <v/>
      </c>
    </row>
    <row r="287" spans="1:16" s="445" customFormat="1" ht="13.5" hidden="1" customHeight="1">
      <c r="A287" s="501"/>
      <c r="B287" s="502"/>
      <c r="C287" s="2150">
        <v>11004911</v>
      </c>
      <c r="D287" s="2151" t="s">
        <v>556</v>
      </c>
      <c r="E287" s="2152"/>
      <c r="F287" s="2153"/>
      <c r="G287" s="2117">
        <f t="shared" si="271"/>
        <v>0</v>
      </c>
      <c r="H287" s="2154" t="str">
        <f t="shared" si="263"/>
        <v/>
      </c>
      <c r="I287" s="2154" t="str">
        <f t="shared" si="263"/>
        <v/>
      </c>
      <c r="J287" s="2154" t="str">
        <f t="shared" ref="J287:O287" si="275">IF(J68="","",ROUND(J68+J68/(J$5-J$6)*J$6+J68/(J$5-J$6)*J$15,-3))</f>
        <v/>
      </c>
      <c r="K287" s="2154" t="str">
        <f t="shared" si="275"/>
        <v/>
      </c>
      <c r="L287" s="2154" t="str">
        <f t="shared" si="275"/>
        <v/>
      </c>
      <c r="M287" s="2154" t="str">
        <f t="shared" si="275"/>
        <v/>
      </c>
      <c r="N287" s="2154" t="str">
        <f t="shared" si="275"/>
        <v/>
      </c>
      <c r="O287" s="2154" t="str">
        <f t="shared" si="275"/>
        <v/>
      </c>
    </row>
    <row r="288" spans="1:16" s="445" customFormat="1" ht="13.5" hidden="1" customHeight="1">
      <c r="A288" s="501"/>
      <c r="B288" s="502"/>
      <c r="C288" s="2150">
        <v>11005001</v>
      </c>
      <c r="D288" s="2151" t="s">
        <v>557</v>
      </c>
      <c r="E288" s="2152"/>
      <c r="F288" s="2153"/>
      <c r="G288" s="2117">
        <f t="shared" si="271"/>
        <v>0</v>
      </c>
      <c r="H288" s="2154" t="str">
        <f t="shared" ref="H288:I288" si="276">IF(H$56="050変電所構築物",ROUND(H58+H58/(H$5-H$6)*H$6+H58/(H$5-H$6)*H$15,-3),"")</f>
        <v/>
      </c>
      <c r="I288" s="2154" t="str">
        <f t="shared" si="276"/>
        <v/>
      </c>
      <c r="J288" s="2154" t="str">
        <f t="shared" ref="J288:O288" si="277">IF(J$56="050変電所構築物",ROUND(J58+J58/(J$5-J$6)*J$6+J58/(J$5-J$6)*J$15,-3),"")</f>
        <v/>
      </c>
      <c r="K288" s="2154" t="str">
        <f t="shared" si="277"/>
        <v/>
      </c>
      <c r="L288" s="2154" t="str">
        <f t="shared" si="277"/>
        <v/>
      </c>
      <c r="M288" s="2154" t="str">
        <f t="shared" si="277"/>
        <v/>
      </c>
      <c r="N288" s="2154" t="str">
        <f t="shared" si="277"/>
        <v/>
      </c>
      <c r="O288" s="2154" t="str">
        <f t="shared" si="277"/>
        <v/>
      </c>
    </row>
    <row r="289" spans="1:15" s="445" customFormat="1" ht="13.5" hidden="1" customHeight="1">
      <c r="A289" s="501"/>
      <c r="B289" s="502"/>
      <c r="C289" s="2150">
        <v>11005002</v>
      </c>
      <c r="D289" s="2151" t="s">
        <v>558</v>
      </c>
      <c r="E289" s="2152"/>
      <c r="F289" s="2153"/>
      <c r="G289" s="2117">
        <f t="shared" si="271"/>
        <v>0</v>
      </c>
      <c r="H289" s="2154" t="str">
        <f t="shared" ref="H289:I298" si="278">IF(H$56="050変電所構築物",ROUND(H59+H59/(H$5-H$6)*H$6+H59/(H$5-H$6)*H$15,-3),"")</f>
        <v/>
      </c>
      <c r="I289" s="2154" t="str">
        <f t="shared" si="278"/>
        <v/>
      </c>
      <c r="J289" s="2154" t="str">
        <f t="shared" ref="J289:O289" si="279">IF(J$56="050変電所構築物",ROUND(J59+J59/(J$5-J$6)*J$6+J59/(J$5-J$6)*J$15,-3),"")</f>
        <v/>
      </c>
      <c r="K289" s="2154" t="str">
        <f t="shared" si="279"/>
        <v/>
      </c>
      <c r="L289" s="2154" t="str">
        <f t="shared" si="279"/>
        <v/>
      </c>
      <c r="M289" s="2154" t="str">
        <f t="shared" si="279"/>
        <v/>
      </c>
      <c r="N289" s="2154" t="str">
        <f t="shared" si="279"/>
        <v/>
      </c>
      <c r="O289" s="2154" t="str">
        <f t="shared" si="279"/>
        <v/>
      </c>
    </row>
    <row r="290" spans="1:15" s="445" customFormat="1" ht="13.5" hidden="1" customHeight="1">
      <c r="A290" s="501"/>
      <c r="B290" s="502"/>
      <c r="C290" s="2150">
        <v>11005003</v>
      </c>
      <c r="D290" s="2151" t="s">
        <v>559</v>
      </c>
      <c r="E290" s="2152"/>
      <c r="F290" s="2153"/>
      <c r="G290" s="2117">
        <f t="shared" si="271"/>
        <v>0</v>
      </c>
      <c r="H290" s="2154" t="str">
        <f t="shared" si="278"/>
        <v/>
      </c>
      <c r="I290" s="2154" t="str">
        <f t="shared" si="278"/>
        <v/>
      </c>
      <c r="J290" s="2154" t="str">
        <f t="shared" ref="J290:O290" si="280">IF(J$56="050変電所構築物",ROUND(J60+J60/(J$5-J$6)*J$6+J60/(J$5-J$6)*J$15,-3),"")</f>
        <v/>
      </c>
      <c r="K290" s="2154" t="str">
        <f t="shared" si="280"/>
        <v/>
      </c>
      <c r="L290" s="2154" t="str">
        <f t="shared" si="280"/>
        <v/>
      </c>
      <c r="M290" s="2154" t="str">
        <f t="shared" si="280"/>
        <v/>
      </c>
      <c r="N290" s="2154" t="str">
        <f t="shared" si="280"/>
        <v/>
      </c>
      <c r="O290" s="2154" t="str">
        <f t="shared" si="280"/>
        <v/>
      </c>
    </row>
    <row r="291" spans="1:15" s="445" customFormat="1" ht="13.5" hidden="1" customHeight="1">
      <c r="A291" s="501"/>
      <c r="B291" s="502"/>
      <c r="C291" s="2150">
        <v>11005004</v>
      </c>
      <c r="D291" s="2151" t="s">
        <v>560</v>
      </c>
      <c r="E291" s="2152"/>
      <c r="F291" s="2153"/>
      <c r="G291" s="2117">
        <f t="shared" si="271"/>
        <v>0</v>
      </c>
      <c r="H291" s="2154" t="str">
        <f t="shared" si="278"/>
        <v/>
      </c>
      <c r="I291" s="2154" t="str">
        <f t="shared" si="278"/>
        <v/>
      </c>
      <c r="J291" s="2154" t="str">
        <f t="shared" ref="J291:O291" si="281">IF(J$56="050変電所構築物",ROUND(J61+J61/(J$5-J$6)*J$6+J61/(J$5-J$6)*J$15,-3),"")</f>
        <v/>
      </c>
      <c r="K291" s="2154" t="str">
        <f t="shared" si="281"/>
        <v/>
      </c>
      <c r="L291" s="2154" t="str">
        <f t="shared" si="281"/>
        <v/>
      </c>
      <c r="M291" s="2154" t="str">
        <f t="shared" si="281"/>
        <v/>
      </c>
      <c r="N291" s="2154" t="str">
        <f t="shared" si="281"/>
        <v/>
      </c>
      <c r="O291" s="2154" t="str">
        <f t="shared" si="281"/>
        <v/>
      </c>
    </row>
    <row r="292" spans="1:15" s="445" customFormat="1" ht="13.5" hidden="1" customHeight="1">
      <c r="A292" s="501"/>
      <c r="B292" s="502"/>
      <c r="C292" s="2150">
        <v>11005005</v>
      </c>
      <c r="D292" s="2151" t="s">
        <v>561</v>
      </c>
      <c r="E292" s="2152"/>
      <c r="F292" s="2153"/>
      <c r="G292" s="2117">
        <f t="shared" si="271"/>
        <v>0</v>
      </c>
      <c r="H292" s="2154" t="str">
        <f t="shared" si="278"/>
        <v/>
      </c>
      <c r="I292" s="2154" t="str">
        <f t="shared" si="278"/>
        <v/>
      </c>
      <c r="J292" s="2154" t="str">
        <f t="shared" ref="J292:O292" si="282">IF(J$56="050変電所構築物",ROUND(J62+J62/(J$5-J$6)*J$6+J62/(J$5-J$6)*J$15,-3),"")</f>
        <v/>
      </c>
      <c r="K292" s="2154" t="str">
        <f t="shared" si="282"/>
        <v/>
      </c>
      <c r="L292" s="2154" t="str">
        <f t="shared" si="282"/>
        <v/>
      </c>
      <c r="M292" s="2154" t="str">
        <f t="shared" si="282"/>
        <v/>
      </c>
      <c r="N292" s="2154" t="str">
        <f t="shared" si="282"/>
        <v/>
      </c>
      <c r="O292" s="2154" t="str">
        <f t="shared" si="282"/>
        <v/>
      </c>
    </row>
    <row r="293" spans="1:15" s="445" customFormat="1" ht="13.5" hidden="1" customHeight="1">
      <c r="A293" s="501"/>
      <c r="B293" s="502"/>
      <c r="C293" s="2150">
        <v>11005006</v>
      </c>
      <c r="D293" s="2151" t="s">
        <v>562</v>
      </c>
      <c r="E293" s="2152"/>
      <c r="F293" s="2153"/>
      <c r="G293" s="2117">
        <f t="shared" si="271"/>
        <v>0</v>
      </c>
      <c r="H293" s="2154" t="str">
        <f t="shared" ref="H293:I293" si="283">IF(H$56="050変電所構築物",ROUND(H63+H63/(H$5-H$6)*H$6+H63/(H$5-H$6)*H$15,-3),"")</f>
        <v/>
      </c>
      <c r="I293" s="2154" t="str">
        <f t="shared" si="283"/>
        <v/>
      </c>
      <c r="J293" s="2154" t="str">
        <f t="shared" ref="J293:O293" si="284">IF(J$56="050変電所構築物",ROUND(J63+J63/(J$5-J$6)*J$6+J63/(J$5-J$6)*J$15,-3),"")</f>
        <v/>
      </c>
      <c r="K293" s="2154" t="str">
        <f t="shared" si="284"/>
        <v/>
      </c>
      <c r="L293" s="2154" t="str">
        <f t="shared" si="284"/>
        <v/>
      </c>
      <c r="M293" s="2154" t="str">
        <f t="shared" si="284"/>
        <v/>
      </c>
      <c r="N293" s="2154" t="str">
        <f t="shared" si="284"/>
        <v/>
      </c>
      <c r="O293" s="2154" t="str">
        <f t="shared" si="284"/>
        <v/>
      </c>
    </row>
    <row r="294" spans="1:15" s="445" customFormat="1" ht="13.5" hidden="1" customHeight="1">
      <c r="A294" s="501"/>
      <c r="B294" s="502"/>
      <c r="C294" s="2150">
        <v>11005007</v>
      </c>
      <c r="D294" s="2151" t="s">
        <v>563</v>
      </c>
      <c r="E294" s="2152"/>
      <c r="F294" s="2153"/>
      <c r="G294" s="2117">
        <f t="shared" si="271"/>
        <v>0</v>
      </c>
      <c r="H294" s="2154" t="str">
        <f t="shared" si="278"/>
        <v/>
      </c>
      <c r="I294" s="2154" t="str">
        <f t="shared" si="278"/>
        <v/>
      </c>
      <c r="J294" s="2154" t="str">
        <f t="shared" ref="J294:O294" si="285">IF(J$56="050変電所構築物",ROUND(J64+J64/(J$5-J$6)*J$6+J64/(J$5-J$6)*J$15,-3),"")</f>
        <v/>
      </c>
      <c r="K294" s="2154" t="str">
        <f t="shared" si="285"/>
        <v/>
      </c>
      <c r="L294" s="2154" t="str">
        <f t="shared" si="285"/>
        <v/>
      </c>
      <c r="M294" s="2154" t="str">
        <f t="shared" si="285"/>
        <v/>
      </c>
      <c r="N294" s="2154" t="str">
        <f t="shared" si="285"/>
        <v/>
      </c>
      <c r="O294" s="2154" t="str">
        <f t="shared" si="285"/>
        <v/>
      </c>
    </row>
    <row r="295" spans="1:15" s="445" customFormat="1" ht="13.5" hidden="1" customHeight="1">
      <c r="A295" s="501"/>
      <c r="B295" s="502"/>
      <c r="C295" s="2150">
        <v>11005008</v>
      </c>
      <c r="D295" s="2151" t="s">
        <v>564</v>
      </c>
      <c r="E295" s="2152"/>
      <c r="F295" s="2153"/>
      <c r="G295" s="2117">
        <f t="shared" si="271"/>
        <v>0</v>
      </c>
      <c r="H295" s="2154" t="str">
        <f t="shared" si="278"/>
        <v/>
      </c>
      <c r="I295" s="2154" t="str">
        <f t="shared" si="278"/>
        <v/>
      </c>
      <c r="J295" s="2154" t="str">
        <f t="shared" ref="J295:O295" si="286">IF(J$56="050変電所構築物",ROUND(J65+J65/(J$5-J$6)*J$6+J65/(J$5-J$6)*J$15,-3),"")</f>
        <v/>
      </c>
      <c r="K295" s="2154" t="str">
        <f t="shared" si="286"/>
        <v/>
      </c>
      <c r="L295" s="2154" t="str">
        <f t="shared" si="286"/>
        <v/>
      </c>
      <c r="M295" s="2154" t="str">
        <f t="shared" si="286"/>
        <v/>
      </c>
      <c r="N295" s="2154" t="str">
        <f t="shared" si="286"/>
        <v/>
      </c>
      <c r="O295" s="2154" t="str">
        <f t="shared" si="286"/>
        <v/>
      </c>
    </row>
    <row r="296" spans="1:15" s="445" customFormat="1" ht="13.5" hidden="1" customHeight="1">
      <c r="A296" s="501"/>
      <c r="B296" s="502"/>
      <c r="C296" s="2150">
        <v>11005009</v>
      </c>
      <c r="D296" s="2151" t="s">
        <v>565</v>
      </c>
      <c r="E296" s="2152"/>
      <c r="F296" s="2153"/>
      <c r="G296" s="2117">
        <f t="shared" si="271"/>
        <v>0</v>
      </c>
      <c r="H296" s="2154" t="str">
        <f t="shared" si="278"/>
        <v/>
      </c>
      <c r="I296" s="2154" t="str">
        <f t="shared" si="278"/>
        <v/>
      </c>
      <c r="J296" s="2154" t="str">
        <f t="shared" ref="J296:O296" si="287">IF(J$56="050変電所構築物",ROUND(J66+J66/(J$5-J$6)*J$6+J66/(J$5-J$6)*J$15,-3),"")</f>
        <v/>
      </c>
      <c r="K296" s="2154" t="str">
        <f t="shared" si="287"/>
        <v/>
      </c>
      <c r="L296" s="2154" t="str">
        <f t="shared" si="287"/>
        <v/>
      </c>
      <c r="M296" s="2154" t="str">
        <f t="shared" si="287"/>
        <v/>
      </c>
      <c r="N296" s="2154" t="str">
        <f t="shared" si="287"/>
        <v/>
      </c>
      <c r="O296" s="2154" t="str">
        <f t="shared" si="287"/>
        <v/>
      </c>
    </row>
    <row r="297" spans="1:15" s="445" customFormat="1" ht="13.5" hidden="1" customHeight="1">
      <c r="A297" s="501"/>
      <c r="B297" s="502"/>
      <c r="C297" s="2150">
        <v>11005010</v>
      </c>
      <c r="D297" s="2151" t="s">
        <v>566</v>
      </c>
      <c r="E297" s="2152"/>
      <c r="F297" s="2153"/>
      <c r="G297" s="2117">
        <f t="shared" si="271"/>
        <v>0</v>
      </c>
      <c r="H297" s="2154" t="str">
        <f t="shared" si="278"/>
        <v/>
      </c>
      <c r="I297" s="2154" t="str">
        <f t="shared" si="278"/>
        <v/>
      </c>
      <c r="J297" s="2154" t="str">
        <f t="shared" ref="J297:O297" si="288">IF(J$56="050変電所構築物",ROUND(J67+J67/(J$5-J$6)*J$6+J67/(J$5-J$6)*J$15,-3),"")</f>
        <v/>
      </c>
      <c r="K297" s="2154" t="str">
        <f t="shared" si="288"/>
        <v/>
      </c>
      <c r="L297" s="2154" t="str">
        <f t="shared" si="288"/>
        <v/>
      </c>
      <c r="M297" s="2154" t="str">
        <f t="shared" si="288"/>
        <v/>
      </c>
      <c r="N297" s="2154" t="str">
        <f t="shared" si="288"/>
        <v/>
      </c>
      <c r="O297" s="2154" t="str">
        <f t="shared" si="288"/>
        <v/>
      </c>
    </row>
    <row r="298" spans="1:15" s="445" customFormat="1" ht="13.5" hidden="1" customHeight="1">
      <c r="A298" s="501"/>
      <c r="B298" s="502"/>
      <c r="C298" s="2150">
        <v>11005011</v>
      </c>
      <c r="D298" s="2151" t="s">
        <v>567</v>
      </c>
      <c r="E298" s="2152"/>
      <c r="F298" s="2153"/>
      <c r="G298" s="2117">
        <f t="shared" si="271"/>
        <v>0</v>
      </c>
      <c r="H298" s="2154" t="str">
        <f t="shared" si="278"/>
        <v/>
      </c>
      <c r="I298" s="2154" t="str">
        <f t="shared" si="278"/>
        <v/>
      </c>
      <c r="J298" s="2154" t="str">
        <f t="shared" ref="J298:O298" si="289">IF(J$56="050変電所構築物",ROUND(J68+J68/(J$5-J$6)*J$6+J68/(J$5-J$6)*J$15,-3),"")</f>
        <v/>
      </c>
      <c r="K298" s="2154" t="str">
        <f t="shared" si="289"/>
        <v/>
      </c>
      <c r="L298" s="2154" t="str">
        <f t="shared" si="289"/>
        <v/>
      </c>
      <c r="M298" s="2154" t="str">
        <f t="shared" si="289"/>
        <v/>
      </c>
      <c r="N298" s="2154" t="str">
        <f t="shared" si="289"/>
        <v/>
      </c>
      <c r="O298" s="2154" t="str">
        <f t="shared" si="289"/>
        <v/>
      </c>
    </row>
    <row r="299" spans="1:15" s="445" customFormat="1" ht="13.5" hidden="1" customHeight="1">
      <c r="A299" s="501"/>
      <c r="B299" s="502"/>
      <c r="C299" s="2150">
        <v>11099901</v>
      </c>
      <c r="D299" s="2151" t="s">
        <v>568</v>
      </c>
      <c r="E299" s="2152"/>
      <c r="F299" s="2153"/>
      <c r="G299" s="2117">
        <f t="shared" si="271"/>
        <v>0</v>
      </c>
      <c r="H299" s="2154" t="str">
        <f t="shared" ref="H299:I300" si="290">IF(H$56="999雑構築物",ROUND(H58+H58/(H$5-H$6)*H$6+H58/(H$5-H$6)*H$15,-3),"")</f>
        <v/>
      </c>
      <c r="I299" s="2154" t="str">
        <f t="shared" si="290"/>
        <v/>
      </c>
      <c r="J299" s="2154" t="str">
        <f t="shared" ref="J299:O299" si="291">IF(J$56="999雑構築物",ROUND(J58+J58/(J$5-J$6)*J$6+J58/(J$5-J$6)*J$15,-3),"")</f>
        <v/>
      </c>
      <c r="K299" s="2154" t="str">
        <f t="shared" si="291"/>
        <v/>
      </c>
      <c r="L299" s="2154" t="str">
        <f t="shared" si="291"/>
        <v/>
      </c>
      <c r="M299" s="2154" t="str">
        <f t="shared" si="291"/>
        <v/>
      </c>
      <c r="N299" s="2154" t="str">
        <f t="shared" si="291"/>
        <v/>
      </c>
      <c r="O299" s="2154" t="str">
        <f t="shared" si="291"/>
        <v/>
      </c>
    </row>
    <row r="300" spans="1:15" s="445" customFormat="1" ht="13.5" hidden="1" customHeight="1">
      <c r="A300" s="501"/>
      <c r="B300" s="502"/>
      <c r="C300" s="2150">
        <v>11099902</v>
      </c>
      <c r="D300" s="2151" t="s">
        <v>569</v>
      </c>
      <c r="E300" s="2152"/>
      <c r="F300" s="2153"/>
      <c r="G300" s="2117">
        <f t="shared" si="271"/>
        <v>0</v>
      </c>
      <c r="H300" s="2154" t="str">
        <f t="shared" si="290"/>
        <v/>
      </c>
      <c r="I300" s="2154" t="str">
        <f t="shared" si="290"/>
        <v/>
      </c>
      <c r="J300" s="2154" t="str">
        <f t="shared" ref="J300:O300" si="292">IF(J$56="999雑構築物",ROUND(J59+J59/(J$5-J$6)*J$6+J59/(J$5-J$6)*J$15,-3),"")</f>
        <v/>
      </c>
      <c r="K300" s="2154" t="str">
        <f t="shared" si="292"/>
        <v/>
      </c>
      <c r="L300" s="2154" t="str">
        <f t="shared" si="292"/>
        <v/>
      </c>
      <c r="M300" s="2154" t="str">
        <f t="shared" si="292"/>
        <v/>
      </c>
      <c r="N300" s="2154" t="str">
        <f t="shared" si="292"/>
        <v/>
      </c>
      <c r="O300" s="2154" t="str">
        <f t="shared" si="292"/>
        <v/>
      </c>
    </row>
    <row r="301" spans="1:15" s="445" customFormat="1" ht="13.5" hidden="1" customHeight="1">
      <c r="A301" s="501"/>
      <c r="B301" s="502"/>
      <c r="C301" s="2150">
        <v>11099903</v>
      </c>
      <c r="D301" s="2151" t="s">
        <v>570</v>
      </c>
      <c r="E301" s="2152"/>
      <c r="F301" s="2153"/>
      <c r="G301" s="2117">
        <f t="shared" si="271"/>
        <v>0</v>
      </c>
      <c r="H301" s="2154" t="str">
        <f t="shared" ref="H301:I307" si="293">IF(H$56="999雑構築物",ROUND(H60+H60/(H$5-H$6)*H$6+H60/(H$5-H$6)*H$15,-3),"")</f>
        <v/>
      </c>
      <c r="I301" s="2154" t="str">
        <f t="shared" si="293"/>
        <v/>
      </c>
      <c r="J301" s="2154" t="str">
        <f t="shared" ref="J301:O301" si="294">IF(J$56="999雑構築物",ROUND(J60+J60/(J$5-J$6)*J$6+J60/(J$5-J$6)*J$15,-3),"")</f>
        <v/>
      </c>
      <c r="K301" s="2154" t="str">
        <f t="shared" si="294"/>
        <v/>
      </c>
      <c r="L301" s="2154" t="str">
        <f t="shared" si="294"/>
        <v/>
      </c>
      <c r="M301" s="2154" t="str">
        <f t="shared" si="294"/>
        <v/>
      </c>
      <c r="N301" s="2154" t="str">
        <f t="shared" si="294"/>
        <v/>
      </c>
      <c r="O301" s="2154" t="str">
        <f t="shared" si="294"/>
        <v/>
      </c>
    </row>
    <row r="302" spans="1:15" s="445" customFormat="1" ht="13.5" hidden="1" customHeight="1">
      <c r="A302" s="501"/>
      <c r="B302" s="502"/>
      <c r="C302" s="2150">
        <v>11099904</v>
      </c>
      <c r="D302" s="2151" t="s">
        <v>571</v>
      </c>
      <c r="E302" s="2152"/>
      <c r="F302" s="2153"/>
      <c r="G302" s="2117">
        <f t="shared" si="271"/>
        <v>0</v>
      </c>
      <c r="H302" s="2154" t="str">
        <f t="shared" si="293"/>
        <v/>
      </c>
      <c r="I302" s="2154" t="str">
        <f t="shared" si="293"/>
        <v/>
      </c>
      <c r="J302" s="2154" t="str">
        <f t="shared" ref="J302:O302" si="295">IF(J$56="999雑構築物",ROUND(J61+J61/(J$5-J$6)*J$6+J61/(J$5-J$6)*J$15,-3),"")</f>
        <v/>
      </c>
      <c r="K302" s="2154" t="str">
        <f t="shared" si="295"/>
        <v/>
      </c>
      <c r="L302" s="2154" t="str">
        <f t="shared" si="295"/>
        <v/>
      </c>
      <c r="M302" s="2154" t="str">
        <f t="shared" si="295"/>
        <v/>
      </c>
      <c r="N302" s="2154" t="str">
        <f t="shared" si="295"/>
        <v/>
      </c>
      <c r="O302" s="2154" t="str">
        <f t="shared" si="295"/>
        <v/>
      </c>
    </row>
    <row r="303" spans="1:15" s="445" customFormat="1" ht="13.5" hidden="1" customHeight="1">
      <c r="A303" s="501"/>
      <c r="B303" s="502"/>
      <c r="C303" s="2150">
        <v>11099905</v>
      </c>
      <c r="D303" s="2151" t="s">
        <v>572</v>
      </c>
      <c r="E303" s="2152"/>
      <c r="F303" s="2153"/>
      <c r="G303" s="2117">
        <f t="shared" si="271"/>
        <v>0</v>
      </c>
      <c r="H303" s="2154" t="str">
        <f t="shared" si="293"/>
        <v/>
      </c>
      <c r="I303" s="2154" t="str">
        <f t="shared" si="293"/>
        <v/>
      </c>
      <c r="J303" s="2154" t="str">
        <f t="shared" ref="J303:O303" si="296">IF(J$56="999雑構築物",ROUND(J62+J62/(J$5-J$6)*J$6+J62/(J$5-J$6)*J$15,-3),"")</f>
        <v/>
      </c>
      <c r="K303" s="2154" t="str">
        <f t="shared" si="296"/>
        <v/>
      </c>
      <c r="L303" s="2154" t="str">
        <f t="shared" si="296"/>
        <v/>
      </c>
      <c r="M303" s="2154" t="str">
        <f t="shared" si="296"/>
        <v/>
      </c>
      <c r="N303" s="2154" t="str">
        <f t="shared" si="296"/>
        <v/>
      </c>
      <c r="O303" s="2154" t="str">
        <f t="shared" si="296"/>
        <v/>
      </c>
    </row>
    <row r="304" spans="1:15" s="445" customFormat="1" ht="13.5" hidden="1" customHeight="1">
      <c r="A304" s="501"/>
      <c r="B304" s="502"/>
      <c r="C304" s="2150">
        <v>11099906</v>
      </c>
      <c r="D304" s="2151" t="s">
        <v>573</v>
      </c>
      <c r="E304" s="2152"/>
      <c r="F304" s="2153"/>
      <c r="G304" s="2117">
        <f t="shared" si="271"/>
        <v>0</v>
      </c>
      <c r="H304" s="2154" t="str">
        <f t="shared" si="293"/>
        <v/>
      </c>
      <c r="I304" s="2154" t="str">
        <f t="shared" si="293"/>
        <v/>
      </c>
      <c r="J304" s="2154" t="str">
        <f t="shared" ref="J304:O304" si="297">IF(J$56="999雑構築物",ROUND(J63+J63/(J$5-J$6)*J$6+J63/(J$5-J$6)*J$15,-3),"")</f>
        <v/>
      </c>
      <c r="K304" s="2154" t="str">
        <f t="shared" si="297"/>
        <v/>
      </c>
      <c r="L304" s="2154" t="str">
        <f t="shared" si="297"/>
        <v/>
      </c>
      <c r="M304" s="2154" t="str">
        <f t="shared" si="297"/>
        <v/>
      </c>
      <c r="N304" s="2154" t="str">
        <f t="shared" si="297"/>
        <v/>
      </c>
      <c r="O304" s="2154" t="str">
        <f t="shared" si="297"/>
        <v/>
      </c>
    </row>
    <row r="305" spans="1:16" s="445" customFormat="1" ht="13.5" hidden="1" customHeight="1">
      <c r="A305" s="501"/>
      <c r="B305" s="502"/>
      <c r="C305" s="2150">
        <v>11099907</v>
      </c>
      <c r="D305" s="2151" t="s">
        <v>574</v>
      </c>
      <c r="E305" s="2152"/>
      <c r="F305" s="2153"/>
      <c r="G305" s="2117">
        <f t="shared" si="271"/>
        <v>0</v>
      </c>
      <c r="H305" s="2154" t="str">
        <f t="shared" si="293"/>
        <v/>
      </c>
      <c r="I305" s="2154" t="str">
        <f t="shared" si="293"/>
        <v/>
      </c>
      <c r="J305" s="2154" t="str">
        <f t="shared" ref="J305:O305" si="298">IF(J$56="999雑構築物",ROUND(J64+J64/(J$5-J$6)*J$6+J64/(J$5-J$6)*J$15,-3),"")</f>
        <v/>
      </c>
      <c r="K305" s="2154" t="str">
        <f t="shared" si="298"/>
        <v/>
      </c>
      <c r="L305" s="2154" t="str">
        <f t="shared" si="298"/>
        <v/>
      </c>
      <c r="M305" s="2154" t="str">
        <f t="shared" si="298"/>
        <v/>
      </c>
      <c r="N305" s="2154" t="str">
        <f t="shared" si="298"/>
        <v/>
      </c>
      <c r="O305" s="2154" t="str">
        <f t="shared" si="298"/>
        <v/>
      </c>
    </row>
    <row r="306" spans="1:16" s="445" customFormat="1" ht="13.5" hidden="1" customHeight="1">
      <c r="A306" s="501"/>
      <c r="B306" s="502"/>
      <c r="C306" s="2150">
        <v>11099908</v>
      </c>
      <c r="D306" s="2151" t="s">
        <v>575</v>
      </c>
      <c r="E306" s="2152"/>
      <c r="F306" s="2153"/>
      <c r="G306" s="2117">
        <f t="shared" si="271"/>
        <v>0</v>
      </c>
      <c r="H306" s="2154" t="str">
        <f t="shared" si="293"/>
        <v/>
      </c>
      <c r="I306" s="2154" t="str">
        <f t="shared" si="293"/>
        <v/>
      </c>
      <c r="J306" s="2154" t="str">
        <f t="shared" ref="J306:O306" si="299">IF(J$56="999雑構築物",ROUND(J65+J65/(J$5-J$6)*J$6+J65/(J$5-J$6)*J$15,-3),"")</f>
        <v/>
      </c>
      <c r="K306" s="2154" t="str">
        <f t="shared" si="299"/>
        <v/>
      </c>
      <c r="L306" s="2154" t="str">
        <f t="shared" si="299"/>
        <v/>
      </c>
      <c r="M306" s="2154" t="str">
        <f t="shared" si="299"/>
        <v/>
      </c>
      <c r="N306" s="2154" t="str">
        <f t="shared" si="299"/>
        <v/>
      </c>
      <c r="O306" s="2154" t="str">
        <f t="shared" si="299"/>
        <v/>
      </c>
    </row>
    <row r="307" spans="1:16" s="445" customFormat="1" ht="13.5" hidden="1" customHeight="1">
      <c r="A307" s="501"/>
      <c r="B307" s="502"/>
      <c r="C307" s="2150">
        <v>11099909</v>
      </c>
      <c r="D307" s="2151" t="s">
        <v>576</v>
      </c>
      <c r="E307" s="2152"/>
      <c r="F307" s="2153"/>
      <c r="G307" s="2117">
        <f t="shared" si="271"/>
        <v>0</v>
      </c>
      <c r="H307" s="2154" t="str">
        <f t="shared" si="293"/>
        <v/>
      </c>
      <c r="I307" s="2154" t="str">
        <f t="shared" si="293"/>
        <v/>
      </c>
      <c r="J307" s="2154" t="str">
        <f t="shared" ref="J307:O307" si="300">IF(J$56="999雑構築物",ROUND(J66+J66/(J$5-J$6)*J$6+J66/(J$5-J$6)*J$15,-3),"")</f>
        <v/>
      </c>
      <c r="K307" s="2154" t="str">
        <f t="shared" si="300"/>
        <v/>
      </c>
      <c r="L307" s="2154" t="str">
        <f t="shared" si="300"/>
        <v/>
      </c>
      <c r="M307" s="2154" t="str">
        <f t="shared" si="300"/>
        <v/>
      </c>
      <c r="N307" s="2154" t="str">
        <f t="shared" si="300"/>
        <v/>
      </c>
      <c r="O307" s="2154" t="str">
        <f t="shared" si="300"/>
        <v/>
      </c>
    </row>
    <row r="308" spans="1:16" s="445" customFormat="1" ht="13.5" hidden="1" customHeight="1">
      <c r="A308" s="501"/>
      <c r="B308" s="502"/>
      <c r="C308" s="2150">
        <v>11099910</v>
      </c>
      <c r="D308" s="2151" t="s">
        <v>577</v>
      </c>
      <c r="E308" s="2152"/>
      <c r="F308" s="2153"/>
      <c r="G308" s="2117">
        <f t="shared" si="271"/>
        <v>0</v>
      </c>
      <c r="H308" s="2154" t="str">
        <f t="shared" ref="H308:I309" si="301">IF(H$56="999雑構築物",ROUND(H67+H67/(H$5-H$6)*H$6+H67/(H$5-H$6)*H$15,-3),"")</f>
        <v/>
      </c>
      <c r="I308" s="2154" t="str">
        <f t="shared" si="301"/>
        <v/>
      </c>
      <c r="J308" s="2154" t="str">
        <f t="shared" ref="J308:O308" si="302">IF(J$56="999雑構築物",ROUND(J67+J67/(J$5-J$6)*J$6+J67/(J$5-J$6)*J$15,-3),"")</f>
        <v/>
      </c>
      <c r="K308" s="2154" t="str">
        <f t="shared" si="302"/>
        <v/>
      </c>
      <c r="L308" s="2154" t="str">
        <f t="shared" si="302"/>
        <v/>
      </c>
      <c r="M308" s="2154" t="str">
        <f t="shared" si="302"/>
        <v/>
      </c>
      <c r="N308" s="2154" t="str">
        <f t="shared" si="302"/>
        <v/>
      </c>
      <c r="O308" s="2154" t="str">
        <f t="shared" si="302"/>
        <v/>
      </c>
    </row>
    <row r="309" spans="1:16" s="445" customFormat="1" ht="13.5" hidden="1" customHeight="1">
      <c r="A309" s="501"/>
      <c r="B309" s="502"/>
      <c r="C309" s="2150">
        <v>11099911</v>
      </c>
      <c r="D309" s="2151" t="s">
        <v>578</v>
      </c>
      <c r="E309" s="2152"/>
      <c r="F309" s="2153"/>
      <c r="G309" s="2117">
        <f t="shared" si="271"/>
        <v>0</v>
      </c>
      <c r="H309" s="2154" t="str">
        <f t="shared" si="301"/>
        <v/>
      </c>
      <c r="I309" s="2154" t="str">
        <f t="shared" si="301"/>
        <v/>
      </c>
      <c r="J309" s="2154" t="str">
        <f t="shared" ref="J309:O309" si="303">IF(J$56="999雑構築物",ROUND(J68+J68/(J$5-J$6)*J$6+J68/(J$5-J$6)*J$15,-3),"")</f>
        <v/>
      </c>
      <c r="K309" s="2154" t="str">
        <f t="shared" si="303"/>
        <v/>
      </c>
      <c r="L309" s="2154" t="str">
        <f t="shared" si="303"/>
        <v/>
      </c>
      <c r="M309" s="2154" t="str">
        <f t="shared" si="303"/>
        <v/>
      </c>
      <c r="N309" s="2154" t="str">
        <f t="shared" si="303"/>
        <v/>
      </c>
      <c r="O309" s="2154" t="str">
        <f t="shared" si="303"/>
        <v/>
      </c>
    </row>
    <row r="310" spans="1:16" s="458" customFormat="1" ht="13.5" hidden="1" customHeight="1">
      <c r="A310" s="480"/>
      <c r="B310" s="481"/>
      <c r="C310" s="481"/>
      <c r="D310" s="481"/>
      <c r="E310" s="481"/>
      <c r="F310" s="482" t="s">
        <v>579</v>
      </c>
      <c r="G310" s="483">
        <f t="shared" si="271"/>
        <v>0</v>
      </c>
      <c r="H310" s="539">
        <f t="shared" ref="H310:I310" si="304">IF(H4="費用",0,SUM(H275:H309))</f>
        <v>0</v>
      </c>
      <c r="I310" s="539">
        <f t="shared" si="304"/>
        <v>0</v>
      </c>
      <c r="J310" s="539">
        <f t="shared" ref="J310:O310" si="305">IF(J4="費用",0,SUM(J275:J309))</f>
        <v>0</v>
      </c>
      <c r="K310" s="539">
        <f t="shared" si="305"/>
        <v>0</v>
      </c>
      <c r="L310" s="539">
        <f t="shared" si="305"/>
        <v>0</v>
      </c>
      <c r="M310" s="539">
        <f t="shared" si="305"/>
        <v>0</v>
      </c>
      <c r="N310" s="539">
        <f t="shared" si="305"/>
        <v>0</v>
      </c>
      <c r="O310" s="539">
        <f t="shared" si="305"/>
        <v>0</v>
      </c>
      <c r="P310" s="445"/>
    </row>
    <row r="311" spans="1:16" ht="13.5" hidden="1" customHeight="1">
      <c r="A311" s="424"/>
      <c r="B311" s="436"/>
      <c r="C311" s="2162">
        <v>12505958</v>
      </c>
      <c r="D311" s="452" t="str">
        <f>+F74</f>
        <v>看板・広告機器-(主として金属製)</v>
      </c>
      <c r="E311" s="452"/>
      <c r="F311" s="437"/>
      <c r="G311" s="439">
        <f t="shared" ca="1" si="271"/>
        <v>0</v>
      </c>
      <c r="H311" s="2154">
        <f t="shared" ref="H311:I311" ca="1" si="306">IF(H74="","",ROUND(H74+H74/(H$5-H$6)*H$6+H74/(H$5-H$6)*H$15,-3))</f>
        <v>0</v>
      </c>
      <c r="I311" s="2154">
        <f t="shared" ca="1" si="306"/>
        <v>0</v>
      </c>
      <c r="J311" s="2154">
        <f t="shared" ref="J311:O311" ca="1" si="307">IF(J74="","",ROUND(J74+J74/(J$5-J$6)*J$6+J74/(J$5-J$6)*J$15,-3))</f>
        <v>0</v>
      </c>
      <c r="K311" s="2154">
        <f t="shared" ca="1" si="307"/>
        <v>0</v>
      </c>
      <c r="L311" s="2154">
        <f t="shared" ca="1" si="307"/>
        <v>0</v>
      </c>
      <c r="M311" s="2154">
        <f t="shared" ca="1" si="307"/>
        <v>0</v>
      </c>
      <c r="N311" s="2154">
        <f t="shared" ca="1" si="307"/>
        <v>0</v>
      </c>
      <c r="O311" s="2154">
        <f t="shared" ca="1" si="307"/>
        <v>0</v>
      </c>
    </row>
    <row r="312" spans="1:16" ht="13.5" hidden="1" customHeight="1">
      <c r="A312" s="424"/>
      <c r="B312" s="436"/>
      <c r="C312" s="2163">
        <v>12505959</v>
      </c>
      <c r="D312" s="2164" t="str">
        <f>+F80</f>
        <v>看板・広告機器-その他のもの</v>
      </c>
      <c r="E312" s="2164"/>
      <c r="F312" s="2114"/>
      <c r="G312" s="2117">
        <f t="shared" ca="1" si="271"/>
        <v>15232000</v>
      </c>
      <c r="H312" s="2154">
        <f t="shared" ref="H312:I312" ca="1" si="308">IF(H80="","",ROUND(H80+H80/(H$5-H$6)*H$6+H80/(H$5-H$6)*H$15,-3))</f>
        <v>4836000</v>
      </c>
      <c r="I312" s="2154">
        <f t="shared" ca="1" si="308"/>
        <v>0</v>
      </c>
      <c r="J312" s="2154">
        <f t="shared" ref="J312:O312" ca="1" si="309">IF(J80="","",ROUND(J80+J80/(J$5-J$6)*J$6+J80/(J$5-J$6)*J$15,-3))</f>
        <v>467000</v>
      </c>
      <c r="K312" s="2154">
        <f t="shared" ca="1" si="309"/>
        <v>1458000</v>
      </c>
      <c r="L312" s="2154">
        <f t="shared" ca="1" si="309"/>
        <v>592000</v>
      </c>
      <c r="M312" s="2154">
        <f t="shared" ca="1" si="309"/>
        <v>5157000</v>
      </c>
      <c r="N312" s="2154">
        <f t="shared" ca="1" si="309"/>
        <v>0</v>
      </c>
      <c r="O312" s="2154">
        <f t="shared" ca="1" si="309"/>
        <v>2722000</v>
      </c>
    </row>
    <row r="313" spans="1:16" ht="13.5" hidden="1" customHeight="1">
      <c r="A313" s="424"/>
      <c r="B313" s="436"/>
      <c r="C313" s="2165">
        <v>12505988</v>
      </c>
      <c r="D313" s="2164" t="s">
        <v>360</v>
      </c>
      <c r="E313" s="2164"/>
      <c r="F313" s="2114"/>
      <c r="G313" s="2117">
        <f t="shared" ca="1" si="271"/>
        <v>0</v>
      </c>
      <c r="H313" s="2122">
        <f t="shared" ref="H313:I316" ca="1" si="310">IF(H83="","",ROUND(H83+H83/(H$5-H$6)*H$6+H83/(H$5-H$6)*H$15,-3))</f>
        <v>0</v>
      </c>
      <c r="I313" s="2122">
        <f t="shared" ca="1" si="310"/>
        <v>0</v>
      </c>
      <c r="J313" s="2122">
        <f t="shared" ref="J313:O313" ca="1" si="311">IF(J83="","",ROUND(J83+J83/(J$5-J$6)*J$6+J83/(J$5-J$6)*J$15,-3))</f>
        <v>0</v>
      </c>
      <c r="K313" s="2122">
        <f t="shared" ca="1" si="311"/>
        <v>0</v>
      </c>
      <c r="L313" s="2122">
        <f t="shared" ca="1" si="311"/>
        <v>0</v>
      </c>
      <c r="M313" s="2122">
        <f t="shared" ca="1" si="311"/>
        <v>0</v>
      </c>
      <c r="N313" s="2122">
        <f t="shared" ca="1" si="311"/>
        <v>0</v>
      </c>
      <c r="O313" s="2122">
        <f t="shared" ca="1" si="311"/>
        <v>0</v>
      </c>
    </row>
    <row r="314" spans="1:16" ht="13.5" hidden="1" customHeight="1">
      <c r="A314" s="424"/>
      <c r="B314" s="436"/>
      <c r="C314" s="2165">
        <v>12505990</v>
      </c>
      <c r="D314" s="2164" t="s">
        <v>362</v>
      </c>
      <c r="E314" s="2164"/>
      <c r="F314" s="2114"/>
      <c r="G314" s="2117">
        <f t="shared" ca="1" si="271"/>
        <v>0</v>
      </c>
      <c r="H314" s="2122">
        <f t="shared" ca="1" si="310"/>
        <v>0</v>
      </c>
      <c r="I314" s="2122">
        <f t="shared" ca="1" si="310"/>
        <v>0</v>
      </c>
      <c r="J314" s="2122">
        <f t="shared" ref="J314:O314" ca="1" si="312">IF(J84="","",ROUND(J84+J84/(J$5-J$6)*J$6+J84/(J$5-J$6)*J$15,-3))</f>
        <v>0</v>
      </c>
      <c r="K314" s="2122">
        <f t="shared" ca="1" si="312"/>
        <v>0</v>
      </c>
      <c r="L314" s="2122">
        <f t="shared" ca="1" si="312"/>
        <v>0</v>
      </c>
      <c r="M314" s="2122">
        <f t="shared" ca="1" si="312"/>
        <v>0</v>
      </c>
      <c r="N314" s="2122">
        <f t="shared" ca="1" si="312"/>
        <v>0</v>
      </c>
      <c r="O314" s="2122">
        <f t="shared" ca="1" si="312"/>
        <v>0</v>
      </c>
    </row>
    <row r="315" spans="1:16" ht="13.5" hidden="1" customHeight="1">
      <c r="A315" s="424"/>
      <c r="B315" s="436"/>
      <c r="C315" s="2165">
        <v>12505991</v>
      </c>
      <c r="D315" s="2164" t="s">
        <v>364</v>
      </c>
      <c r="E315" s="2164"/>
      <c r="F315" s="2114"/>
      <c r="G315" s="2117">
        <f t="shared" ca="1" si="271"/>
        <v>0</v>
      </c>
      <c r="H315" s="2122">
        <f t="shared" ca="1" si="310"/>
        <v>0</v>
      </c>
      <c r="I315" s="2122">
        <f t="shared" ca="1" si="310"/>
        <v>0</v>
      </c>
      <c r="J315" s="2122">
        <f t="shared" ref="J315:O315" ca="1" si="313">IF(J85="","",ROUND(J85+J85/(J$5-J$6)*J$6+J85/(J$5-J$6)*J$15,-3))</f>
        <v>0</v>
      </c>
      <c r="K315" s="2122">
        <f t="shared" ca="1" si="313"/>
        <v>0</v>
      </c>
      <c r="L315" s="2122">
        <f t="shared" ca="1" si="313"/>
        <v>0</v>
      </c>
      <c r="M315" s="2122">
        <f t="shared" ca="1" si="313"/>
        <v>0</v>
      </c>
      <c r="N315" s="2122">
        <f t="shared" ca="1" si="313"/>
        <v>0</v>
      </c>
      <c r="O315" s="2122">
        <f t="shared" ca="1" si="313"/>
        <v>0</v>
      </c>
    </row>
    <row r="316" spans="1:16" ht="13.5" hidden="1" customHeight="1">
      <c r="A316" s="424"/>
      <c r="B316" s="436"/>
      <c r="C316" s="2155"/>
      <c r="D316" s="2156"/>
      <c r="E316" s="2157"/>
      <c r="F316" s="2125"/>
      <c r="G316" s="2158">
        <f t="shared" si="271"/>
        <v>0</v>
      </c>
      <c r="H316" s="2161" t="str">
        <f t="shared" si="310"/>
        <v/>
      </c>
      <c r="I316" s="2161" t="str">
        <f t="shared" si="310"/>
        <v/>
      </c>
      <c r="J316" s="2161" t="str">
        <f t="shared" ref="J316:O316" si="314">IF(J86="","",ROUND(J86+J86/(J$5-J$6)*J$6+J86/(J$5-J$6)*J$15,-3))</f>
        <v/>
      </c>
      <c r="K316" s="2161" t="str">
        <f t="shared" si="314"/>
        <v/>
      </c>
      <c r="L316" s="2161" t="str">
        <f t="shared" si="314"/>
        <v/>
      </c>
      <c r="M316" s="2161" t="str">
        <f t="shared" si="314"/>
        <v/>
      </c>
      <c r="N316" s="2161" t="str">
        <f t="shared" si="314"/>
        <v/>
      </c>
      <c r="O316" s="2161" t="str">
        <f t="shared" si="314"/>
        <v/>
      </c>
    </row>
    <row r="317" spans="1:16" s="458" customFormat="1" ht="13.5" customHeight="1" thickBot="1">
      <c r="A317" s="484"/>
      <c r="B317" s="477"/>
      <c r="C317" s="477"/>
      <c r="D317" s="477"/>
      <c r="E317" s="477"/>
      <c r="F317" s="478" t="s">
        <v>580</v>
      </c>
      <c r="G317" s="479">
        <f t="shared" ca="1" si="271"/>
        <v>15232000</v>
      </c>
      <c r="H317" s="540">
        <f t="shared" ref="H317:I317" ca="1" si="315">IF(H$4="費用",0,SUM(H311:H315))</f>
        <v>4836000</v>
      </c>
      <c r="I317" s="540">
        <f t="shared" ca="1" si="315"/>
        <v>0</v>
      </c>
      <c r="J317" s="540">
        <f t="shared" ref="J317:O317" ca="1" si="316">IF(J$4="費用",0,SUM(J311:J315))</f>
        <v>467000</v>
      </c>
      <c r="K317" s="540">
        <f t="shared" ca="1" si="316"/>
        <v>1458000</v>
      </c>
      <c r="L317" s="540">
        <f t="shared" ca="1" si="316"/>
        <v>592000</v>
      </c>
      <c r="M317" s="540">
        <f t="shared" ca="1" si="316"/>
        <v>5157000</v>
      </c>
      <c r="N317" s="540">
        <f t="shared" ca="1" si="316"/>
        <v>0</v>
      </c>
      <c r="O317" s="540">
        <f t="shared" ca="1" si="316"/>
        <v>2722000</v>
      </c>
      <c r="P317" s="445"/>
    </row>
    <row r="318" spans="1:16" ht="13.5" hidden="1" customHeight="1" thickTop="1">
      <c r="A318" s="424"/>
      <c r="B318" s="436"/>
      <c r="C318" s="2164" t="s">
        <v>581</v>
      </c>
      <c r="D318" s="2162" t="s">
        <v>582</v>
      </c>
      <c r="E318" s="2162"/>
      <c r="F318" s="588"/>
      <c r="G318" s="2117">
        <f t="shared" ca="1" si="271"/>
        <v>0</v>
      </c>
      <c r="H318" s="2154">
        <f t="shared" ref="H318:I318" ca="1" si="317">IF(H10="","",ROUND(H10+H10/(H$5-H$6)*H$6+H10/(H$5-H$6)*H$15,-3))</f>
        <v>0</v>
      </c>
      <c r="I318" s="2154">
        <f t="shared" ca="1" si="317"/>
        <v>0</v>
      </c>
      <c r="J318" s="2154">
        <f t="shared" ref="J318:O318" ca="1" si="318">IF(J10="","",ROUND(J10+J10/(J$5-J$6)*J$6+J10/(J$5-J$6)*J$15,-3))</f>
        <v>0</v>
      </c>
      <c r="K318" s="2154">
        <f t="shared" ca="1" si="318"/>
        <v>0</v>
      </c>
      <c r="L318" s="2154">
        <f t="shared" ca="1" si="318"/>
        <v>0</v>
      </c>
      <c r="M318" s="2154">
        <f t="shared" ca="1" si="318"/>
        <v>0</v>
      </c>
      <c r="N318" s="2154">
        <f t="shared" ca="1" si="318"/>
        <v>0</v>
      </c>
      <c r="O318" s="2154">
        <f t="shared" ca="1" si="318"/>
        <v>0</v>
      </c>
    </row>
    <row r="319" spans="1:16" ht="13.5" customHeight="1" thickTop="1">
      <c r="A319" s="424"/>
      <c r="B319" s="436"/>
      <c r="C319" s="2164" t="s">
        <v>581</v>
      </c>
      <c r="D319" s="2162" t="s">
        <v>583</v>
      </c>
      <c r="E319" s="2164"/>
      <c r="F319" s="2119"/>
      <c r="G319" s="2117">
        <f t="shared" ca="1" si="271"/>
        <v>183151000</v>
      </c>
      <c r="H319" s="2154">
        <f t="shared" ref="H319:I319" ca="1" si="319">IF(H4="費用",0,IF(H13="","",ROUND(H13+H13/(H$5-H$6)*H$6+H13/(H$5-H$6)*H$15,-3)))</f>
        <v>12684000</v>
      </c>
      <c r="I319" s="2154">
        <f t="shared" ca="1" si="319"/>
        <v>1787000</v>
      </c>
      <c r="J319" s="2154">
        <f t="shared" ref="J319:O319" ca="1" si="320">IF(J4="費用",0,IF(J13="","",ROUND(J13+J13/(J$5-J$6)*J$6+J13/(J$5-J$6)*J$15,-3)))</f>
        <v>298000</v>
      </c>
      <c r="K319" s="2154">
        <f t="shared" ca="1" si="320"/>
        <v>68379000</v>
      </c>
      <c r="L319" s="2154">
        <f t="shared" ca="1" si="320"/>
        <v>0</v>
      </c>
      <c r="M319" s="2154">
        <f t="shared" ca="1" si="320"/>
        <v>14672000</v>
      </c>
      <c r="N319" s="2154">
        <f t="shared" ca="1" si="320"/>
        <v>2151000</v>
      </c>
      <c r="O319" s="2154">
        <f t="shared" ca="1" si="320"/>
        <v>83180000</v>
      </c>
    </row>
    <row r="320" spans="1:16" s="458" customFormat="1" ht="13.5" customHeight="1" thickBot="1">
      <c r="A320" s="589"/>
      <c r="B320" s="590"/>
      <c r="C320" s="590"/>
      <c r="D320" s="590"/>
      <c r="E320" s="590"/>
      <c r="F320" s="591" t="s">
        <v>584</v>
      </c>
      <c r="G320" s="592">
        <f t="shared" ca="1" si="271"/>
        <v>183153000</v>
      </c>
      <c r="H320" s="592">
        <f ca="1">SUM(H318:H319)+1000</f>
        <v>12685000</v>
      </c>
      <c r="I320" s="592">
        <f t="shared" ref="I320" ca="1" si="321">SUM(I318:I319)</f>
        <v>1787000</v>
      </c>
      <c r="J320" s="592">
        <f ca="1">SUM(J318:J319)</f>
        <v>298000</v>
      </c>
      <c r="K320" s="592">
        <f t="shared" ref="K320:N320" ca="1" si="322">SUM(K318:K319)</f>
        <v>68379000</v>
      </c>
      <c r="L320" s="592">
        <f t="shared" ca="1" si="322"/>
        <v>0</v>
      </c>
      <c r="M320" s="592">
        <f ca="1">SUM(M318:M319)</f>
        <v>14672000</v>
      </c>
      <c r="N320" s="592">
        <f t="shared" ca="1" si="322"/>
        <v>2151000</v>
      </c>
      <c r="O320" s="592">
        <f ca="1">SUM(O318:O319)+1000</f>
        <v>83181000</v>
      </c>
      <c r="P320" s="445"/>
    </row>
    <row r="321" spans="1:16" ht="13.5" hidden="1" customHeight="1" thickTop="1">
      <c r="A321" s="424"/>
      <c r="B321" s="436"/>
      <c r="C321" s="2164" t="s">
        <v>581</v>
      </c>
      <c r="D321" s="2164" t="s">
        <v>585</v>
      </c>
      <c r="E321" s="2164"/>
      <c r="F321" s="2119"/>
      <c r="G321" s="2117">
        <f t="shared" ca="1" si="271"/>
        <v>0</v>
      </c>
      <c r="H321" s="2154">
        <f t="shared" ref="H321:I321" ca="1" si="323">IF(H4="費用",0,IF(H12="","",ROUND(H14+H14/(H$5-H$6)*H$6+H14/(H$5-H$6)*H$15,-3)))</f>
        <v>0</v>
      </c>
      <c r="I321" s="2154">
        <f t="shared" ca="1" si="323"/>
        <v>0</v>
      </c>
      <c r="J321" s="2154">
        <f t="shared" ref="J321:O321" ca="1" si="324">IF(J4="費用",0,IF(J12="","",ROUND(J14+J14/(J$5-J$6)*J$6+J14/(J$5-J$6)*J$15,-3)))</f>
        <v>0</v>
      </c>
      <c r="K321" s="2154">
        <f t="shared" ca="1" si="324"/>
        <v>0</v>
      </c>
      <c r="L321" s="2154">
        <f t="shared" ca="1" si="324"/>
        <v>0</v>
      </c>
      <c r="M321" s="2154">
        <f t="shared" ca="1" si="324"/>
        <v>0</v>
      </c>
      <c r="N321" s="2154">
        <f t="shared" ca="1" si="324"/>
        <v>0</v>
      </c>
      <c r="O321" s="2154">
        <f t="shared" ca="1" si="324"/>
        <v>0</v>
      </c>
    </row>
    <row r="322" spans="1:16" ht="13.5" hidden="1" customHeight="1">
      <c r="A322" s="424"/>
      <c r="B322" s="436"/>
      <c r="C322" s="2164" t="s">
        <v>581</v>
      </c>
      <c r="D322" s="2164" t="s">
        <v>586</v>
      </c>
      <c r="E322" s="2164"/>
      <c r="F322" s="2119"/>
      <c r="G322" s="2117">
        <f t="shared" si="271"/>
        <v>0</v>
      </c>
      <c r="H322" s="2154">
        <f t="shared" ref="H322:I322" si="325">IF(H$4="費用",H19,0)</f>
        <v>0</v>
      </c>
      <c r="I322" s="2154">
        <f t="shared" si="325"/>
        <v>0</v>
      </c>
      <c r="J322" s="2154">
        <f t="shared" ref="J322:O322" si="326">IF(J$4="費用",J19,0)</f>
        <v>0</v>
      </c>
      <c r="K322" s="2154">
        <f t="shared" si="326"/>
        <v>0</v>
      </c>
      <c r="L322" s="2154">
        <f t="shared" si="326"/>
        <v>0</v>
      </c>
      <c r="M322" s="2154">
        <f t="shared" si="326"/>
        <v>0</v>
      </c>
      <c r="N322" s="2154">
        <f t="shared" si="326"/>
        <v>0</v>
      </c>
      <c r="O322" s="2154">
        <f t="shared" si="326"/>
        <v>0</v>
      </c>
    </row>
    <row r="323" spans="1:16" s="458" customFormat="1" ht="13.5" hidden="1" customHeight="1" thickTop="1" thickBot="1">
      <c r="A323" s="468"/>
      <c r="B323" s="469"/>
      <c r="C323" s="469"/>
      <c r="D323" s="469"/>
      <c r="E323" s="469"/>
      <c r="F323" s="470" t="s">
        <v>587</v>
      </c>
      <c r="G323" s="471">
        <f t="shared" ca="1" si="271"/>
        <v>0</v>
      </c>
      <c r="H323" s="541">
        <f t="shared" ref="H323:I323" ca="1" si="327">SUM(H321:H322)</f>
        <v>0</v>
      </c>
      <c r="I323" s="541">
        <f t="shared" ca="1" si="327"/>
        <v>0</v>
      </c>
      <c r="J323" s="541">
        <f t="shared" ref="J323:O323" ca="1" si="328">SUM(J321:J322)</f>
        <v>0</v>
      </c>
      <c r="K323" s="541">
        <f t="shared" ca="1" si="328"/>
        <v>0</v>
      </c>
      <c r="L323" s="541">
        <f t="shared" ca="1" si="328"/>
        <v>0</v>
      </c>
      <c r="M323" s="541">
        <f t="shared" ca="1" si="328"/>
        <v>0</v>
      </c>
      <c r="N323" s="541">
        <f t="shared" ca="1" si="328"/>
        <v>0</v>
      </c>
      <c r="O323" s="541">
        <f t="shared" ca="1" si="328"/>
        <v>0</v>
      </c>
      <c r="P323" s="445"/>
    </row>
    <row r="324" spans="1:16" ht="13.5" customHeight="1" thickTop="1">
      <c r="A324" s="453"/>
      <c r="B324" s="454"/>
      <c r="C324" s="454"/>
      <c r="D324" s="454"/>
      <c r="E324" s="454"/>
      <c r="F324" s="455" t="s">
        <v>588</v>
      </c>
      <c r="G324" s="456">
        <f ca="1">SUM(H324:O324)</f>
        <v>482700000</v>
      </c>
      <c r="H324" s="542">
        <f t="shared" ref="H324:I324" ca="1" si="329">H274+H310+H317+H320+H323</f>
        <v>41422000</v>
      </c>
      <c r="I324" s="542">
        <f t="shared" ca="1" si="329"/>
        <v>27474000</v>
      </c>
      <c r="J324" s="542">
        <f t="shared" ref="J324:O324" ca="1" si="330">J274+J310+J317+J320+J323</f>
        <v>2628000</v>
      </c>
      <c r="K324" s="542">
        <f t="shared" ca="1" si="330"/>
        <v>134835000</v>
      </c>
      <c r="L324" s="542">
        <f t="shared" ca="1" si="330"/>
        <v>12724000</v>
      </c>
      <c r="M324" s="542">
        <f t="shared" ca="1" si="330"/>
        <v>55380000</v>
      </c>
      <c r="N324" s="542">
        <f t="shared" ca="1" si="330"/>
        <v>35347000</v>
      </c>
      <c r="O324" s="542">
        <f t="shared" ca="1" si="330"/>
        <v>172890000</v>
      </c>
    </row>
    <row r="325" spans="1:16" ht="13.5" customHeight="1">
      <c r="A325" s="472"/>
      <c r="B325" s="473"/>
      <c r="C325" s="473"/>
      <c r="D325" s="473"/>
      <c r="E325" s="473"/>
      <c r="F325" s="474"/>
      <c r="G325" s="593" t="str">
        <f ca="1">IF(G$19=G324,"","工事価格が一致ません。↑")</f>
        <v/>
      </c>
      <c r="H325" s="475" t="str">
        <f t="shared" ref="H325:I325" ca="1" si="331">IF(H$19=H324,"","↑error")</f>
        <v/>
      </c>
      <c r="I325" s="475" t="str">
        <f t="shared" ca="1" si="331"/>
        <v/>
      </c>
      <c r="J325" s="475" t="str">
        <f t="shared" ref="J325:O325" ca="1" si="332">IF(J$19=J324,"","↑error")</f>
        <v/>
      </c>
      <c r="K325" s="475" t="str">
        <f t="shared" ca="1" si="332"/>
        <v/>
      </c>
      <c r="L325" s="475" t="str">
        <f t="shared" ca="1" si="332"/>
        <v/>
      </c>
      <c r="M325" s="475" t="str">
        <f t="shared" ca="1" si="332"/>
        <v/>
      </c>
      <c r="N325" s="475" t="str">
        <f t="shared" ca="1" si="332"/>
        <v/>
      </c>
      <c r="O325" s="475" t="str">
        <f t="shared" ca="1" si="332"/>
        <v/>
      </c>
    </row>
    <row r="326" spans="1:16" ht="13.5" customHeight="1">
      <c r="C326" s="436">
        <v>1</v>
      </c>
      <c r="D326" s="421" t="s">
        <v>589</v>
      </c>
    </row>
    <row r="327" spans="1:16" ht="13.5" customHeight="1">
      <c r="C327" s="436">
        <v>2</v>
      </c>
      <c r="D327" s="421" t="s">
        <v>590</v>
      </c>
    </row>
    <row r="328" spans="1:16" ht="13.5" customHeight="1">
      <c r="C328" s="436">
        <v>3</v>
      </c>
      <c r="D328" s="421" t="s">
        <v>591</v>
      </c>
    </row>
    <row r="329" spans="1:16" ht="13.5" customHeight="1">
      <c r="C329" s="436">
        <v>4</v>
      </c>
    </row>
    <row r="330" spans="1:16" ht="13.5" customHeight="1">
      <c r="C330" s="436">
        <v>5</v>
      </c>
    </row>
    <row r="331" spans="1:16" ht="13.5" customHeight="1">
      <c r="C331" s="436">
        <v>6</v>
      </c>
    </row>
    <row r="332" spans="1:16" ht="13.5" customHeight="1">
      <c r="C332" s="436">
        <v>7</v>
      </c>
    </row>
    <row r="333" spans="1:16" ht="13.5" customHeight="1">
      <c r="C333" s="436">
        <v>8</v>
      </c>
    </row>
    <row r="334" spans="1:16" ht="13.5" customHeight="1">
      <c r="C334" s="436">
        <v>9</v>
      </c>
      <c r="H334" s="421"/>
      <c r="I334" s="421"/>
      <c r="J334" s="421"/>
      <c r="K334" s="421"/>
      <c r="L334" s="421"/>
      <c r="M334" s="421"/>
      <c r="N334" s="421"/>
      <c r="O334" s="421"/>
    </row>
    <row r="335" spans="1:16" ht="13.5" customHeight="1">
      <c r="C335" s="436">
        <v>1</v>
      </c>
      <c r="D335" s="421" t="s">
        <v>592</v>
      </c>
      <c r="H335" s="421"/>
      <c r="I335" s="421"/>
      <c r="J335" s="421"/>
      <c r="K335" s="421"/>
      <c r="L335" s="421"/>
      <c r="M335" s="421"/>
      <c r="N335" s="421"/>
      <c r="O335" s="421"/>
    </row>
    <row r="336" spans="1:16" ht="13.5" customHeight="1">
      <c r="C336" s="436">
        <v>5</v>
      </c>
      <c r="D336" s="421" t="s">
        <v>593</v>
      </c>
      <c r="H336" s="421"/>
      <c r="I336" s="421"/>
      <c r="J336" s="421"/>
      <c r="K336" s="421"/>
      <c r="L336" s="421"/>
      <c r="M336" s="421"/>
      <c r="N336" s="421"/>
      <c r="O336" s="421"/>
    </row>
    <row r="337" spans="1:16" ht="13.5" customHeight="1">
      <c r="C337" s="436">
        <v>10</v>
      </c>
      <c r="D337" s="421" t="s">
        <v>594</v>
      </c>
      <c r="H337" s="421"/>
      <c r="I337" s="421"/>
      <c r="J337" s="421"/>
      <c r="K337" s="421"/>
      <c r="L337" s="421"/>
      <c r="M337" s="421"/>
      <c r="N337" s="421"/>
      <c r="O337" s="421"/>
    </row>
    <row r="338" spans="1:16" ht="13.5" customHeight="1">
      <c r="C338" s="436">
        <v>15</v>
      </c>
      <c r="D338" s="421" t="s">
        <v>595</v>
      </c>
      <c r="H338" s="421"/>
      <c r="I338" s="421"/>
      <c r="J338" s="421"/>
      <c r="K338" s="421"/>
      <c r="L338" s="421"/>
      <c r="M338" s="421"/>
      <c r="N338" s="421"/>
      <c r="O338" s="421"/>
    </row>
    <row r="339" spans="1:16" ht="13.5" customHeight="1">
      <c r="C339" s="436">
        <v>20</v>
      </c>
      <c r="D339" s="421" t="s">
        <v>596</v>
      </c>
      <c r="H339" s="421"/>
      <c r="I339" s="421"/>
      <c r="J339" s="421"/>
      <c r="K339" s="421"/>
      <c r="L339" s="421"/>
      <c r="M339" s="421"/>
      <c r="N339" s="421"/>
      <c r="O339" s="421"/>
    </row>
    <row r="340" spans="1:16" ht="13.5" customHeight="1">
      <c r="C340" s="436">
        <v>25</v>
      </c>
      <c r="D340" s="421" t="s">
        <v>597</v>
      </c>
      <c r="H340" s="421"/>
      <c r="I340" s="421"/>
      <c r="J340" s="421"/>
      <c r="K340" s="421"/>
      <c r="L340" s="421"/>
      <c r="M340" s="421"/>
      <c r="N340" s="421"/>
      <c r="O340" s="421"/>
    </row>
    <row r="341" spans="1:16" ht="13.5" customHeight="1">
      <c r="C341" s="436">
        <v>30</v>
      </c>
      <c r="D341" s="421" t="s">
        <v>598</v>
      </c>
      <c r="H341" s="421"/>
      <c r="I341" s="421"/>
      <c r="J341" s="421"/>
      <c r="K341" s="421"/>
      <c r="L341" s="421"/>
      <c r="M341" s="421"/>
      <c r="N341" s="421"/>
      <c r="O341" s="421"/>
    </row>
    <row r="342" spans="1:16" s="409" customFormat="1">
      <c r="A342" s="408" t="s">
        <v>599</v>
      </c>
      <c r="E342" s="410"/>
      <c r="P342" s="545"/>
    </row>
    <row r="343" spans="1:16" s="409" customFormat="1">
      <c r="A343" s="410" t="s">
        <v>600</v>
      </c>
      <c r="C343" s="410" t="s">
        <v>601</v>
      </c>
      <c r="E343" s="410" t="s">
        <v>602</v>
      </c>
      <c r="P343" s="545"/>
    </row>
    <row r="344" spans="1:16" s="409" customFormat="1">
      <c r="A344" s="410">
        <v>1</v>
      </c>
      <c r="B344" s="409" t="s">
        <v>603</v>
      </c>
      <c r="E344" s="410"/>
      <c r="P344" s="545"/>
    </row>
    <row r="345" spans="1:16" s="409" customFormat="1">
      <c r="A345" s="410"/>
      <c r="B345" s="409" t="s">
        <v>604</v>
      </c>
      <c r="C345" s="410">
        <v>1</v>
      </c>
      <c r="D345" s="409" t="s">
        <v>605</v>
      </c>
      <c r="E345" s="410"/>
      <c r="P345" s="545"/>
    </row>
    <row r="346" spans="1:16" s="409" customFormat="1">
      <c r="A346" s="410"/>
      <c r="C346" s="410">
        <v>2</v>
      </c>
      <c r="D346" s="409" t="s">
        <v>606</v>
      </c>
      <c r="E346" s="410"/>
      <c r="P346" s="545"/>
    </row>
    <row r="347" spans="1:16" s="409" customFormat="1">
      <c r="A347" s="410"/>
      <c r="C347" s="410">
        <v>3</v>
      </c>
      <c r="D347" s="409" t="s">
        <v>607</v>
      </c>
      <c r="E347" s="410"/>
      <c r="P347" s="545"/>
    </row>
    <row r="348" spans="1:16" s="409" customFormat="1">
      <c r="A348" s="410"/>
      <c r="C348" s="410">
        <v>4</v>
      </c>
      <c r="D348" s="409" t="s">
        <v>608</v>
      </c>
      <c r="E348" s="410"/>
      <c r="P348" s="545"/>
    </row>
    <row r="349" spans="1:16" s="409" customFormat="1">
      <c r="A349" s="410"/>
      <c r="C349" s="410">
        <v>5</v>
      </c>
      <c r="D349" s="409" t="s">
        <v>609</v>
      </c>
      <c r="E349" s="410"/>
      <c r="P349" s="545"/>
    </row>
    <row r="350" spans="1:16" s="409" customFormat="1">
      <c r="A350" s="410"/>
      <c r="C350" s="410">
        <v>6</v>
      </c>
      <c r="D350" s="409" t="s">
        <v>610</v>
      </c>
      <c r="E350" s="410"/>
      <c r="P350" s="545"/>
    </row>
    <row r="351" spans="1:16" s="409" customFormat="1">
      <c r="A351" s="410"/>
      <c r="C351" s="410">
        <v>999</v>
      </c>
      <c r="D351" s="409" t="s">
        <v>611</v>
      </c>
      <c r="E351" s="410"/>
      <c r="P351" s="545"/>
    </row>
    <row r="352" spans="1:16" s="409" customFormat="1">
      <c r="A352" s="410">
        <v>5</v>
      </c>
      <c r="B352" s="409" t="s">
        <v>612</v>
      </c>
      <c r="C352" s="410"/>
      <c r="E352" s="410"/>
      <c r="F352" s="409" t="s">
        <v>613</v>
      </c>
      <c r="P352" s="545"/>
    </row>
    <row r="353" spans="1:16" s="409" customFormat="1">
      <c r="A353" s="410"/>
      <c r="B353" s="409" t="s">
        <v>604</v>
      </c>
      <c r="C353" s="410">
        <v>7</v>
      </c>
      <c r="D353" s="409" t="s">
        <v>614</v>
      </c>
      <c r="E353" s="410"/>
      <c r="F353" s="409" t="s">
        <v>615</v>
      </c>
      <c r="P353" s="545"/>
    </row>
    <row r="354" spans="1:16" s="409" customFormat="1">
      <c r="A354" s="410"/>
      <c r="C354" s="410">
        <v>8</v>
      </c>
      <c r="D354" s="409" t="s">
        <v>616</v>
      </c>
      <c r="E354" s="410"/>
      <c r="F354" s="409" t="s">
        <v>617</v>
      </c>
      <c r="P354" s="545"/>
    </row>
    <row r="355" spans="1:16" s="409" customFormat="1">
      <c r="A355" s="410"/>
      <c r="C355" s="410">
        <v>9</v>
      </c>
      <c r="D355" s="409" t="s">
        <v>618</v>
      </c>
      <c r="E355" s="410"/>
      <c r="F355" s="409" t="s">
        <v>619</v>
      </c>
      <c r="P355" s="545"/>
    </row>
    <row r="356" spans="1:16" s="409" customFormat="1">
      <c r="A356" s="410"/>
      <c r="C356" s="410">
        <v>10</v>
      </c>
      <c r="D356" s="409" t="s">
        <v>620</v>
      </c>
      <c r="E356" s="410"/>
      <c r="F356" s="409" t="s">
        <v>621</v>
      </c>
      <c r="P356" s="545"/>
    </row>
    <row r="357" spans="1:16" s="409" customFormat="1">
      <c r="A357" s="410"/>
      <c r="C357" s="410">
        <v>11</v>
      </c>
      <c r="D357" s="409" t="s">
        <v>622</v>
      </c>
      <c r="E357" s="410"/>
      <c r="P357" s="545"/>
    </row>
    <row r="358" spans="1:16" s="409" customFormat="1">
      <c r="A358" s="410"/>
      <c r="C358" s="410">
        <v>12</v>
      </c>
      <c r="D358" s="409" t="s">
        <v>623</v>
      </c>
      <c r="E358" s="410"/>
      <c r="P358" s="545"/>
    </row>
    <row r="359" spans="1:16" s="409" customFormat="1">
      <c r="A359" s="410"/>
      <c r="C359" s="410">
        <v>13</v>
      </c>
      <c r="D359" s="409" t="s">
        <v>624</v>
      </c>
      <c r="E359" s="410"/>
      <c r="P359" s="545"/>
    </row>
    <row r="360" spans="1:16" s="409" customFormat="1">
      <c r="A360" s="410"/>
      <c r="C360" s="410">
        <v>999</v>
      </c>
      <c r="D360" s="409" t="s">
        <v>625</v>
      </c>
      <c r="E360" s="410"/>
      <c r="P360" s="545"/>
    </row>
    <row r="361" spans="1:16" s="409" customFormat="1">
      <c r="A361" s="410">
        <v>10</v>
      </c>
      <c r="B361" s="409" t="s">
        <v>594</v>
      </c>
      <c r="C361" s="410"/>
      <c r="E361" s="410"/>
      <c r="P361" s="545"/>
    </row>
    <row r="362" spans="1:16" s="409" customFormat="1">
      <c r="A362" s="410"/>
      <c r="B362" s="409" t="s">
        <v>626</v>
      </c>
      <c r="C362" s="410">
        <v>14</v>
      </c>
      <c r="D362" s="409" t="s">
        <v>627</v>
      </c>
      <c r="E362" s="410">
        <v>1</v>
      </c>
      <c r="F362" s="409" t="s">
        <v>628</v>
      </c>
      <c r="P362" s="545"/>
    </row>
    <row r="363" spans="1:16" s="409" customFormat="1">
      <c r="A363" s="410"/>
      <c r="C363" s="410"/>
      <c r="E363" s="410">
        <v>2</v>
      </c>
      <c r="F363" s="409" t="s">
        <v>629</v>
      </c>
      <c r="P363" s="545"/>
    </row>
    <row r="364" spans="1:16" s="409" customFormat="1">
      <c r="A364" s="410"/>
      <c r="C364" s="410"/>
      <c r="E364" s="410">
        <v>3</v>
      </c>
      <c r="F364" s="409" t="s">
        <v>630</v>
      </c>
      <c r="P364" s="545"/>
    </row>
    <row r="365" spans="1:16" s="409" customFormat="1">
      <c r="A365" s="410"/>
      <c r="C365" s="410"/>
      <c r="E365" s="410">
        <v>6</v>
      </c>
      <c r="F365" s="409" t="s">
        <v>631</v>
      </c>
      <c r="P365" s="545"/>
    </row>
    <row r="366" spans="1:16" s="409" customFormat="1">
      <c r="A366" s="410"/>
      <c r="C366" s="410"/>
      <c r="E366" s="410">
        <v>7</v>
      </c>
      <c r="F366" s="409" t="s">
        <v>632</v>
      </c>
      <c r="P366" s="545"/>
    </row>
    <row r="367" spans="1:16" s="409" customFormat="1">
      <c r="A367" s="410"/>
      <c r="C367" s="410"/>
      <c r="E367" s="410">
        <v>8</v>
      </c>
      <c r="F367" s="409" t="s">
        <v>633</v>
      </c>
      <c r="P367" s="545"/>
    </row>
    <row r="368" spans="1:16" s="409" customFormat="1">
      <c r="A368" s="410"/>
      <c r="C368" s="410">
        <v>15</v>
      </c>
      <c r="D368" s="409" t="s">
        <v>634</v>
      </c>
      <c r="E368" s="410">
        <v>1</v>
      </c>
      <c r="F368" s="409" t="s">
        <v>635</v>
      </c>
      <c r="P368" s="545"/>
    </row>
    <row r="369" spans="1:16" s="409" customFormat="1">
      <c r="A369" s="410"/>
      <c r="C369" s="410"/>
      <c r="E369" s="410">
        <v>2</v>
      </c>
      <c r="F369" s="409" t="s">
        <v>636</v>
      </c>
      <c r="P369" s="545"/>
    </row>
    <row r="370" spans="1:16" s="409" customFormat="1">
      <c r="A370" s="410"/>
      <c r="C370" s="410"/>
      <c r="E370" s="410">
        <v>3</v>
      </c>
      <c r="F370" s="409" t="s">
        <v>637</v>
      </c>
      <c r="P370" s="545"/>
    </row>
    <row r="371" spans="1:16" s="409" customFormat="1">
      <c r="A371" s="410"/>
      <c r="C371" s="410"/>
      <c r="E371" s="410">
        <v>4</v>
      </c>
      <c r="F371" s="409" t="s">
        <v>638</v>
      </c>
      <c r="P371" s="545"/>
    </row>
    <row r="372" spans="1:16" s="409" customFormat="1">
      <c r="A372" s="410"/>
      <c r="C372" s="410">
        <v>16</v>
      </c>
      <c r="D372" s="409" t="s">
        <v>639</v>
      </c>
      <c r="E372" s="410">
        <v>1</v>
      </c>
      <c r="F372" s="409" t="s">
        <v>640</v>
      </c>
      <c r="P372" s="545"/>
    </row>
    <row r="373" spans="1:16" s="409" customFormat="1">
      <c r="A373" s="410"/>
      <c r="C373" s="410"/>
      <c r="E373" s="410">
        <v>2</v>
      </c>
      <c r="F373" s="409" t="s">
        <v>641</v>
      </c>
      <c r="P373" s="545"/>
    </row>
    <row r="374" spans="1:16" s="409" customFormat="1">
      <c r="A374" s="410"/>
      <c r="C374" s="410"/>
      <c r="E374" s="410">
        <v>3</v>
      </c>
      <c r="F374" s="409" t="s">
        <v>642</v>
      </c>
      <c r="P374" s="545"/>
    </row>
    <row r="375" spans="1:16" s="409" customFormat="1">
      <c r="A375" s="410"/>
      <c r="C375" s="410">
        <v>17</v>
      </c>
      <c r="D375" s="409" t="s">
        <v>643</v>
      </c>
      <c r="E375" s="410">
        <v>1</v>
      </c>
      <c r="F375" s="409" t="s">
        <v>640</v>
      </c>
      <c r="P375" s="545"/>
    </row>
    <row r="376" spans="1:16" s="409" customFormat="1">
      <c r="A376" s="410"/>
      <c r="C376" s="410"/>
      <c r="E376" s="410">
        <v>2</v>
      </c>
      <c r="F376" s="409" t="s">
        <v>641</v>
      </c>
      <c r="P376" s="545"/>
    </row>
    <row r="377" spans="1:16" s="409" customFormat="1">
      <c r="C377" s="410"/>
      <c r="E377" s="410">
        <v>3</v>
      </c>
      <c r="F377" s="409" t="s">
        <v>642</v>
      </c>
      <c r="P377" s="545"/>
    </row>
    <row r="378" spans="1:16" s="409" customFormat="1">
      <c r="C378" s="410">
        <v>18</v>
      </c>
      <c r="D378" s="409" t="s">
        <v>644</v>
      </c>
      <c r="E378" s="410">
        <v>1</v>
      </c>
      <c r="F378" s="409" t="s">
        <v>640</v>
      </c>
      <c r="P378" s="545"/>
    </row>
    <row r="379" spans="1:16" s="409" customFormat="1">
      <c r="C379" s="410"/>
      <c r="E379" s="410">
        <v>2</v>
      </c>
      <c r="F379" s="409" t="s">
        <v>642</v>
      </c>
      <c r="P379" s="545"/>
    </row>
    <row r="380" spans="1:16" s="409" customFormat="1">
      <c r="C380" s="410">
        <v>19</v>
      </c>
      <c r="D380" s="409" t="s">
        <v>645</v>
      </c>
      <c r="E380" s="410"/>
      <c r="P380" s="545"/>
    </row>
    <row r="381" spans="1:16" s="409" customFormat="1">
      <c r="C381" s="410">
        <v>20</v>
      </c>
      <c r="D381" s="409" t="s">
        <v>646</v>
      </c>
      <c r="E381" s="410">
        <v>1</v>
      </c>
      <c r="F381" s="409" t="s">
        <v>647</v>
      </c>
      <c r="P381" s="545"/>
    </row>
    <row r="382" spans="1:16" s="409" customFormat="1">
      <c r="C382" s="410"/>
      <c r="E382" s="410">
        <v>2</v>
      </c>
      <c r="F382" s="409" t="s">
        <v>648</v>
      </c>
      <c r="P382" s="545"/>
    </row>
    <row r="383" spans="1:16" s="409" customFormat="1">
      <c r="C383" s="410">
        <v>21</v>
      </c>
      <c r="D383" s="409" t="s">
        <v>649</v>
      </c>
      <c r="E383" s="410">
        <v>1</v>
      </c>
      <c r="F383" s="409" t="s">
        <v>650</v>
      </c>
      <c r="P383" s="545"/>
    </row>
    <row r="384" spans="1:16" s="409" customFormat="1">
      <c r="C384" s="410"/>
      <c r="E384" s="410">
        <v>2</v>
      </c>
      <c r="F384" s="409" t="s">
        <v>651</v>
      </c>
      <c r="P384" s="545"/>
    </row>
    <row r="385" spans="2:16" s="409" customFormat="1">
      <c r="C385" s="410"/>
      <c r="E385" s="410">
        <v>3</v>
      </c>
      <c r="F385" s="409" t="s">
        <v>652</v>
      </c>
      <c r="P385" s="545"/>
    </row>
    <row r="386" spans="2:16" s="409" customFormat="1">
      <c r="C386" s="410"/>
      <c r="E386" s="410"/>
      <c r="P386" s="545"/>
    </row>
    <row r="387" spans="2:16" s="409" customFormat="1">
      <c r="B387" s="409" t="s">
        <v>653</v>
      </c>
      <c r="C387" s="410">
        <v>22</v>
      </c>
      <c r="D387" s="409" t="s">
        <v>654</v>
      </c>
      <c r="E387" s="410"/>
      <c r="P387" s="545"/>
    </row>
    <row r="388" spans="2:16" s="409" customFormat="1">
      <c r="C388" s="410"/>
      <c r="D388" s="409" t="s">
        <v>655</v>
      </c>
      <c r="E388" s="410"/>
      <c r="P388" s="545"/>
    </row>
    <row r="389" spans="2:16" s="409" customFormat="1">
      <c r="C389" s="410">
        <v>23</v>
      </c>
      <c r="D389" s="409" t="s">
        <v>656</v>
      </c>
      <c r="E389" s="410"/>
      <c r="P389" s="545"/>
    </row>
    <row r="390" spans="2:16" s="409" customFormat="1">
      <c r="C390" s="410">
        <v>24</v>
      </c>
      <c r="D390" s="409" t="s">
        <v>657</v>
      </c>
      <c r="E390" s="410"/>
      <c r="P390" s="545"/>
    </row>
    <row r="391" spans="2:16" s="409" customFormat="1">
      <c r="C391" s="410"/>
      <c r="E391" s="410"/>
      <c r="P391" s="545"/>
    </row>
    <row r="392" spans="2:16" s="409" customFormat="1">
      <c r="B392" s="409" t="s">
        <v>658</v>
      </c>
      <c r="C392" s="410">
        <v>25</v>
      </c>
      <c r="D392" s="409" t="s">
        <v>659</v>
      </c>
      <c r="E392" s="410"/>
      <c r="P392" s="545"/>
    </row>
    <row r="393" spans="2:16" s="409" customFormat="1">
      <c r="C393" s="410">
        <v>26</v>
      </c>
      <c r="D393" s="409" t="s">
        <v>660</v>
      </c>
      <c r="E393" s="410"/>
      <c r="P393" s="545"/>
    </row>
    <row r="394" spans="2:16" s="409" customFormat="1">
      <c r="C394" s="410">
        <v>27</v>
      </c>
      <c r="D394" s="409" t="s">
        <v>661</v>
      </c>
      <c r="E394" s="410"/>
      <c r="P394" s="545"/>
    </row>
    <row r="395" spans="2:16" s="409" customFormat="1">
      <c r="C395" s="410">
        <v>28</v>
      </c>
      <c r="D395" s="409" t="s">
        <v>662</v>
      </c>
      <c r="P395" s="545"/>
    </row>
    <row r="396" spans="2:16" s="409" customFormat="1">
      <c r="C396" s="410">
        <v>29</v>
      </c>
      <c r="D396" s="409" t="s">
        <v>663</v>
      </c>
      <c r="P396" s="545"/>
    </row>
    <row r="397" spans="2:16" s="409" customFormat="1">
      <c r="C397" s="410">
        <v>30</v>
      </c>
      <c r="D397" s="409" t="s">
        <v>664</v>
      </c>
      <c r="P397" s="545"/>
    </row>
    <row r="398" spans="2:16" s="409" customFormat="1">
      <c r="C398" s="410">
        <v>31</v>
      </c>
      <c r="D398" s="409" t="s">
        <v>665</v>
      </c>
      <c r="P398" s="545"/>
    </row>
    <row r="399" spans="2:16" s="409" customFormat="1">
      <c r="C399" s="410">
        <v>32</v>
      </c>
      <c r="D399" s="409" t="s">
        <v>666</v>
      </c>
      <c r="P399" s="545"/>
    </row>
    <row r="400" spans="2:16" s="409" customFormat="1">
      <c r="C400" s="410">
        <v>33</v>
      </c>
      <c r="D400" s="409" t="s">
        <v>667</v>
      </c>
      <c r="P400" s="545"/>
    </row>
    <row r="401" spans="3:16" s="409" customFormat="1">
      <c r="C401" s="410">
        <v>34</v>
      </c>
      <c r="D401" s="409" t="s">
        <v>668</v>
      </c>
      <c r="P401" s="545"/>
    </row>
    <row r="402" spans="3:16" s="409" customFormat="1">
      <c r="C402" s="410">
        <v>35</v>
      </c>
      <c r="D402" s="409" t="s">
        <v>669</v>
      </c>
      <c r="P402" s="545"/>
    </row>
    <row r="403" spans="3:16" s="409" customFormat="1">
      <c r="C403" s="410">
        <v>36</v>
      </c>
      <c r="D403" s="409" t="s">
        <v>670</v>
      </c>
      <c r="P403" s="545"/>
    </row>
    <row r="404" spans="3:16" s="409" customFormat="1">
      <c r="C404" s="410">
        <v>37</v>
      </c>
      <c r="D404" s="409" t="s">
        <v>671</v>
      </c>
      <c r="P404" s="545"/>
    </row>
    <row r="405" spans="3:16" s="409" customFormat="1">
      <c r="C405" s="410">
        <v>38</v>
      </c>
      <c r="D405" s="409" t="s">
        <v>672</v>
      </c>
      <c r="P405" s="545"/>
    </row>
    <row r="406" spans="3:16" s="409" customFormat="1">
      <c r="C406" s="410">
        <v>39</v>
      </c>
      <c r="D406" s="409" t="s">
        <v>673</v>
      </c>
      <c r="P406" s="545"/>
    </row>
    <row r="407" spans="3:16" s="409" customFormat="1">
      <c r="C407" s="410">
        <v>40</v>
      </c>
      <c r="D407" s="409" t="s">
        <v>674</v>
      </c>
      <c r="P407" s="545"/>
    </row>
    <row r="408" spans="3:16" s="409" customFormat="1">
      <c r="C408" s="410">
        <v>41</v>
      </c>
      <c r="D408" s="409" t="s">
        <v>675</v>
      </c>
      <c r="P408" s="545"/>
    </row>
    <row r="409" spans="3:16" s="409" customFormat="1">
      <c r="C409" s="410">
        <v>42</v>
      </c>
      <c r="D409" s="409" t="s">
        <v>676</v>
      </c>
      <c r="P409" s="545"/>
    </row>
    <row r="410" spans="3:16" s="409" customFormat="1">
      <c r="C410" s="410">
        <v>43</v>
      </c>
      <c r="D410" s="409" t="s">
        <v>677</v>
      </c>
      <c r="P410" s="545"/>
    </row>
    <row r="411" spans="3:16" s="409" customFormat="1">
      <c r="C411" s="410">
        <v>44</v>
      </c>
      <c r="D411" s="409" t="s">
        <v>678</v>
      </c>
      <c r="E411" s="410"/>
      <c r="P411" s="545"/>
    </row>
    <row r="412" spans="3:16" s="409" customFormat="1">
      <c r="C412" s="410">
        <v>45</v>
      </c>
      <c r="D412" s="409" t="s">
        <v>679</v>
      </c>
      <c r="E412" s="410"/>
      <c r="P412" s="545"/>
    </row>
    <row r="413" spans="3:16" s="409" customFormat="1">
      <c r="C413" s="410">
        <v>46</v>
      </c>
      <c r="D413" s="409" t="s">
        <v>680</v>
      </c>
      <c r="E413" s="410"/>
      <c r="P413" s="545"/>
    </row>
    <row r="414" spans="3:16" s="409" customFormat="1">
      <c r="C414" s="410">
        <v>47</v>
      </c>
      <c r="D414" s="409" t="s">
        <v>681</v>
      </c>
      <c r="E414" s="410"/>
      <c r="P414" s="545"/>
    </row>
    <row r="415" spans="3:16" s="409" customFormat="1">
      <c r="C415" s="410">
        <v>48</v>
      </c>
      <c r="D415" s="409" t="s">
        <v>682</v>
      </c>
      <c r="E415" s="410">
        <v>1</v>
      </c>
      <c r="F415" s="409" t="s">
        <v>683</v>
      </c>
      <c r="P415" s="545"/>
    </row>
    <row r="416" spans="3:16" s="409" customFormat="1">
      <c r="C416" s="410"/>
      <c r="E416" s="410">
        <v>2</v>
      </c>
      <c r="F416" s="409" t="s">
        <v>684</v>
      </c>
      <c r="P416" s="545"/>
    </row>
    <row r="417" spans="2:16" s="409" customFormat="1">
      <c r="C417" s="410"/>
      <c r="E417" s="410">
        <v>3</v>
      </c>
      <c r="F417" s="409" t="s">
        <v>685</v>
      </c>
      <c r="P417" s="545"/>
    </row>
    <row r="418" spans="2:16" s="409" customFormat="1">
      <c r="B418" s="409" t="s">
        <v>686</v>
      </c>
      <c r="C418" s="410">
        <v>49</v>
      </c>
      <c r="D418" s="409" t="s">
        <v>687</v>
      </c>
      <c r="E418" s="410"/>
      <c r="P418" s="545"/>
    </row>
    <row r="419" spans="2:16" s="409" customFormat="1">
      <c r="C419" s="410">
        <v>50</v>
      </c>
      <c r="D419" s="409" t="s">
        <v>688</v>
      </c>
      <c r="E419" s="410"/>
      <c r="P419" s="545"/>
    </row>
    <row r="420" spans="2:16" s="409" customFormat="1">
      <c r="C420" s="410">
        <v>999</v>
      </c>
      <c r="D420" s="409" t="s">
        <v>689</v>
      </c>
      <c r="E420" s="410"/>
      <c r="P420" s="545"/>
    </row>
    <row r="421" spans="2:16" s="409" customFormat="1">
      <c r="B421" s="409" t="s">
        <v>690</v>
      </c>
      <c r="C421" s="410">
        <v>51</v>
      </c>
      <c r="D421" s="409" t="s">
        <v>691</v>
      </c>
      <c r="E421" s="410">
        <v>1</v>
      </c>
      <c r="F421" s="409" t="s">
        <v>692</v>
      </c>
      <c r="P421" s="545"/>
    </row>
    <row r="422" spans="2:16" s="409" customFormat="1">
      <c r="C422" s="410">
        <v>52</v>
      </c>
      <c r="D422" s="409" t="s">
        <v>691</v>
      </c>
      <c r="E422" s="410">
        <v>1</v>
      </c>
      <c r="F422" s="409" t="s">
        <v>693</v>
      </c>
      <c r="P422" s="545"/>
    </row>
    <row r="423" spans="2:16" s="409" customFormat="1">
      <c r="C423" s="410">
        <v>53</v>
      </c>
      <c r="D423" s="409" t="s">
        <v>691</v>
      </c>
      <c r="E423" s="410">
        <v>1</v>
      </c>
      <c r="F423" s="409" t="s">
        <v>694</v>
      </c>
      <c r="P423" s="545"/>
    </row>
    <row r="424" spans="2:16" s="409" customFormat="1">
      <c r="C424" s="410">
        <v>54</v>
      </c>
      <c r="D424" s="409" t="s">
        <v>691</v>
      </c>
      <c r="E424" s="410">
        <v>1</v>
      </c>
      <c r="F424" s="409" t="s">
        <v>695</v>
      </c>
      <c r="P424" s="545"/>
    </row>
    <row r="425" spans="2:16" s="409" customFormat="1">
      <c r="B425" s="409" t="s">
        <v>596</v>
      </c>
      <c r="C425" s="410">
        <v>55</v>
      </c>
      <c r="D425" s="409" t="s">
        <v>696</v>
      </c>
      <c r="E425" s="410"/>
      <c r="P425" s="545"/>
    </row>
    <row r="426" spans="2:16" s="409" customFormat="1">
      <c r="C426" s="410">
        <v>56</v>
      </c>
      <c r="D426" s="409" t="s">
        <v>697</v>
      </c>
      <c r="E426" s="410">
        <v>1</v>
      </c>
      <c r="F426" s="409" t="s">
        <v>698</v>
      </c>
      <c r="P426" s="545"/>
    </row>
    <row r="427" spans="2:16" s="409" customFormat="1">
      <c r="C427" s="410"/>
      <c r="E427" s="410">
        <v>2</v>
      </c>
      <c r="F427" s="409" t="s">
        <v>699</v>
      </c>
      <c r="P427" s="545"/>
    </row>
    <row r="428" spans="2:16" s="409" customFormat="1">
      <c r="C428" s="410"/>
      <c r="E428" s="410">
        <v>3</v>
      </c>
      <c r="F428" s="409" t="s">
        <v>700</v>
      </c>
      <c r="P428" s="545"/>
    </row>
    <row r="429" spans="2:16" s="409" customFormat="1">
      <c r="C429" s="410"/>
      <c r="E429" s="410">
        <v>4</v>
      </c>
      <c r="F429" s="409" t="s">
        <v>648</v>
      </c>
      <c r="P429" s="545"/>
    </row>
    <row r="430" spans="2:16" s="409" customFormat="1">
      <c r="C430" s="410">
        <v>57</v>
      </c>
      <c r="D430" s="409" t="s">
        <v>701</v>
      </c>
      <c r="E430" s="410"/>
      <c r="P430" s="545"/>
    </row>
    <row r="431" spans="2:16" s="409" customFormat="1">
      <c r="C431" s="410">
        <v>58</v>
      </c>
      <c r="D431" s="409" t="s">
        <v>702</v>
      </c>
      <c r="E431" s="410"/>
      <c r="P431" s="545"/>
    </row>
    <row r="432" spans="2:16" s="409" customFormat="1">
      <c r="C432" s="410">
        <v>999</v>
      </c>
      <c r="D432" s="409" t="s">
        <v>703</v>
      </c>
      <c r="E432" s="410"/>
      <c r="P432" s="545"/>
    </row>
    <row r="433" spans="2:16" s="409" customFormat="1">
      <c r="B433" s="409" t="s">
        <v>597</v>
      </c>
      <c r="C433" s="410">
        <v>59</v>
      </c>
      <c r="D433" s="409" t="s">
        <v>597</v>
      </c>
      <c r="E433" s="410"/>
      <c r="P433" s="545"/>
    </row>
    <row r="434" spans="2:16" s="409" customFormat="1">
      <c r="C434" s="410">
        <v>60</v>
      </c>
      <c r="D434" s="409" t="s">
        <v>704</v>
      </c>
      <c r="E434" s="410"/>
      <c r="P434" s="545"/>
    </row>
    <row r="435" spans="2:16" s="409" customFormat="1">
      <c r="B435" s="409" t="s">
        <v>598</v>
      </c>
      <c r="C435" s="410"/>
      <c r="E435" s="410"/>
      <c r="P435" s="545"/>
    </row>
    <row r="436" spans="2:16" s="409" customFormat="1">
      <c r="B436" s="409" t="s">
        <v>705</v>
      </c>
      <c r="C436" s="410"/>
      <c r="E436" s="410"/>
      <c r="P436" s="545"/>
    </row>
    <row r="437" spans="2:16" s="409" customFormat="1">
      <c r="B437" s="409" t="s">
        <v>603</v>
      </c>
      <c r="C437" s="410"/>
      <c r="E437" s="410"/>
      <c r="P437" s="545"/>
    </row>
    <row r="438" spans="2:16" s="409" customFormat="1">
      <c r="B438" s="409" t="s">
        <v>706</v>
      </c>
      <c r="C438" s="410">
        <v>63</v>
      </c>
      <c r="D438" s="409" t="s">
        <v>605</v>
      </c>
      <c r="E438" s="410"/>
      <c r="P438" s="545"/>
    </row>
    <row r="439" spans="2:16" s="409" customFormat="1">
      <c r="C439" s="410">
        <v>64</v>
      </c>
      <c r="D439" s="409" t="s">
        <v>606</v>
      </c>
      <c r="E439" s="410"/>
      <c r="P439" s="545"/>
    </row>
    <row r="440" spans="2:16" s="409" customFormat="1">
      <c r="C440" s="410">
        <v>65</v>
      </c>
      <c r="D440" s="409" t="s">
        <v>607</v>
      </c>
      <c r="E440" s="410"/>
      <c r="P440" s="545"/>
    </row>
    <row r="441" spans="2:16" s="409" customFormat="1">
      <c r="C441" s="410">
        <v>66</v>
      </c>
      <c r="D441" s="409" t="s">
        <v>608</v>
      </c>
      <c r="E441" s="410"/>
      <c r="P441" s="545"/>
    </row>
    <row r="442" spans="2:16" s="409" customFormat="1">
      <c r="C442" s="410">
        <v>67</v>
      </c>
      <c r="D442" s="409" t="s">
        <v>609</v>
      </c>
      <c r="E442" s="410"/>
      <c r="P442" s="545"/>
    </row>
    <row r="443" spans="2:16" s="409" customFormat="1">
      <c r="C443" s="410">
        <v>68</v>
      </c>
      <c r="D443" s="409" t="s">
        <v>610</v>
      </c>
      <c r="E443" s="410"/>
      <c r="P443" s="545"/>
    </row>
    <row r="444" spans="2:16" s="409" customFormat="1">
      <c r="C444" s="410">
        <v>999</v>
      </c>
      <c r="D444" s="409" t="s">
        <v>611</v>
      </c>
      <c r="E444" s="410"/>
      <c r="P444" s="545"/>
    </row>
    <row r="445" spans="2:16" s="409" customFormat="1">
      <c r="B445" s="409" t="s">
        <v>612</v>
      </c>
      <c r="C445" s="410"/>
      <c r="E445" s="410"/>
      <c r="P445" s="545"/>
    </row>
    <row r="446" spans="2:16" s="409" customFormat="1">
      <c r="B446" s="409" t="s">
        <v>706</v>
      </c>
      <c r="C446" s="410">
        <v>69</v>
      </c>
      <c r="D446" s="409" t="s">
        <v>707</v>
      </c>
      <c r="E446" s="410"/>
      <c r="P446" s="545"/>
    </row>
    <row r="447" spans="2:16" s="409" customFormat="1">
      <c r="C447" s="410">
        <v>70</v>
      </c>
      <c r="D447" s="409" t="s">
        <v>708</v>
      </c>
      <c r="E447" s="410"/>
      <c r="P447" s="545"/>
    </row>
    <row r="448" spans="2:16" s="409" customFormat="1">
      <c r="C448" s="410">
        <v>71</v>
      </c>
      <c r="D448" s="409" t="s">
        <v>709</v>
      </c>
      <c r="E448" s="410"/>
      <c r="P448" s="545"/>
    </row>
    <row r="449" spans="1:16" s="409" customFormat="1">
      <c r="C449" s="410">
        <v>72</v>
      </c>
      <c r="D449" s="409" t="s">
        <v>710</v>
      </c>
      <c r="E449" s="410"/>
      <c r="P449" s="545"/>
    </row>
    <row r="450" spans="1:16" s="409" customFormat="1">
      <c r="C450" s="410">
        <v>73</v>
      </c>
      <c r="D450" s="409" t="s">
        <v>711</v>
      </c>
      <c r="E450" s="410"/>
      <c r="P450" s="545"/>
    </row>
    <row r="451" spans="1:16" s="409" customFormat="1">
      <c r="C451" s="410">
        <v>74</v>
      </c>
      <c r="D451" s="409" t="s">
        <v>712</v>
      </c>
      <c r="E451" s="410"/>
      <c r="P451" s="545"/>
    </row>
    <row r="452" spans="1:16" s="409" customFormat="1">
      <c r="C452" s="410">
        <v>75</v>
      </c>
      <c r="D452" s="409" t="s">
        <v>713</v>
      </c>
      <c r="E452" s="410"/>
      <c r="P452" s="545"/>
    </row>
    <row r="453" spans="1:16" s="409" customFormat="1">
      <c r="C453" s="410">
        <v>999</v>
      </c>
      <c r="D453" s="409" t="s">
        <v>625</v>
      </c>
      <c r="E453" s="410"/>
      <c r="P453" s="545"/>
    </row>
    <row r="454" spans="1:16" s="409" customFormat="1">
      <c r="A454" s="409">
        <v>50</v>
      </c>
      <c r="B454" s="409" t="s">
        <v>705</v>
      </c>
      <c r="C454" s="410">
        <v>76</v>
      </c>
      <c r="E454" s="410"/>
      <c r="P454" s="545"/>
    </row>
    <row r="455" spans="1:16" s="409" customFormat="1">
      <c r="C455" s="410"/>
      <c r="E455" s="410"/>
      <c r="P455" s="545"/>
    </row>
    <row r="456" spans="1:16" ht="13.5" customHeight="1">
      <c r="C456" s="436"/>
      <c r="H456" s="421"/>
      <c r="I456" s="421"/>
      <c r="J456" s="421"/>
      <c r="K456" s="421"/>
      <c r="L456" s="421"/>
      <c r="M456" s="421"/>
      <c r="N456" s="421"/>
      <c r="O456" s="421"/>
    </row>
    <row r="457" spans="1:16" ht="13.5" customHeight="1">
      <c r="C457" s="436"/>
      <c r="H457" s="421"/>
      <c r="I457" s="421"/>
      <c r="J457" s="421"/>
      <c r="K457" s="421"/>
      <c r="L457" s="421"/>
      <c r="M457" s="421"/>
      <c r="N457" s="421"/>
      <c r="O457" s="421"/>
    </row>
    <row r="458" spans="1:16" ht="13.5" customHeight="1">
      <c r="C458" s="436"/>
      <c r="H458" s="421"/>
      <c r="I458" s="421"/>
      <c r="J458" s="421"/>
      <c r="K458" s="421"/>
      <c r="L458" s="421"/>
      <c r="M458" s="421"/>
      <c r="N458" s="421"/>
      <c r="O458" s="421"/>
    </row>
    <row r="459" spans="1:16" ht="13.5" customHeight="1">
      <c r="C459" s="436"/>
      <c r="H459" s="421"/>
      <c r="I459" s="421"/>
      <c r="J459" s="421"/>
      <c r="K459" s="421"/>
      <c r="L459" s="421"/>
      <c r="M459" s="421"/>
      <c r="N459" s="421"/>
      <c r="O459" s="421"/>
    </row>
    <row r="460" spans="1:16" ht="13.5" customHeight="1">
      <c r="C460" s="436"/>
      <c r="H460" s="421"/>
      <c r="I460" s="421"/>
      <c r="J460" s="421"/>
      <c r="K460" s="421"/>
      <c r="L460" s="421"/>
      <c r="M460" s="421"/>
      <c r="N460" s="421"/>
      <c r="O460" s="421"/>
    </row>
    <row r="461" spans="1:16" ht="13.5" customHeight="1">
      <c r="C461" s="436"/>
      <c r="H461" s="421"/>
      <c r="I461" s="421"/>
      <c r="J461" s="421"/>
      <c r="K461" s="421"/>
      <c r="L461" s="421"/>
      <c r="M461" s="421"/>
      <c r="N461" s="421"/>
      <c r="O461" s="421"/>
    </row>
    <row r="462" spans="1:16" ht="13.5" customHeight="1">
      <c r="C462" s="436"/>
      <c r="H462" s="421"/>
      <c r="I462" s="421"/>
      <c r="J462" s="421"/>
      <c r="K462" s="421"/>
      <c r="L462" s="421"/>
      <c r="M462" s="421"/>
      <c r="N462" s="421"/>
      <c r="O462" s="421"/>
    </row>
    <row r="463" spans="1:16" ht="13.5" customHeight="1">
      <c r="C463" s="436"/>
      <c r="H463" s="421"/>
      <c r="I463" s="421"/>
      <c r="J463" s="421"/>
      <c r="K463" s="421"/>
      <c r="L463" s="421"/>
      <c r="M463" s="421"/>
      <c r="N463" s="421"/>
      <c r="O463" s="421"/>
    </row>
    <row r="464" spans="1:16" ht="13.5" customHeight="1">
      <c r="C464" s="436"/>
      <c r="H464" s="421"/>
      <c r="I464" s="421"/>
      <c r="J464" s="421"/>
      <c r="K464" s="421"/>
      <c r="L464" s="421"/>
      <c r="M464" s="421"/>
      <c r="N464" s="421"/>
      <c r="O464" s="421"/>
    </row>
    <row r="465" spans="3:15" ht="13.5" customHeight="1">
      <c r="C465" s="436"/>
      <c r="H465" s="421"/>
      <c r="I465" s="421"/>
      <c r="J465" s="421"/>
      <c r="K465" s="421"/>
      <c r="L465" s="421"/>
      <c r="M465" s="421"/>
      <c r="N465" s="421"/>
      <c r="O465" s="421"/>
    </row>
    <row r="466" spans="3:15" ht="13.5" customHeight="1">
      <c r="C466" s="436"/>
      <c r="H466" s="421"/>
      <c r="I466" s="421"/>
      <c r="J466" s="421"/>
      <c r="K466" s="421"/>
      <c r="L466" s="421"/>
      <c r="M466" s="421"/>
      <c r="N466" s="421"/>
      <c r="O466" s="421"/>
    </row>
    <row r="467" spans="3:15" ht="13.5" customHeight="1">
      <c r="C467" s="436"/>
      <c r="H467" s="421"/>
      <c r="I467" s="421"/>
      <c r="J467" s="421"/>
      <c r="K467" s="421"/>
      <c r="L467" s="421"/>
      <c r="M467" s="421"/>
      <c r="N467" s="421"/>
      <c r="O467" s="421"/>
    </row>
    <row r="468" spans="3:15" ht="13.5" customHeight="1">
      <c r="C468" s="436"/>
      <c r="H468" s="421"/>
      <c r="I468" s="421"/>
      <c r="J468" s="421"/>
      <c r="K468" s="421"/>
      <c r="L468" s="421"/>
      <c r="M468" s="421"/>
      <c r="N468" s="421"/>
      <c r="O468" s="421"/>
    </row>
    <row r="469" spans="3:15" ht="13.5" customHeight="1">
      <c r="C469" s="436"/>
      <c r="H469" s="421"/>
      <c r="I469" s="421"/>
      <c r="J469" s="421"/>
      <c r="K469" s="421"/>
      <c r="L469" s="421"/>
      <c r="M469" s="421"/>
      <c r="N469" s="421"/>
      <c r="O469" s="421"/>
    </row>
    <row r="470" spans="3:15" ht="13.5" customHeight="1">
      <c r="C470" s="436"/>
      <c r="H470" s="421"/>
      <c r="I470" s="421"/>
      <c r="J470" s="421"/>
      <c r="K470" s="421"/>
      <c r="L470" s="421"/>
      <c r="M470" s="421"/>
      <c r="N470" s="421"/>
      <c r="O470" s="421"/>
    </row>
    <row r="471" spans="3:15" ht="13.5" customHeight="1">
      <c r="C471" s="436"/>
      <c r="H471" s="421"/>
      <c r="I471" s="421"/>
      <c r="J471" s="421"/>
      <c r="K471" s="421"/>
      <c r="L471" s="421"/>
      <c r="M471" s="421"/>
      <c r="N471" s="421"/>
      <c r="O471" s="421"/>
    </row>
    <row r="472" spans="3:15" ht="13.5" customHeight="1">
      <c r="C472" s="436"/>
      <c r="H472" s="421"/>
      <c r="I472" s="421"/>
      <c r="J472" s="421"/>
      <c r="K472" s="421"/>
      <c r="L472" s="421"/>
      <c r="M472" s="421"/>
      <c r="N472" s="421"/>
      <c r="O472" s="421"/>
    </row>
    <row r="473" spans="3:15" ht="13.5" customHeight="1">
      <c r="C473" s="436"/>
      <c r="H473" s="421"/>
      <c r="I473" s="421"/>
      <c r="J473" s="421"/>
      <c r="K473" s="421"/>
      <c r="L473" s="421"/>
      <c r="M473" s="421"/>
      <c r="N473" s="421"/>
      <c r="O473" s="421"/>
    </row>
    <row r="474" spans="3:15" ht="13.5" customHeight="1">
      <c r="C474" s="421" t="s">
        <v>714</v>
      </c>
      <c r="D474" s="421" t="s">
        <v>715</v>
      </c>
      <c r="H474" s="421"/>
      <c r="I474" s="421"/>
      <c r="J474" s="421"/>
      <c r="K474" s="421"/>
      <c r="L474" s="421"/>
      <c r="M474" s="421"/>
      <c r="N474" s="421"/>
      <c r="O474" s="421"/>
    </row>
    <row r="475" spans="3:15" ht="13.5" customHeight="1">
      <c r="C475" s="421" t="s">
        <v>716</v>
      </c>
      <c r="D475" s="421" t="s">
        <v>717</v>
      </c>
      <c r="H475" s="421"/>
      <c r="I475" s="421"/>
      <c r="J475" s="421"/>
      <c r="K475" s="421"/>
      <c r="L475" s="421"/>
      <c r="M475" s="421"/>
      <c r="N475" s="421"/>
      <c r="O475" s="421"/>
    </row>
    <row r="476" spans="3:15" ht="13.5" customHeight="1">
      <c r="C476" s="421" t="s">
        <v>718</v>
      </c>
      <c r="D476" s="421" t="s">
        <v>719</v>
      </c>
      <c r="H476" s="421"/>
      <c r="I476" s="421"/>
      <c r="J476" s="421"/>
      <c r="K476" s="421"/>
      <c r="L476" s="421"/>
      <c r="M476" s="421"/>
      <c r="N476" s="421"/>
      <c r="O476" s="421"/>
    </row>
    <row r="477" spans="3:15" ht="13.5" customHeight="1">
      <c r="C477" s="421" t="s">
        <v>720</v>
      </c>
      <c r="D477" s="421" t="s">
        <v>721</v>
      </c>
      <c r="H477" s="421"/>
      <c r="I477" s="421"/>
      <c r="J477" s="421"/>
      <c r="K477" s="421"/>
      <c r="L477" s="421"/>
      <c r="M477" s="421"/>
      <c r="N477" s="421"/>
      <c r="O477" s="421"/>
    </row>
    <row r="478" spans="3:15" ht="13.5" customHeight="1">
      <c r="C478" s="421" t="s">
        <v>722</v>
      </c>
      <c r="D478" s="421" t="s">
        <v>723</v>
      </c>
    </row>
    <row r="479" spans="3:15" ht="13.5" customHeight="1">
      <c r="C479" s="421" t="s">
        <v>724</v>
      </c>
      <c r="D479" s="421" t="s">
        <v>725</v>
      </c>
    </row>
    <row r="480" spans="3:15" ht="13.5" customHeight="1">
      <c r="C480" s="421" t="s">
        <v>726</v>
      </c>
      <c r="D480" s="421" t="s">
        <v>727</v>
      </c>
    </row>
    <row r="481" spans="2:16" s="458" customFormat="1" ht="13.5" customHeight="1">
      <c r="B481" s="458" t="s">
        <v>728</v>
      </c>
      <c r="C481" s="458">
        <v>10500701</v>
      </c>
      <c r="D481" s="458" t="s">
        <v>729</v>
      </c>
      <c r="H481" s="459"/>
      <c r="I481" s="459"/>
      <c r="J481" s="459"/>
      <c r="K481" s="459"/>
      <c r="L481" s="459"/>
      <c r="M481" s="459"/>
      <c r="N481" s="459"/>
      <c r="O481" s="459"/>
      <c r="P481" s="445"/>
    </row>
    <row r="482" spans="2:16" s="458" customFormat="1" ht="13.5" customHeight="1">
      <c r="B482" s="458" t="s">
        <v>728</v>
      </c>
      <c r="C482" s="458" t="s">
        <v>730</v>
      </c>
      <c r="D482" s="458" t="s">
        <v>731</v>
      </c>
      <c r="H482" s="459"/>
      <c r="I482" s="459"/>
      <c r="J482" s="459"/>
      <c r="K482" s="459"/>
      <c r="L482" s="459"/>
      <c r="M482" s="459"/>
      <c r="N482" s="459"/>
      <c r="O482" s="459"/>
      <c r="P482" s="445"/>
    </row>
    <row r="483" spans="2:16" s="458" customFormat="1" ht="13.5" customHeight="1">
      <c r="B483" s="458" t="s">
        <v>728</v>
      </c>
      <c r="C483" s="458" t="s">
        <v>732</v>
      </c>
      <c r="D483" s="458" t="s">
        <v>733</v>
      </c>
      <c r="H483" s="459"/>
      <c r="I483" s="459"/>
      <c r="J483" s="459"/>
      <c r="K483" s="459"/>
      <c r="L483" s="459"/>
      <c r="M483" s="459"/>
      <c r="N483" s="459"/>
      <c r="O483" s="459"/>
      <c r="P483" s="445"/>
    </row>
    <row r="484" spans="2:16" s="458" customFormat="1" ht="13.5" customHeight="1">
      <c r="B484" s="458" t="s">
        <v>728</v>
      </c>
      <c r="C484" s="458" t="s">
        <v>734</v>
      </c>
      <c r="D484" s="458" t="s">
        <v>735</v>
      </c>
      <c r="H484" s="459"/>
      <c r="I484" s="459"/>
      <c r="J484" s="459"/>
      <c r="K484" s="459"/>
      <c r="L484" s="459"/>
      <c r="M484" s="459"/>
      <c r="N484" s="459"/>
      <c r="O484" s="459"/>
      <c r="P484" s="445"/>
    </row>
    <row r="485" spans="2:16" s="458" customFormat="1" ht="13.5" customHeight="1">
      <c r="B485" s="458" t="s">
        <v>728</v>
      </c>
      <c r="C485" s="458" t="s">
        <v>736</v>
      </c>
      <c r="D485" s="458" t="s">
        <v>737</v>
      </c>
      <c r="H485" s="459"/>
      <c r="I485" s="459"/>
      <c r="J485" s="459"/>
      <c r="K485" s="459"/>
      <c r="L485" s="459"/>
      <c r="M485" s="459"/>
      <c r="N485" s="459"/>
      <c r="O485" s="459"/>
      <c r="P485" s="445"/>
    </row>
    <row r="486" spans="2:16" s="458" customFormat="1" ht="13.5" customHeight="1">
      <c r="B486" s="458" t="s">
        <v>728</v>
      </c>
      <c r="C486" s="458" t="s">
        <v>738</v>
      </c>
      <c r="D486" s="458" t="s">
        <v>739</v>
      </c>
      <c r="H486" s="459"/>
      <c r="I486" s="459"/>
      <c r="J486" s="459"/>
      <c r="K486" s="459"/>
      <c r="L486" s="459"/>
      <c r="M486" s="459"/>
      <c r="N486" s="459"/>
      <c r="O486" s="459"/>
      <c r="P486" s="445"/>
    </row>
    <row r="487" spans="2:16" s="458" customFormat="1" ht="13.5" customHeight="1">
      <c r="B487" s="458" t="s">
        <v>728</v>
      </c>
      <c r="C487" s="458" t="s">
        <v>740</v>
      </c>
      <c r="D487" s="458" t="s">
        <v>741</v>
      </c>
      <c r="H487" s="459"/>
      <c r="I487" s="459"/>
      <c r="J487" s="459"/>
      <c r="K487" s="459"/>
      <c r="L487" s="459"/>
      <c r="M487" s="459"/>
      <c r="N487" s="459"/>
      <c r="O487" s="459"/>
      <c r="P487" s="445"/>
    </row>
    <row r="488" spans="2:16" s="458" customFormat="1" ht="13.5" customHeight="1">
      <c r="B488" s="458" t="s">
        <v>728</v>
      </c>
      <c r="C488" s="458" t="s">
        <v>742</v>
      </c>
      <c r="D488" s="458" t="s">
        <v>743</v>
      </c>
      <c r="H488" s="459"/>
      <c r="I488" s="459"/>
      <c r="J488" s="459"/>
      <c r="K488" s="459"/>
      <c r="L488" s="459"/>
      <c r="M488" s="459"/>
      <c r="N488" s="459"/>
      <c r="O488" s="459"/>
      <c r="P488" s="445"/>
    </row>
    <row r="489" spans="2:16" s="458" customFormat="1" ht="13.5" customHeight="1">
      <c r="B489" s="458" t="s">
        <v>728</v>
      </c>
      <c r="C489" s="458" t="s">
        <v>744</v>
      </c>
      <c r="D489" s="458" t="s">
        <v>745</v>
      </c>
      <c r="H489" s="459"/>
      <c r="I489" s="459"/>
      <c r="J489" s="459"/>
      <c r="K489" s="459"/>
      <c r="L489" s="459"/>
      <c r="M489" s="459"/>
      <c r="N489" s="459"/>
      <c r="O489" s="459"/>
      <c r="P489" s="445"/>
    </row>
    <row r="490" spans="2:16" s="458" customFormat="1" ht="13.5" customHeight="1">
      <c r="B490" s="458" t="s">
        <v>728</v>
      </c>
      <c r="C490" s="458" t="s">
        <v>746</v>
      </c>
      <c r="D490" s="458" t="s">
        <v>747</v>
      </c>
      <c r="H490" s="459"/>
      <c r="I490" s="459"/>
      <c r="J490" s="459"/>
      <c r="K490" s="459"/>
      <c r="L490" s="459"/>
      <c r="M490" s="459"/>
      <c r="N490" s="459"/>
      <c r="O490" s="459"/>
      <c r="P490" s="445"/>
    </row>
    <row r="491" spans="2:16" s="458" customFormat="1" ht="13.5" customHeight="1">
      <c r="B491" s="458" t="s">
        <v>728</v>
      </c>
      <c r="C491" s="458" t="s">
        <v>748</v>
      </c>
      <c r="D491" s="458" t="s">
        <v>749</v>
      </c>
      <c r="H491" s="459"/>
      <c r="I491" s="459"/>
      <c r="J491" s="459"/>
      <c r="K491" s="459"/>
      <c r="L491" s="459"/>
      <c r="M491" s="459"/>
      <c r="N491" s="459"/>
      <c r="O491" s="459"/>
      <c r="P491" s="445"/>
    </row>
    <row r="492" spans="2:16" s="458" customFormat="1" ht="13.5" customHeight="1">
      <c r="B492" s="458" t="s">
        <v>728</v>
      </c>
      <c r="C492" s="458" t="s">
        <v>750</v>
      </c>
      <c r="D492" s="458" t="s">
        <v>751</v>
      </c>
      <c r="H492" s="459"/>
      <c r="I492" s="459"/>
      <c r="J492" s="459"/>
      <c r="K492" s="459"/>
      <c r="L492" s="459"/>
      <c r="M492" s="459"/>
      <c r="N492" s="459"/>
      <c r="O492" s="459"/>
      <c r="P492" s="445"/>
    </row>
    <row r="493" spans="2:16" s="458" customFormat="1" ht="13.5" customHeight="1">
      <c r="B493" s="458" t="s">
        <v>728</v>
      </c>
      <c r="C493" s="458" t="s">
        <v>752</v>
      </c>
      <c r="D493" s="458" t="s">
        <v>753</v>
      </c>
      <c r="H493" s="459"/>
      <c r="I493" s="459"/>
      <c r="J493" s="459"/>
      <c r="K493" s="459"/>
      <c r="L493" s="459"/>
      <c r="M493" s="459"/>
      <c r="N493" s="459"/>
      <c r="O493" s="459"/>
      <c r="P493" s="445"/>
    </row>
    <row r="494" spans="2:16" s="458" customFormat="1" ht="13.5" customHeight="1">
      <c r="B494" s="458" t="s">
        <v>728</v>
      </c>
      <c r="C494" s="458" t="s">
        <v>754</v>
      </c>
      <c r="D494" s="458" t="s">
        <v>755</v>
      </c>
      <c r="H494" s="459"/>
      <c r="I494" s="459"/>
      <c r="J494" s="459"/>
      <c r="K494" s="459"/>
      <c r="L494" s="459"/>
      <c r="M494" s="459"/>
      <c r="N494" s="459"/>
      <c r="O494" s="459"/>
      <c r="P494" s="445"/>
    </row>
    <row r="495" spans="2:16" s="458" customFormat="1" ht="13.5" customHeight="1">
      <c r="B495" s="458" t="s">
        <v>728</v>
      </c>
      <c r="C495" s="458" t="s">
        <v>756</v>
      </c>
      <c r="D495" s="458" t="s">
        <v>757</v>
      </c>
      <c r="H495" s="459"/>
      <c r="I495" s="459"/>
      <c r="J495" s="459"/>
      <c r="K495" s="459"/>
      <c r="L495" s="459"/>
      <c r="M495" s="459"/>
      <c r="N495" s="459"/>
      <c r="O495" s="459"/>
      <c r="P495" s="445"/>
    </row>
    <row r="496" spans="2:16" s="458" customFormat="1" ht="13.5" customHeight="1">
      <c r="B496" s="458" t="s">
        <v>728</v>
      </c>
      <c r="C496" s="458" t="s">
        <v>758</v>
      </c>
      <c r="D496" s="458" t="s">
        <v>759</v>
      </c>
      <c r="H496" s="459"/>
      <c r="I496" s="459"/>
      <c r="J496" s="459"/>
      <c r="K496" s="459"/>
      <c r="L496" s="459"/>
      <c r="M496" s="459"/>
      <c r="N496" s="459"/>
      <c r="O496" s="459"/>
      <c r="P496" s="445"/>
    </row>
    <row r="497" spans="2:16" s="458" customFormat="1" ht="13.5" customHeight="1">
      <c r="B497" s="458" t="s">
        <v>728</v>
      </c>
      <c r="C497" s="458" t="s">
        <v>760</v>
      </c>
      <c r="D497" s="458" t="s">
        <v>761</v>
      </c>
      <c r="H497" s="459"/>
      <c r="I497" s="459"/>
      <c r="J497" s="459"/>
      <c r="K497" s="459"/>
      <c r="L497" s="459"/>
      <c r="M497" s="459"/>
      <c r="N497" s="459"/>
      <c r="O497" s="459"/>
      <c r="P497" s="445"/>
    </row>
    <row r="498" spans="2:16" s="458" customFormat="1" ht="13.5" customHeight="1">
      <c r="B498" s="458" t="s">
        <v>728</v>
      </c>
      <c r="C498" s="458" t="s">
        <v>762</v>
      </c>
      <c r="D498" s="458" t="s">
        <v>763</v>
      </c>
      <c r="H498" s="459"/>
      <c r="I498" s="459"/>
      <c r="J498" s="459"/>
      <c r="K498" s="459"/>
      <c r="L498" s="459"/>
      <c r="M498" s="459"/>
      <c r="N498" s="459"/>
      <c r="O498" s="459"/>
      <c r="P498" s="445"/>
    </row>
    <row r="499" spans="2:16" s="458" customFormat="1" ht="13.5" customHeight="1">
      <c r="B499" s="458" t="s">
        <v>728</v>
      </c>
      <c r="C499" s="458" t="s">
        <v>764</v>
      </c>
      <c r="D499" s="458" t="s">
        <v>765</v>
      </c>
      <c r="H499" s="459"/>
      <c r="I499" s="459"/>
      <c r="J499" s="459"/>
      <c r="K499" s="459"/>
      <c r="L499" s="459"/>
      <c r="M499" s="459"/>
      <c r="N499" s="459"/>
      <c r="O499" s="459"/>
      <c r="P499" s="445"/>
    </row>
    <row r="500" spans="2:16" s="458" customFormat="1" ht="13.5" customHeight="1">
      <c r="B500" s="458" t="s">
        <v>728</v>
      </c>
      <c r="C500" s="458" t="s">
        <v>766</v>
      </c>
      <c r="D500" s="458" t="s">
        <v>767</v>
      </c>
      <c r="H500" s="459"/>
      <c r="I500" s="459"/>
      <c r="J500" s="459"/>
      <c r="K500" s="459"/>
      <c r="L500" s="459"/>
      <c r="M500" s="459"/>
      <c r="N500" s="459"/>
      <c r="O500" s="459"/>
      <c r="P500" s="445"/>
    </row>
    <row r="501" spans="2:16" s="458" customFormat="1" ht="13.5" customHeight="1">
      <c r="B501" s="458" t="s">
        <v>728</v>
      </c>
      <c r="C501" s="458" t="s">
        <v>768</v>
      </c>
      <c r="D501" s="458" t="s">
        <v>769</v>
      </c>
      <c r="H501" s="459"/>
      <c r="I501" s="459"/>
      <c r="J501" s="459"/>
      <c r="K501" s="459"/>
      <c r="L501" s="459"/>
      <c r="M501" s="459"/>
      <c r="N501" s="459"/>
      <c r="O501" s="459"/>
      <c r="P501" s="445"/>
    </row>
    <row r="502" spans="2:16" s="458" customFormat="1" ht="13.5" customHeight="1">
      <c r="B502" s="458" t="s">
        <v>728</v>
      </c>
      <c r="C502" s="458" t="s">
        <v>770</v>
      </c>
      <c r="D502" s="458" t="s">
        <v>771</v>
      </c>
      <c r="H502" s="459"/>
      <c r="I502" s="459"/>
      <c r="J502" s="459"/>
      <c r="K502" s="459"/>
      <c r="L502" s="459"/>
      <c r="M502" s="459"/>
      <c r="N502" s="459"/>
      <c r="O502" s="459"/>
      <c r="P502" s="445"/>
    </row>
    <row r="503" spans="2:16" s="458" customFormat="1" ht="13.5" customHeight="1">
      <c r="B503" s="458" t="s">
        <v>728</v>
      </c>
      <c r="C503" s="458" t="s">
        <v>772</v>
      </c>
      <c r="D503" s="458" t="s">
        <v>773</v>
      </c>
      <c r="H503" s="459"/>
      <c r="I503" s="459"/>
      <c r="J503" s="459"/>
      <c r="K503" s="459"/>
      <c r="L503" s="459"/>
      <c r="M503" s="459"/>
      <c r="N503" s="459"/>
      <c r="O503" s="459"/>
      <c r="P503" s="445"/>
    </row>
    <row r="504" spans="2:16" s="458" customFormat="1" ht="13.5" customHeight="1">
      <c r="B504" s="458" t="s">
        <v>728</v>
      </c>
      <c r="C504" s="458" t="s">
        <v>774</v>
      </c>
      <c r="D504" s="458" t="s">
        <v>775</v>
      </c>
      <c r="H504" s="459"/>
      <c r="I504" s="459"/>
      <c r="J504" s="459"/>
      <c r="K504" s="459"/>
      <c r="L504" s="459"/>
      <c r="M504" s="459"/>
      <c r="N504" s="459"/>
      <c r="O504" s="459"/>
      <c r="P504" s="445"/>
    </row>
    <row r="505" spans="2:16" s="458" customFormat="1" ht="13.5" customHeight="1">
      <c r="B505" s="458" t="s">
        <v>728</v>
      </c>
      <c r="C505" s="458" t="s">
        <v>776</v>
      </c>
      <c r="D505" s="458" t="s">
        <v>777</v>
      </c>
      <c r="H505" s="459"/>
      <c r="I505" s="459"/>
      <c r="J505" s="459"/>
      <c r="K505" s="459"/>
      <c r="L505" s="459"/>
      <c r="M505" s="459"/>
      <c r="N505" s="459"/>
      <c r="O505" s="459"/>
      <c r="P505" s="445"/>
    </row>
    <row r="506" spans="2:16" ht="13.5" customHeight="1">
      <c r="B506" s="421" t="s">
        <v>778</v>
      </c>
      <c r="C506" s="421" t="s">
        <v>779</v>
      </c>
      <c r="D506" s="421" t="s">
        <v>780</v>
      </c>
    </row>
    <row r="507" spans="2:16" ht="13.5" customHeight="1">
      <c r="B507" s="421" t="s">
        <v>778</v>
      </c>
      <c r="C507" s="421" t="s">
        <v>781</v>
      </c>
      <c r="D507" s="421" t="s">
        <v>782</v>
      </c>
    </row>
    <row r="508" spans="2:16" ht="13.5" customHeight="1">
      <c r="B508" s="421" t="s">
        <v>778</v>
      </c>
      <c r="C508" s="421" t="s">
        <v>783</v>
      </c>
      <c r="D508" s="421" t="s">
        <v>784</v>
      </c>
    </row>
    <row r="509" spans="2:16" ht="13.5" customHeight="1">
      <c r="B509" s="421" t="s">
        <v>778</v>
      </c>
      <c r="C509" s="421" t="s">
        <v>785</v>
      </c>
      <c r="D509" s="421" t="s">
        <v>786</v>
      </c>
    </row>
    <row r="510" spans="2:16" ht="13.5" customHeight="1">
      <c r="B510" s="421" t="s">
        <v>778</v>
      </c>
      <c r="C510" s="421" t="s">
        <v>787</v>
      </c>
      <c r="D510" s="421" t="s">
        <v>788</v>
      </c>
    </row>
    <row r="511" spans="2:16" ht="13.5" customHeight="1">
      <c r="B511" s="421" t="s">
        <v>778</v>
      </c>
      <c r="C511" s="421" t="s">
        <v>789</v>
      </c>
      <c r="D511" s="421" t="s">
        <v>790</v>
      </c>
    </row>
    <row r="512" spans="2:16" ht="13.5" customHeight="1">
      <c r="B512" s="421" t="s">
        <v>778</v>
      </c>
      <c r="C512" s="421" t="s">
        <v>791</v>
      </c>
      <c r="D512" s="421" t="s">
        <v>792</v>
      </c>
    </row>
    <row r="513" spans="2:15" ht="13.5" customHeight="1">
      <c r="B513" s="421" t="s">
        <v>778</v>
      </c>
      <c r="C513" s="421" t="s">
        <v>793</v>
      </c>
      <c r="D513" s="421" t="s">
        <v>794</v>
      </c>
    </row>
    <row r="514" spans="2:15" ht="13.5" customHeight="1">
      <c r="B514" s="421" t="s">
        <v>778</v>
      </c>
      <c r="C514" s="421" t="s">
        <v>795</v>
      </c>
      <c r="D514" s="421" t="s">
        <v>796</v>
      </c>
    </row>
    <row r="515" spans="2:15" ht="13.5" customHeight="1">
      <c r="B515" s="421" t="s">
        <v>778</v>
      </c>
      <c r="C515" s="421" t="s">
        <v>797</v>
      </c>
      <c r="D515" s="421" t="s">
        <v>798</v>
      </c>
    </row>
    <row r="516" spans="2:15" ht="13.5" customHeight="1">
      <c r="B516" s="421" t="s">
        <v>778</v>
      </c>
      <c r="C516" s="421" t="s">
        <v>799</v>
      </c>
      <c r="D516" s="421" t="s">
        <v>800</v>
      </c>
    </row>
    <row r="517" spans="2:15" ht="13.5" customHeight="1">
      <c r="B517" s="421" t="s">
        <v>778</v>
      </c>
      <c r="C517" s="421" t="s">
        <v>801</v>
      </c>
      <c r="D517" s="421" t="s">
        <v>802</v>
      </c>
    </row>
    <row r="518" spans="2:15" ht="13.5" customHeight="1">
      <c r="B518" s="421" t="s">
        <v>778</v>
      </c>
      <c r="C518" s="421" t="s">
        <v>803</v>
      </c>
      <c r="D518" s="421" t="s">
        <v>804</v>
      </c>
      <c r="H518" s="421"/>
      <c r="I518" s="421"/>
      <c r="J518" s="421"/>
      <c r="K518" s="421"/>
      <c r="L518" s="421"/>
      <c r="M518" s="421"/>
      <c r="N518" s="421"/>
      <c r="O518" s="421"/>
    </row>
    <row r="519" spans="2:15" ht="13.5" customHeight="1">
      <c r="B519" s="421" t="s">
        <v>778</v>
      </c>
      <c r="C519" s="421" t="s">
        <v>805</v>
      </c>
      <c r="D519" s="421" t="s">
        <v>806</v>
      </c>
      <c r="H519" s="421"/>
      <c r="I519" s="421"/>
      <c r="J519" s="421"/>
      <c r="K519" s="421"/>
      <c r="L519" s="421"/>
      <c r="M519" s="421"/>
      <c r="N519" s="421"/>
      <c r="O519" s="421"/>
    </row>
    <row r="520" spans="2:15" ht="13.5" customHeight="1">
      <c r="B520" s="421" t="s">
        <v>778</v>
      </c>
      <c r="C520" s="421" t="s">
        <v>807</v>
      </c>
      <c r="D520" s="421" t="s">
        <v>808</v>
      </c>
      <c r="H520" s="421"/>
      <c r="I520" s="421"/>
      <c r="J520" s="421"/>
      <c r="K520" s="421"/>
      <c r="L520" s="421"/>
      <c r="M520" s="421"/>
      <c r="N520" s="421"/>
      <c r="O520" s="421"/>
    </row>
    <row r="521" spans="2:15" ht="13.5" customHeight="1">
      <c r="B521" s="421" t="s">
        <v>778</v>
      </c>
      <c r="C521" s="421" t="s">
        <v>809</v>
      </c>
      <c r="D521" s="421" t="s">
        <v>810</v>
      </c>
      <c r="H521" s="421"/>
      <c r="I521" s="421"/>
      <c r="J521" s="421"/>
      <c r="K521" s="421"/>
      <c r="L521" s="421"/>
      <c r="M521" s="421"/>
      <c r="N521" s="421"/>
      <c r="O521" s="421"/>
    </row>
    <row r="522" spans="2:15" ht="13.5" customHeight="1">
      <c r="B522" s="421" t="s">
        <v>778</v>
      </c>
      <c r="C522" s="421" t="s">
        <v>811</v>
      </c>
      <c r="D522" s="421" t="s">
        <v>812</v>
      </c>
      <c r="H522" s="421"/>
      <c r="I522" s="421"/>
      <c r="J522" s="421"/>
      <c r="K522" s="421"/>
      <c r="L522" s="421"/>
      <c r="M522" s="421"/>
      <c r="N522" s="421"/>
      <c r="O522" s="421"/>
    </row>
    <row r="523" spans="2:15" ht="13.5" customHeight="1">
      <c r="B523" s="421" t="s">
        <v>778</v>
      </c>
      <c r="C523" s="421" t="s">
        <v>813</v>
      </c>
      <c r="D523" s="421" t="s">
        <v>814</v>
      </c>
      <c r="H523" s="421"/>
      <c r="I523" s="421"/>
      <c r="J523" s="421"/>
      <c r="K523" s="421"/>
      <c r="L523" s="421"/>
      <c r="M523" s="421"/>
      <c r="N523" s="421"/>
      <c r="O523" s="421"/>
    </row>
    <row r="524" spans="2:15" ht="13.5" customHeight="1">
      <c r="B524" s="421" t="s">
        <v>778</v>
      </c>
      <c r="C524" s="421" t="s">
        <v>815</v>
      </c>
      <c r="D524" s="421" t="s">
        <v>816</v>
      </c>
      <c r="H524" s="421"/>
      <c r="I524" s="421"/>
      <c r="J524" s="421"/>
      <c r="K524" s="421"/>
      <c r="L524" s="421"/>
      <c r="M524" s="421"/>
      <c r="N524" s="421"/>
      <c r="O524" s="421"/>
    </row>
    <row r="525" spans="2:15" ht="13.5" customHeight="1">
      <c r="B525" s="421" t="s">
        <v>778</v>
      </c>
      <c r="C525" s="421" t="s">
        <v>817</v>
      </c>
      <c r="D525" s="421" t="s">
        <v>818</v>
      </c>
      <c r="H525" s="421"/>
      <c r="I525" s="421"/>
      <c r="J525" s="421"/>
      <c r="K525" s="421"/>
      <c r="L525" s="421"/>
      <c r="M525" s="421"/>
      <c r="N525" s="421"/>
      <c r="O525" s="421"/>
    </row>
    <row r="526" spans="2:15" ht="13.5" customHeight="1">
      <c r="B526" s="421" t="s">
        <v>778</v>
      </c>
      <c r="C526" s="421" t="s">
        <v>819</v>
      </c>
      <c r="D526" s="421" t="s">
        <v>820</v>
      </c>
      <c r="H526" s="421"/>
      <c r="I526" s="421"/>
      <c r="J526" s="421"/>
      <c r="K526" s="421"/>
      <c r="L526" s="421"/>
      <c r="M526" s="421"/>
      <c r="N526" s="421"/>
      <c r="O526" s="421"/>
    </row>
    <row r="527" spans="2:15" ht="13.5" customHeight="1">
      <c r="B527" s="421" t="s">
        <v>778</v>
      </c>
      <c r="C527" s="421" t="s">
        <v>821</v>
      </c>
      <c r="D527" s="421" t="s">
        <v>822</v>
      </c>
      <c r="H527" s="421"/>
      <c r="I527" s="421"/>
      <c r="J527" s="421"/>
      <c r="K527" s="421"/>
      <c r="L527" s="421"/>
      <c r="M527" s="421"/>
      <c r="N527" s="421"/>
      <c r="O527" s="421"/>
    </row>
    <row r="528" spans="2:15" ht="13.5" customHeight="1">
      <c r="B528" s="421" t="s">
        <v>778</v>
      </c>
      <c r="C528" s="421" t="s">
        <v>823</v>
      </c>
      <c r="D528" s="421" t="s">
        <v>824</v>
      </c>
      <c r="H528" s="421"/>
      <c r="I528" s="421"/>
      <c r="J528" s="421"/>
      <c r="K528" s="421"/>
      <c r="L528" s="421"/>
      <c r="M528" s="421"/>
      <c r="N528" s="421"/>
      <c r="O528" s="421"/>
    </row>
    <row r="529" spans="2:15" ht="13.5" customHeight="1">
      <c r="B529" s="421" t="s">
        <v>778</v>
      </c>
      <c r="C529" s="421" t="s">
        <v>825</v>
      </c>
      <c r="D529" s="421" t="s">
        <v>826</v>
      </c>
      <c r="H529" s="421"/>
      <c r="I529" s="421"/>
      <c r="J529" s="421"/>
      <c r="K529" s="421"/>
      <c r="L529" s="421"/>
      <c r="M529" s="421"/>
      <c r="N529" s="421"/>
      <c r="O529" s="421"/>
    </row>
    <row r="530" spans="2:15" ht="13.5" customHeight="1">
      <c r="B530" s="421" t="s">
        <v>778</v>
      </c>
      <c r="C530" s="421" t="s">
        <v>827</v>
      </c>
      <c r="D530" s="421" t="s">
        <v>828</v>
      </c>
      <c r="H530" s="421"/>
      <c r="I530" s="421"/>
      <c r="J530" s="421"/>
      <c r="K530" s="421"/>
      <c r="L530" s="421"/>
      <c r="M530" s="421"/>
      <c r="N530" s="421"/>
      <c r="O530" s="421"/>
    </row>
    <row r="531" spans="2:15" ht="13.5" customHeight="1">
      <c r="B531" s="421" t="s">
        <v>829</v>
      </c>
      <c r="C531" s="421" t="s">
        <v>830</v>
      </c>
      <c r="D531" s="421" t="s">
        <v>831</v>
      </c>
      <c r="H531" s="421"/>
      <c r="I531" s="421"/>
      <c r="J531" s="421"/>
      <c r="K531" s="421"/>
      <c r="L531" s="421"/>
      <c r="M531" s="421"/>
      <c r="N531" s="421"/>
      <c r="O531" s="421"/>
    </row>
    <row r="532" spans="2:15" ht="13.5" customHeight="1">
      <c r="B532" s="421" t="s">
        <v>829</v>
      </c>
      <c r="C532" s="421" t="s">
        <v>832</v>
      </c>
      <c r="D532" s="421" t="s">
        <v>833</v>
      </c>
      <c r="H532" s="421"/>
      <c r="I532" s="421"/>
      <c r="J532" s="421"/>
      <c r="K532" s="421"/>
      <c r="L532" s="421"/>
      <c r="M532" s="421"/>
      <c r="N532" s="421"/>
      <c r="O532" s="421"/>
    </row>
    <row r="533" spans="2:15" ht="13.5" customHeight="1">
      <c r="B533" s="421" t="s">
        <v>829</v>
      </c>
      <c r="C533" s="421" t="s">
        <v>834</v>
      </c>
      <c r="D533" s="421" t="s">
        <v>835</v>
      </c>
      <c r="H533" s="421"/>
      <c r="I533" s="421"/>
      <c r="J533" s="421"/>
      <c r="K533" s="421"/>
      <c r="L533" s="421"/>
      <c r="M533" s="421"/>
      <c r="N533" s="421"/>
      <c r="O533" s="421"/>
    </row>
    <row r="534" spans="2:15" ht="13.5" customHeight="1">
      <c r="B534" s="421" t="s">
        <v>829</v>
      </c>
      <c r="C534" s="421" t="s">
        <v>836</v>
      </c>
      <c r="D534" s="421" t="s">
        <v>837</v>
      </c>
      <c r="H534" s="421"/>
      <c r="I534" s="421"/>
      <c r="J534" s="421"/>
      <c r="K534" s="421"/>
      <c r="L534" s="421"/>
      <c r="M534" s="421"/>
      <c r="N534" s="421"/>
      <c r="O534" s="421"/>
    </row>
    <row r="535" spans="2:15" ht="13.5" customHeight="1">
      <c r="B535" s="421" t="s">
        <v>829</v>
      </c>
      <c r="C535" s="421" t="s">
        <v>838</v>
      </c>
      <c r="D535" s="421" t="s">
        <v>839</v>
      </c>
      <c r="H535" s="421"/>
      <c r="I535" s="421"/>
      <c r="J535" s="421"/>
      <c r="K535" s="421"/>
      <c r="L535" s="421"/>
      <c r="M535" s="421"/>
      <c r="N535" s="421"/>
      <c r="O535" s="421"/>
    </row>
    <row r="536" spans="2:15" ht="13.5" customHeight="1">
      <c r="B536" s="421" t="s">
        <v>829</v>
      </c>
      <c r="C536" s="421" t="s">
        <v>840</v>
      </c>
      <c r="D536" s="421" t="s">
        <v>841</v>
      </c>
      <c r="H536" s="421"/>
      <c r="I536" s="421"/>
      <c r="J536" s="421"/>
      <c r="K536" s="421"/>
      <c r="L536" s="421"/>
      <c r="M536" s="421"/>
      <c r="N536" s="421"/>
      <c r="O536" s="421"/>
    </row>
    <row r="537" spans="2:15" ht="13.5" customHeight="1">
      <c r="B537" s="421" t="s">
        <v>829</v>
      </c>
      <c r="C537" s="421" t="s">
        <v>842</v>
      </c>
      <c r="D537" s="421" t="s">
        <v>843</v>
      </c>
      <c r="H537" s="421"/>
      <c r="I537" s="421"/>
      <c r="J537" s="421"/>
      <c r="K537" s="421"/>
      <c r="L537" s="421"/>
      <c r="M537" s="421"/>
      <c r="N537" s="421"/>
      <c r="O537" s="421"/>
    </row>
    <row r="538" spans="2:15" ht="13.5" customHeight="1">
      <c r="B538" s="421" t="s">
        <v>829</v>
      </c>
      <c r="C538" s="421" t="s">
        <v>844</v>
      </c>
      <c r="D538" s="421" t="s">
        <v>845</v>
      </c>
      <c r="H538" s="421"/>
      <c r="I538" s="421"/>
      <c r="J538" s="421"/>
      <c r="K538" s="421"/>
      <c r="L538" s="421"/>
      <c r="M538" s="421"/>
      <c r="N538" s="421"/>
      <c r="O538" s="421"/>
    </row>
    <row r="539" spans="2:15" ht="13.5" customHeight="1">
      <c r="B539" s="421" t="s">
        <v>829</v>
      </c>
      <c r="C539" s="421" t="s">
        <v>846</v>
      </c>
      <c r="D539" s="421" t="s">
        <v>847</v>
      </c>
      <c r="H539" s="421"/>
      <c r="I539" s="421"/>
      <c r="J539" s="421"/>
      <c r="K539" s="421"/>
      <c r="L539" s="421"/>
      <c r="M539" s="421"/>
      <c r="N539" s="421"/>
      <c r="O539" s="421"/>
    </row>
    <row r="540" spans="2:15" ht="13.5" customHeight="1">
      <c r="B540" s="421" t="s">
        <v>829</v>
      </c>
      <c r="C540" s="421" t="s">
        <v>848</v>
      </c>
      <c r="D540" s="421" t="s">
        <v>849</v>
      </c>
      <c r="H540" s="421"/>
      <c r="I540" s="421"/>
      <c r="J540" s="421"/>
      <c r="K540" s="421"/>
      <c r="L540" s="421"/>
      <c r="M540" s="421"/>
      <c r="N540" s="421"/>
      <c r="O540" s="421"/>
    </row>
    <row r="541" spans="2:15" ht="13.5" customHeight="1">
      <c r="B541" s="421" t="s">
        <v>829</v>
      </c>
      <c r="C541" s="421" t="s">
        <v>850</v>
      </c>
      <c r="D541" s="421" t="s">
        <v>851</v>
      </c>
      <c r="H541" s="421"/>
      <c r="I541" s="421"/>
      <c r="J541" s="421"/>
      <c r="K541" s="421"/>
      <c r="L541" s="421"/>
      <c r="M541" s="421"/>
      <c r="N541" s="421"/>
      <c r="O541" s="421"/>
    </row>
    <row r="542" spans="2:15" ht="13.5" customHeight="1">
      <c r="B542" s="421" t="s">
        <v>829</v>
      </c>
      <c r="C542" s="421" t="s">
        <v>852</v>
      </c>
      <c r="D542" s="421" t="s">
        <v>853</v>
      </c>
      <c r="H542" s="421"/>
      <c r="I542" s="421"/>
      <c r="J542" s="421"/>
      <c r="K542" s="421"/>
      <c r="L542" s="421"/>
      <c r="M542" s="421"/>
      <c r="N542" s="421"/>
      <c r="O542" s="421"/>
    </row>
    <row r="543" spans="2:15" ht="13.5" customHeight="1">
      <c r="B543" s="421" t="s">
        <v>829</v>
      </c>
      <c r="C543" s="421" t="s">
        <v>854</v>
      </c>
      <c r="D543" s="421" t="s">
        <v>855</v>
      </c>
      <c r="H543" s="421"/>
      <c r="I543" s="421"/>
      <c r="J543" s="421"/>
      <c r="K543" s="421"/>
      <c r="L543" s="421"/>
      <c r="M543" s="421"/>
      <c r="N543" s="421"/>
      <c r="O543" s="421"/>
    </row>
    <row r="544" spans="2:15" ht="13.5" customHeight="1">
      <c r="B544" s="421" t="s">
        <v>829</v>
      </c>
      <c r="C544" s="421" t="s">
        <v>856</v>
      </c>
      <c r="D544" s="421" t="s">
        <v>857</v>
      </c>
      <c r="H544" s="421"/>
      <c r="I544" s="421"/>
      <c r="J544" s="421"/>
      <c r="K544" s="421"/>
      <c r="L544" s="421"/>
      <c r="M544" s="421"/>
      <c r="N544" s="421"/>
      <c r="O544" s="421"/>
    </row>
    <row r="545" spans="2:15" ht="13.5" customHeight="1">
      <c r="B545" s="421" t="s">
        <v>829</v>
      </c>
      <c r="C545" s="421" t="s">
        <v>858</v>
      </c>
      <c r="D545" s="421" t="s">
        <v>859</v>
      </c>
      <c r="H545" s="421"/>
      <c r="I545" s="421"/>
      <c r="J545" s="421"/>
      <c r="K545" s="421"/>
      <c r="L545" s="421"/>
      <c r="M545" s="421"/>
      <c r="N545" s="421"/>
      <c r="O545" s="421"/>
    </row>
    <row r="546" spans="2:15" ht="13.5" customHeight="1">
      <c r="B546" s="421" t="s">
        <v>829</v>
      </c>
      <c r="C546" s="421" t="s">
        <v>860</v>
      </c>
      <c r="D546" s="421" t="s">
        <v>861</v>
      </c>
      <c r="H546" s="421"/>
      <c r="I546" s="421"/>
      <c r="J546" s="421"/>
      <c r="K546" s="421"/>
      <c r="L546" s="421"/>
      <c r="M546" s="421"/>
      <c r="N546" s="421"/>
      <c r="O546" s="421"/>
    </row>
    <row r="547" spans="2:15" ht="13.5" customHeight="1">
      <c r="B547" s="421" t="s">
        <v>829</v>
      </c>
      <c r="C547" s="421" t="s">
        <v>862</v>
      </c>
      <c r="D547" s="421" t="s">
        <v>863</v>
      </c>
      <c r="H547" s="421"/>
      <c r="I547" s="421"/>
      <c r="J547" s="421"/>
      <c r="K547" s="421"/>
      <c r="L547" s="421"/>
      <c r="M547" s="421"/>
      <c r="N547" s="421"/>
      <c r="O547" s="421"/>
    </row>
    <row r="548" spans="2:15" ht="13.5" customHeight="1">
      <c r="B548" s="421" t="s">
        <v>829</v>
      </c>
      <c r="C548" s="421" t="s">
        <v>864</v>
      </c>
      <c r="D548" s="421" t="s">
        <v>865</v>
      </c>
      <c r="H548" s="421"/>
      <c r="I548" s="421"/>
      <c r="J548" s="421"/>
      <c r="K548" s="421"/>
      <c r="L548" s="421"/>
      <c r="M548" s="421"/>
      <c r="N548" s="421"/>
      <c r="O548" s="421"/>
    </row>
    <row r="549" spans="2:15" ht="13.5" customHeight="1">
      <c r="B549" s="421" t="s">
        <v>829</v>
      </c>
      <c r="C549" s="421" t="s">
        <v>866</v>
      </c>
      <c r="D549" s="421" t="s">
        <v>867</v>
      </c>
      <c r="H549" s="421"/>
      <c r="I549" s="421"/>
      <c r="J549" s="421"/>
      <c r="K549" s="421"/>
      <c r="L549" s="421"/>
      <c r="M549" s="421"/>
      <c r="N549" s="421"/>
      <c r="O549" s="421"/>
    </row>
    <row r="550" spans="2:15" ht="13.5" customHeight="1">
      <c r="B550" s="421" t="s">
        <v>829</v>
      </c>
      <c r="C550" s="421" t="s">
        <v>868</v>
      </c>
      <c r="D550" s="421" t="s">
        <v>869</v>
      </c>
      <c r="H550" s="421"/>
      <c r="I550" s="421"/>
      <c r="J550" s="421"/>
      <c r="K550" s="421"/>
      <c r="L550" s="421"/>
      <c r="M550" s="421"/>
      <c r="N550" s="421"/>
      <c r="O550" s="421"/>
    </row>
    <row r="551" spans="2:15" ht="13.5" customHeight="1">
      <c r="B551" s="421" t="s">
        <v>829</v>
      </c>
      <c r="C551" s="421" t="s">
        <v>870</v>
      </c>
      <c r="D551" s="421" t="s">
        <v>871</v>
      </c>
      <c r="H551" s="421"/>
      <c r="I551" s="421"/>
      <c r="J551" s="421"/>
      <c r="K551" s="421"/>
      <c r="L551" s="421"/>
      <c r="M551" s="421"/>
      <c r="N551" s="421"/>
      <c r="O551" s="421"/>
    </row>
    <row r="552" spans="2:15" ht="13.5" customHeight="1">
      <c r="B552" s="421" t="s">
        <v>829</v>
      </c>
      <c r="C552" s="421" t="s">
        <v>872</v>
      </c>
      <c r="D552" s="421" t="s">
        <v>873</v>
      </c>
      <c r="H552" s="421"/>
      <c r="I552" s="421"/>
      <c r="J552" s="421"/>
      <c r="K552" s="421"/>
      <c r="L552" s="421"/>
      <c r="M552" s="421"/>
      <c r="N552" s="421"/>
      <c r="O552" s="421"/>
    </row>
    <row r="553" spans="2:15" ht="13.5" customHeight="1">
      <c r="B553" s="421" t="s">
        <v>829</v>
      </c>
      <c r="C553" s="421" t="s">
        <v>874</v>
      </c>
      <c r="D553" s="421" t="s">
        <v>875</v>
      </c>
      <c r="H553" s="421"/>
      <c r="I553" s="421"/>
      <c r="J553" s="421"/>
      <c r="K553" s="421"/>
      <c r="L553" s="421"/>
      <c r="M553" s="421"/>
      <c r="N553" s="421"/>
      <c r="O553" s="421"/>
    </row>
    <row r="554" spans="2:15" ht="13.5" customHeight="1">
      <c r="B554" s="421" t="s">
        <v>829</v>
      </c>
      <c r="C554" s="421" t="s">
        <v>876</v>
      </c>
      <c r="D554" s="421" t="s">
        <v>877</v>
      </c>
      <c r="H554" s="421"/>
      <c r="I554" s="421"/>
      <c r="J554" s="421"/>
      <c r="K554" s="421"/>
      <c r="L554" s="421"/>
      <c r="M554" s="421"/>
      <c r="N554" s="421"/>
      <c r="O554" s="421"/>
    </row>
    <row r="555" spans="2:15" ht="13.5" customHeight="1">
      <c r="B555" s="421" t="s">
        <v>829</v>
      </c>
      <c r="C555" s="421" t="s">
        <v>878</v>
      </c>
      <c r="D555" s="421" t="s">
        <v>879</v>
      </c>
      <c r="H555" s="421"/>
      <c r="I555" s="421"/>
      <c r="J555" s="421"/>
      <c r="K555" s="421"/>
      <c r="L555" s="421"/>
      <c r="M555" s="421"/>
      <c r="N555" s="421"/>
      <c r="O555" s="421"/>
    </row>
    <row r="556" spans="2:15" ht="13.5" customHeight="1">
      <c r="B556" s="421" t="s">
        <v>880</v>
      </c>
      <c r="C556" s="421" t="s">
        <v>881</v>
      </c>
      <c r="D556" s="421" t="s">
        <v>882</v>
      </c>
      <c r="H556" s="421"/>
      <c r="I556" s="421"/>
      <c r="J556" s="421"/>
      <c r="K556" s="421"/>
      <c r="L556" s="421"/>
      <c r="M556" s="421"/>
      <c r="N556" s="421"/>
      <c r="O556" s="421"/>
    </row>
    <row r="557" spans="2:15" ht="13.5" customHeight="1">
      <c r="B557" s="421" t="s">
        <v>880</v>
      </c>
      <c r="C557" s="421" t="s">
        <v>883</v>
      </c>
      <c r="D557" s="421" t="s">
        <v>884</v>
      </c>
      <c r="H557" s="421"/>
      <c r="I557" s="421"/>
      <c r="J557" s="421"/>
      <c r="K557" s="421"/>
      <c r="L557" s="421"/>
      <c r="M557" s="421"/>
      <c r="N557" s="421"/>
      <c r="O557" s="421"/>
    </row>
    <row r="558" spans="2:15" ht="13.5" customHeight="1">
      <c r="B558" s="421" t="s">
        <v>880</v>
      </c>
      <c r="C558" s="421" t="s">
        <v>885</v>
      </c>
      <c r="D558" s="421" t="s">
        <v>886</v>
      </c>
      <c r="H558" s="421"/>
      <c r="I558" s="421"/>
      <c r="J558" s="421"/>
      <c r="K558" s="421"/>
      <c r="L558" s="421"/>
      <c r="M558" s="421"/>
      <c r="N558" s="421"/>
      <c r="O558" s="421"/>
    </row>
    <row r="559" spans="2:15" ht="13.5" customHeight="1">
      <c r="B559" s="421" t="s">
        <v>880</v>
      </c>
      <c r="C559" s="421" t="s">
        <v>887</v>
      </c>
      <c r="D559" s="421" t="s">
        <v>888</v>
      </c>
      <c r="H559" s="421"/>
      <c r="I559" s="421"/>
      <c r="J559" s="421"/>
      <c r="K559" s="421"/>
      <c r="L559" s="421"/>
      <c r="M559" s="421"/>
      <c r="N559" s="421"/>
      <c r="O559" s="421"/>
    </row>
    <row r="560" spans="2:15" ht="13.5" customHeight="1">
      <c r="B560" s="421" t="s">
        <v>880</v>
      </c>
      <c r="C560" s="421" t="s">
        <v>889</v>
      </c>
      <c r="D560" s="421" t="s">
        <v>890</v>
      </c>
      <c r="H560" s="421"/>
      <c r="I560" s="421"/>
      <c r="J560" s="421"/>
      <c r="K560" s="421"/>
      <c r="L560" s="421"/>
      <c r="M560" s="421"/>
      <c r="N560" s="421"/>
      <c r="O560" s="421"/>
    </row>
    <row r="561" spans="2:15" ht="13.5" customHeight="1">
      <c r="B561" s="421" t="s">
        <v>880</v>
      </c>
      <c r="C561" s="421" t="s">
        <v>891</v>
      </c>
      <c r="D561" s="421" t="s">
        <v>892</v>
      </c>
      <c r="H561" s="421"/>
      <c r="I561" s="421"/>
      <c r="J561" s="421"/>
      <c r="K561" s="421"/>
      <c r="L561" s="421"/>
      <c r="M561" s="421"/>
      <c r="N561" s="421"/>
      <c r="O561" s="421"/>
    </row>
    <row r="562" spans="2:15" ht="13.5" customHeight="1">
      <c r="B562" s="421" t="s">
        <v>880</v>
      </c>
      <c r="C562" s="421" t="s">
        <v>893</v>
      </c>
      <c r="D562" s="421" t="s">
        <v>894</v>
      </c>
      <c r="H562" s="421"/>
      <c r="I562" s="421"/>
      <c r="J562" s="421"/>
      <c r="K562" s="421"/>
      <c r="L562" s="421"/>
      <c r="M562" s="421"/>
      <c r="N562" s="421"/>
      <c r="O562" s="421"/>
    </row>
    <row r="563" spans="2:15" ht="13.5" customHeight="1">
      <c r="B563" s="421" t="s">
        <v>880</v>
      </c>
      <c r="C563" s="421" t="s">
        <v>895</v>
      </c>
      <c r="D563" s="421" t="s">
        <v>896</v>
      </c>
      <c r="H563" s="421"/>
      <c r="I563" s="421"/>
      <c r="J563" s="421"/>
      <c r="K563" s="421"/>
      <c r="L563" s="421"/>
      <c r="M563" s="421"/>
      <c r="N563" s="421"/>
      <c r="O563" s="421"/>
    </row>
    <row r="564" spans="2:15" ht="13.5" customHeight="1">
      <c r="B564" s="421" t="s">
        <v>880</v>
      </c>
      <c r="C564" s="421" t="s">
        <v>897</v>
      </c>
      <c r="D564" s="421" t="s">
        <v>898</v>
      </c>
      <c r="H564" s="421"/>
      <c r="I564" s="421"/>
      <c r="J564" s="421"/>
      <c r="K564" s="421"/>
      <c r="L564" s="421"/>
      <c r="M564" s="421"/>
      <c r="N564" s="421"/>
      <c r="O564" s="421"/>
    </row>
    <row r="565" spans="2:15" ht="13.5" customHeight="1">
      <c r="B565" s="421" t="s">
        <v>880</v>
      </c>
      <c r="C565" s="421" t="s">
        <v>899</v>
      </c>
      <c r="D565" s="421" t="s">
        <v>900</v>
      </c>
      <c r="H565" s="421"/>
      <c r="I565" s="421"/>
      <c r="J565" s="421"/>
      <c r="K565" s="421"/>
      <c r="L565" s="421"/>
      <c r="M565" s="421"/>
      <c r="N565" s="421"/>
      <c r="O565" s="421"/>
    </row>
    <row r="566" spans="2:15" ht="13.5" customHeight="1">
      <c r="B566" s="421" t="s">
        <v>880</v>
      </c>
      <c r="C566" s="421" t="s">
        <v>901</v>
      </c>
      <c r="D566" s="421" t="s">
        <v>902</v>
      </c>
      <c r="H566" s="421"/>
      <c r="I566" s="421"/>
      <c r="J566" s="421"/>
      <c r="K566" s="421"/>
      <c r="L566" s="421"/>
      <c r="M566" s="421"/>
      <c r="N566" s="421"/>
      <c r="O566" s="421"/>
    </row>
    <row r="567" spans="2:15" ht="13.5" customHeight="1">
      <c r="B567" s="421" t="s">
        <v>880</v>
      </c>
      <c r="C567" s="421" t="s">
        <v>903</v>
      </c>
      <c r="D567" s="421" t="s">
        <v>904</v>
      </c>
      <c r="H567" s="421"/>
      <c r="I567" s="421"/>
      <c r="J567" s="421"/>
      <c r="K567" s="421"/>
      <c r="L567" s="421"/>
      <c r="M567" s="421"/>
      <c r="N567" s="421"/>
      <c r="O567" s="421"/>
    </row>
    <row r="568" spans="2:15" ht="13.5" customHeight="1">
      <c r="B568" s="421" t="s">
        <v>880</v>
      </c>
      <c r="C568" s="421" t="s">
        <v>905</v>
      </c>
      <c r="D568" s="421" t="s">
        <v>906</v>
      </c>
      <c r="H568" s="421"/>
      <c r="I568" s="421"/>
      <c r="J568" s="421"/>
      <c r="K568" s="421"/>
      <c r="L568" s="421"/>
      <c r="M568" s="421"/>
      <c r="N568" s="421"/>
      <c r="O568" s="421"/>
    </row>
    <row r="569" spans="2:15" ht="13.5" customHeight="1">
      <c r="B569" s="421" t="s">
        <v>880</v>
      </c>
      <c r="C569" s="421" t="s">
        <v>907</v>
      </c>
      <c r="D569" s="421" t="s">
        <v>908</v>
      </c>
      <c r="H569" s="421"/>
      <c r="I569" s="421"/>
      <c r="J569" s="421"/>
      <c r="K569" s="421"/>
      <c r="L569" s="421"/>
      <c r="M569" s="421"/>
      <c r="N569" s="421"/>
      <c r="O569" s="421"/>
    </row>
    <row r="570" spans="2:15" ht="13.5" customHeight="1">
      <c r="B570" s="421" t="s">
        <v>880</v>
      </c>
      <c r="C570" s="421" t="s">
        <v>909</v>
      </c>
      <c r="D570" s="421" t="s">
        <v>910</v>
      </c>
      <c r="H570" s="421"/>
      <c r="I570" s="421"/>
      <c r="J570" s="421"/>
      <c r="K570" s="421"/>
      <c r="L570" s="421"/>
      <c r="M570" s="421"/>
      <c r="N570" s="421"/>
      <c r="O570" s="421"/>
    </row>
    <row r="571" spans="2:15" ht="13.5" customHeight="1">
      <c r="B571" s="421" t="s">
        <v>880</v>
      </c>
      <c r="C571" s="421" t="s">
        <v>911</v>
      </c>
      <c r="D571" s="421" t="s">
        <v>912</v>
      </c>
      <c r="H571" s="421"/>
      <c r="I571" s="421"/>
      <c r="J571" s="421"/>
      <c r="K571" s="421"/>
      <c r="L571" s="421"/>
      <c r="M571" s="421"/>
      <c r="N571" s="421"/>
      <c r="O571" s="421"/>
    </row>
    <row r="572" spans="2:15" ht="13.5" customHeight="1">
      <c r="B572" s="421" t="s">
        <v>880</v>
      </c>
      <c r="C572" s="421" t="s">
        <v>913</v>
      </c>
      <c r="D572" s="421" t="s">
        <v>914</v>
      </c>
      <c r="H572" s="421"/>
      <c r="I572" s="421"/>
      <c r="J572" s="421"/>
      <c r="K572" s="421"/>
      <c r="L572" s="421"/>
      <c r="M572" s="421"/>
      <c r="N572" s="421"/>
      <c r="O572" s="421"/>
    </row>
    <row r="573" spans="2:15" ht="13.5" customHeight="1">
      <c r="B573" s="421" t="s">
        <v>880</v>
      </c>
      <c r="C573" s="421" t="s">
        <v>915</v>
      </c>
      <c r="D573" s="421" t="s">
        <v>916</v>
      </c>
      <c r="H573" s="421"/>
      <c r="I573" s="421"/>
      <c r="J573" s="421"/>
      <c r="K573" s="421"/>
      <c r="L573" s="421"/>
      <c r="M573" s="421"/>
      <c r="N573" s="421"/>
      <c r="O573" s="421"/>
    </row>
    <row r="574" spans="2:15" ht="13.5" customHeight="1">
      <c r="B574" s="421" t="s">
        <v>880</v>
      </c>
      <c r="C574" s="421" t="s">
        <v>917</v>
      </c>
      <c r="D574" s="421" t="s">
        <v>918</v>
      </c>
      <c r="H574" s="421"/>
      <c r="I574" s="421"/>
      <c r="J574" s="421"/>
      <c r="K574" s="421"/>
      <c r="L574" s="421"/>
      <c r="M574" s="421"/>
      <c r="N574" s="421"/>
      <c r="O574" s="421"/>
    </row>
    <row r="575" spans="2:15" ht="13.5" customHeight="1">
      <c r="B575" s="421" t="s">
        <v>880</v>
      </c>
      <c r="C575" s="421" t="s">
        <v>919</v>
      </c>
      <c r="D575" s="421" t="s">
        <v>920</v>
      </c>
      <c r="H575" s="421"/>
      <c r="I575" s="421"/>
      <c r="J575" s="421"/>
      <c r="K575" s="421"/>
      <c r="L575" s="421"/>
      <c r="M575" s="421"/>
      <c r="N575" s="421"/>
      <c r="O575" s="421"/>
    </row>
    <row r="576" spans="2:15" ht="13.5" customHeight="1">
      <c r="B576" s="421" t="s">
        <v>880</v>
      </c>
      <c r="C576" s="421" t="s">
        <v>921</v>
      </c>
      <c r="D576" s="421" t="s">
        <v>922</v>
      </c>
      <c r="H576" s="421"/>
      <c r="I576" s="421"/>
      <c r="J576" s="421"/>
      <c r="K576" s="421"/>
      <c r="L576" s="421"/>
      <c r="M576" s="421"/>
      <c r="N576" s="421"/>
      <c r="O576" s="421"/>
    </row>
    <row r="577" spans="2:15" ht="13.5" customHeight="1">
      <c r="B577" s="421" t="s">
        <v>880</v>
      </c>
      <c r="C577" s="421" t="s">
        <v>923</v>
      </c>
      <c r="D577" s="421" t="s">
        <v>924</v>
      </c>
      <c r="H577" s="421"/>
      <c r="I577" s="421"/>
      <c r="J577" s="421"/>
      <c r="K577" s="421"/>
      <c r="L577" s="421"/>
      <c r="M577" s="421"/>
      <c r="N577" s="421"/>
      <c r="O577" s="421"/>
    </row>
    <row r="578" spans="2:15" ht="13.5" customHeight="1">
      <c r="B578" s="421" t="s">
        <v>880</v>
      </c>
      <c r="C578" s="421" t="s">
        <v>925</v>
      </c>
      <c r="D578" s="421" t="s">
        <v>926</v>
      </c>
      <c r="H578" s="421"/>
      <c r="I578" s="421"/>
      <c r="J578" s="421"/>
      <c r="K578" s="421"/>
      <c r="L578" s="421"/>
      <c r="M578" s="421"/>
      <c r="N578" s="421"/>
      <c r="O578" s="421"/>
    </row>
    <row r="579" spans="2:15" ht="13.5" customHeight="1">
      <c r="B579" s="421" t="s">
        <v>880</v>
      </c>
      <c r="C579" s="421" t="s">
        <v>927</v>
      </c>
      <c r="D579" s="421" t="s">
        <v>928</v>
      </c>
      <c r="H579" s="421"/>
      <c r="I579" s="421"/>
      <c r="J579" s="421"/>
      <c r="K579" s="421"/>
      <c r="L579" s="421"/>
      <c r="M579" s="421"/>
      <c r="N579" s="421"/>
      <c r="O579" s="421"/>
    </row>
    <row r="580" spans="2:15" ht="13.5" customHeight="1">
      <c r="B580" s="421" t="s">
        <v>880</v>
      </c>
      <c r="C580" s="421" t="s">
        <v>929</v>
      </c>
      <c r="D580" s="421" t="s">
        <v>930</v>
      </c>
      <c r="H580" s="421"/>
      <c r="I580" s="421"/>
      <c r="J580" s="421"/>
      <c r="K580" s="421"/>
      <c r="L580" s="421"/>
      <c r="M580" s="421"/>
      <c r="N580" s="421"/>
      <c r="O580" s="421"/>
    </row>
    <row r="581" spans="2:15" ht="13.5" customHeight="1">
      <c r="B581" s="421" t="s">
        <v>931</v>
      </c>
      <c r="C581" s="421" t="s">
        <v>932</v>
      </c>
      <c r="D581" s="421" t="s">
        <v>933</v>
      </c>
      <c r="H581" s="421"/>
      <c r="I581" s="421"/>
      <c r="J581" s="421"/>
      <c r="K581" s="421"/>
      <c r="L581" s="421"/>
      <c r="M581" s="421"/>
      <c r="N581" s="421"/>
      <c r="O581" s="421"/>
    </row>
    <row r="582" spans="2:15" ht="13.5" customHeight="1">
      <c r="B582" s="421" t="s">
        <v>931</v>
      </c>
      <c r="C582" s="421" t="s">
        <v>934</v>
      </c>
      <c r="D582" s="421" t="s">
        <v>935</v>
      </c>
      <c r="H582" s="421"/>
      <c r="I582" s="421"/>
      <c r="J582" s="421"/>
      <c r="K582" s="421"/>
      <c r="L582" s="421"/>
      <c r="M582" s="421"/>
      <c r="N582" s="421"/>
      <c r="O582" s="421"/>
    </row>
    <row r="583" spans="2:15" ht="13.5" customHeight="1">
      <c r="B583" s="421" t="s">
        <v>931</v>
      </c>
      <c r="C583" s="421" t="s">
        <v>936</v>
      </c>
      <c r="D583" s="421" t="s">
        <v>937</v>
      </c>
      <c r="H583" s="421"/>
      <c r="I583" s="421"/>
      <c r="J583" s="421"/>
      <c r="K583" s="421"/>
      <c r="L583" s="421"/>
      <c r="M583" s="421"/>
      <c r="N583" s="421"/>
      <c r="O583" s="421"/>
    </row>
    <row r="584" spans="2:15" ht="13.5" customHeight="1">
      <c r="B584" s="421" t="s">
        <v>931</v>
      </c>
      <c r="C584" s="421" t="s">
        <v>938</v>
      </c>
      <c r="D584" s="421" t="s">
        <v>939</v>
      </c>
      <c r="H584" s="421"/>
      <c r="I584" s="421"/>
      <c r="J584" s="421"/>
      <c r="K584" s="421"/>
      <c r="L584" s="421"/>
      <c r="M584" s="421"/>
      <c r="N584" s="421"/>
      <c r="O584" s="421"/>
    </row>
    <row r="585" spans="2:15" ht="13.5" customHeight="1">
      <c r="B585" s="421" t="s">
        <v>931</v>
      </c>
      <c r="C585" s="421" t="s">
        <v>940</v>
      </c>
      <c r="D585" s="421" t="s">
        <v>941</v>
      </c>
      <c r="H585" s="421"/>
      <c r="I585" s="421"/>
      <c r="J585" s="421"/>
      <c r="K585" s="421"/>
      <c r="L585" s="421"/>
      <c r="M585" s="421"/>
      <c r="N585" s="421"/>
      <c r="O585" s="421"/>
    </row>
    <row r="586" spans="2:15" ht="13.5" customHeight="1">
      <c r="B586" s="421" t="s">
        <v>931</v>
      </c>
      <c r="C586" s="421" t="s">
        <v>942</v>
      </c>
      <c r="D586" s="421" t="s">
        <v>943</v>
      </c>
      <c r="H586" s="421"/>
      <c r="I586" s="421"/>
      <c r="J586" s="421"/>
      <c r="K586" s="421"/>
      <c r="L586" s="421"/>
      <c r="M586" s="421"/>
      <c r="N586" s="421"/>
      <c r="O586" s="421"/>
    </row>
    <row r="587" spans="2:15" ht="13.5" customHeight="1">
      <c r="B587" s="421" t="s">
        <v>931</v>
      </c>
      <c r="C587" s="421" t="s">
        <v>944</v>
      </c>
      <c r="D587" s="421" t="s">
        <v>945</v>
      </c>
      <c r="H587" s="421"/>
      <c r="I587" s="421"/>
      <c r="J587" s="421"/>
      <c r="K587" s="421"/>
      <c r="L587" s="421"/>
      <c r="M587" s="421"/>
      <c r="N587" s="421"/>
      <c r="O587" s="421"/>
    </row>
    <row r="588" spans="2:15" ht="13.5" customHeight="1">
      <c r="B588" s="421" t="s">
        <v>931</v>
      </c>
      <c r="C588" s="421" t="s">
        <v>946</v>
      </c>
      <c r="D588" s="421" t="s">
        <v>947</v>
      </c>
      <c r="H588" s="421"/>
      <c r="I588" s="421"/>
      <c r="J588" s="421"/>
      <c r="K588" s="421"/>
      <c r="L588" s="421"/>
      <c r="M588" s="421"/>
      <c r="N588" s="421"/>
      <c r="O588" s="421"/>
    </row>
    <row r="589" spans="2:15" ht="13.5" customHeight="1">
      <c r="B589" s="421" t="s">
        <v>931</v>
      </c>
      <c r="C589" s="421" t="s">
        <v>948</v>
      </c>
      <c r="D589" s="421" t="s">
        <v>949</v>
      </c>
      <c r="H589" s="421"/>
      <c r="I589" s="421"/>
      <c r="J589" s="421"/>
      <c r="K589" s="421"/>
      <c r="L589" s="421"/>
      <c r="M589" s="421"/>
      <c r="N589" s="421"/>
      <c r="O589" s="421"/>
    </row>
    <row r="590" spans="2:15" ht="13.5" customHeight="1">
      <c r="B590" s="421" t="s">
        <v>931</v>
      </c>
      <c r="C590" s="421" t="s">
        <v>950</v>
      </c>
      <c r="D590" s="421" t="s">
        <v>951</v>
      </c>
      <c r="H590" s="421"/>
      <c r="I590" s="421"/>
      <c r="J590" s="421"/>
      <c r="K590" s="421"/>
      <c r="L590" s="421"/>
      <c r="M590" s="421"/>
      <c r="N590" s="421"/>
      <c r="O590" s="421"/>
    </row>
    <row r="591" spans="2:15" ht="13.5" customHeight="1">
      <c r="B591" s="421" t="s">
        <v>931</v>
      </c>
      <c r="C591" s="421" t="s">
        <v>952</v>
      </c>
      <c r="D591" s="421" t="s">
        <v>953</v>
      </c>
      <c r="H591" s="421"/>
      <c r="I591" s="421"/>
      <c r="J591" s="421"/>
      <c r="K591" s="421"/>
      <c r="L591" s="421"/>
      <c r="M591" s="421"/>
      <c r="N591" s="421"/>
      <c r="O591" s="421"/>
    </row>
    <row r="592" spans="2:15" ht="13.5" customHeight="1">
      <c r="B592" s="421" t="s">
        <v>931</v>
      </c>
      <c r="C592" s="421" t="s">
        <v>954</v>
      </c>
      <c r="D592" s="421" t="s">
        <v>955</v>
      </c>
      <c r="H592" s="421"/>
      <c r="I592" s="421"/>
      <c r="J592" s="421"/>
      <c r="K592" s="421"/>
      <c r="L592" s="421"/>
      <c r="M592" s="421"/>
      <c r="N592" s="421"/>
      <c r="O592" s="421"/>
    </row>
    <row r="593" spans="2:15" ht="13.5" customHeight="1">
      <c r="B593" s="421" t="s">
        <v>931</v>
      </c>
      <c r="C593" s="421" t="s">
        <v>956</v>
      </c>
      <c r="D593" s="421" t="s">
        <v>957</v>
      </c>
      <c r="H593" s="421"/>
      <c r="I593" s="421"/>
      <c r="J593" s="421"/>
      <c r="K593" s="421"/>
      <c r="L593" s="421"/>
      <c r="M593" s="421"/>
      <c r="N593" s="421"/>
      <c r="O593" s="421"/>
    </row>
    <row r="594" spans="2:15" ht="13.5" customHeight="1">
      <c r="B594" s="421" t="s">
        <v>931</v>
      </c>
      <c r="C594" s="421" t="s">
        <v>958</v>
      </c>
      <c r="D594" s="421" t="s">
        <v>959</v>
      </c>
      <c r="H594" s="421"/>
      <c r="I594" s="421"/>
      <c r="J594" s="421"/>
      <c r="K594" s="421"/>
      <c r="L594" s="421"/>
      <c r="M594" s="421"/>
      <c r="N594" s="421"/>
      <c r="O594" s="421"/>
    </row>
    <row r="595" spans="2:15" ht="13.5" customHeight="1">
      <c r="B595" s="421" t="s">
        <v>931</v>
      </c>
      <c r="C595" s="421" t="s">
        <v>960</v>
      </c>
      <c r="D595" s="421" t="s">
        <v>961</v>
      </c>
      <c r="H595" s="421"/>
      <c r="I595" s="421"/>
      <c r="J595" s="421"/>
      <c r="K595" s="421"/>
      <c r="L595" s="421"/>
      <c r="M595" s="421"/>
      <c r="N595" s="421"/>
      <c r="O595" s="421"/>
    </row>
    <row r="596" spans="2:15" ht="13.5" customHeight="1">
      <c r="B596" s="421" t="s">
        <v>931</v>
      </c>
      <c r="C596" s="421" t="s">
        <v>962</v>
      </c>
      <c r="D596" s="421" t="s">
        <v>963</v>
      </c>
      <c r="H596" s="421"/>
      <c r="I596" s="421"/>
      <c r="J596" s="421"/>
      <c r="K596" s="421"/>
      <c r="L596" s="421"/>
      <c r="M596" s="421"/>
      <c r="N596" s="421"/>
      <c r="O596" s="421"/>
    </row>
    <row r="597" spans="2:15" ht="13.5" customHeight="1">
      <c r="B597" s="421" t="s">
        <v>931</v>
      </c>
      <c r="C597" s="421" t="s">
        <v>964</v>
      </c>
      <c r="D597" s="421" t="s">
        <v>965</v>
      </c>
      <c r="H597" s="421"/>
      <c r="I597" s="421"/>
      <c r="J597" s="421"/>
      <c r="K597" s="421"/>
      <c r="L597" s="421"/>
      <c r="M597" s="421"/>
      <c r="N597" s="421"/>
      <c r="O597" s="421"/>
    </row>
    <row r="598" spans="2:15" ht="13.5" customHeight="1">
      <c r="B598" s="421" t="s">
        <v>931</v>
      </c>
      <c r="C598" s="421" t="s">
        <v>966</v>
      </c>
      <c r="D598" s="421" t="s">
        <v>967</v>
      </c>
      <c r="H598" s="421"/>
      <c r="I598" s="421"/>
      <c r="J598" s="421"/>
      <c r="K598" s="421"/>
      <c r="L598" s="421"/>
      <c r="M598" s="421"/>
      <c r="N598" s="421"/>
      <c r="O598" s="421"/>
    </row>
    <row r="599" spans="2:15" ht="13.5" customHeight="1">
      <c r="B599" s="421" t="s">
        <v>931</v>
      </c>
      <c r="C599" s="421" t="s">
        <v>968</v>
      </c>
      <c r="D599" s="421" t="s">
        <v>969</v>
      </c>
      <c r="H599" s="421"/>
      <c r="I599" s="421"/>
      <c r="J599" s="421"/>
      <c r="K599" s="421"/>
      <c r="L599" s="421"/>
      <c r="M599" s="421"/>
      <c r="N599" s="421"/>
      <c r="O599" s="421"/>
    </row>
    <row r="600" spans="2:15" ht="13.5" customHeight="1">
      <c r="B600" s="421" t="s">
        <v>931</v>
      </c>
      <c r="C600" s="421" t="s">
        <v>970</v>
      </c>
      <c r="D600" s="421" t="s">
        <v>971</v>
      </c>
      <c r="H600" s="421"/>
      <c r="I600" s="421"/>
      <c r="J600" s="421"/>
      <c r="K600" s="421"/>
      <c r="L600" s="421"/>
      <c r="M600" s="421"/>
      <c r="N600" s="421"/>
      <c r="O600" s="421"/>
    </row>
    <row r="601" spans="2:15" ht="13.5" customHeight="1">
      <c r="B601" s="421" t="s">
        <v>931</v>
      </c>
      <c r="C601" s="421" t="s">
        <v>972</v>
      </c>
      <c r="D601" s="421" t="s">
        <v>973</v>
      </c>
      <c r="H601" s="421"/>
      <c r="I601" s="421"/>
      <c r="J601" s="421"/>
      <c r="K601" s="421"/>
      <c r="L601" s="421"/>
      <c r="M601" s="421"/>
      <c r="N601" s="421"/>
      <c r="O601" s="421"/>
    </row>
    <row r="602" spans="2:15" ht="13.5" customHeight="1">
      <c r="B602" s="421" t="s">
        <v>931</v>
      </c>
      <c r="C602" s="421" t="s">
        <v>974</v>
      </c>
      <c r="D602" s="421" t="s">
        <v>975</v>
      </c>
      <c r="H602" s="421"/>
      <c r="I602" s="421"/>
      <c r="J602" s="421"/>
      <c r="K602" s="421"/>
      <c r="L602" s="421"/>
      <c r="M602" s="421"/>
      <c r="N602" s="421"/>
      <c r="O602" s="421"/>
    </row>
    <row r="603" spans="2:15" ht="13.5" customHeight="1">
      <c r="B603" s="421" t="s">
        <v>931</v>
      </c>
      <c r="C603" s="421" t="s">
        <v>976</v>
      </c>
      <c r="D603" s="421" t="s">
        <v>977</v>
      </c>
      <c r="H603" s="421"/>
      <c r="I603" s="421"/>
      <c r="J603" s="421"/>
      <c r="K603" s="421"/>
      <c r="L603" s="421"/>
      <c r="M603" s="421"/>
      <c r="N603" s="421"/>
      <c r="O603" s="421"/>
    </row>
    <row r="604" spans="2:15" ht="13.5" customHeight="1">
      <c r="B604" s="421" t="s">
        <v>931</v>
      </c>
      <c r="C604" s="421" t="s">
        <v>978</v>
      </c>
      <c r="D604" s="421" t="s">
        <v>979</v>
      </c>
      <c r="H604" s="421"/>
      <c r="I604" s="421"/>
      <c r="J604" s="421"/>
      <c r="K604" s="421"/>
      <c r="L604" s="421"/>
      <c r="M604" s="421"/>
      <c r="N604" s="421"/>
      <c r="O604" s="421"/>
    </row>
    <row r="605" spans="2:15" ht="13.5" customHeight="1">
      <c r="B605" s="421" t="s">
        <v>931</v>
      </c>
      <c r="C605" s="421" t="s">
        <v>980</v>
      </c>
      <c r="D605" s="421" t="s">
        <v>981</v>
      </c>
      <c r="H605" s="421"/>
      <c r="I605" s="421"/>
      <c r="J605" s="421"/>
      <c r="K605" s="421"/>
      <c r="L605" s="421"/>
      <c r="M605" s="421"/>
      <c r="N605" s="421"/>
      <c r="O605" s="421"/>
    </row>
    <row r="606" spans="2:15" ht="13.5" customHeight="1">
      <c r="B606" s="421" t="s">
        <v>982</v>
      </c>
      <c r="C606" s="421" t="s">
        <v>983</v>
      </c>
      <c r="D606" s="421" t="s">
        <v>984</v>
      </c>
      <c r="H606" s="421"/>
      <c r="I606" s="421"/>
      <c r="J606" s="421"/>
      <c r="K606" s="421"/>
      <c r="L606" s="421"/>
      <c r="M606" s="421"/>
      <c r="N606" s="421"/>
      <c r="O606" s="421"/>
    </row>
    <row r="607" spans="2:15" ht="13.5" customHeight="1">
      <c r="B607" s="421" t="s">
        <v>982</v>
      </c>
      <c r="C607" s="421" t="s">
        <v>985</v>
      </c>
      <c r="D607" s="421" t="s">
        <v>986</v>
      </c>
      <c r="H607" s="421"/>
      <c r="I607" s="421"/>
      <c r="J607" s="421"/>
      <c r="K607" s="421"/>
      <c r="L607" s="421"/>
      <c r="M607" s="421"/>
      <c r="N607" s="421"/>
      <c r="O607" s="421"/>
    </row>
    <row r="608" spans="2:15" ht="13.5" customHeight="1">
      <c r="B608" s="421" t="s">
        <v>982</v>
      </c>
      <c r="C608" s="421" t="s">
        <v>987</v>
      </c>
      <c r="D608" s="421" t="s">
        <v>988</v>
      </c>
      <c r="H608" s="421"/>
      <c r="I608" s="421"/>
      <c r="J608" s="421"/>
      <c r="K608" s="421"/>
      <c r="L608" s="421"/>
      <c r="M608" s="421"/>
      <c r="N608" s="421"/>
      <c r="O608" s="421"/>
    </row>
    <row r="609" spans="2:15" ht="13.5" customHeight="1">
      <c r="B609" s="421" t="s">
        <v>982</v>
      </c>
      <c r="C609" s="421" t="s">
        <v>989</v>
      </c>
      <c r="D609" s="421" t="s">
        <v>990</v>
      </c>
      <c r="H609" s="421"/>
      <c r="I609" s="421"/>
      <c r="J609" s="421"/>
      <c r="K609" s="421"/>
      <c r="L609" s="421"/>
      <c r="M609" s="421"/>
      <c r="N609" s="421"/>
      <c r="O609" s="421"/>
    </row>
    <row r="610" spans="2:15" ht="13.5" customHeight="1">
      <c r="B610" s="421" t="s">
        <v>982</v>
      </c>
      <c r="C610" s="421" t="s">
        <v>991</v>
      </c>
      <c r="D610" s="421" t="s">
        <v>992</v>
      </c>
      <c r="H610" s="421"/>
      <c r="I610" s="421"/>
      <c r="J610" s="421"/>
      <c r="K610" s="421"/>
      <c r="L610" s="421"/>
      <c r="M610" s="421"/>
      <c r="N610" s="421"/>
      <c r="O610" s="421"/>
    </row>
    <row r="611" spans="2:15" ht="13.5" customHeight="1">
      <c r="B611" s="421" t="s">
        <v>982</v>
      </c>
      <c r="C611" s="421" t="s">
        <v>993</v>
      </c>
      <c r="D611" s="421" t="s">
        <v>994</v>
      </c>
      <c r="H611" s="421"/>
      <c r="I611" s="421"/>
      <c r="J611" s="421"/>
      <c r="K611" s="421"/>
      <c r="L611" s="421"/>
      <c r="M611" s="421"/>
      <c r="N611" s="421"/>
      <c r="O611" s="421"/>
    </row>
    <row r="612" spans="2:15" ht="13.5" customHeight="1">
      <c r="B612" s="421" t="s">
        <v>982</v>
      </c>
      <c r="C612" s="421" t="s">
        <v>995</v>
      </c>
      <c r="D612" s="421" t="s">
        <v>996</v>
      </c>
      <c r="H612" s="421"/>
      <c r="I612" s="421"/>
      <c r="J612" s="421"/>
      <c r="K612" s="421"/>
      <c r="L612" s="421"/>
      <c r="M612" s="421"/>
      <c r="N612" s="421"/>
      <c r="O612" s="421"/>
    </row>
    <row r="613" spans="2:15" ht="13.5" customHeight="1">
      <c r="B613" s="421" t="s">
        <v>982</v>
      </c>
      <c r="C613" s="421" t="s">
        <v>997</v>
      </c>
      <c r="D613" s="421" t="s">
        <v>998</v>
      </c>
      <c r="H613" s="421"/>
      <c r="I613" s="421"/>
      <c r="J613" s="421"/>
      <c r="K613" s="421"/>
      <c r="L613" s="421"/>
      <c r="M613" s="421"/>
      <c r="N613" s="421"/>
      <c r="O613" s="421"/>
    </row>
    <row r="614" spans="2:15" ht="13.5" customHeight="1">
      <c r="B614" s="421" t="s">
        <v>982</v>
      </c>
      <c r="C614" s="421" t="s">
        <v>999</v>
      </c>
      <c r="D614" s="421" t="s">
        <v>1000</v>
      </c>
      <c r="H614" s="421"/>
      <c r="I614" s="421"/>
      <c r="J614" s="421"/>
      <c r="K614" s="421"/>
      <c r="L614" s="421"/>
      <c r="M614" s="421"/>
      <c r="N614" s="421"/>
      <c r="O614" s="421"/>
    </row>
    <row r="615" spans="2:15" ht="13.5" customHeight="1">
      <c r="B615" s="421" t="s">
        <v>982</v>
      </c>
      <c r="C615" s="421" t="s">
        <v>1001</v>
      </c>
      <c r="D615" s="421" t="s">
        <v>1002</v>
      </c>
      <c r="H615" s="421"/>
      <c r="I615" s="421"/>
      <c r="J615" s="421"/>
      <c r="K615" s="421"/>
      <c r="L615" s="421"/>
      <c r="M615" s="421"/>
      <c r="N615" s="421"/>
      <c r="O615" s="421"/>
    </row>
    <row r="616" spans="2:15" ht="13.5" customHeight="1">
      <c r="B616" s="421" t="s">
        <v>982</v>
      </c>
      <c r="C616" s="421" t="s">
        <v>1003</v>
      </c>
      <c r="D616" s="421" t="s">
        <v>1004</v>
      </c>
      <c r="H616" s="421"/>
      <c r="I616" s="421"/>
      <c r="J616" s="421"/>
      <c r="K616" s="421"/>
      <c r="L616" s="421"/>
      <c r="M616" s="421"/>
      <c r="N616" s="421"/>
      <c r="O616" s="421"/>
    </row>
    <row r="617" spans="2:15" ht="13.5" customHeight="1">
      <c r="B617" s="421" t="s">
        <v>982</v>
      </c>
      <c r="C617" s="421" t="s">
        <v>1005</v>
      </c>
      <c r="D617" s="421" t="s">
        <v>1006</v>
      </c>
      <c r="H617" s="421"/>
      <c r="I617" s="421"/>
      <c r="J617" s="421"/>
      <c r="K617" s="421"/>
      <c r="L617" s="421"/>
      <c r="M617" s="421"/>
      <c r="N617" s="421"/>
      <c r="O617" s="421"/>
    </row>
    <row r="618" spans="2:15" ht="13.5" customHeight="1">
      <c r="B618" s="421" t="s">
        <v>982</v>
      </c>
      <c r="C618" s="421" t="s">
        <v>1007</v>
      </c>
      <c r="D618" s="421" t="s">
        <v>1008</v>
      </c>
      <c r="H618" s="421"/>
      <c r="I618" s="421"/>
      <c r="J618" s="421"/>
      <c r="K618" s="421"/>
      <c r="L618" s="421"/>
      <c r="M618" s="421"/>
      <c r="N618" s="421"/>
      <c r="O618" s="421"/>
    </row>
    <row r="619" spans="2:15" ht="13.5" customHeight="1">
      <c r="B619" s="421" t="s">
        <v>982</v>
      </c>
      <c r="C619" s="421" t="s">
        <v>1009</v>
      </c>
      <c r="D619" s="421" t="s">
        <v>1010</v>
      </c>
      <c r="H619" s="421"/>
      <c r="I619" s="421"/>
      <c r="J619" s="421"/>
      <c r="K619" s="421"/>
      <c r="L619" s="421"/>
      <c r="M619" s="421"/>
      <c r="N619" s="421"/>
      <c r="O619" s="421"/>
    </row>
    <row r="620" spans="2:15" ht="13.5" customHeight="1">
      <c r="B620" s="421" t="s">
        <v>982</v>
      </c>
      <c r="C620" s="421" t="s">
        <v>1011</v>
      </c>
      <c r="D620" s="421" t="s">
        <v>1012</v>
      </c>
      <c r="H620" s="421"/>
      <c r="I620" s="421"/>
      <c r="J620" s="421"/>
      <c r="K620" s="421"/>
      <c r="L620" s="421"/>
      <c r="M620" s="421"/>
      <c r="N620" s="421"/>
      <c r="O620" s="421"/>
    </row>
    <row r="621" spans="2:15" ht="13.5" customHeight="1">
      <c r="B621" s="421" t="s">
        <v>982</v>
      </c>
      <c r="C621" s="421" t="s">
        <v>1013</v>
      </c>
      <c r="D621" s="421" t="s">
        <v>1014</v>
      </c>
      <c r="H621" s="421"/>
      <c r="I621" s="421"/>
      <c r="J621" s="421"/>
      <c r="K621" s="421"/>
      <c r="L621" s="421"/>
      <c r="M621" s="421"/>
      <c r="N621" s="421"/>
      <c r="O621" s="421"/>
    </row>
    <row r="622" spans="2:15" ht="13.5" customHeight="1">
      <c r="B622" s="421" t="s">
        <v>982</v>
      </c>
      <c r="C622" s="421" t="s">
        <v>1015</v>
      </c>
      <c r="D622" s="421" t="s">
        <v>1016</v>
      </c>
      <c r="H622" s="421"/>
      <c r="I622" s="421"/>
      <c r="J622" s="421"/>
      <c r="K622" s="421"/>
      <c r="L622" s="421"/>
      <c r="M622" s="421"/>
      <c r="N622" s="421"/>
      <c r="O622" s="421"/>
    </row>
    <row r="623" spans="2:15" ht="13.5" customHeight="1">
      <c r="B623" s="421" t="s">
        <v>982</v>
      </c>
      <c r="C623" s="421" t="s">
        <v>1017</v>
      </c>
      <c r="D623" s="421" t="s">
        <v>1018</v>
      </c>
      <c r="H623" s="421"/>
      <c r="I623" s="421"/>
      <c r="J623" s="421"/>
      <c r="K623" s="421"/>
      <c r="L623" s="421"/>
      <c r="M623" s="421"/>
      <c r="N623" s="421"/>
      <c r="O623" s="421"/>
    </row>
    <row r="624" spans="2:15" ht="13.5" customHeight="1">
      <c r="B624" s="421" t="s">
        <v>982</v>
      </c>
      <c r="C624" s="421" t="s">
        <v>1019</v>
      </c>
      <c r="D624" s="421" t="s">
        <v>1020</v>
      </c>
      <c r="H624" s="421"/>
      <c r="I624" s="421"/>
      <c r="J624" s="421"/>
      <c r="K624" s="421"/>
      <c r="L624" s="421"/>
      <c r="M624" s="421"/>
      <c r="N624" s="421"/>
      <c r="O624" s="421"/>
    </row>
    <row r="625" spans="2:15" ht="13.5" customHeight="1">
      <c r="B625" s="421" t="s">
        <v>982</v>
      </c>
      <c r="C625" s="421" t="s">
        <v>1021</v>
      </c>
      <c r="D625" s="421" t="s">
        <v>1022</v>
      </c>
      <c r="H625" s="421"/>
      <c r="I625" s="421"/>
      <c r="J625" s="421"/>
      <c r="K625" s="421"/>
      <c r="L625" s="421"/>
      <c r="M625" s="421"/>
      <c r="N625" s="421"/>
      <c r="O625" s="421"/>
    </row>
    <row r="626" spans="2:15" ht="13.5" customHeight="1">
      <c r="B626" s="421" t="s">
        <v>982</v>
      </c>
      <c r="C626" s="421" t="s">
        <v>1023</v>
      </c>
      <c r="D626" s="421" t="s">
        <v>1024</v>
      </c>
      <c r="H626" s="421"/>
      <c r="I626" s="421"/>
      <c r="J626" s="421"/>
      <c r="K626" s="421"/>
      <c r="L626" s="421"/>
      <c r="M626" s="421"/>
      <c r="N626" s="421"/>
      <c r="O626" s="421"/>
    </row>
    <row r="627" spans="2:15" ht="13.5" customHeight="1">
      <c r="B627" s="421" t="s">
        <v>982</v>
      </c>
      <c r="C627" s="421" t="s">
        <v>1025</v>
      </c>
      <c r="D627" s="421" t="s">
        <v>1026</v>
      </c>
      <c r="H627" s="421"/>
      <c r="I627" s="421"/>
      <c r="J627" s="421"/>
      <c r="K627" s="421"/>
      <c r="L627" s="421"/>
      <c r="M627" s="421"/>
      <c r="N627" s="421"/>
      <c r="O627" s="421"/>
    </row>
    <row r="628" spans="2:15" ht="13.5" customHeight="1">
      <c r="B628" s="421" t="s">
        <v>982</v>
      </c>
      <c r="C628" s="421" t="s">
        <v>1027</v>
      </c>
      <c r="D628" s="421" t="s">
        <v>1028</v>
      </c>
      <c r="H628" s="421"/>
      <c r="I628" s="421"/>
      <c r="J628" s="421"/>
      <c r="K628" s="421"/>
      <c r="L628" s="421"/>
      <c r="M628" s="421"/>
      <c r="N628" s="421"/>
      <c r="O628" s="421"/>
    </row>
    <row r="629" spans="2:15" ht="13.5" customHeight="1">
      <c r="B629" s="421" t="s">
        <v>982</v>
      </c>
      <c r="C629" s="421" t="s">
        <v>1029</v>
      </c>
      <c r="D629" s="421" t="s">
        <v>1030</v>
      </c>
      <c r="H629" s="421"/>
      <c r="I629" s="421"/>
      <c r="J629" s="421"/>
      <c r="K629" s="421"/>
      <c r="L629" s="421"/>
      <c r="M629" s="421"/>
      <c r="N629" s="421"/>
      <c r="O629" s="421"/>
    </row>
    <row r="630" spans="2:15" ht="13.5" customHeight="1">
      <c r="B630" s="421" t="s">
        <v>982</v>
      </c>
      <c r="C630" s="421" t="s">
        <v>1031</v>
      </c>
      <c r="D630" s="421" t="s">
        <v>1032</v>
      </c>
      <c r="H630" s="421"/>
      <c r="I630" s="421"/>
      <c r="J630" s="421"/>
      <c r="K630" s="421"/>
      <c r="L630" s="421"/>
      <c r="M630" s="421"/>
      <c r="N630" s="421"/>
      <c r="O630" s="421"/>
    </row>
    <row r="631" spans="2:15" ht="13.5" customHeight="1">
      <c r="B631" s="421" t="s">
        <v>1033</v>
      </c>
      <c r="C631" s="421" t="s">
        <v>1034</v>
      </c>
      <c r="D631" s="421" t="s">
        <v>1035</v>
      </c>
      <c r="H631" s="421"/>
      <c r="I631" s="421"/>
      <c r="J631" s="421"/>
      <c r="K631" s="421"/>
      <c r="L631" s="421"/>
      <c r="M631" s="421"/>
      <c r="N631" s="421"/>
      <c r="O631" s="421"/>
    </row>
    <row r="632" spans="2:15" ht="13.5" customHeight="1">
      <c r="B632" s="421" t="s">
        <v>1033</v>
      </c>
      <c r="C632" s="421" t="s">
        <v>1036</v>
      </c>
      <c r="D632" s="421" t="s">
        <v>1037</v>
      </c>
      <c r="H632" s="421"/>
      <c r="I632" s="421"/>
      <c r="J632" s="421"/>
      <c r="K632" s="421"/>
      <c r="L632" s="421"/>
      <c r="M632" s="421"/>
      <c r="N632" s="421"/>
      <c r="O632" s="421"/>
    </row>
    <row r="633" spans="2:15" ht="13.5" customHeight="1">
      <c r="B633" s="421" t="s">
        <v>1033</v>
      </c>
      <c r="C633" s="421" t="s">
        <v>1038</v>
      </c>
      <c r="D633" s="421" t="s">
        <v>1039</v>
      </c>
      <c r="H633" s="421"/>
      <c r="I633" s="421"/>
      <c r="J633" s="421"/>
      <c r="K633" s="421"/>
      <c r="L633" s="421"/>
      <c r="M633" s="421"/>
      <c r="N633" s="421"/>
      <c r="O633" s="421"/>
    </row>
    <row r="634" spans="2:15" ht="13.5" customHeight="1">
      <c r="B634" s="421" t="s">
        <v>1033</v>
      </c>
      <c r="C634" s="421" t="s">
        <v>1040</v>
      </c>
      <c r="D634" s="421" t="s">
        <v>1041</v>
      </c>
      <c r="H634" s="421"/>
      <c r="I634" s="421"/>
      <c r="J634" s="421"/>
      <c r="K634" s="421"/>
      <c r="L634" s="421"/>
      <c r="M634" s="421"/>
      <c r="N634" s="421"/>
      <c r="O634" s="421"/>
    </row>
    <row r="635" spans="2:15" ht="13.5" customHeight="1">
      <c r="B635" s="421" t="s">
        <v>1033</v>
      </c>
      <c r="C635" s="421" t="s">
        <v>1042</v>
      </c>
      <c r="D635" s="421" t="s">
        <v>1043</v>
      </c>
      <c r="H635" s="421"/>
      <c r="I635" s="421"/>
      <c r="J635" s="421"/>
      <c r="K635" s="421"/>
      <c r="L635" s="421"/>
      <c r="M635" s="421"/>
      <c r="N635" s="421"/>
      <c r="O635" s="421"/>
    </row>
    <row r="636" spans="2:15" ht="13.5" customHeight="1">
      <c r="B636" s="421" t="s">
        <v>1033</v>
      </c>
      <c r="C636" s="421" t="s">
        <v>1044</v>
      </c>
      <c r="D636" s="421" t="s">
        <v>1045</v>
      </c>
      <c r="H636" s="421"/>
      <c r="I636" s="421"/>
      <c r="J636" s="421"/>
      <c r="K636" s="421"/>
      <c r="L636" s="421"/>
      <c r="M636" s="421"/>
      <c r="N636" s="421"/>
      <c r="O636" s="421"/>
    </row>
    <row r="637" spans="2:15" ht="13.5" customHeight="1">
      <c r="B637" s="421" t="s">
        <v>1033</v>
      </c>
      <c r="C637" s="421" t="s">
        <v>1046</v>
      </c>
      <c r="D637" s="421" t="s">
        <v>1047</v>
      </c>
      <c r="H637" s="421"/>
      <c r="I637" s="421"/>
      <c r="J637" s="421"/>
      <c r="K637" s="421"/>
      <c r="L637" s="421"/>
      <c r="M637" s="421"/>
      <c r="N637" s="421"/>
      <c r="O637" s="421"/>
    </row>
    <row r="638" spans="2:15" ht="13.5" customHeight="1">
      <c r="B638" s="421" t="s">
        <v>1033</v>
      </c>
      <c r="C638" s="421" t="s">
        <v>1048</v>
      </c>
      <c r="D638" s="421" t="s">
        <v>1049</v>
      </c>
      <c r="H638" s="421"/>
      <c r="I638" s="421"/>
      <c r="J638" s="421"/>
      <c r="K638" s="421"/>
      <c r="L638" s="421"/>
      <c r="M638" s="421"/>
      <c r="N638" s="421"/>
      <c r="O638" s="421"/>
    </row>
    <row r="639" spans="2:15" ht="13.5" customHeight="1">
      <c r="B639" s="421" t="s">
        <v>1033</v>
      </c>
      <c r="C639" s="421" t="s">
        <v>1050</v>
      </c>
      <c r="D639" s="421" t="s">
        <v>1051</v>
      </c>
      <c r="H639" s="421"/>
      <c r="I639" s="421"/>
      <c r="J639" s="421"/>
      <c r="K639" s="421"/>
      <c r="L639" s="421"/>
      <c r="M639" s="421"/>
      <c r="N639" s="421"/>
      <c r="O639" s="421"/>
    </row>
    <row r="640" spans="2:15" ht="13.5" customHeight="1">
      <c r="B640" s="421" t="s">
        <v>1033</v>
      </c>
      <c r="C640" s="421" t="s">
        <v>1052</v>
      </c>
      <c r="D640" s="421" t="s">
        <v>1053</v>
      </c>
      <c r="H640" s="421"/>
      <c r="I640" s="421"/>
      <c r="J640" s="421"/>
      <c r="K640" s="421"/>
      <c r="L640" s="421"/>
      <c r="M640" s="421"/>
      <c r="N640" s="421"/>
      <c r="O640" s="421"/>
    </row>
    <row r="641" spans="2:15" ht="13.5" customHeight="1">
      <c r="B641" s="421" t="s">
        <v>1033</v>
      </c>
      <c r="C641" s="421" t="s">
        <v>1054</v>
      </c>
      <c r="D641" s="421" t="s">
        <v>1055</v>
      </c>
      <c r="H641" s="421"/>
      <c r="I641" s="421"/>
      <c r="J641" s="421"/>
      <c r="K641" s="421"/>
      <c r="L641" s="421"/>
      <c r="M641" s="421"/>
      <c r="N641" s="421"/>
      <c r="O641" s="421"/>
    </row>
    <row r="642" spans="2:15" ht="13.5" customHeight="1">
      <c r="B642" s="421" t="s">
        <v>1033</v>
      </c>
      <c r="C642" s="421" t="s">
        <v>1056</v>
      </c>
      <c r="D642" s="421" t="s">
        <v>1057</v>
      </c>
      <c r="H642" s="421"/>
      <c r="I642" s="421"/>
      <c r="J642" s="421"/>
      <c r="K642" s="421"/>
      <c r="L642" s="421"/>
      <c r="M642" s="421"/>
      <c r="N642" s="421"/>
      <c r="O642" s="421"/>
    </row>
    <row r="643" spans="2:15" ht="13.5" customHeight="1">
      <c r="B643" s="421" t="s">
        <v>1033</v>
      </c>
      <c r="C643" s="421" t="s">
        <v>1058</v>
      </c>
      <c r="D643" s="421" t="s">
        <v>1059</v>
      </c>
      <c r="H643" s="421"/>
      <c r="I643" s="421"/>
      <c r="J643" s="421"/>
      <c r="K643" s="421"/>
      <c r="L643" s="421"/>
      <c r="M643" s="421"/>
      <c r="N643" s="421"/>
      <c r="O643" s="421"/>
    </row>
    <row r="644" spans="2:15" ht="13.5" customHeight="1">
      <c r="B644" s="421" t="s">
        <v>1033</v>
      </c>
      <c r="C644" s="421" t="s">
        <v>1060</v>
      </c>
      <c r="D644" s="421" t="s">
        <v>1061</v>
      </c>
      <c r="H644" s="421"/>
      <c r="I644" s="421"/>
      <c r="J644" s="421"/>
      <c r="K644" s="421"/>
      <c r="L644" s="421"/>
      <c r="M644" s="421"/>
      <c r="N644" s="421"/>
      <c r="O644" s="421"/>
    </row>
    <row r="645" spans="2:15" ht="13.5" customHeight="1">
      <c r="B645" s="421" t="s">
        <v>1033</v>
      </c>
      <c r="C645" s="421" t="s">
        <v>1062</v>
      </c>
      <c r="D645" s="421" t="s">
        <v>1063</v>
      </c>
      <c r="H645" s="421"/>
      <c r="I645" s="421"/>
      <c r="J645" s="421"/>
      <c r="K645" s="421"/>
      <c r="L645" s="421"/>
      <c r="M645" s="421"/>
      <c r="N645" s="421"/>
      <c r="O645" s="421"/>
    </row>
    <row r="646" spans="2:15" ht="13.5" customHeight="1">
      <c r="B646" s="421" t="s">
        <v>1033</v>
      </c>
      <c r="C646" s="421" t="s">
        <v>1064</v>
      </c>
      <c r="D646" s="421" t="s">
        <v>1065</v>
      </c>
      <c r="H646" s="421"/>
      <c r="I646" s="421"/>
      <c r="J646" s="421"/>
      <c r="K646" s="421"/>
      <c r="L646" s="421"/>
      <c r="M646" s="421"/>
      <c r="N646" s="421"/>
      <c r="O646" s="421"/>
    </row>
    <row r="647" spans="2:15" ht="13.5" customHeight="1">
      <c r="B647" s="421" t="s">
        <v>1033</v>
      </c>
      <c r="C647" s="421" t="s">
        <v>1066</v>
      </c>
      <c r="D647" s="421" t="s">
        <v>1067</v>
      </c>
      <c r="H647" s="421"/>
      <c r="I647" s="421"/>
      <c r="J647" s="421"/>
      <c r="K647" s="421"/>
      <c r="L647" s="421"/>
      <c r="M647" s="421"/>
      <c r="N647" s="421"/>
      <c r="O647" s="421"/>
    </row>
    <row r="648" spans="2:15" ht="13.5" customHeight="1">
      <c r="B648" s="421" t="s">
        <v>1033</v>
      </c>
      <c r="C648" s="421" t="s">
        <v>1068</v>
      </c>
      <c r="D648" s="421" t="s">
        <v>1069</v>
      </c>
      <c r="H648" s="421"/>
      <c r="I648" s="421"/>
      <c r="J648" s="421"/>
      <c r="K648" s="421"/>
      <c r="L648" s="421"/>
      <c r="M648" s="421"/>
      <c r="N648" s="421"/>
      <c r="O648" s="421"/>
    </row>
    <row r="649" spans="2:15" ht="13.5" customHeight="1">
      <c r="B649" s="421" t="s">
        <v>1033</v>
      </c>
      <c r="C649" s="421" t="s">
        <v>1070</v>
      </c>
      <c r="D649" s="421" t="s">
        <v>1071</v>
      </c>
      <c r="H649" s="421"/>
      <c r="I649" s="421"/>
      <c r="J649" s="421"/>
      <c r="K649" s="421"/>
      <c r="L649" s="421"/>
      <c r="M649" s="421"/>
      <c r="N649" s="421"/>
      <c r="O649" s="421"/>
    </row>
    <row r="650" spans="2:15" ht="13.5" customHeight="1">
      <c r="B650" s="421" t="s">
        <v>1033</v>
      </c>
      <c r="C650" s="421" t="s">
        <v>1072</v>
      </c>
      <c r="D650" s="421" t="s">
        <v>1073</v>
      </c>
      <c r="H650" s="421"/>
      <c r="I650" s="421"/>
      <c r="J650" s="421"/>
      <c r="K650" s="421"/>
      <c r="L650" s="421"/>
      <c r="M650" s="421"/>
      <c r="N650" s="421"/>
      <c r="O650" s="421"/>
    </row>
    <row r="651" spans="2:15" ht="13.5" customHeight="1">
      <c r="B651" s="421" t="s">
        <v>1033</v>
      </c>
      <c r="C651" s="421" t="s">
        <v>1074</v>
      </c>
      <c r="D651" s="421" t="s">
        <v>1075</v>
      </c>
      <c r="H651" s="421"/>
      <c r="I651" s="421"/>
      <c r="J651" s="421"/>
      <c r="K651" s="421"/>
      <c r="L651" s="421"/>
      <c r="M651" s="421"/>
      <c r="N651" s="421"/>
      <c r="O651" s="421"/>
    </row>
    <row r="652" spans="2:15" ht="13.5" customHeight="1">
      <c r="B652" s="421" t="s">
        <v>1033</v>
      </c>
      <c r="C652" s="421" t="s">
        <v>1076</v>
      </c>
      <c r="D652" s="421" t="s">
        <v>1077</v>
      </c>
      <c r="H652" s="421"/>
      <c r="I652" s="421"/>
      <c r="J652" s="421"/>
      <c r="K652" s="421"/>
      <c r="L652" s="421"/>
      <c r="M652" s="421"/>
      <c r="N652" s="421"/>
      <c r="O652" s="421"/>
    </row>
    <row r="653" spans="2:15" ht="13.5" customHeight="1">
      <c r="B653" s="421" t="s">
        <v>1033</v>
      </c>
      <c r="C653" s="421" t="s">
        <v>1078</v>
      </c>
      <c r="D653" s="421" t="s">
        <v>1079</v>
      </c>
      <c r="H653" s="421"/>
      <c r="I653" s="421"/>
      <c r="J653" s="421"/>
      <c r="K653" s="421"/>
      <c r="L653" s="421"/>
      <c r="M653" s="421"/>
      <c r="N653" s="421"/>
      <c r="O653" s="421"/>
    </row>
    <row r="654" spans="2:15" ht="13.5" customHeight="1">
      <c r="B654" s="421" t="s">
        <v>1033</v>
      </c>
      <c r="C654" s="421" t="s">
        <v>1080</v>
      </c>
      <c r="D654" s="421" t="s">
        <v>1081</v>
      </c>
      <c r="H654" s="421"/>
      <c r="I654" s="421"/>
      <c r="J654" s="421"/>
      <c r="K654" s="421"/>
      <c r="L654" s="421"/>
      <c r="M654" s="421"/>
      <c r="N654" s="421"/>
      <c r="O654" s="421"/>
    </row>
    <row r="655" spans="2:15" ht="13.5" customHeight="1">
      <c r="B655" s="421" t="s">
        <v>1033</v>
      </c>
      <c r="C655" s="421" t="s">
        <v>1082</v>
      </c>
      <c r="D655" s="421" t="s">
        <v>1083</v>
      </c>
      <c r="H655" s="421"/>
      <c r="I655" s="421"/>
      <c r="J655" s="421"/>
      <c r="K655" s="421"/>
      <c r="L655" s="421"/>
      <c r="M655" s="421"/>
      <c r="N655" s="421"/>
      <c r="O655" s="421"/>
    </row>
    <row r="656" spans="2:15" ht="13.5" customHeight="1">
      <c r="B656" s="421" t="s">
        <v>1084</v>
      </c>
      <c r="C656" s="421" t="s">
        <v>1085</v>
      </c>
      <c r="D656" s="421" t="s">
        <v>1086</v>
      </c>
      <c r="H656" s="421"/>
      <c r="I656" s="421"/>
      <c r="J656" s="421"/>
      <c r="K656" s="421"/>
      <c r="L656" s="421"/>
      <c r="M656" s="421"/>
      <c r="N656" s="421"/>
      <c r="O656" s="421"/>
    </row>
    <row r="657" spans="2:15" ht="13.5" customHeight="1">
      <c r="B657" s="421" t="s">
        <v>1084</v>
      </c>
      <c r="C657" s="421" t="s">
        <v>1087</v>
      </c>
      <c r="D657" s="421" t="s">
        <v>1088</v>
      </c>
      <c r="H657" s="421"/>
      <c r="I657" s="421"/>
      <c r="J657" s="421"/>
      <c r="K657" s="421"/>
      <c r="L657" s="421"/>
      <c r="M657" s="421"/>
      <c r="N657" s="421"/>
      <c r="O657" s="421"/>
    </row>
    <row r="658" spans="2:15" ht="13.5" customHeight="1">
      <c r="B658" s="421" t="s">
        <v>1084</v>
      </c>
      <c r="C658" s="421" t="s">
        <v>1089</v>
      </c>
      <c r="D658" s="421" t="s">
        <v>1090</v>
      </c>
      <c r="H658" s="421"/>
      <c r="I658" s="421"/>
      <c r="J658" s="421"/>
      <c r="K658" s="421"/>
      <c r="L658" s="421"/>
      <c r="M658" s="421"/>
      <c r="N658" s="421"/>
      <c r="O658" s="421"/>
    </row>
    <row r="659" spans="2:15" ht="13.5" customHeight="1">
      <c r="B659" s="421" t="s">
        <v>1084</v>
      </c>
      <c r="C659" s="421" t="s">
        <v>1091</v>
      </c>
      <c r="D659" s="421" t="s">
        <v>1092</v>
      </c>
      <c r="H659" s="421"/>
      <c r="I659" s="421"/>
      <c r="J659" s="421"/>
      <c r="K659" s="421"/>
      <c r="L659" s="421"/>
      <c r="M659" s="421"/>
      <c r="N659" s="421"/>
      <c r="O659" s="421"/>
    </row>
    <row r="660" spans="2:15" ht="13.5" customHeight="1">
      <c r="B660" s="421" t="s">
        <v>1084</v>
      </c>
      <c r="C660" s="421" t="s">
        <v>1093</v>
      </c>
      <c r="D660" s="421" t="s">
        <v>1094</v>
      </c>
      <c r="H660" s="421"/>
      <c r="I660" s="421"/>
      <c r="J660" s="421"/>
      <c r="K660" s="421"/>
      <c r="L660" s="421"/>
      <c r="M660" s="421"/>
      <c r="N660" s="421"/>
      <c r="O660" s="421"/>
    </row>
    <row r="661" spans="2:15" ht="13.5" customHeight="1">
      <c r="B661" s="421" t="s">
        <v>1084</v>
      </c>
      <c r="C661" s="421" t="s">
        <v>1095</v>
      </c>
      <c r="D661" s="421" t="s">
        <v>1096</v>
      </c>
      <c r="H661" s="421"/>
      <c r="I661" s="421"/>
      <c r="J661" s="421"/>
      <c r="K661" s="421"/>
      <c r="L661" s="421"/>
      <c r="M661" s="421"/>
      <c r="N661" s="421"/>
      <c r="O661" s="421"/>
    </row>
    <row r="662" spans="2:15" ht="13.5" customHeight="1">
      <c r="B662" s="421" t="s">
        <v>1084</v>
      </c>
      <c r="C662" s="421" t="s">
        <v>1097</v>
      </c>
      <c r="D662" s="421" t="s">
        <v>1098</v>
      </c>
      <c r="H662" s="421"/>
      <c r="I662" s="421"/>
      <c r="J662" s="421"/>
      <c r="K662" s="421"/>
      <c r="L662" s="421"/>
      <c r="M662" s="421"/>
      <c r="N662" s="421"/>
      <c r="O662" s="421"/>
    </row>
    <row r="663" spans="2:15" ht="13.5" customHeight="1">
      <c r="B663" s="421" t="s">
        <v>1084</v>
      </c>
      <c r="C663" s="421" t="s">
        <v>1099</v>
      </c>
      <c r="D663" s="421" t="s">
        <v>1100</v>
      </c>
      <c r="H663" s="421"/>
      <c r="I663" s="421"/>
      <c r="J663" s="421"/>
      <c r="K663" s="421"/>
      <c r="L663" s="421"/>
      <c r="M663" s="421"/>
      <c r="N663" s="421"/>
      <c r="O663" s="421"/>
    </row>
    <row r="664" spans="2:15" ht="13.5" customHeight="1">
      <c r="B664" s="421" t="s">
        <v>1084</v>
      </c>
      <c r="C664" s="421" t="s">
        <v>1101</v>
      </c>
      <c r="D664" s="421" t="s">
        <v>1102</v>
      </c>
      <c r="H664" s="421"/>
      <c r="I664" s="421"/>
      <c r="J664" s="421"/>
      <c r="K664" s="421"/>
      <c r="L664" s="421"/>
      <c r="M664" s="421"/>
      <c r="N664" s="421"/>
      <c r="O664" s="421"/>
    </row>
    <row r="665" spans="2:15" ht="13.5" customHeight="1">
      <c r="B665" s="421" t="s">
        <v>1084</v>
      </c>
      <c r="C665" s="421" t="s">
        <v>1103</v>
      </c>
      <c r="D665" s="421" t="s">
        <v>1104</v>
      </c>
      <c r="H665" s="421"/>
      <c r="I665" s="421"/>
      <c r="J665" s="421"/>
      <c r="K665" s="421"/>
      <c r="L665" s="421"/>
      <c r="M665" s="421"/>
      <c r="N665" s="421"/>
      <c r="O665" s="421"/>
    </row>
    <row r="666" spans="2:15" ht="13.5" customHeight="1">
      <c r="B666" s="421" t="s">
        <v>1084</v>
      </c>
      <c r="C666" s="421" t="s">
        <v>1105</v>
      </c>
      <c r="D666" s="421" t="s">
        <v>1106</v>
      </c>
      <c r="H666" s="421"/>
      <c r="I666" s="421"/>
      <c r="J666" s="421"/>
      <c r="K666" s="421"/>
      <c r="L666" s="421"/>
      <c r="M666" s="421"/>
      <c r="N666" s="421"/>
      <c r="O666" s="421"/>
    </row>
    <row r="667" spans="2:15" ht="13.5" customHeight="1">
      <c r="B667" s="421" t="s">
        <v>1084</v>
      </c>
      <c r="C667" s="421" t="s">
        <v>1107</v>
      </c>
      <c r="D667" s="421" t="s">
        <v>1108</v>
      </c>
      <c r="H667" s="421"/>
      <c r="I667" s="421"/>
      <c r="J667" s="421"/>
      <c r="K667" s="421"/>
      <c r="L667" s="421"/>
      <c r="M667" s="421"/>
      <c r="N667" s="421"/>
      <c r="O667" s="421"/>
    </row>
    <row r="668" spans="2:15" ht="13.5" customHeight="1">
      <c r="B668" s="421" t="s">
        <v>1084</v>
      </c>
      <c r="C668" s="421" t="s">
        <v>1109</v>
      </c>
      <c r="D668" s="421" t="s">
        <v>1110</v>
      </c>
      <c r="H668" s="421"/>
      <c r="I668" s="421"/>
      <c r="J668" s="421"/>
      <c r="K668" s="421"/>
      <c r="L668" s="421"/>
      <c r="M668" s="421"/>
      <c r="N668" s="421"/>
      <c r="O668" s="421"/>
    </row>
    <row r="669" spans="2:15" ht="13.5" customHeight="1">
      <c r="B669" s="421" t="s">
        <v>1084</v>
      </c>
      <c r="C669" s="421" t="s">
        <v>1111</v>
      </c>
      <c r="D669" s="421" t="s">
        <v>1112</v>
      </c>
      <c r="H669" s="421"/>
      <c r="I669" s="421"/>
      <c r="J669" s="421"/>
      <c r="K669" s="421"/>
      <c r="L669" s="421"/>
      <c r="M669" s="421"/>
      <c r="N669" s="421"/>
      <c r="O669" s="421"/>
    </row>
    <row r="670" spans="2:15" ht="13.5" customHeight="1">
      <c r="B670" s="421" t="s">
        <v>1084</v>
      </c>
      <c r="C670" s="421" t="s">
        <v>1113</v>
      </c>
      <c r="D670" s="421" t="s">
        <v>1114</v>
      </c>
      <c r="H670" s="421"/>
      <c r="I670" s="421"/>
      <c r="J670" s="421"/>
      <c r="K670" s="421"/>
      <c r="L670" s="421"/>
      <c r="M670" s="421"/>
      <c r="N670" s="421"/>
      <c r="O670" s="421"/>
    </row>
    <row r="671" spans="2:15" ht="13.5" customHeight="1">
      <c r="B671" s="421" t="s">
        <v>1084</v>
      </c>
      <c r="C671" s="421" t="s">
        <v>1115</v>
      </c>
      <c r="D671" s="421" t="s">
        <v>1116</v>
      </c>
      <c r="H671" s="421"/>
      <c r="I671" s="421"/>
      <c r="J671" s="421"/>
      <c r="K671" s="421"/>
      <c r="L671" s="421"/>
      <c r="M671" s="421"/>
      <c r="N671" s="421"/>
      <c r="O671" s="421"/>
    </row>
    <row r="672" spans="2:15" ht="13.5" customHeight="1">
      <c r="B672" s="421" t="s">
        <v>1084</v>
      </c>
      <c r="C672" s="421" t="s">
        <v>1117</v>
      </c>
      <c r="D672" s="421" t="s">
        <v>1118</v>
      </c>
      <c r="H672" s="421"/>
      <c r="I672" s="421"/>
      <c r="J672" s="421"/>
      <c r="K672" s="421"/>
      <c r="L672" s="421"/>
      <c r="M672" s="421"/>
      <c r="N672" s="421"/>
      <c r="O672" s="421"/>
    </row>
    <row r="673" spans="2:15" ht="13.5" customHeight="1">
      <c r="B673" s="421" t="s">
        <v>1084</v>
      </c>
      <c r="C673" s="421" t="s">
        <v>1119</v>
      </c>
      <c r="D673" s="421" t="s">
        <v>1120</v>
      </c>
      <c r="H673" s="421"/>
      <c r="I673" s="421"/>
      <c r="J673" s="421"/>
      <c r="K673" s="421"/>
      <c r="L673" s="421"/>
      <c r="M673" s="421"/>
      <c r="N673" s="421"/>
      <c r="O673" s="421"/>
    </row>
    <row r="674" spans="2:15" ht="13.5" customHeight="1">
      <c r="B674" s="421" t="s">
        <v>1084</v>
      </c>
      <c r="C674" s="421" t="s">
        <v>1121</v>
      </c>
      <c r="D674" s="421" t="s">
        <v>1122</v>
      </c>
      <c r="H674" s="421"/>
      <c r="I674" s="421"/>
      <c r="J674" s="421"/>
      <c r="K674" s="421"/>
      <c r="L674" s="421"/>
      <c r="M674" s="421"/>
      <c r="N674" s="421"/>
      <c r="O674" s="421"/>
    </row>
    <row r="675" spans="2:15" ht="13.5" customHeight="1">
      <c r="B675" s="421" t="s">
        <v>1084</v>
      </c>
      <c r="C675" s="421" t="s">
        <v>1123</v>
      </c>
      <c r="D675" s="421" t="s">
        <v>1124</v>
      </c>
      <c r="H675" s="421"/>
      <c r="I675" s="421"/>
      <c r="J675" s="421"/>
      <c r="K675" s="421"/>
      <c r="L675" s="421"/>
      <c r="M675" s="421"/>
      <c r="N675" s="421"/>
      <c r="O675" s="421"/>
    </row>
    <row r="676" spans="2:15" ht="13.5" customHeight="1">
      <c r="B676" s="421" t="s">
        <v>1084</v>
      </c>
      <c r="C676" s="421" t="s">
        <v>1125</v>
      </c>
      <c r="D676" s="421" t="s">
        <v>1126</v>
      </c>
      <c r="H676" s="421"/>
      <c r="I676" s="421"/>
      <c r="J676" s="421"/>
      <c r="K676" s="421"/>
      <c r="L676" s="421"/>
      <c r="M676" s="421"/>
      <c r="N676" s="421"/>
      <c r="O676" s="421"/>
    </row>
    <row r="677" spans="2:15" ht="13.5" customHeight="1">
      <c r="B677" s="421" t="s">
        <v>1084</v>
      </c>
      <c r="C677" s="421" t="s">
        <v>1127</v>
      </c>
      <c r="D677" s="421" t="s">
        <v>1128</v>
      </c>
      <c r="H677" s="421"/>
      <c r="I677" s="421"/>
      <c r="J677" s="421"/>
      <c r="K677" s="421"/>
      <c r="L677" s="421"/>
      <c r="M677" s="421"/>
      <c r="N677" s="421"/>
      <c r="O677" s="421"/>
    </row>
    <row r="678" spans="2:15" ht="13.5" customHeight="1">
      <c r="B678" s="421" t="s">
        <v>1084</v>
      </c>
      <c r="C678" s="421" t="s">
        <v>1129</v>
      </c>
      <c r="D678" s="421" t="s">
        <v>1130</v>
      </c>
      <c r="H678" s="421"/>
      <c r="I678" s="421"/>
      <c r="J678" s="421"/>
      <c r="K678" s="421"/>
      <c r="L678" s="421"/>
      <c r="M678" s="421"/>
      <c r="N678" s="421"/>
      <c r="O678" s="421"/>
    </row>
    <row r="679" spans="2:15" ht="13.5" customHeight="1">
      <c r="B679" s="421" t="s">
        <v>1084</v>
      </c>
      <c r="C679" s="421" t="s">
        <v>1131</v>
      </c>
      <c r="D679" s="421" t="s">
        <v>1132</v>
      </c>
      <c r="H679" s="421"/>
      <c r="I679" s="421"/>
      <c r="J679" s="421"/>
      <c r="K679" s="421"/>
      <c r="L679" s="421"/>
      <c r="M679" s="421"/>
      <c r="N679" s="421"/>
      <c r="O679" s="421"/>
    </row>
    <row r="680" spans="2:15" ht="13.5" customHeight="1">
      <c r="B680" s="421" t="s">
        <v>1084</v>
      </c>
      <c r="C680" s="421" t="s">
        <v>1133</v>
      </c>
      <c r="D680" s="421" t="s">
        <v>1134</v>
      </c>
      <c r="H680" s="421"/>
      <c r="I680" s="421"/>
      <c r="J680" s="421"/>
      <c r="K680" s="421"/>
      <c r="L680" s="421"/>
      <c r="M680" s="421"/>
      <c r="N680" s="421"/>
      <c r="O680" s="421"/>
    </row>
    <row r="681" spans="2:15" ht="13.5" customHeight="1">
      <c r="B681" s="421" t="s">
        <v>1084</v>
      </c>
      <c r="C681" s="421" t="s">
        <v>1135</v>
      </c>
      <c r="D681" s="421" t="s">
        <v>1136</v>
      </c>
      <c r="H681" s="421"/>
      <c r="I681" s="421"/>
      <c r="J681" s="421"/>
      <c r="K681" s="421"/>
      <c r="L681" s="421"/>
      <c r="M681" s="421"/>
      <c r="N681" s="421"/>
      <c r="O681" s="421"/>
    </row>
    <row r="682" spans="2:15" ht="13.5" customHeight="1">
      <c r="B682" s="421" t="s">
        <v>1084</v>
      </c>
      <c r="C682" s="421" t="s">
        <v>1137</v>
      </c>
      <c r="D682" s="421" t="s">
        <v>1138</v>
      </c>
      <c r="H682" s="421"/>
      <c r="I682" s="421"/>
      <c r="J682" s="421"/>
      <c r="K682" s="421"/>
      <c r="L682" s="421"/>
      <c r="M682" s="421"/>
      <c r="N682" s="421"/>
      <c r="O682" s="421"/>
    </row>
    <row r="683" spans="2:15" ht="13.5" customHeight="1">
      <c r="B683" s="421" t="s">
        <v>1084</v>
      </c>
      <c r="C683" s="421" t="s">
        <v>1139</v>
      </c>
      <c r="D683" s="421" t="s">
        <v>1140</v>
      </c>
      <c r="H683" s="421"/>
      <c r="I683" s="421"/>
      <c r="J683" s="421"/>
      <c r="K683" s="421"/>
      <c r="L683" s="421"/>
      <c r="M683" s="421"/>
      <c r="N683" s="421"/>
      <c r="O683" s="421"/>
    </row>
    <row r="684" spans="2:15" ht="13.5" customHeight="1">
      <c r="B684" s="421" t="s">
        <v>1084</v>
      </c>
      <c r="C684" s="421" t="s">
        <v>1141</v>
      </c>
      <c r="D684" s="421" t="s">
        <v>1142</v>
      </c>
      <c r="H684" s="421"/>
      <c r="I684" s="421"/>
      <c r="J684" s="421"/>
      <c r="K684" s="421"/>
      <c r="L684" s="421"/>
      <c r="M684" s="421"/>
      <c r="N684" s="421"/>
      <c r="O684" s="421"/>
    </row>
    <row r="685" spans="2:15" ht="13.5" customHeight="1">
      <c r="B685" s="421" t="s">
        <v>1084</v>
      </c>
      <c r="C685" s="421" t="s">
        <v>1143</v>
      </c>
      <c r="D685" s="421" t="s">
        <v>1144</v>
      </c>
      <c r="H685" s="421"/>
      <c r="I685" s="421"/>
      <c r="J685" s="421"/>
      <c r="K685" s="421"/>
      <c r="L685" s="421"/>
      <c r="M685" s="421"/>
      <c r="N685" s="421"/>
      <c r="O685" s="421"/>
    </row>
    <row r="686" spans="2:15" ht="13.5" customHeight="1">
      <c r="B686" s="421" t="s">
        <v>1084</v>
      </c>
      <c r="C686" s="421" t="s">
        <v>1145</v>
      </c>
      <c r="D686" s="421" t="s">
        <v>1146</v>
      </c>
      <c r="H686" s="421"/>
      <c r="I686" s="421"/>
      <c r="J686" s="421"/>
      <c r="K686" s="421"/>
      <c r="L686" s="421"/>
      <c r="M686" s="421"/>
      <c r="N686" s="421"/>
      <c r="O686" s="421"/>
    </row>
    <row r="687" spans="2:15" ht="13.5" customHeight="1">
      <c r="B687" s="421" t="s">
        <v>1084</v>
      </c>
      <c r="C687" s="421" t="s">
        <v>1147</v>
      </c>
      <c r="D687" s="421" t="s">
        <v>1148</v>
      </c>
      <c r="H687" s="421"/>
      <c r="I687" s="421"/>
      <c r="J687" s="421"/>
      <c r="K687" s="421"/>
      <c r="L687" s="421"/>
      <c r="M687" s="421"/>
      <c r="N687" s="421"/>
      <c r="O687" s="421"/>
    </row>
    <row r="688" spans="2:15" ht="13.5" customHeight="1">
      <c r="B688" s="421" t="s">
        <v>1084</v>
      </c>
      <c r="C688" s="421" t="s">
        <v>1149</v>
      </c>
      <c r="D688" s="421" t="s">
        <v>1150</v>
      </c>
      <c r="H688" s="421"/>
      <c r="I688" s="421"/>
      <c r="J688" s="421"/>
      <c r="K688" s="421"/>
      <c r="L688" s="421"/>
      <c r="M688" s="421"/>
      <c r="N688" s="421"/>
      <c r="O688" s="421"/>
    </row>
    <row r="689" spans="2:16" ht="13.5" customHeight="1">
      <c r="B689" s="421" t="s">
        <v>1084</v>
      </c>
      <c r="C689" s="421" t="s">
        <v>1151</v>
      </c>
      <c r="D689" s="421" t="s">
        <v>1152</v>
      </c>
      <c r="H689" s="421"/>
      <c r="I689" s="421"/>
      <c r="J689" s="421"/>
      <c r="K689" s="421"/>
      <c r="L689" s="421"/>
      <c r="M689" s="421"/>
      <c r="N689" s="421"/>
      <c r="O689" s="421"/>
    </row>
    <row r="690" spans="2:16" ht="13.5" customHeight="1">
      <c r="B690" s="421" t="s">
        <v>1084</v>
      </c>
      <c r="C690" s="421" t="s">
        <v>1153</v>
      </c>
      <c r="D690" s="421" t="s">
        <v>1154</v>
      </c>
      <c r="H690" s="421"/>
      <c r="I690" s="421"/>
      <c r="J690" s="421"/>
      <c r="K690" s="421"/>
      <c r="L690" s="421"/>
      <c r="M690" s="421"/>
      <c r="N690" s="421"/>
      <c r="O690" s="421"/>
    </row>
    <row r="691" spans="2:16" ht="13.5" customHeight="1">
      <c r="B691" s="421" t="s">
        <v>1084</v>
      </c>
      <c r="C691" s="421" t="s">
        <v>1155</v>
      </c>
      <c r="D691" s="421" t="s">
        <v>1156</v>
      </c>
      <c r="H691" s="421"/>
      <c r="I691" s="421"/>
      <c r="J691" s="421"/>
      <c r="K691" s="421"/>
      <c r="L691" s="421"/>
      <c r="M691" s="421"/>
      <c r="N691" s="421"/>
      <c r="O691" s="421"/>
    </row>
    <row r="692" spans="2:16" ht="13.5" customHeight="1">
      <c r="B692" s="421" t="s">
        <v>1084</v>
      </c>
      <c r="C692" s="421" t="s">
        <v>1157</v>
      </c>
      <c r="D692" s="421" t="s">
        <v>1158</v>
      </c>
      <c r="H692" s="421"/>
      <c r="I692" s="421"/>
      <c r="J692" s="421"/>
      <c r="K692" s="421"/>
      <c r="L692" s="421"/>
      <c r="M692" s="421"/>
      <c r="N692" s="421"/>
      <c r="O692" s="421"/>
    </row>
    <row r="693" spans="2:16" ht="13.5" customHeight="1">
      <c r="B693" s="421" t="s">
        <v>1084</v>
      </c>
      <c r="C693" s="421" t="s">
        <v>1159</v>
      </c>
      <c r="D693" s="421" t="s">
        <v>1160</v>
      </c>
      <c r="H693" s="421"/>
      <c r="I693" s="421"/>
      <c r="J693" s="421"/>
      <c r="K693" s="421"/>
      <c r="L693" s="421"/>
      <c r="M693" s="421"/>
      <c r="N693" s="421"/>
      <c r="O693" s="421"/>
    </row>
    <row r="694" spans="2:16" ht="13.5" customHeight="1">
      <c r="B694" s="421" t="s">
        <v>1084</v>
      </c>
      <c r="C694" s="421" t="s">
        <v>1161</v>
      </c>
      <c r="D694" s="421" t="s">
        <v>1162</v>
      </c>
      <c r="H694" s="421"/>
      <c r="I694" s="421"/>
      <c r="J694" s="421"/>
      <c r="K694" s="421"/>
      <c r="L694" s="421"/>
      <c r="M694" s="421"/>
      <c r="N694" s="421"/>
      <c r="O694" s="421"/>
    </row>
    <row r="695" spans="2:16" ht="13.5" customHeight="1">
      <c r="B695" s="421" t="s">
        <v>1084</v>
      </c>
      <c r="C695" s="421" t="s">
        <v>1163</v>
      </c>
      <c r="D695" s="421" t="s">
        <v>1164</v>
      </c>
      <c r="H695" s="421"/>
      <c r="I695" s="421"/>
      <c r="J695" s="421"/>
      <c r="K695" s="421"/>
      <c r="L695" s="421"/>
      <c r="M695" s="421"/>
      <c r="N695" s="421"/>
      <c r="O695" s="421"/>
    </row>
    <row r="696" spans="2:16" ht="13.5" customHeight="1">
      <c r="B696" s="421" t="s">
        <v>1084</v>
      </c>
      <c r="C696" s="421" t="s">
        <v>1165</v>
      </c>
      <c r="D696" s="421" t="s">
        <v>1166</v>
      </c>
      <c r="H696" s="421"/>
      <c r="I696" s="421"/>
      <c r="J696" s="421"/>
      <c r="K696" s="421"/>
      <c r="L696" s="421"/>
      <c r="M696" s="421"/>
      <c r="N696" s="421"/>
      <c r="O696" s="421"/>
    </row>
    <row r="697" spans="2:16" ht="13.5" customHeight="1">
      <c r="B697" s="421" t="s">
        <v>1084</v>
      </c>
      <c r="C697" s="421" t="s">
        <v>1167</v>
      </c>
      <c r="D697" s="421" t="s">
        <v>1168</v>
      </c>
      <c r="H697" s="421"/>
      <c r="I697" s="421"/>
      <c r="J697" s="421"/>
      <c r="K697" s="421"/>
      <c r="L697" s="421"/>
      <c r="M697" s="421"/>
      <c r="N697" s="421"/>
      <c r="O697" s="421"/>
    </row>
    <row r="698" spans="2:16" ht="13.5" customHeight="1">
      <c r="B698" s="421" t="s">
        <v>1084</v>
      </c>
      <c r="C698" s="421" t="s">
        <v>1169</v>
      </c>
      <c r="D698" s="421" t="s">
        <v>1170</v>
      </c>
      <c r="H698" s="421"/>
      <c r="I698" s="421"/>
      <c r="J698" s="421"/>
      <c r="K698" s="421"/>
      <c r="L698" s="421"/>
      <c r="M698" s="421"/>
      <c r="N698" s="421"/>
      <c r="O698" s="421"/>
    </row>
    <row r="699" spans="2:16" s="490" customFormat="1" ht="13.5" customHeight="1">
      <c r="C699" s="490" t="s">
        <v>1171</v>
      </c>
      <c r="D699" s="490" t="s">
        <v>1172</v>
      </c>
      <c r="P699" s="445"/>
    </row>
    <row r="700" spans="2:16" s="490" customFormat="1" ht="13.5" customHeight="1">
      <c r="C700" s="490" t="s">
        <v>1173</v>
      </c>
      <c r="D700" s="490" t="s">
        <v>1174</v>
      </c>
      <c r="P700" s="445"/>
    </row>
    <row r="701" spans="2:16" s="490" customFormat="1" ht="13.5" customHeight="1">
      <c r="C701" s="490" t="s">
        <v>1175</v>
      </c>
      <c r="D701" s="490" t="s">
        <v>1176</v>
      </c>
      <c r="P701" s="445"/>
    </row>
    <row r="702" spans="2:16" s="490" customFormat="1" ht="13.5" customHeight="1">
      <c r="C702" s="490" t="s">
        <v>1177</v>
      </c>
      <c r="D702" s="490" t="s">
        <v>1178</v>
      </c>
      <c r="P702" s="445"/>
    </row>
    <row r="703" spans="2:16" s="490" customFormat="1" ht="13.5" customHeight="1">
      <c r="C703" s="490" t="s">
        <v>1179</v>
      </c>
      <c r="D703" s="490" t="s">
        <v>1180</v>
      </c>
      <c r="P703" s="445"/>
    </row>
    <row r="704" spans="2:16" s="490" customFormat="1" ht="13.5" customHeight="1">
      <c r="C704" s="490" t="s">
        <v>1181</v>
      </c>
      <c r="D704" s="490" t="s">
        <v>1182</v>
      </c>
      <c r="P704" s="445"/>
    </row>
    <row r="705" spans="3:16" s="490" customFormat="1" ht="13.5" customHeight="1">
      <c r="C705" s="490" t="s">
        <v>1183</v>
      </c>
      <c r="D705" s="490" t="s">
        <v>1184</v>
      </c>
      <c r="P705" s="445"/>
    </row>
    <row r="706" spans="3:16" s="490" customFormat="1" ht="13.5" customHeight="1">
      <c r="C706" s="490" t="s">
        <v>1185</v>
      </c>
      <c r="D706" s="490" t="s">
        <v>1186</v>
      </c>
      <c r="P706" s="445"/>
    </row>
    <row r="707" spans="3:16" s="490" customFormat="1" ht="13.5" customHeight="1">
      <c r="C707" s="490" t="s">
        <v>1187</v>
      </c>
      <c r="D707" s="490" t="s">
        <v>1188</v>
      </c>
      <c r="P707" s="445"/>
    </row>
    <row r="708" spans="3:16" s="490" customFormat="1" ht="13.5" customHeight="1">
      <c r="C708" s="490" t="s">
        <v>1189</v>
      </c>
      <c r="D708" s="490" t="s">
        <v>1190</v>
      </c>
      <c r="P708" s="445"/>
    </row>
    <row r="709" spans="3:16" s="490" customFormat="1" ht="13.5" customHeight="1">
      <c r="C709" s="490" t="s">
        <v>1191</v>
      </c>
      <c r="D709" s="490" t="s">
        <v>1192</v>
      </c>
      <c r="P709" s="445"/>
    </row>
    <row r="710" spans="3:16" s="490" customFormat="1" ht="13.5" customHeight="1">
      <c r="C710" s="490" t="s">
        <v>1193</v>
      </c>
      <c r="D710" s="490" t="s">
        <v>1194</v>
      </c>
      <c r="P710" s="445"/>
    </row>
    <row r="711" spans="3:16" s="490" customFormat="1" ht="13.5" customHeight="1">
      <c r="C711" s="490" t="s">
        <v>1195</v>
      </c>
      <c r="D711" s="490" t="s">
        <v>1196</v>
      </c>
      <c r="P711" s="445"/>
    </row>
    <row r="712" spans="3:16" s="490" customFormat="1" ht="13.5" customHeight="1">
      <c r="C712" s="490" t="s">
        <v>1197</v>
      </c>
      <c r="D712" s="490" t="s">
        <v>1198</v>
      </c>
      <c r="P712" s="445"/>
    </row>
    <row r="713" spans="3:16" s="490" customFormat="1" ht="13.5" customHeight="1">
      <c r="C713" s="490" t="s">
        <v>1199</v>
      </c>
      <c r="D713" s="490" t="s">
        <v>1200</v>
      </c>
      <c r="P713" s="445"/>
    </row>
    <row r="714" spans="3:16" s="490" customFormat="1" ht="13.5" customHeight="1">
      <c r="C714" s="490" t="s">
        <v>1201</v>
      </c>
      <c r="D714" s="490" t="s">
        <v>1202</v>
      </c>
      <c r="P714" s="445"/>
    </row>
    <row r="715" spans="3:16" s="490" customFormat="1" ht="13.5" customHeight="1">
      <c r="C715" s="490" t="s">
        <v>1203</v>
      </c>
      <c r="D715" s="490" t="s">
        <v>1204</v>
      </c>
      <c r="P715" s="445"/>
    </row>
    <row r="716" spans="3:16" s="490" customFormat="1" ht="13.5" customHeight="1">
      <c r="C716" s="490" t="s">
        <v>1205</v>
      </c>
      <c r="D716" s="490" t="s">
        <v>1206</v>
      </c>
      <c r="P716" s="445"/>
    </row>
    <row r="717" spans="3:16" s="490" customFormat="1" ht="13.5" customHeight="1">
      <c r="C717" s="490" t="s">
        <v>1207</v>
      </c>
      <c r="D717" s="490" t="s">
        <v>1208</v>
      </c>
      <c r="P717" s="445"/>
    </row>
    <row r="718" spans="3:16" s="490" customFormat="1" ht="13.5" customHeight="1">
      <c r="C718" s="490" t="s">
        <v>1209</v>
      </c>
      <c r="D718" s="490" t="s">
        <v>1210</v>
      </c>
      <c r="P718" s="445"/>
    </row>
    <row r="719" spans="3:16" s="490" customFormat="1" ht="13.5" customHeight="1">
      <c r="C719" s="490" t="s">
        <v>1211</v>
      </c>
      <c r="D719" s="490" t="s">
        <v>1212</v>
      </c>
      <c r="P719" s="445"/>
    </row>
    <row r="720" spans="3:16" s="490" customFormat="1" ht="13.5" customHeight="1">
      <c r="C720" s="490" t="s">
        <v>1213</v>
      </c>
      <c r="D720" s="490" t="s">
        <v>1214</v>
      </c>
      <c r="P720" s="445"/>
    </row>
    <row r="721" spans="3:16" s="490" customFormat="1" ht="13.5" customHeight="1">
      <c r="C721" s="490" t="s">
        <v>1215</v>
      </c>
      <c r="D721" s="490" t="s">
        <v>1216</v>
      </c>
      <c r="P721" s="445"/>
    </row>
    <row r="722" spans="3:16" s="490" customFormat="1" ht="13.5" customHeight="1">
      <c r="C722" s="490" t="s">
        <v>1217</v>
      </c>
      <c r="D722" s="490" t="s">
        <v>1218</v>
      </c>
      <c r="P722" s="445"/>
    </row>
    <row r="723" spans="3:16" s="490" customFormat="1" ht="13.5" customHeight="1">
      <c r="C723" s="490" t="s">
        <v>1219</v>
      </c>
      <c r="D723" s="490" t="s">
        <v>1220</v>
      </c>
      <c r="P723" s="445"/>
    </row>
    <row r="724" spans="3:16" s="490" customFormat="1" ht="13.5" customHeight="1">
      <c r="C724" s="490" t="s">
        <v>1221</v>
      </c>
      <c r="D724" s="490" t="s">
        <v>1222</v>
      </c>
      <c r="P724" s="445"/>
    </row>
    <row r="725" spans="3:16" s="490" customFormat="1" ht="13.5" customHeight="1">
      <c r="C725" s="490" t="s">
        <v>1223</v>
      </c>
      <c r="D725" s="490" t="s">
        <v>1224</v>
      </c>
      <c r="P725" s="445"/>
    </row>
    <row r="726" spans="3:16" s="490" customFormat="1" ht="13.5" customHeight="1">
      <c r="C726" s="490" t="s">
        <v>1225</v>
      </c>
      <c r="D726" s="490" t="s">
        <v>1226</v>
      </c>
      <c r="P726" s="445"/>
    </row>
    <row r="727" spans="3:16" s="490" customFormat="1" ht="13.5" customHeight="1">
      <c r="C727" s="490" t="s">
        <v>1227</v>
      </c>
      <c r="D727" s="490" t="s">
        <v>1228</v>
      </c>
      <c r="P727" s="445"/>
    </row>
    <row r="728" spans="3:16" s="490" customFormat="1" ht="13.5" customHeight="1">
      <c r="C728" s="490" t="s">
        <v>1229</v>
      </c>
      <c r="D728" s="490" t="s">
        <v>1230</v>
      </c>
      <c r="P728" s="445"/>
    </row>
    <row r="729" spans="3:16" s="490" customFormat="1" ht="13.5" customHeight="1">
      <c r="C729" s="490" t="s">
        <v>1231</v>
      </c>
      <c r="D729" s="490" t="s">
        <v>1232</v>
      </c>
      <c r="P729" s="445"/>
    </row>
    <row r="730" spans="3:16" s="490" customFormat="1" ht="13.5" customHeight="1">
      <c r="C730" s="490" t="s">
        <v>1233</v>
      </c>
      <c r="D730" s="490" t="s">
        <v>1234</v>
      </c>
      <c r="P730" s="445"/>
    </row>
    <row r="731" spans="3:16" s="490" customFormat="1" ht="13.5" customHeight="1">
      <c r="C731" s="490" t="s">
        <v>1235</v>
      </c>
      <c r="D731" s="490" t="s">
        <v>1236</v>
      </c>
      <c r="P731" s="445"/>
    </row>
    <row r="732" spans="3:16" s="490" customFormat="1" ht="13.5" customHeight="1">
      <c r="C732" s="490" t="s">
        <v>1237</v>
      </c>
      <c r="D732" s="490" t="s">
        <v>1238</v>
      </c>
      <c r="P732" s="445"/>
    </row>
    <row r="733" spans="3:16" s="490" customFormat="1" ht="13.5" customHeight="1">
      <c r="C733" s="490" t="s">
        <v>1239</v>
      </c>
      <c r="D733" s="490" t="s">
        <v>1240</v>
      </c>
      <c r="P733" s="445"/>
    </row>
    <row r="734" spans="3:16" s="490" customFormat="1" ht="13.5" customHeight="1">
      <c r="C734" s="490" t="s">
        <v>1241</v>
      </c>
      <c r="D734" s="490" t="s">
        <v>1242</v>
      </c>
      <c r="P734" s="445"/>
    </row>
    <row r="735" spans="3:16" s="490" customFormat="1" ht="13.5" customHeight="1">
      <c r="C735" s="490" t="s">
        <v>1243</v>
      </c>
      <c r="D735" s="490" t="s">
        <v>1244</v>
      </c>
      <c r="P735" s="445"/>
    </row>
    <row r="736" spans="3:16" s="490" customFormat="1" ht="13.5" customHeight="1">
      <c r="C736" s="490" t="s">
        <v>1245</v>
      </c>
      <c r="D736" s="490" t="s">
        <v>1246</v>
      </c>
      <c r="P736" s="445"/>
    </row>
    <row r="737" spans="3:16" s="490" customFormat="1" ht="13.5" customHeight="1">
      <c r="C737" s="490" t="s">
        <v>1247</v>
      </c>
      <c r="D737" s="490" t="s">
        <v>1248</v>
      </c>
      <c r="P737" s="445"/>
    </row>
    <row r="738" spans="3:16" s="490" customFormat="1" ht="13.5" customHeight="1">
      <c r="C738" s="490" t="s">
        <v>1249</v>
      </c>
      <c r="D738" s="490" t="s">
        <v>1250</v>
      </c>
      <c r="P738" s="445"/>
    </row>
    <row r="739" spans="3:16" s="490" customFormat="1" ht="13.5" customHeight="1">
      <c r="C739" s="490" t="s">
        <v>1251</v>
      </c>
      <c r="D739" s="490" t="s">
        <v>1252</v>
      </c>
      <c r="P739" s="445"/>
    </row>
    <row r="740" spans="3:16" s="490" customFormat="1" ht="13.5" customHeight="1">
      <c r="C740" s="490" t="s">
        <v>1253</v>
      </c>
      <c r="D740" s="490" t="s">
        <v>1254</v>
      </c>
      <c r="P740" s="445"/>
    </row>
    <row r="741" spans="3:16" s="490" customFormat="1" ht="13.5" customHeight="1">
      <c r="C741" s="490" t="s">
        <v>1255</v>
      </c>
      <c r="D741" s="490" t="s">
        <v>1256</v>
      </c>
      <c r="P741" s="445"/>
    </row>
    <row r="742" spans="3:16" s="490" customFormat="1" ht="13.5" customHeight="1">
      <c r="C742" s="490" t="s">
        <v>1257</v>
      </c>
      <c r="D742" s="490" t="s">
        <v>1258</v>
      </c>
      <c r="P742" s="445"/>
    </row>
    <row r="743" spans="3:16" s="490" customFormat="1" ht="13.5" customHeight="1">
      <c r="C743" s="490" t="s">
        <v>1259</v>
      </c>
      <c r="D743" s="490" t="s">
        <v>1260</v>
      </c>
      <c r="P743" s="445"/>
    </row>
    <row r="744" spans="3:16" s="490" customFormat="1" ht="13.5" customHeight="1">
      <c r="C744" s="490" t="s">
        <v>1261</v>
      </c>
      <c r="D744" s="490" t="s">
        <v>1262</v>
      </c>
      <c r="P744" s="445"/>
    </row>
    <row r="745" spans="3:16" s="490" customFormat="1" ht="13.5" customHeight="1">
      <c r="C745" s="490" t="s">
        <v>1263</v>
      </c>
      <c r="D745" s="490" t="s">
        <v>1264</v>
      </c>
      <c r="P745" s="445"/>
    </row>
    <row r="746" spans="3:16" s="490" customFormat="1" ht="13.5" customHeight="1">
      <c r="C746" s="490" t="s">
        <v>1265</v>
      </c>
      <c r="D746" s="490" t="s">
        <v>1266</v>
      </c>
      <c r="P746" s="445"/>
    </row>
    <row r="747" spans="3:16" s="490" customFormat="1" ht="13.5" customHeight="1">
      <c r="C747" s="490" t="s">
        <v>1267</v>
      </c>
      <c r="D747" s="490" t="s">
        <v>1268</v>
      </c>
      <c r="P747" s="445"/>
    </row>
    <row r="748" spans="3:16" s="490" customFormat="1" ht="13.5" customHeight="1">
      <c r="C748" s="490" t="s">
        <v>1269</v>
      </c>
      <c r="D748" s="490" t="s">
        <v>1270</v>
      </c>
      <c r="P748" s="445"/>
    </row>
    <row r="749" spans="3:16" s="490" customFormat="1" ht="13.5" customHeight="1">
      <c r="C749" s="490" t="s">
        <v>1271</v>
      </c>
      <c r="D749" s="490" t="s">
        <v>1272</v>
      </c>
      <c r="P749" s="445"/>
    </row>
    <row r="750" spans="3:16" s="490" customFormat="1" ht="13.5" customHeight="1">
      <c r="C750" s="490" t="s">
        <v>1273</v>
      </c>
      <c r="D750" s="490" t="s">
        <v>1274</v>
      </c>
      <c r="P750" s="445"/>
    </row>
    <row r="751" spans="3:16" s="490" customFormat="1" ht="13.5" customHeight="1">
      <c r="C751" s="490" t="s">
        <v>1275</v>
      </c>
      <c r="D751" s="490" t="s">
        <v>1276</v>
      </c>
      <c r="P751" s="445"/>
    </row>
    <row r="752" spans="3:16" s="490" customFormat="1" ht="13.5" customHeight="1">
      <c r="C752" s="490" t="s">
        <v>1277</v>
      </c>
      <c r="D752" s="490" t="s">
        <v>1278</v>
      </c>
      <c r="P752" s="445"/>
    </row>
    <row r="753" spans="3:16" s="490" customFormat="1" ht="13.5" customHeight="1">
      <c r="C753" s="490" t="s">
        <v>1279</v>
      </c>
      <c r="D753" s="490" t="s">
        <v>1280</v>
      </c>
      <c r="P753" s="445"/>
    </row>
    <row r="754" spans="3:16" s="490" customFormat="1" ht="13.5" customHeight="1">
      <c r="C754" s="490" t="s">
        <v>1281</v>
      </c>
      <c r="D754" s="490" t="s">
        <v>1282</v>
      </c>
      <c r="P754" s="445"/>
    </row>
    <row r="755" spans="3:16" s="490" customFormat="1" ht="13.5" customHeight="1">
      <c r="C755" s="490" t="s">
        <v>1283</v>
      </c>
      <c r="D755" s="490" t="s">
        <v>1284</v>
      </c>
      <c r="P755" s="445"/>
    </row>
    <row r="756" spans="3:16" s="490" customFormat="1" ht="13.5" customHeight="1">
      <c r="C756" s="490" t="s">
        <v>1285</v>
      </c>
      <c r="D756" s="490" t="s">
        <v>1286</v>
      </c>
      <c r="P756" s="445"/>
    </row>
    <row r="757" spans="3:16" s="490" customFormat="1" ht="13.5" customHeight="1">
      <c r="C757" s="490" t="s">
        <v>1287</v>
      </c>
      <c r="D757" s="490" t="s">
        <v>1288</v>
      </c>
      <c r="P757" s="445"/>
    </row>
    <row r="758" spans="3:16" s="490" customFormat="1" ht="13.5" customHeight="1">
      <c r="C758" s="490" t="s">
        <v>1289</v>
      </c>
      <c r="D758" s="490" t="s">
        <v>1290</v>
      </c>
      <c r="P758" s="445"/>
    </row>
    <row r="759" spans="3:16" s="490" customFormat="1" ht="13.5" customHeight="1">
      <c r="C759" s="490" t="s">
        <v>1291</v>
      </c>
      <c r="D759" s="490" t="s">
        <v>1292</v>
      </c>
      <c r="P759" s="445"/>
    </row>
    <row r="760" spans="3:16" s="490" customFormat="1" ht="13.5" customHeight="1">
      <c r="C760" s="490" t="s">
        <v>1293</v>
      </c>
      <c r="D760" s="490" t="s">
        <v>1294</v>
      </c>
      <c r="P760" s="445"/>
    </row>
    <row r="761" spans="3:16" ht="13.5" customHeight="1">
      <c r="C761" s="421" t="s">
        <v>1295</v>
      </c>
      <c r="D761" s="421" t="s">
        <v>1296</v>
      </c>
      <c r="H761" s="421"/>
      <c r="I761" s="421"/>
      <c r="J761" s="421"/>
      <c r="K761" s="421"/>
      <c r="L761" s="421"/>
      <c r="M761" s="421"/>
      <c r="N761" s="421"/>
      <c r="O761" s="421"/>
    </row>
    <row r="762" spans="3:16" ht="13.5" customHeight="1">
      <c r="C762" s="421" t="s">
        <v>1297</v>
      </c>
      <c r="D762" s="421" t="s">
        <v>1298</v>
      </c>
      <c r="H762" s="421"/>
      <c r="I762" s="421"/>
      <c r="J762" s="421"/>
      <c r="K762" s="421"/>
      <c r="L762" s="421"/>
      <c r="M762" s="421"/>
      <c r="N762" s="421"/>
      <c r="O762" s="421"/>
    </row>
    <row r="763" spans="3:16" ht="13.5" customHeight="1">
      <c r="C763" s="421" t="s">
        <v>1299</v>
      </c>
      <c r="D763" s="421" t="s">
        <v>1300</v>
      </c>
      <c r="H763" s="421"/>
      <c r="I763" s="421"/>
      <c r="J763" s="421"/>
      <c r="K763" s="421"/>
      <c r="L763" s="421"/>
      <c r="M763" s="421"/>
      <c r="N763" s="421"/>
      <c r="O763" s="421"/>
    </row>
    <row r="764" spans="3:16" ht="13.5" customHeight="1">
      <c r="C764" s="421" t="s">
        <v>1301</v>
      </c>
      <c r="D764" s="421" t="s">
        <v>1302</v>
      </c>
      <c r="H764" s="421"/>
      <c r="I764" s="421"/>
      <c r="J764" s="421"/>
      <c r="K764" s="421"/>
      <c r="L764" s="421"/>
      <c r="M764" s="421"/>
      <c r="N764" s="421"/>
      <c r="O764" s="421"/>
    </row>
    <row r="765" spans="3:16" ht="13.5" customHeight="1">
      <c r="C765" s="421" t="s">
        <v>1303</v>
      </c>
      <c r="D765" s="421" t="s">
        <v>1304</v>
      </c>
      <c r="H765" s="421"/>
      <c r="I765" s="421"/>
      <c r="J765" s="421"/>
      <c r="K765" s="421"/>
      <c r="L765" s="421"/>
      <c r="M765" s="421"/>
      <c r="N765" s="421"/>
      <c r="O765" s="421"/>
    </row>
    <row r="766" spans="3:16" ht="13.5" customHeight="1">
      <c r="C766" s="421" t="s">
        <v>1305</v>
      </c>
      <c r="D766" s="421" t="s">
        <v>1306</v>
      </c>
      <c r="H766" s="421"/>
      <c r="I766" s="421"/>
      <c r="J766" s="421"/>
      <c r="K766" s="421"/>
      <c r="L766" s="421"/>
      <c r="M766" s="421"/>
      <c r="N766" s="421"/>
      <c r="O766" s="421"/>
    </row>
    <row r="767" spans="3:16" ht="13.5" customHeight="1">
      <c r="C767" s="421" t="s">
        <v>1307</v>
      </c>
      <c r="D767" s="421" t="s">
        <v>1308</v>
      </c>
      <c r="H767" s="421"/>
      <c r="I767" s="421"/>
      <c r="J767" s="421"/>
      <c r="K767" s="421"/>
      <c r="L767" s="421"/>
      <c r="M767" s="421"/>
      <c r="N767" s="421"/>
      <c r="O767" s="421"/>
    </row>
    <row r="768" spans="3:16" ht="13.5" customHeight="1">
      <c r="C768" s="421" t="s">
        <v>1309</v>
      </c>
      <c r="D768" s="421" t="s">
        <v>1310</v>
      </c>
      <c r="H768" s="421"/>
      <c r="I768" s="421"/>
      <c r="J768" s="421"/>
      <c r="K768" s="421"/>
      <c r="L768" s="421"/>
      <c r="M768" s="421"/>
      <c r="N768" s="421"/>
      <c r="O768" s="421"/>
    </row>
    <row r="769" spans="3:15" ht="13.5" customHeight="1">
      <c r="C769" s="421" t="s">
        <v>1311</v>
      </c>
      <c r="D769" s="421" t="s">
        <v>1312</v>
      </c>
      <c r="H769" s="421"/>
      <c r="I769" s="421"/>
      <c r="J769" s="421"/>
      <c r="K769" s="421"/>
      <c r="L769" s="421"/>
      <c r="M769" s="421"/>
      <c r="N769" s="421"/>
      <c r="O769" s="421"/>
    </row>
    <row r="770" spans="3:15" ht="13.5" customHeight="1">
      <c r="C770" s="421" t="s">
        <v>1313</v>
      </c>
      <c r="D770" s="421" t="s">
        <v>1314</v>
      </c>
      <c r="H770" s="421"/>
      <c r="I770" s="421"/>
      <c r="J770" s="421"/>
      <c r="K770" s="421"/>
      <c r="L770" s="421"/>
      <c r="M770" s="421"/>
      <c r="N770" s="421"/>
      <c r="O770" s="421"/>
    </row>
    <row r="771" spans="3:15" ht="13.5" customHeight="1">
      <c r="C771" s="421" t="s">
        <v>1315</v>
      </c>
      <c r="D771" s="421" t="s">
        <v>1316</v>
      </c>
      <c r="H771" s="421"/>
      <c r="I771" s="421"/>
      <c r="J771" s="421"/>
      <c r="K771" s="421"/>
      <c r="L771" s="421"/>
      <c r="M771" s="421"/>
      <c r="N771" s="421"/>
      <c r="O771" s="421"/>
    </row>
    <row r="772" spans="3:15" ht="13.5" customHeight="1">
      <c r="C772" s="421" t="s">
        <v>1317</v>
      </c>
      <c r="D772" s="421" t="s">
        <v>1318</v>
      </c>
      <c r="H772" s="421"/>
      <c r="I772" s="421"/>
      <c r="J772" s="421"/>
      <c r="K772" s="421"/>
      <c r="L772" s="421"/>
      <c r="M772" s="421"/>
      <c r="N772" s="421"/>
      <c r="O772" s="421"/>
    </row>
    <row r="773" spans="3:15" ht="13.5" customHeight="1">
      <c r="C773" s="421" t="s">
        <v>1319</v>
      </c>
      <c r="D773" s="421" t="s">
        <v>1320</v>
      </c>
      <c r="H773" s="421"/>
      <c r="I773" s="421"/>
      <c r="J773" s="421"/>
      <c r="K773" s="421"/>
      <c r="L773" s="421"/>
      <c r="M773" s="421"/>
      <c r="N773" s="421"/>
      <c r="O773" s="421"/>
    </row>
    <row r="774" spans="3:15" ht="13.5" customHeight="1">
      <c r="C774" s="421" t="s">
        <v>1321</v>
      </c>
      <c r="D774" s="421" t="s">
        <v>1322</v>
      </c>
      <c r="H774" s="421"/>
      <c r="I774" s="421"/>
      <c r="J774" s="421"/>
      <c r="K774" s="421"/>
      <c r="L774" s="421"/>
      <c r="M774" s="421"/>
      <c r="N774" s="421"/>
      <c r="O774" s="421"/>
    </row>
    <row r="775" spans="3:15" ht="13.5" customHeight="1">
      <c r="C775" s="421" t="s">
        <v>1323</v>
      </c>
      <c r="D775" s="421" t="s">
        <v>1324</v>
      </c>
      <c r="H775" s="421"/>
      <c r="I775" s="421"/>
      <c r="J775" s="421"/>
      <c r="K775" s="421"/>
      <c r="L775" s="421"/>
      <c r="M775" s="421"/>
      <c r="N775" s="421"/>
      <c r="O775" s="421"/>
    </row>
    <row r="776" spans="3:15" ht="13.5" customHeight="1">
      <c r="C776" s="421" t="s">
        <v>1325</v>
      </c>
      <c r="D776" s="421" t="s">
        <v>1326</v>
      </c>
      <c r="H776" s="421"/>
      <c r="I776" s="421"/>
      <c r="J776" s="421"/>
      <c r="K776" s="421"/>
      <c r="L776" s="421"/>
      <c r="M776" s="421"/>
      <c r="N776" s="421"/>
      <c r="O776" s="421"/>
    </row>
    <row r="777" spans="3:15" ht="13.5" customHeight="1">
      <c r="C777" s="421" t="s">
        <v>1327</v>
      </c>
      <c r="D777" s="421" t="s">
        <v>1328</v>
      </c>
      <c r="H777" s="421"/>
      <c r="I777" s="421"/>
      <c r="J777" s="421"/>
      <c r="K777" s="421"/>
      <c r="L777" s="421"/>
      <c r="M777" s="421"/>
      <c r="N777" s="421"/>
      <c r="O777" s="421"/>
    </row>
    <row r="778" spans="3:15" ht="13.5" customHeight="1">
      <c r="C778" s="421" t="s">
        <v>1329</v>
      </c>
      <c r="D778" s="421" t="s">
        <v>1330</v>
      </c>
      <c r="H778" s="421"/>
      <c r="I778" s="421"/>
      <c r="J778" s="421"/>
      <c r="K778" s="421"/>
      <c r="L778" s="421"/>
      <c r="M778" s="421"/>
      <c r="N778" s="421"/>
      <c r="O778" s="421"/>
    </row>
    <row r="779" spans="3:15" ht="13.5" customHeight="1">
      <c r="C779" s="421" t="s">
        <v>1331</v>
      </c>
      <c r="D779" s="421" t="s">
        <v>1332</v>
      </c>
      <c r="H779" s="421"/>
      <c r="I779" s="421"/>
      <c r="J779" s="421"/>
      <c r="K779" s="421"/>
      <c r="L779" s="421"/>
      <c r="M779" s="421"/>
      <c r="N779" s="421"/>
      <c r="O779" s="421"/>
    </row>
    <row r="780" spans="3:15" ht="13.5" customHeight="1">
      <c r="C780" s="421" t="s">
        <v>1333</v>
      </c>
      <c r="D780" s="421" t="s">
        <v>1334</v>
      </c>
      <c r="H780" s="421"/>
      <c r="I780" s="421"/>
      <c r="J780" s="421"/>
      <c r="K780" s="421"/>
      <c r="L780" s="421"/>
      <c r="M780" s="421"/>
      <c r="N780" s="421"/>
      <c r="O780" s="421"/>
    </row>
    <row r="781" spans="3:15" ht="13.5" customHeight="1">
      <c r="C781" s="421" t="s">
        <v>1335</v>
      </c>
      <c r="D781" s="421" t="s">
        <v>1336</v>
      </c>
      <c r="H781" s="421"/>
      <c r="I781" s="421"/>
      <c r="J781" s="421"/>
      <c r="K781" s="421"/>
      <c r="L781" s="421"/>
      <c r="M781" s="421"/>
      <c r="N781" s="421"/>
      <c r="O781" s="421"/>
    </row>
    <row r="782" spans="3:15" ht="13.5" customHeight="1">
      <c r="C782" s="421" t="s">
        <v>1337</v>
      </c>
      <c r="D782" s="421" t="s">
        <v>1338</v>
      </c>
      <c r="H782" s="421"/>
      <c r="I782" s="421"/>
      <c r="J782" s="421"/>
      <c r="K782" s="421"/>
      <c r="L782" s="421"/>
      <c r="M782" s="421"/>
      <c r="N782" s="421"/>
      <c r="O782" s="421"/>
    </row>
    <row r="783" spans="3:15" ht="13.5" customHeight="1">
      <c r="C783" s="421" t="s">
        <v>1339</v>
      </c>
      <c r="D783" s="421" t="s">
        <v>1340</v>
      </c>
      <c r="H783" s="421"/>
      <c r="I783" s="421"/>
      <c r="J783" s="421"/>
      <c r="K783" s="421"/>
      <c r="L783" s="421"/>
      <c r="M783" s="421"/>
      <c r="N783" s="421"/>
      <c r="O783" s="421"/>
    </row>
    <row r="784" spans="3:15" ht="13.5" customHeight="1">
      <c r="C784" s="421" t="s">
        <v>1341</v>
      </c>
      <c r="D784" s="421" t="s">
        <v>1342</v>
      </c>
      <c r="H784" s="421"/>
      <c r="I784" s="421"/>
      <c r="J784" s="421"/>
      <c r="K784" s="421"/>
      <c r="L784" s="421"/>
      <c r="M784" s="421"/>
      <c r="N784" s="421"/>
      <c r="O784" s="421"/>
    </row>
    <row r="785" spans="3:15" ht="13.5" customHeight="1">
      <c r="C785" s="421" t="s">
        <v>1343</v>
      </c>
      <c r="D785" s="421" t="s">
        <v>1344</v>
      </c>
      <c r="H785" s="421"/>
      <c r="I785" s="421"/>
      <c r="J785" s="421"/>
      <c r="K785" s="421"/>
      <c r="L785" s="421"/>
      <c r="M785" s="421"/>
      <c r="N785" s="421"/>
      <c r="O785" s="421"/>
    </row>
    <row r="786" spans="3:15" ht="13.5" customHeight="1">
      <c r="C786" s="421" t="s">
        <v>1345</v>
      </c>
      <c r="D786" s="421" t="s">
        <v>1346</v>
      </c>
      <c r="H786" s="421"/>
      <c r="I786" s="421"/>
      <c r="J786" s="421"/>
      <c r="K786" s="421"/>
      <c r="L786" s="421"/>
      <c r="M786" s="421"/>
      <c r="N786" s="421"/>
      <c r="O786" s="421"/>
    </row>
    <row r="787" spans="3:15" ht="13.5" customHeight="1">
      <c r="C787" s="421" t="s">
        <v>1347</v>
      </c>
      <c r="D787" s="421" t="s">
        <v>1348</v>
      </c>
      <c r="H787" s="421"/>
      <c r="I787" s="421"/>
      <c r="J787" s="421"/>
      <c r="K787" s="421"/>
      <c r="L787" s="421"/>
      <c r="M787" s="421"/>
      <c r="N787" s="421"/>
      <c r="O787" s="421"/>
    </row>
    <row r="788" spans="3:15" ht="13.5" customHeight="1">
      <c r="C788" s="421" t="s">
        <v>1349</v>
      </c>
      <c r="D788" s="421" t="s">
        <v>1350</v>
      </c>
      <c r="H788" s="421"/>
      <c r="I788" s="421"/>
      <c r="J788" s="421"/>
      <c r="K788" s="421"/>
      <c r="L788" s="421"/>
      <c r="M788" s="421"/>
      <c r="N788" s="421"/>
      <c r="O788" s="421"/>
    </row>
    <row r="789" spans="3:15" ht="13.5" customHeight="1">
      <c r="C789" s="421" t="s">
        <v>1351</v>
      </c>
      <c r="D789" s="421" t="s">
        <v>1352</v>
      </c>
      <c r="H789" s="421"/>
      <c r="I789" s="421"/>
      <c r="J789" s="421"/>
      <c r="K789" s="421"/>
      <c r="L789" s="421"/>
      <c r="M789" s="421"/>
      <c r="N789" s="421"/>
      <c r="O789" s="421"/>
    </row>
    <row r="790" spans="3:15" ht="13.5" customHeight="1">
      <c r="C790" s="421" t="s">
        <v>1353</v>
      </c>
      <c r="D790" s="421" t="s">
        <v>1354</v>
      </c>
      <c r="H790" s="421"/>
      <c r="I790" s="421"/>
      <c r="J790" s="421"/>
      <c r="K790" s="421"/>
      <c r="L790" s="421"/>
      <c r="M790" s="421"/>
      <c r="N790" s="421"/>
      <c r="O790" s="421"/>
    </row>
    <row r="791" spans="3:15" ht="13.5" customHeight="1">
      <c r="C791" s="421" t="s">
        <v>1355</v>
      </c>
      <c r="D791" s="421" t="s">
        <v>1356</v>
      </c>
      <c r="H791" s="421"/>
      <c r="I791" s="421"/>
      <c r="J791" s="421"/>
      <c r="K791" s="421"/>
      <c r="L791" s="421"/>
      <c r="M791" s="421"/>
      <c r="N791" s="421"/>
      <c r="O791" s="421"/>
    </row>
    <row r="792" spans="3:15" ht="13.5" customHeight="1">
      <c r="C792" s="421" t="s">
        <v>1357</v>
      </c>
      <c r="D792" s="421" t="s">
        <v>1358</v>
      </c>
      <c r="H792" s="421"/>
      <c r="I792" s="421"/>
      <c r="J792" s="421"/>
      <c r="K792" s="421"/>
      <c r="L792" s="421"/>
      <c r="M792" s="421"/>
      <c r="N792" s="421"/>
      <c r="O792" s="421"/>
    </row>
    <row r="793" spans="3:15" ht="13.5" customHeight="1">
      <c r="C793" s="421" t="s">
        <v>1359</v>
      </c>
      <c r="D793" s="421" t="s">
        <v>1360</v>
      </c>
      <c r="H793" s="421"/>
      <c r="I793" s="421"/>
      <c r="J793" s="421"/>
      <c r="K793" s="421"/>
      <c r="L793" s="421"/>
      <c r="M793" s="421"/>
      <c r="N793" s="421"/>
      <c r="O793" s="421"/>
    </row>
    <row r="794" spans="3:15" ht="13.5" customHeight="1">
      <c r="C794" s="421" t="s">
        <v>1361</v>
      </c>
      <c r="D794" s="421" t="s">
        <v>1362</v>
      </c>
      <c r="H794" s="421"/>
      <c r="I794" s="421"/>
      <c r="J794" s="421"/>
      <c r="K794" s="421"/>
      <c r="L794" s="421"/>
      <c r="M794" s="421"/>
      <c r="N794" s="421"/>
      <c r="O794" s="421"/>
    </row>
    <row r="795" spans="3:15" ht="13.5" customHeight="1">
      <c r="C795" s="421" t="s">
        <v>1363</v>
      </c>
      <c r="D795" s="421" t="s">
        <v>1364</v>
      </c>
      <c r="H795" s="421"/>
      <c r="I795" s="421"/>
      <c r="J795" s="421"/>
      <c r="K795" s="421"/>
      <c r="L795" s="421"/>
      <c r="M795" s="421"/>
      <c r="N795" s="421"/>
      <c r="O795" s="421"/>
    </row>
    <row r="796" spans="3:15" ht="13.5" customHeight="1">
      <c r="C796" s="421" t="s">
        <v>1365</v>
      </c>
      <c r="D796" s="421" t="s">
        <v>1366</v>
      </c>
      <c r="H796" s="421"/>
      <c r="I796" s="421"/>
      <c r="J796" s="421"/>
      <c r="K796" s="421"/>
      <c r="L796" s="421"/>
      <c r="M796" s="421"/>
      <c r="N796" s="421"/>
      <c r="O796" s="421"/>
    </row>
    <row r="797" spans="3:15" ht="13.5" customHeight="1">
      <c r="C797" s="421" t="s">
        <v>1367</v>
      </c>
      <c r="D797" s="421" t="s">
        <v>1368</v>
      </c>
      <c r="H797" s="421"/>
      <c r="I797" s="421"/>
      <c r="J797" s="421"/>
      <c r="K797" s="421"/>
      <c r="L797" s="421"/>
      <c r="M797" s="421"/>
      <c r="N797" s="421"/>
      <c r="O797" s="421"/>
    </row>
    <row r="798" spans="3:15" ht="13.5" customHeight="1">
      <c r="C798" s="421" t="s">
        <v>1369</v>
      </c>
      <c r="D798" s="421" t="s">
        <v>1370</v>
      </c>
      <c r="H798" s="421"/>
      <c r="I798" s="421"/>
      <c r="J798" s="421"/>
      <c r="K798" s="421"/>
      <c r="L798" s="421"/>
      <c r="M798" s="421"/>
      <c r="N798" s="421"/>
      <c r="O798" s="421"/>
    </row>
    <row r="799" spans="3:15" ht="13.5" customHeight="1">
      <c r="C799" s="421" t="s">
        <v>1371</v>
      </c>
      <c r="D799" s="421" t="s">
        <v>1372</v>
      </c>
      <c r="H799" s="421"/>
      <c r="I799" s="421"/>
      <c r="J799" s="421"/>
      <c r="K799" s="421"/>
      <c r="L799" s="421"/>
      <c r="M799" s="421"/>
      <c r="N799" s="421"/>
      <c r="O799" s="421"/>
    </row>
    <row r="800" spans="3:15" ht="13.5" customHeight="1">
      <c r="C800" s="421" t="s">
        <v>1373</v>
      </c>
      <c r="D800" s="421" t="s">
        <v>1374</v>
      </c>
      <c r="H800" s="421"/>
      <c r="I800" s="421"/>
      <c r="J800" s="421"/>
      <c r="K800" s="421"/>
      <c r="L800" s="421"/>
      <c r="M800" s="421"/>
      <c r="N800" s="421"/>
      <c r="O800" s="421"/>
    </row>
    <row r="801" spans="3:15" ht="13.5" customHeight="1">
      <c r="C801" s="421" t="s">
        <v>1375</v>
      </c>
      <c r="D801" s="421" t="s">
        <v>1376</v>
      </c>
      <c r="H801" s="421"/>
      <c r="I801" s="421"/>
      <c r="J801" s="421"/>
      <c r="K801" s="421"/>
      <c r="L801" s="421"/>
      <c r="M801" s="421"/>
      <c r="N801" s="421"/>
      <c r="O801" s="421"/>
    </row>
    <row r="802" spans="3:15" ht="13.5" customHeight="1">
      <c r="C802" s="421" t="s">
        <v>1377</v>
      </c>
      <c r="D802" s="421" t="s">
        <v>1378</v>
      </c>
      <c r="H802" s="421"/>
      <c r="I802" s="421"/>
      <c r="J802" s="421"/>
      <c r="K802" s="421"/>
      <c r="L802" s="421"/>
      <c r="M802" s="421"/>
      <c r="N802" s="421"/>
      <c r="O802" s="421"/>
    </row>
    <row r="803" spans="3:15" ht="13.5" customHeight="1">
      <c r="C803" s="421" t="s">
        <v>1379</v>
      </c>
      <c r="D803" s="421" t="s">
        <v>1380</v>
      </c>
      <c r="H803" s="421"/>
      <c r="I803" s="421"/>
      <c r="J803" s="421"/>
      <c r="K803" s="421"/>
      <c r="L803" s="421"/>
      <c r="M803" s="421"/>
      <c r="N803" s="421"/>
      <c r="O803" s="421"/>
    </row>
    <row r="804" spans="3:15" ht="13.5" customHeight="1">
      <c r="C804" s="421" t="s">
        <v>1381</v>
      </c>
      <c r="D804" s="421" t="s">
        <v>1382</v>
      </c>
      <c r="H804" s="421"/>
      <c r="I804" s="421"/>
      <c r="J804" s="421"/>
      <c r="K804" s="421"/>
      <c r="L804" s="421"/>
      <c r="M804" s="421"/>
      <c r="N804" s="421"/>
      <c r="O804" s="421"/>
    </row>
    <row r="805" spans="3:15" ht="13.5" customHeight="1">
      <c r="C805" s="421" t="s">
        <v>1383</v>
      </c>
      <c r="D805" s="421" t="s">
        <v>1384</v>
      </c>
      <c r="H805" s="421"/>
      <c r="I805" s="421"/>
      <c r="J805" s="421"/>
      <c r="K805" s="421"/>
      <c r="L805" s="421"/>
      <c r="M805" s="421"/>
      <c r="N805" s="421"/>
      <c r="O805" s="421"/>
    </row>
    <row r="806" spans="3:15" ht="13.5" customHeight="1">
      <c r="C806" s="421" t="s">
        <v>1385</v>
      </c>
      <c r="D806" s="421" t="s">
        <v>1386</v>
      </c>
      <c r="H806" s="421"/>
      <c r="I806" s="421"/>
      <c r="J806" s="421"/>
      <c r="K806" s="421"/>
      <c r="L806" s="421"/>
      <c r="M806" s="421"/>
      <c r="N806" s="421"/>
      <c r="O806" s="421"/>
    </row>
    <row r="807" spans="3:15" ht="13.5" customHeight="1">
      <c r="C807" s="421" t="s">
        <v>1387</v>
      </c>
      <c r="D807" s="421" t="s">
        <v>1388</v>
      </c>
      <c r="H807" s="421"/>
      <c r="I807" s="421"/>
      <c r="J807" s="421"/>
      <c r="K807" s="421"/>
      <c r="L807" s="421"/>
      <c r="M807" s="421"/>
      <c r="N807" s="421"/>
      <c r="O807" s="421"/>
    </row>
    <row r="808" spans="3:15" ht="13.5" customHeight="1">
      <c r="C808" s="421" t="s">
        <v>1389</v>
      </c>
      <c r="D808" s="421" t="s">
        <v>1390</v>
      </c>
      <c r="H808" s="421"/>
      <c r="I808" s="421"/>
      <c r="J808" s="421"/>
      <c r="K808" s="421"/>
      <c r="L808" s="421"/>
      <c r="M808" s="421"/>
      <c r="N808" s="421"/>
      <c r="O808" s="421"/>
    </row>
    <row r="809" spans="3:15" ht="13.5" customHeight="1">
      <c r="C809" s="421" t="s">
        <v>1391</v>
      </c>
      <c r="D809" s="421" t="s">
        <v>1392</v>
      </c>
      <c r="H809" s="421"/>
      <c r="I809" s="421"/>
      <c r="J809" s="421"/>
      <c r="K809" s="421"/>
      <c r="L809" s="421"/>
      <c r="M809" s="421"/>
      <c r="N809" s="421"/>
      <c r="O809" s="421"/>
    </row>
    <row r="810" spans="3:15" ht="13.5" customHeight="1">
      <c r="C810" s="421" t="s">
        <v>1393</v>
      </c>
      <c r="D810" s="421" t="s">
        <v>1394</v>
      </c>
      <c r="H810" s="421"/>
      <c r="I810" s="421"/>
      <c r="J810" s="421"/>
      <c r="K810" s="421"/>
      <c r="L810" s="421"/>
      <c r="M810" s="421"/>
      <c r="N810" s="421"/>
      <c r="O810" s="421"/>
    </row>
    <row r="811" spans="3:15" ht="13.5" customHeight="1">
      <c r="C811" s="421" t="s">
        <v>1395</v>
      </c>
      <c r="D811" s="421" t="s">
        <v>1396</v>
      </c>
      <c r="H811" s="421"/>
      <c r="I811" s="421"/>
      <c r="J811" s="421"/>
      <c r="K811" s="421"/>
      <c r="L811" s="421"/>
      <c r="M811" s="421"/>
      <c r="N811" s="421"/>
      <c r="O811" s="421"/>
    </row>
    <row r="812" spans="3:15" ht="13.5" customHeight="1">
      <c r="C812" s="421" t="s">
        <v>1397</v>
      </c>
      <c r="D812" s="421" t="s">
        <v>1398</v>
      </c>
      <c r="H812" s="421"/>
      <c r="I812" s="421"/>
      <c r="J812" s="421"/>
      <c r="K812" s="421"/>
      <c r="L812" s="421"/>
      <c r="M812" s="421"/>
      <c r="N812" s="421"/>
      <c r="O812" s="421"/>
    </row>
    <row r="813" spans="3:15" ht="13.5" customHeight="1">
      <c r="C813" s="421" t="s">
        <v>1399</v>
      </c>
      <c r="D813" s="421" t="s">
        <v>1400</v>
      </c>
      <c r="H813" s="421"/>
      <c r="I813" s="421"/>
      <c r="J813" s="421"/>
      <c r="K813" s="421"/>
      <c r="L813" s="421"/>
      <c r="M813" s="421"/>
      <c r="N813" s="421"/>
      <c r="O813" s="421"/>
    </row>
    <row r="814" spans="3:15" ht="13.5" customHeight="1">
      <c r="C814" s="421" t="s">
        <v>1401</v>
      </c>
      <c r="D814" s="421" t="s">
        <v>1402</v>
      </c>
      <c r="H814" s="421"/>
      <c r="I814" s="421"/>
      <c r="J814" s="421"/>
      <c r="K814" s="421"/>
      <c r="L814" s="421"/>
      <c r="M814" s="421"/>
      <c r="N814" s="421"/>
      <c r="O814" s="421"/>
    </row>
    <row r="815" spans="3:15" ht="13.5" customHeight="1">
      <c r="C815" s="421" t="s">
        <v>1403</v>
      </c>
      <c r="D815" s="421" t="s">
        <v>1404</v>
      </c>
      <c r="H815" s="421"/>
      <c r="I815" s="421"/>
      <c r="J815" s="421"/>
      <c r="K815" s="421"/>
      <c r="L815" s="421"/>
      <c r="M815" s="421"/>
      <c r="N815" s="421"/>
      <c r="O815" s="421"/>
    </row>
    <row r="816" spans="3:15" ht="13.5" customHeight="1">
      <c r="C816" s="421" t="s">
        <v>1405</v>
      </c>
      <c r="D816" s="421" t="s">
        <v>1406</v>
      </c>
      <c r="H816" s="421"/>
      <c r="I816" s="421"/>
      <c r="J816" s="421"/>
      <c r="K816" s="421"/>
      <c r="L816" s="421"/>
      <c r="M816" s="421"/>
      <c r="N816" s="421"/>
      <c r="O816" s="421"/>
    </row>
    <row r="817" spans="3:15" ht="13.5" customHeight="1">
      <c r="C817" s="421" t="s">
        <v>1407</v>
      </c>
      <c r="D817" s="421" t="s">
        <v>1408</v>
      </c>
      <c r="H817" s="421"/>
      <c r="I817" s="421"/>
      <c r="J817" s="421"/>
      <c r="K817" s="421"/>
      <c r="L817" s="421"/>
      <c r="M817" s="421"/>
      <c r="N817" s="421"/>
      <c r="O817" s="421"/>
    </row>
    <row r="818" spans="3:15" ht="13.5" customHeight="1">
      <c r="C818" s="421" t="s">
        <v>1409</v>
      </c>
      <c r="D818" s="421" t="s">
        <v>1410</v>
      </c>
      <c r="H818" s="421"/>
      <c r="I818" s="421"/>
      <c r="J818" s="421"/>
      <c r="K818" s="421"/>
      <c r="L818" s="421"/>
      <c r="M818" s="421"/>
      <c r="N818" s="421"/>
      <c r="O818" s="421"/>
    </row>
    <row r="819" spans="3:15" ht="13.5" customHeight="1">
      <c r="C819" s="421" t="s">
        <v>1411</v>
      </c>
      <c r="D819" s="421" t="s">
        <v>1412</v>
      </c>
      <c r="H819" s="421"/>
      <c r="I819" s="421"/>
      <c r="J819" s="421"/>
      <c r="K819" s="421"/>
      <c r="L819" s="421"/>
      <c r="M819" s="421"/>
      <c r="N819" s="421"/>
      <c r="O819" s="421"/>
    </row>
    <row r="820" spans="3:15" ht="13.5" customHeight="1">
      <c r="C820" s="421" t="s">
        <v>1413</v>
      </c>
      <c r="D820" s="421" t="s">
        <v>1414</v>
      </c>
      <c r="H820" s="421"/>
      <c r="I820" s="421"/>
      <c r="J820" s="421"/>
      <c r="K820" s="421"/>
      <c r="L820" s="421"/>
      <c r="M820" s="421"/>
      <c r="N820" s="421"/>
      <c r="O820" s="421"/>
    </row>
    <row r="821" spans="3:15" ht="13.5" customHeight="1">
      <c r="C821" s="421" t="s">
        <v>1415</v>
      </c>
      <c r="D821" s="421" t="s">
        <v>1416</v>
      </c>
      <c r="H821" s="421"/>
      <c r="I821" s="421"/>
      <c r="J821" s="421"/>
      <c r="K821" s="421"/>
      <c r="L821" s="421"/>
      <c r="M821" s="421"/>
      <c r="N821" s="421"/>
      <c r="O821" s="421"/>
    </row>
    <row r="822" spans="3:15" ht="13.5" customHeight="1">
      <c r="C822" s="421" t="s">
        <v>1417</v>
      </c>
      <c r="D822" s="421" t="s">
        <v>1418</v>
      </c>
      <c r="H822" s="421"/>
      <c r="I822" s="421"/>
      <c r="J822" s="421"/>
      <c r="K822" s="421"/>
      <c r="L822" s="421"/>
      <c r="M822" s="421"/>
      <c r="N822" s="421"/>
      <c r="O822" s="421"/>
    </row>
    <row r="823" spans="3:15" ht="13.5" customHeight="1">
      <c r="C823" s="421" t="s">
        <v>1419</v>
      </c>
      <c r="D823" s="421" t="s">
        <v>1420</v>
      </c>
      <c r="H823" s="421"/>
      <c r="I823" s="421"/>
      <c r="J823" s="421"/>
      <c r="K823" s="421"/>
      <c r="L823" s="421"/>
      <c r="M823" s="421"/>
      <c r="N823" s="421"/>
      <c r="O823" s="421"/>
    </row>
    <row r="824" spans="3:15" ht="13.5" customHeight="1">
      <c r="C824" s="421" t="s">
        <v>1421</v>
      </c>
      <c r="D824" s="421" t="s">
        <v>1422</v>
      </c>
      <c r="H824" s="421"/>
      <c r="I824" s="421"/>
      <c r="J824" s="421"/>
      <c r="K824" s="421"/>
      <c r="L824" s="421"/>
      <c r="M824" s="421"/>
      <c r="N824" s="421"/>
      <c r="O824" s="421"/>
    </row>
    <row r="825" spans="3:15" ht="13.5" customHeight="1">
      <c r="C825" s="421" t="s">
        <v>1423</v>
      </c>
      <c r="D825" s="421" t="s">
        <v>1424</v>
      </c>
      <c r="H825" s="421"/>
      <c r="I825" s="421"/>
      <c r="J825" s="421"/>
      <c r="K825" s="421"/>
      <c r="L825" s="421"/>
      <c r="M825" s="421"/>
      <c r="N825" s="421"/>
      <c r="O825" s="421"/>
    </row>
    <row r="826" spans="3:15" ht="13.5" customHeight="1">
      <c r="C826" s="421" t="s">
        <v>1425</v>
      </c>
      <c r="D826" s="421" t="s">
        <v>1426</v>
      </c>
      <c r="H826" s="421"/>
      <c r="I826" s="421"/>
      <c r="J826" s="421"/>
      <c r="K826" s="421"/>
      <c r="L826" s="421"/>
      <c r="M826" s="421"/>
      <c r="N826" s="421"/>
      <c r="O826" s="421"/>
    </row>
    <row r="827" spans="3:15" ht="13.5" customHeight="1">
      <c r="C827" s="421" t="s">
        <v>1427</v>
      </c>
      <c r="D827" s="421" t="s">
        <v>1428</v>
      </c>
      <c r="H827" s="421"/>
      <c r="I827" s="421"/>
      <c r="J827" s="421"/>
      <c r="K827" s="421"/>
      <c r="L827" s="421"/>
      <c r="M827" s="421"/>
      <c r="N827" s="421"/>
      <c r="O827" s="421"/>
    </row>
    <row r="828" spans="3:15" ht="13.5" customHeight="1">
      <c r="C828" s="421" t="s">
        <v>1429</v>
      </c>
      <c r="D828" s="421" t="s">
        <v>1430</v>
      </c>
      <c r="H828" s="421"/>
      <c r="I828" s="421"/>
      <c r="J828" s="421"/>
      <c r="K828" s="421"/>
      <c r="L828" s="421"/>
      <c r="M828" s="421"/>
      <c r="N828" s="421"/>
      <c r="O828" s="421"/>
    </row>
    <row r="829" spans="3:15" ht="13.5" customHeight="1">
      <c r="C829" s="421" t="s">
        <v>1431</v>
      </c>
      <c r="D829" s="421" t="s">
        <v>1432</v>
      </c>
      <c r="H829" s="421"/>
      <c r="I829" s="421"/>
      <c r="J829" s="421"/>
      <c r="K829" s="421"/>
      <c r="L829" s="421"/>
      <c r="M829" s="421"/>
      <c r="N829" s="421"/>
      <c r="O829" s="421"/>
    </row>
    <row r="830" spans="3:15" ht="13.5" customHeight="1">
      <c r="C830" s="421" t="s">
        <v>1433</v>
      </c>
      <c r="D830" s="421" t="s">
        <v>1434</v>
      </c>
      <c r="H830" s="421"/>
      <c r="I830" s="421"/>
      <c r="J830" s="421"/>
      <c r="K830" s="421"/>
      <c r="L830" s="421"/>
      <c r="M830" s="421"/>
      <c r="N830" s="421"/>
      <c r="O830" s="421"/>
    </row>
    <row r="831" spans="3:15" ht="13.5" customHeight="1">
      <c r="C831" s="421" t="s">
        <v>1435</v>
      </c>
      <c r="D831" s="421" t="s">
        <v>1436</v>
      </c>
      <c r="H831" s="421"/>
      <c r="I831" s="421"/>
      <c r="J831" s="421"/>
      <c r="K831" s="421"/>
      <c r="L831" s="421"/>
      <c r="M831" s="421"/>
      <c r="N831" s="421"/>
      <c r="O831" s="421"/>
    </row>
    <row r="832" spans="3:15" ht="13.5" customHeight="1">
      <c r="C832" s="421" t="s">
        <v>1437</v>
      </c>
      <c r="D832" s="421" t="s">
        <v>1438</v>
      </c>
      <c r="H832" s="421"/>
      <c r="I832" s="421"/>
      <c r="J832" s="421"/>
      <c r="K832" s="421"/>
      <c r="L832" s="421"/>
      <c r="M832" s="421"/>
      <c r="N832" s="421"/>
      <c r="O832" s="421"/>
    </row>
    <row r="833" spans="2:15" ht="13.5" customHeight="1">
      <c r="B833" s="421" t="s">
        <v>1439</v>
      </c>
      <c r="C833" s="421" t="s">
        <v>347</v>
      </c>
      <c r="D833" s="421" t="s">
        <v>1440</v>
      </c>
      <c r="H833" s="421"/>
      <c r="I833" s="421"/>
      <c r="J833" s="421"/>
      <c r="K833" s="421"/>
      <c r="L833" s="421"/>
      <c r="M833" s="421"/>
      <c r="N833" s="421"/>
      <c r="O833" s="421"/>
    </row>
    <row r="834" spans="2:15" ht="13.5" customHeight="1">
      <c r="B834" s="421" t="s">
        <v>1439</v>
      </c>
      <c r="C834" s="421" t="s">
        <v>355</v>
      </c>
      <c r="D834" s="421" t="s">
        <v>1441</v>
      </c>
      <c r="H834" s="421"/>
      <c r="I834" s="421"/>
      <c r="J834" s="421"/>
      <c r="K834" s="421"/>
      <c r="L834" s="421"/>
      <c r="M834" s="421"/>
      <c r="N834" s="421"/>
      <c r="O834" s="421"/>
    </row>
    <row r="835" spans="2:15" ht="13.5" customHeight="1">
      <c r="C835" s="421" t="s">
        <v>1442</v>
      </c>
      <c r="D835" s="421" t="s">
        <v>1443</v>
      </c>
      <c r="H835" s="421"/>
      <c r="I835" s="421"/>
      <c r="J835" s="421"/>
      <c r="K835" s="421"/>
      <c r="L835" s="421"/>
      <c r="M835" s="421"/>
      <c r="N835" s="421"/>
      <c r="O835" s="421"/>
    </row>
    <row r="836" spans="2:15" ht="13.5" customHeight="1">
      <c r="C836" s="421" t="s">
        <v>1444</v>
      </c>
      <c r="D836" s="421" t="s">
        <v>1445</v>
      </c>
      <c r="H836" s="421"/>
      <c r="I836" s="421"/>
      <c r="J836" s="421"/>
      <c r="K836" s="421"/>
      <c r="L836" s="421"/>
      <c r="M836" s="421"/>
      <c r="N836" s="421"/>
      <c r="O836" s="421"/>
    </row>
    <row r="837" spans="2:15" ht="13.5" customHeight="1">
      <c r="C837" s="421" t="s">
        <v>1446</v>
      </c>
      <c r="D837" s="421" t="s">
        <v>1447</v>
      </c>
      <c r="H837" s="421"/>
      <c r="I837" s="421"/>
      <c r="J837" s="421"/>
      <c r="K837" s="421"/>
      <c r="L837" s="421"/>
      <c r="M837" s="421"/>
      <c r="N837" s="421"/>
      <c r="O837" s="421"/>
    </row>
    <row r="838" spans="2:15" ht="13.5" customHeight="1">
      <c r="C838" s="421" t="s">
        <v>1448</v>
      </c>
      <c r="D838" s="421" t="s">
        <v>1449</v>
      </c>
      <c r="H838" s="421"/>
      <c r="I838" s="421"/>
      <c r="J838" s="421"/>
      <c r="K838" s="421"/>
      <c r="L838" s="421"/>
      <c r="M838" s="421"/>
      <c r="N838" s="421"/>
      <c r="O838" s="421"/>
    </row>
    <row r="839" spans="2:15" ht="13.5" customHeight="1">
      <c r="C839" s="421" t="s">
        <v>1450</v>
      </c>
      <c r="D839" s="421" t="s">
        <v>1451</v>
      </c>
      <c r="H839" s="421"/>
      <c r="I839" s="421"/>
      <c r="J839" s="421"/>
      <c r="K839" s="421"/>
      <c r="L839" s="421"/>
      <c r="M839" s="421"/>
      <c r="N839" s="421"/>
      <c r="O839" s="421"/>
    </row>
    <row r="840" spans="2:15" ht="13.5" customHeight="1">
      <c r="C840" s="421" t="s">
        <v>1452</v>
      </c>
      <c r="D840" s="421" t="s">
        <v>1453</v>
      </c>
      <c r="H840" s="421"/>
      <c r="I840" s="421"/>
      <c r="J840" s="421"/>
      <c r="K840" s="421"/>
      <c r="L840" s="421"/>
      <c r="M840" s="421"/>
      <c r="N840" s="421"/>
      <c r="O840" s="421"/>
    </row>
    <row r="841" spans="2:15" ht="13.5" customHeight="1">
      <c r="C841" s="421" t="s">
        <v>1454</v>
      </c>
      <c r="D841" s="421" t="s">
        <v>1455</v>
      </c>
      <c r="H841" s="421"/>
      <c r="I841" s="421"/>
      <c r="J841" s="421"/>
      <c r="K841" s="421"/>
      <c r="L841" s="421"/>
      <c r="M841" s="421"/>
      <c r="N841" s="421"/>
      <c r="O841" s="421"/>
    </row>
    <row r="842" spans="2:15" ht="13.5" customHeight="1">
      <c r="C842" s="421" t="s">
        <v>1456</v>
      </c>
      <c r="D842" s="421" t="s">
        <v>1457</v>
      </c>
      <c r="H842" s="421"/>
      <c r="I842" s="421"/>
      <c r="J842" s="421"/>
      <c r="K842" s="421"/>
      <c r="L842" s="421"/>
      <c r="M842" s="421"/>
      <c r="N842" s="421"/>
      <c r="O842" s="421"/>
    </row>
    <row r="843" spans="2:15" ht="13.5" customHeight="1">
      <c r="C843" s="421" t="s">
        <v>1458</v>
      </c>
      <c r="D843" s="421" t="s">
        <v>1459</v>
      </c>
      <c r="H843" s="421"/>
      <c r="I843" s="421"/>
      <c r="J843" s="421"/>
      <c r="K843" s="421"/>
      <c r="L843" s="421"/>
      <c r="M843" s="421"/>
      <c r="N843" s="421"/>
      <c r="O843" s="421"/>
    </row>
    <row r="844" spans="2:15" ht="13.5" customHeight="1">
      <c r="C844" s="421" t="s">
        <v>1460</v>
      </c>
      <c r="D844" s="421" t="s">
        <v>1461</v>
      </c>
      <c r="H844" s="421"/>
      <c r="I844" s="421"/>
      <c r="J844" s="421"/>
      <c r="K844" s="421"/>
      <c r="L844" s="421"/>
      <c r="M844" s="421"/>
      <c r="N844" s="421"/>
      <c r="O844" s="421"/>
    </row>
    <row r="845" spans="2:15" ht="13.5" customHeight="1">
      <c r="C845" s="421" t="s">
        <v>1462</v>
      </c>
      <c r="D845" s="421" t="s">
        <v>1463</v>
      </c>
      <c r="H845" s="421"/>
      <c r="I845" s="421"/>
      <c r="J845" s="421"/>
      <c r="K845" s="421"/>
      <c r="L845" s="421"/>
      <c r="M845" s="421"/>
      <c r="N845" s="421"/>
      <c r="O845" s="421"/>
    </row>
    <row r="846" spans="2:15" ht="13.5" customHeight="1">
      <c r="C846" s="421" t="s">
        <v>1464</v>
      </c>
      <c r="D846" s="421" t="s">
        <v>1465</v>
      </c>
      <c r="H846" s="421"/>
      <c r="I846" s="421"/>
      <c r="J846" s="421"/>
      <c r="K846" s="421"/>
      <c r="L846" s="421"/>
      <c r="M846" s="421"/>
      <c r="N846" s="421"/>
      <c r="O846" s="421"/>
    </row>
    <row r="847" spans="2:15" ht="13.5" customHeight="1">
      <c r="C847" s="421" t="s">
        <v>1466</v>
      </c>
      <c r="D847" s="421" t="s">
        <v>1467</v>
      </c>
      <c r="H847" s="421"/>
      <c r="I847" s="421"/>
      <c r="J847" s="421"/>
      <c r="K847" s="421"/>
      <c r="L847" s="421"/>
      <c r="M847" s="421"/>
      <c r="N847" s="421"/>
      <c r="O847" s="421"/>
    </row>
    <row r="848" spans="2:15" ht="13.5" customHeight="1">
      <c r="C848" s="421" t="s">
        <v>1468</v>
      </c>
      <c r="D848" s="421" t="s">
        <v>1469</v>
      </c>
      <c r="H848" s="421"/>
      <c r="I848" s="421"/>
      <c r="J848" s="421"/>
      <c r="K848" s="421"/>
      <c r="L848" s="421"/>
      <c r="M848" s="421"/>
      <c r="N848" s="421"/>
      <c r="O848" s="421"/>
    </row>
    <row r="849" spans="3:15" ht="13.5" customHeight="1">
      <c r="C849" s="421" t="s">
        <v>1470</v>
      </c>
      <c r="D849" s="421" t="s">
        <v>1471</v>
      </c>
      <c r="H849" s="421"/>
      <c r="I849" s="421"/>
      <c r="J849" s="421"/>
      <c r="K849" s="421"/>
      <c r="L849" s="421"/>
      <c r="M849" s="421"/>
      <c r="N849" s="421"/>
      <c r="O849" s="421"/>
    </row>
    <row r="850" spans="3:15" ht="13.5" customHeight="1">
      <c r="C850" s="421" t="s">
        <v>1472</v>
      </c>
      <c r="D850" s="421" t="s">
        <v>1473</v>
      </c>
      <c r="H850" s="421"/>
      <c r="I850" s="421"/>
      <c r="J850" s="421"/>
      <c r="K850" s="421"/>
      <c r="L850" s="421"/>
      <c r="M850" s="421"/>
      <c r="N850" s="421"/>
      <c r="O850" s="421"/>
    </row>
    <row r="851" spans="3:15" ht="13.5" customHeight="1">
      <c r="C851" s="421" t="s">
        <v>1474</v>
      </c>
      <c r="D851" s="421" t="s">
        <v>1475</v>
      </c>
      <c r="H851" s="421"/>
      <c r="I851" s="421"/>
      <c r="J851" s="421"/>
      <c r="K851" s="421"/>
      <c r="L851" s="421"/>
      <c r="M851" s="421"/>
      <c r="N851" s="421"/>
      <c r="O851" s="421"/>
    </row>
    <row r="852" spans="3:15" ht="13.5" customHeight="1">
      <c r="C852" s="421" t="s">
        <v>1476</v>
      </c>
      <c r="D852" s="421" t="s">
        <v>1477</v>
      </c>
      <c r="H852" s="421"/>
      <c r="I852" s="421"/>
      <c r="J852" s="421"/>
      <c r="K852" s="421"/>
      <c r="L852" s="421"/>
      <c r="M852" s="421"/>
      <c r="N852" s="421"/>
      <c r="O852" s="421"/>
    </row>
    <row r="853" spans="3:15" ht="13.5" customHeight="1">
      <c r="C853" s="421" t="s">
        <v>1478</v>
      </c>
      <c r="D853" s="421" t="s">
        <v>1479</v>
      </c>
      <c r="H853" s="421"/>
      <c r="I853" s="421"/>
      <c r="J853" s="421"/>
      <c r="K853" s="421"/>
      <c r="L853" s="421"/>
      <c r="M853" s="421"/>
      <c r="N853" s="421"/>
      <c r="O853" s="421"/>
    </row>
    <row r="854" spans="3:15" ht="13.5" customHeight="1">
      <c r="C854" s="421" t="s">
        <v>1480</v>
      </c>
      <c r="D854" s="421" t="s">
        <v>1481</v>
      </c>
      <c r="H854" s="421"/>
      <c r="I854" s="421"/>
      <c r="J854" s="421"/>
      <c r="K854" s="421"/>
      <c r="L854" s="421"/>
      <c r="M854" s="421"/>
      <c r="N854" s="421"/>
      <c r="O854" s="421"/>
    </row>
    <row r="855" spans="3:15" ht="13.5" customHeight="1">
      <c r="C855" s="421" t="s">
        <v>1482</v>
      </c>
      <c r="D855" s="421" t="s">
        <v>1483</v>
      </c>
      <c r="H855" s="421"/>
      <c r="I855" s="421"/>
      <c r="J855" s="421"/>
      <c r="K855" s="421"/>
      <c r="L855" s="421"/>
      <c r="M855" s="421"/>
      <c r="N855" s="421"/>
      <c r="O855" s="421"/>
    </row>
    <row r="856" spans="3:15" ht="13.5" customHeight="1">
      <c r="C856" s="421" t="s">
        <v>1484</v>
      </c>
      <c r="D856" s="421" t="s">
        <v>1485</v>
      </c>
      <c r="H856" s="421"/>
      <c r="I856" s="421"/>
      <c r="J856" s="421"/>
      <c r="K856" s="421"/>
      <c r="L856" s="421"/>
      <c r="M856" s="421"/>
      <c r="N856" s="421"/>
      <c r="O856" s="421"/>
    </row>
    <row r="857" spans="3:15" ht="13.5" customHeight="1">
      <c r="C857" s="421" t="s">
        <v>1486</v>
      </c>
      <c r="D857" s="421" t="s">
        <v>1487</v>
      </c>
      <c r="H857" s="421"/>
      <c r="I857" s="421"/>
      <c r="J857" s="421"/>
      <c r="K857" s="421"/>
      <c r="L857" s="421"/>
      <c r="M857" s="421"/>
      <c r="N857" s="421"/>
      <c r="O857" s="421"/>
    </row>
    <row r="858" spans="3:15" ht="13.5" customHeight="1">
      <c r="C858" s="421" t="s">
        <v>1488</v>
      </c>
      <c r="D858" s="421" t="s">
        <v>1489</v>
      </c>
      <c r="H858" s="421"/>
      <c r="I858" s="421"/>
      <c r="J858" s="421"/>
      <c r="K858" s="421"/>
      <c r="L858" s="421"/>
      <c r="M858" s="421"/>
      <c r="N858" s="421"/>
      <c r="O858" s="421"/>
    </row>
    <row r="859" spans="3:15" ht="13.5" customHeight="1">
      <c r="C859" s="421" t="s">
        <v>1490</v>
      </c>
      <c r="D859" s="421" t="s">
        <v>1491</v>
      </c>
      <c r="H859" s="421"/>
      <c r="I859" s="421"/>
      <c r="J859" s="421"/>
      <c r="K859" s="421"/>
      <c r="L859" s="421"/>
      <c r="M859" s="421"/>
      <c r="N859" s="421"/>
      <c r="O859" s="421"/>
    </row>
    <row r="860" spans="3:15" ht="13.5" customHeight="1">
      <c r="C860" s="421" t="s">
        <v>1492</v>
      </c>
      <c r="D860" s="421" t="s">
        <v>1493</v>
      </c>
      <c r="H860" s="421"/>
      <c r="I860" s="421"/>
      <c r="J860" s="421"/>
      <c r="K860" s="421"/>
      <c r="L860" s="421"/>
      <c r="M860" s="421"/>
      <c r="N860" s="421"/>
      <c r="O860" s="421"/>
    </row>
    <row r="861" spans="3:15" ht="13.5" customHeight="1">
      <c r="C861" s="421" t="s">
        <v>1494</v>
      </c>
      <c r="D861" s="421" t="s">
        <v>1495</v>
      </c>
      <c r="H861" s="421"/>
      <c r="I861" s="421"/>
      <c r="J861" s="421"/>
      <c r="K861" s="421"/>
      <c r="L861" s="421"/>
      <c r="M861" s="421"/>
      <c r="N861" s="421"/>
      <c r="O861" s="421"/>
    </row>
    <row r="862" spans="3:15" ht="13.5" customHeight="1">
      <c r="C862" s="421" t="s">
        <v>1496</v>
      </c>
      <c r="D862" s="421" t="s">
        <v>1497</v>
      </c>
      <c r="H862" s="421"/>
      <c r="I862" s="421"/>
      <c r="J862" s="421"/>
      <c r="K862" s="421"/>
      <c r="L862" s="421"/>
      <c r="M862" s="421"/>
      <c r="N862" s="421"/>
      <c r="O862" s="421"/>
    </row>
    <row r="863" spans="3:15" ht="13.5" customHeight="1">
      <c r="C863" s="421" t="s">
        <v>1498</v>
      </c>
      <c r="D863" s="421" t="s">
        <v>1499</v>
      </c>
      <c r="H863" s="421"/>
      <c r="I863" s="421"/>
      <c r="J863" s="421"/>
      <c r="K863" s="421"/>
      <c r="L863" s="421"/>
      <c r="M863" s="421"/>
      <c r="N863" s="421"/>
      <c r="O863" s="421"/>
    </row>
    <row r="864" spans="3:15" ht="13.5" customHeight="1">
      <c r="C864" s="421" t="s">
        <v>1500</v>
      </c>
      <c r="D864" s="421" t="s">
        <v>1501</v>
      </c>
      <c r="H864" s="421"/>
      <c r="I864" s="421"/>
      <c r="J864" s="421"/>
      <c r="K864" s="421"/>
      <c r="L864" s="421"/>
      <c r="M864" s="421"/>
      <c r="N864" s="421"/>
      <c r="O864" s="421"/>
    </row>
    <row r="865" spans="3:15" ht="13.5" customHeight="1">
      <c r="C865" s="421" t="s">
        <v>1502</v>
      </c>
      <c r="D865" s="421" t="s">
        <v>1503</v>
      </c>
      <c r="H865" s="421"/>
      <c r="I865" s="421"/>
      <c r="J865" s="421"/>
      <c r="K865" s="421"/>
      <c r="L865" s="421"/>
      <c r="M865" s="421"/>
      <c r="N865" s="421"/>
      <c r="O865" s="421"/>
    </row>
    <row r="866" spans="3:15" ht="13.5" customHeight="1">
      <c r="C866" s="421" t="s">
        <v>1504</v>
      </c>
      <c r="D866" s="421" t="s">
        <v>1505</v>
      </c>
      <c r="H866" s="421"/>
      <c r="I866" s="421"/>
      <c r="J866" s="421"/>
      <c r="K866" s="421"/>
      <c r="L866" s="421"/>
      <c r="M866" s="421"/>
      <c r="N866" s="421"/>
      <c r="O866" s="421"/>
    </row>
    <row r="867" spans="3:15" ht="13.5" customHeight="1">
      <c r="C867" s="421" t="s">
        <v>1506</v>
      </c>
      <c r="D867" s="421" t="s">
        <v>1507</v>
      </c>
      <c r="H867" s="421"/>
      <c r="I867" s="421"/>
      <c r="J867" s="421"/>
      <c r="K867" s="421"/>
      <c r="L867" s="421"/>
      <c r="M867" s="421"/>
      <c r="N867" s="421"/>
      <c r="O867" s="421"/>
    </row>
    <row r="868" spans="3:15" ht="13.5" customHeight="1">
      <c r="C868" s="421" t="s">
        <v>1508</v>
      </c>
      <c r="D868" s="421" t="s">
        <v>1509</v>
      </c>
      <c r="H868" s="421"/>
      <c r="I868" s="421"/>
      <c r="J868" s="421"/>
      <c r="K868" s="421"/>
      <c r="L868" s="421"/>
      <c r="M868" s="421"/>
      <c r="N868" s="421"/>
      <c r="O868" s="421"/>
    </row>
    <row r="869" spans="3:15" ht="13.5" customHeight="1">
      <c r="C869" s="421" t="s">
        <v>1510</v>
      </c>
      <c r="D869" s="421" t="s">
        <v>1511</v>
      </c>
      <c r="H869" s="421"/>
      <c r="I869" s="421"/>
      <c r="J869" s="421"/>
      <c r="K869" s="421"/>
      <c r="L869" s="421"/>
      <c r="M869" s="421"/>
      <c r="N869" s="421"/>
      <c r="O869" s="421"/>
    </row>
    <row r="870" spans="3:15" ht="13.5" customHeight="1">
      <c r="C870" s="421" t="s">
        <v>1512</v>
      </c>
      <c r="D870" s="421" t="s">
        <v>1513</v>
      </c>
      <c r="H870" s="421"/>
      <c r="I870" s="421"/>
      <c r="J870" s="421"/>
      <c r="K870" s="421"/>
      <c r="L870" s="421"/>
      <c r="M870" s="421"/>
      <c r="N870" s="421"/>
      <c r="O870" s="421"/>
    </row>
    <row r="871" spans="3:15" ht="13.5" customHeight="1">
      <c r="C871" s="421" t="s">
        <v>1514</v>
      </c>
      <c r="D871" s="421" t="s">
        <v>1515</v>
      </c>
      <c r="H871" s="421"/>
      <c r="I871" s="421"/>
      <c r="J871" s="421"/>
      <c r="K871" s="421"/>
      <c r="L871" s="421"/>
      <c r="M871" s="421"/>
      <c r="N871" s="421"/>
      <c r="O871" s="421"/>
    </row>
    <row r="872" spans="3:15" ht="13.5" customHeight="1">
      <c r="C872" s="421" t="s">
        <v>1516</v>
      </c>
      <c r="D872" s="421" t="s">
        <v>1517</v>
      </c>
      <c r="H872" s="421"/>
      <c r="I872" s="421"/>
      <c r="J872" s="421"/>
      <c r="K872" s="421"/>
      <c r="L872" s="421"/>
      <c r="M872" s="421"/>
      <c r="N872" s="421"/>
      <c r="O872" s="421"/>
    </row>
    <row r="873" spans="3:15" ht="13.5" customHeight="1">
      <c r="C873" s="421" t="s">
        <v>1518</v>
      </c>
      <c r="D873" s="421" t="s">
        <v>1519</v>
      </c>
      <c r="H873" s="421"/>
      <c r="I873" s="421"/>
      <c r="J873" s="421"/>
      <c r="K873" s="421"/>
      <c r="L873" s="421"/>
      <c r="M873" s="421"/>
      <c r="N873" s="421"/>
      <c r="O873" s="421"/>
    </row>
    <row r="874" spans="3:15" ht="13.5" customHeight="1">
      <c r="C874" s="421" t="s">
        <v>1520</v>
      </c>
      <c r="D874" s="421" t="s">
        <v>1521</v>
      </c>
      <c r="H874" s="421"/>
      <c r="I874" s="421"/>
      <c r="J874" s="421"/>
      <c r="K874" s="421"/>
      <c r="L874" s="421"/>
      <c r="M874" s="421"/>
      <c r="N874" s="421"/>
      <c r="O874" s="421"/>
    </row>
    <row r="875" spans="3:15" ht="13.5" customHeight="1">
      <c r="C875" s="421" t="s">
        <v>1522</v>
      </c>
      <c r="D875" s="421" t="s">
        <v>1523</v>
      </c>
      <c r="H875" s="421"/>
      <c r="I875" s="421"/>
      <c r="J875" s="421"/>
      <c r="K875" s="421"/>
      <c r="L875" s="421"/>
      <c r="M875" s="421"/>
      <c r="N875" s="421"/>
      <c r="O875" s="421"/>
    </row>
    <row r="876" spans="3:15" ht="13.5" customHeight="1">
      <c r="C876" s="421" t="s">
        <v>1524</v>
      </c>
      <c r="D876" s="421" t="s">
        <v>1525</v>
      </c>
      <c r="H876" s="421"/>
      <c r="I876" s="421"/>
      <c r="J876" s="421"/>
      <c r="K876" s="421"/>
      <c r="L876" s="421"/>
      <c r="M876" s="421"/>
      <c r="N876" s="421"/>
      <c r="O876" s="421"/>
    </row>
    <row r="877" spans="3:15" ht="13.5" customHeight="1">
      <c r="C877" s="421" t="s">
        <v>1526</v>
      </c>
      <c r="D877" s="421" t="s">
        <v>1527</v>
      </c>
      <c r="H877" s="421"/>
      <c r="I877" s="421"/>
      <c r="J877" s="421"/>
      <c r="K877" s="421"/>
      <c r="L877" s="421"/>
      <c r="M877" s="421"/>
      <c r="N877" s="421"/>
      <c r="O877" s="421"/>
    </row>
    <row r="878" spans="3:15" ht="13.5" customHeight="1">
      <c r="C878" s="421" t="s">
        <v>1528</v>
      </c>
      <c r="D878" s="421" t="s">
        <v>1529</v>
      </c>
      <c r="H878" s="421"/>
      <c r="I878" s="421"/>
      <c r="J878" s="421"/>
      <c r="K878" s="421"/>
      <c r="L878" s="421"/>
      <c r="M878" s="421"/>
      <c r="N878" s="421"/>
      <c r="O878" s="421"/>
    </row>
    <row r="879" spans="3:15" ht="13.5" customHeight="1">
      <c r="C879" s="421" t="s">
        <v>1530</v>
      </c>
      <c r="D879" s="421" t="s">
        <v>1531</v>
      </c>
      <c r="H879" s="421"/>
      <c r="I879" s="421"/>
      <c r="J879" s="421"/>
      <c r="K879" s="421"/>
      <c r="L879" s="421"/>
      <c r="M879" s="421"/>
      <c r="N879" s="421"/>
      <c r="O879" s="421"/>
    </row>
    <row r="880" spans="3:15" ht="13.5" customHeight="1">
      <c r="C880" s="421" t="s">
        <v>1532</v>
      </c>
      <c r="D880" s="421" t="s">
        <v>1533</v>
      </c>
      <c r="H880" s="421"/>
      <c r="I880" s="421"/>
      <c r="J880" s="421"/>
      <c r="K880" s="421"/>
      <c r="L880" s="421"/>
      <c r="M880" s="421"/>
      <c r="N880" s="421"/>
      <c r="O880" s="421"/>
    </row>
    <row r="881" spans="3:15" ht="13.5" customHeight="1">
      <c r="C881" s="421" t="s">
        <v>1534</v>
      </c>
      <c r="D881" s="421" t="s">
        <v>1535</v>
      </c>
      <c r="H881" s="421"/>
      <c r="I881" s="421"/>
      <c r="J881" s="421"/>
      <c r="K881" s="421"/>
      <c r="L881" s="421"/>
      <c r="M881" s="421"/>
      <c r="N881" s="421"/>
      <c r="O881" s="421"/>
    </row>
    <row r="882" spans="3:15" ht="13.5" customHeight="1">
      <c r="C882" s="421" t="s">
        <v>1536</v>
      </c>
      <c r="D882" s="421" t="s">
        <v>1537</v>
      </c>
      <c r="H882" s="421"/>
      <c r="I882" s="421"/>
      <c r="J882" s="421"/>
      <c r="K882" s="421"/>
      <c r="L882" s="421"/>
      <c r="M882" s="421"/>
      <c r="N882" s="421"/>
      <c r="O882" s="421"/>
    </row>
    <row r="883" spans="3:15" ht="13.5" customHeight="1">
      <c r="C883" s="421" t="s">
        <v>1538</v>
      </c>
      <c r="D883" s="421" t="s">
        <v>1539</v>
      </c>
      <c r="H883" s="421"/>
      <c r="I883" s="421"/>
      <c r="J883" s="421"/>
      <c r="K883" s="421"/>
      <c r="L883" s="421"/>
      <c r="M883" s="421"/>
      <c r="N883" s="421"/>
      <c r="O883" s="421"/>
    </row>
    <row r="884" spans="3:15" ht="13.5" customHeight="1">
      <c r="C884" s="421" t="s">
        <v>1540</v>
      </c>
      <c r="D884" s="421" t="s">
        <v>1541</v>
      </c>
      <c r="H884" s="421"/>
      <c r="I884" s="421"/>
      <c r="J884" s="421"/>
      <c r="K884" s="421"/>
      <c r="L884" s="421"/>
      <c r="M884" s="421"/>
      <c r="N884" s="421"/>
      <c r="O884" s="421"/>
    </row>
    <row r="885" spans="3:15" ht="13.5" customHeight="1">
      <c r="C885" s="421" t="s">
        <v>1542</v>
      </c>
      <c r="D885" s="421" t="s">
        <v>1543</v>
      </c>
      <c r="H885" s="421"/>
      <c r="I885" s="421"/>
      <c r="J885" s="421"/>
      <c r="K885" s="421"/>
      <c r="L885" s="421"/>
      <c r="M885" s="421"/>
      <c r="N885" s="421"/>
      <c r="O885" s="421"/>
    </row>
    <row r="886" spans="3:15" ht="13.5" customHeight="1">
      <c r="C886" s="421" t="s">
        <v>1544</v>
      </c>
      <c r="D886" s="421" t="s">
        <v>1545</v>
      </c>
      <c r="H886" s="421"/>
      <c r="I886" s="421"/>
      <c r="J886" s="421"/>
      <c r="K886" s="421"/>
      <c r="L886" s="421"/>
      <c r="M886" s="421"/>
      <c r="N886" s="421"/>
      <c r="O886" s="421"/>
    </row>
    <row r="887" spans="3:15" ht="13.5" customHeight="1">
      <c r="C887" s="421" t="s">
        <v>1546</v>
      </c>
      <c r="D887" s="421" t="s">
        <v>1547</v>
      </c>
      <c r="H887" s="421"/>
      <c r="I887" s="421"/>
      <c r="J887" s="421"/>
      <c r="K887" s="421"/>
      <c r="L887" s="421"/>
      <c r="M887" s="421"/>
      <c r="N887" s="421"/>
      <c r="O887" s="421"/>
    </row>
    <row r="888" spans="3:15" ht="13.5" customHeight="1">
      <c r="C888" s="421" t="s">
        <v>1548</v>
      </c>
      <c r="D888" s="421" t="s">
        <v>1549</v>
      </c>
      <c r="H888" s="421"/>
      <c r="I888" s="421"/>
      <c r="J888" s="421"/>
      <c r="K888" s="421"/>
      <c r="L888" s="421"/>
      <c r="M888" s="421"/>
      <c r="N888" s="421"/>
      <c r="O888" s="421"/>
    </row>
    <row r="889" spans="3:15" ht="13.5" customHeight="1">
      <c r="C889" s="421" t="s">
        <v>1550</v>
      </c>
      <c r="D889" s="421" t="s">
        <v>1551</v>
      </c>
      <c r="H889" s="421"/>
      <c r="I889" s="421"/>
      <c r="J889" s="421"/>
      <c r="K889" s="421"/>
      <c r="L889" s="421"/>
      <c r="M889" s="421"/>
      <c r="N889" s="421"/>
      <c r="O889" s="421"/>
    </row>
    <row r="890" spans="3:15" ht="13.5" customHeight="1">
      <c r="C890" s="421" t="s">
        <v>1552</v>
      </c>
      <c r="D890" s="421" t="s">
        <v>1553</v>
      </c>
      <c r="H890" s="421"/>
      <c r="I890" s="421"/>
      <c r="J890" s="421"/>
      <c r="K890" s="421"/>
      <c r="L890" s="421"/>
      <c r="M890" s="421"/>
      <c r="N890" s="421"/>
      <c r="O890" s="421"/>
    </row>
    <row r="891" spans="3:15" ht="13.5" customHeight="1">
      <c r="C891" s="421" t="s">
        <v>1554</v>
      </c>
      <c r="D891" s="421" t="s">
        <v>1555</v>
      </c>
      <c r="H891" s="421"/>
      <c r="I891" s="421"/>
      <c r="J891" s="421"/>
      <c r="K891" s="421"/>
      <c r="L891" s="421"/>
      <c r="M891" s="421"/>
      <c r="N891" s="421"/>
      <c r="O891" s="421"/>
    </row>
    <row r="892" spans="3:15" ht="13.5" customHeight="1">
      <c r="C892" s="421" t="s">
        <v>1556</v>
      </c>
      <c r="D892" s="421" t="s">
        <v>1557</v>
      </c>
      <c r="H892" s="421"/>
      <c r="I892" s="421"/>
      <c r="J892" s="421"/>
      <c r="K892" s="421"/>
      <c r="L892" s="421"/>
      <c r="M892" s="421"/>
      <c r="N892" s="421"/>
      <c r="O892" s="421"/>
    </row>
    <row r="893" spans="3:15" ht="13.5" customHeight="1">
      <c r="C893" s="421" t="s">
        <v>1558</v>
      </c>
      <c r="D893" s="421" t="s">
        <v>1559</v>
      </c>
      <c r="H893" s="421"/>
      <c r="I893" s="421"/>
      <c r="J893" s="421"/>
      <c r="K893" s="421"/>
      <c r="L893" s="421"/>
      <c r="M893" s="421"/>
      <c r="N893" s="421"/>
      <c r="O893" s="421"/>
    </row>
    <row r="894" spans="3:15" ht="13.5" customHeight="1">
      <c r="C894" s="421" t="s">
        <v>1560</v>
      </c>
      <c r="D894" s="421" t="s">
        <v>1561</v>
      </c>
      <c r="H894" s="421"/>
      <c r="I894" s="421"/>
      <c r="J894" s="421"/>
      <c r="K894" s="421"/>
      <c r="L894" s="421"/>
      <c r="M894" s="421"/>
      <c r="N894" s="421"/>
      <c r="O894" s="421"/>
    </row>
    <row r="895" spans="3:15" ht="13.5" customHeight="1">
      <c r="C895" s="421" t="s">
        <v>1562</v>
      </c>
      <c r="D895" s="421" t="s">
        <v>1563</v>
      </c>
      <c r="H895" s="421"/>
      <c r="I895" s="421"/>
      <c r="J895" s="421"/>
      <c r="K895" s="421"/>
      <c r="L895" s="421"/>
      <c r="M895" s="421"/>
      <c r="N895" s="421"/>
      <c r="O895" s="421"/>
    </row>
    <row r="896" spans="3:15" ht="13.5" customHeight="1">
      <c r="C896" s="421" t="s">
        <v>1564</v>
      </c>
      <c r="D896" s="421" t="s">
        <v>1565</v>
      </c>
      <c r="H896" s="421"/>
      <c r="I896" s="421"/>
      <c r="J896" s="421"/>
      <c r="K896" s="421"/>
      <c r="L896" s="421"/>
      <c r="M896" s="421"/>
      <c r="N896" s="421"/>
      <c r="O896" s="421"/>
    </row>
    <row r="897" spans="3:15" ht="13.5" customHeight="1">
      <c r="C897" s="421" t="s">
        <v>1566</v>
      </c>
      <c r="D897" s="421" t="s">
        <v>1567</v>
      </c>
      <c r="H897" s="421"/>
      <c r="I897" s="421"/>
      <c r="J897" s="421"/>
      <c r="K897" s="421"/>
      <c r="L897" s="421"/>
      <c r="M897" s="421"/>
      <c r="N897" s="421"/>
      <c r="O897" s="421"/>
    </row>
    <row r="898" spans="3:15" ht="13.5" customHeight="1">
      <c r="C898" s="421" t="s">
        <v>1568</v>
      </c>
      <c r="D898" s="421" t="s">
        <v>1569</v>
      </c>
      <c r="H898" s="421"/>
      <c r="I898" s="421"/>
      <c r="J898" s="421"/>
      <c r="K898" s="421"/>
      <c r="L898" s="421"/>
      <c r="M898" s="421"/>
      <c r="N898" s="421"/>
      <c r="O898" s="421"/>
    </row>
    <row r="899" spans="3:15" ht="13.5" customHeight="1">
      <c r="C899" s="421" t="s">
        <v>1570</v>
      </c>
      <c r="D899" s="421" t="s">
        <v>1571</v>
      </c>
      <c r="H899" s="421"/>
      <c r="I899" s="421"/>
      <c r="J899" s="421"/>
      <c r="K899" s="421"/>
      <c r="L899" s="421"/>
      <c r="M899" s="421"/>
      <c r="N899" s="421"/>
      <c r="O899" s="421"/>
    </row>
    <row r="900" spans="3:15" ht="13.5" customHeight="1">
      <c r="C900" s="421" t="s">
        <v>1572</v>
      </c>
      <c r="D900" s="421" t="s">
        <v>1573</v>
      </c>
      <c r="H900" s="421"/>
      <c r="I900" s="421"/>
      <c r="J900" s="421"/>
      <c r="K900" s="421"/>
      <c r="L900" s="421"/>
      <c r="M900" s="421"/>
      <c r="N900" s="421"/>
      <c r="O900" s="421"/>
    </row>
    <row r="901" spans="3:15" ht="13.5" customHeight="1">
      <c r="C901" s="421" t="s">
        <v>1574</v>
      </c>
      <c r="D901" s="421" t="s">
        <v>1575</v>
      </c>
      <c r="H901" s="421"/>
      <c r="I901" s="421"/>
      <c r="J901" s="421"/>
      <c r="K901" s="421"/>
      <c r="L901" s="421"/>
      <c r="M901" s="421"/>
      <c r="N901" s="421"/>
      <c r="O901" s="421"/>
    </row>
    <row r="902" spans="3:15" ht="13.5" customHeight="1">
      <c r="C902" s="421" t="s">
        <v>1576</v>
      </c>
      <c r="D902" s="421" t="s">
        <v>1577</v>
      </c>
      <c r="H902" s="421"/>
      <c r="I902" s="421"/>
      <c r="J902" s="421"/>
      <c r="K902" s="421"/>
      <c r="L902" s="421"/>
      <c r="M902" s="421"/>
      <c r="N902" s="421"/>
      <c r="O902" s="421"/>
    </row>
    <row r="903" spans="3:15" ht="13.5" customHeight="1">
      <c r="C903" s="421" t="s">
        <v>1578</v>
      </c>
      <c r="D903" s="421" t="s">
        <v>1579</v>
      </c>
      <c r="H903" s="421"/>
      <c r="I903" s="421"/>
      <c r="J903" s="421"/>
      <c r="K903" s="421"/>
      <c r="L903" s="421"/>
      <c r="M903" s="421"/>
      <c r="N903" s="421"/>
      <c r="O903" s="421"/>
    </row>
    <row r="904" spans="3:15" ht="13.5" customHeight="1">
      <c r="C904" s="421" t="s">
        <v>1580</v>
      </c>
      <c r="D904" s="421" t="s">
        <v>1581</v>
      </c>
      <c r="H904" s="421"/>
      <c r="I904" s="421"/>
      <c r="J904" s="421"/>
      <c r="K904" s="421"/>
      <c r="L904" s="421"/>
      <c r="M904" s="421"/>
      <c r="N904" s="421"/>
      <c r="O904" s="421"/>
    </row>
    <row r="905" spans="3:15" ht="13.5" customHeight="1">
      <c r="C905" s="421" t="s">
        <v>1582</v>
      </c>
      <c r="D905" s="421" t="s">
        <v>1583</v>
      </c>
      <c r="H905" s="421"/>
      <c r="I905" s="421"/>
      <c r="J905" s="421"/>
      <c r="K905" s="421"/>
      <c r="L905" s="421"/>
      <c r="M905" s="421"/>
      <c r="N905" s="421"/>
      <c r="O905" s="421"/>
    </row>
    <row r="906" spans="3:15" ht="13.5" customHeight="1">
      <c r="C906" s="421" t="s">
        <v>1584</v>
      </c>
      <c r="D906" s="421" t="s">
        <v>1585</v>
      </c>
      <c r="H906" s="421"/>
      <c r="I906" s="421"/>
      <c r="J906" s="421"/>
      <c r="K906" s="421"/>
      <c r="L906" s="421"/>
      <c r="M906" s="421"/>
      <c r="N906" s="421"/>
      <c r="O906" s="421"/>
    </row>
    <row r="907" spans="3:15" ht="13.5" customHeight="1">
      <c r="C907" s="421" t="s">
        <v>1586</v>
      </c>
      <c r="D907" s="421" t="s">
        <v>1587</v>
      </c>
      <c r="H907" s="421"/>
      <c r="I907" s="421"/>
      <c r="J907" s="421"/>
      <c r="K907" s="421"/>
      <c r="L907" s="421"/>
      <c r="M907" s="421"/>
      <c r="N907" s="421"/>
      <c r="O907" s="421"/>
    </row>
    <row r="908" spans="3:15" ht="13.5" customHeight="1">
      <c r="C908" s="421" t="s">
        <v>1588</v>
      </c>
      <c r="D908" s="421" t="s">
        <v>1589</v>
      </c>
      <c r="H908" s="421"/>
      <c r="I908" s="421"/>
      <c r="J908" s="421"/>
      <c r="K908" s="421"/>
      <c r="L908" s="421"/>
      <c r="M908" s="421"/>
      <c r="N908" s="421"/>
      <c r="O908" s="421"/>
    </row>
    <row r="909" spans="3:15" ht="13.5" customHeight="1">
      <c r="C909" s="421" t="s">
        <v>1590</v>
      </c>
      <c r="D909" s="421" t="s">
        <v>1591</v>
      </c>
      <c r="H909" s="421"/>
      <c r="I909" s="421"/>
      <c r="J909" s="421"/>
      <c r="K909" s="421"/>
      <c r="L909" s="421"/>
      <c r="M909" s="421"/>
      <c r="N909" s="421"/>
      <c r="O909" s="421"/>
    </row>
    <row r="910" spans="3:15" ht="13.5" customHeight="1">
      <c r="C910" s="421" t="s">
        <v>1592</v>
      </c>
      <c r="D910" s="421" t="s">
        <v>1593</v>
      </c>
      <c r="H910" s="421"/>
      <c r="I910" s="421"/>
      <c r="J910" s="421"/>
      <c r="K910" s="421"/>
      <c r="L910" s="421"/>
      <c r="M910" s="421"/>
      <c r="N910" s="421"/>
      <c r="O910" s="421"/>
    </row>
    <row r="911" spans="3:15" ht="13.5" customHeight="1">
      <c r="C911" s="421" t="s">
        <v>1594</v>
      </c>
      <c r="D911" s="421" t="s">
        <v>1595</v>
      </c>
      <c r="H911" s="421"/>
      <c r="I911" s="421"/>
      <c r="J911" s="421"/>
      <c r="K911" s="421"/>
      <c r="L911" s="421"/>
      <c r="M911" s="421"/>
      <c r="N911" s="421"/>
      <c r="O911" s="421"/>
    </row>
    <row r="912" spans="3:15" ht="13.5" customHeight="1">
      <c r="C912" s="421" t="s">
        <v>1596</v>
      </c>
      <c r="D912" s="421" t="s">
        <v>1597</v>
      </c>
      <c r="H912" s="421"/>
      <c r="I912" s="421"/>
      <c r="J912" s="421"/>
      <c r="K912" s="421"/>
      <c r="L912" s="421"/>
      <c r="M912" s="421"/>
      <c r="N912" s="421"/>
      <c r="O912" s="421"/>
    </row>
    <row r="913" spans="3:15" ht="13.5" customHeight="1">
      <c r="C913" s="421" t="s">
        <v>1598</v>
      </c>
      <c r="D913" s="421" t="s">
        <v>1599</v>
      </c>
      <c r="H913" s="421"/>
      <c r="I913" s="421"/>
      <c r="J913" s="421"/>
      <c r="K913" s="421"/>
      <c r="L913" s="421"/>
      <c r="M913" s="421"/>
      <c r="N913" s="421"/>
      <c r="O913" s="421"/>
    </row>
    <row r="914" spans="3:15" ht="13.5" customHeight="1">
      <c r="C914" s="421" t="s">
        <v>1600</v>
      </c>
      <c r="D914" s="421" t="s">
        <v>1601</v>
      </c>
      <c r="H914" s="421"/>
      <c r="I914" s="421"/>
      <c r="J914" s="421"/>
      <c r="K914" s="421"/>
      <c r="L914" s="421"/>
      <c r="M914" s="421"/>
      <c r="N914" s="421"/>
      <c r="O914" s="421"/>
    </row>
    <row r="915" spans="3:15" ht="13.5" customHeight="1">
      <c r="C915" s="421" t="s">
        <v>1602</v>
      </c>
      <c r="D915" s="421" t="s">
        <v>1603</v>
      </c>
      <c r="H915" s="421"/>
      <c r="I915" s="421"/>
      <c r="J915" s="421"/>
      <c r="K915" s="421"/>
      <c r="L915" s="421"/>
      <c r="M915" s="421"/>
      <c r="N915" s="421"/>
      <c r="O915" s="421"/>
    </row>
    <row r="916" spans="3:15" ht="13.5" customHeight="1">
      <c r="C916" s="421" t="s">
        <v>1604</v>
      </c>
      <c r="D916" s="421" t="s">
        <v>1605</v>
      </c>
      <c r="H916" s="421"/>
      <c r="I916" s="421"/>
      <c r="J916" s="421"/>
      <c r="K916" s="421"/>
      <c r="L916" s="421"/>
      <c r="M916" s="421"/>
      <c r="N916" s="421"/>
      <c r="O916" s="421"/>
    </row>
    <row r="917" spans="3:15" ht="13.5" customHeight="1">
      <c r="C917" s="421" t="s">
        <v>1606</v>
      </c>
      <c r="D917" s="421" t="s">
        <v>1607</v>
      </c>
      <c r="H917" s="421"/>
      <c r="I917" s="421"/>
      <c r="J917" s="421"/>
      <c r="K917" s="421"/>
      <c r="L917" s="421"/>
      <c r="M917" s="421"/>
      <c r="N917" s="421"/>
      <c r="O917" s="421"/>
    </row>
    <row r="918" spans="3:15" ht="13.5" customHeight="1">
      <c r="C918" s="421" t="s">
        <v>1608</v>
      </c>
      <c r="D918" s="421" t="s">
        <v>1609</v>
      </c>
      <c r="H918" s="421"/>
      <c r="I918" s="421"/>
      <c r="J918" s="421"/>
      <c r="K918" s="421"/>
      <c r="L918" s="421"/>
      <c r="M918" s="421"/>
      <c r="N918" s="421"/>
      <c r="O918" s="421"/>
    </row>
    <row r="919" spans="3:15" ht="13.5" customHeight="1">
      <c r="C919" s="421" t="s">
        <v>1610</v>
      </c>
      <c r="D919" s="421" t="s">
        <v>1611</v>
      </c>
      <c r="H919" s="421"/>
      <c r="I919" s="421"/>
      <c r="J919" s="421"/>
      <c r="K919" s="421"/>
      <c r="L919" s="421"/>
      <c r="M919" s="421"/>
      <c r="N919" s="421"/>
      <c r="O919" s="421"/>
    </row>
    <row r="920" spans="3:15" ht="13.5" customHeight="1">
      <c r="C920" s="421" t="s">
        <v>1612</v>
      </c>
      <c r="D920" s="421" t="s">
        <v>1613</v>
      </c>
      <c r="H920" s="421"/>
      <c r="I920" s="421"/>
      <c r="J920" s="421"/>
      <c r="K920" s="421"/>
      <c r="L920" s="421"/>
      <c r="M920" s="421"/>
      <c r="N920" s="421"/>
      <c r="O920" s="421"/>
    </row>
    <row r="921" spans="3:15" ht="13.5" customHeight="1">
      <c r="C921" s="421" t="s">
        <v>1614</v>
      </c>
      <c r="D921" s="421" t="s">
        <v>1615</v>
      </c>
      <c r="H921" s="421"/>
      <c r="I921" s="421"/>
      <c r="J921" s="421"/>
      <c r="K921" s="421"/>
      <c r="L921" s="421"/>
      <c r="M921" s="421"/>
      <c r="N921" s="421"/>
      <c r="O921" s="421"/>
    </row>
    <row r="922" spans="3:15" ht="13.5" customHeight="1">
      <c r="C922" s="421" t="s">
        <v>1616</v>
      </c>
      <c r="D922" s="421" t="s">
        <v>1617</v>
      </c>
      <c r="H922" s="421"/>
      <c r="I922" s="421"/>
      <c r="J922" s="421"/>
      <c r="K922" s="421"/>
      <c r="L922" s="421"/>
      <c r="M922" s="421"/>
      <c r="N922" s="421"/>
      <c r="O922" s="421"/>
    </row>
    <row r="923" spans="3:15" ht="13.5" customHeight="1">
      <c r="C923" s="421" t="s">
        <v>1618</v>
      </c>
      <c r="D923" s="421" t="s">
        <v>1619</v>
      </c>
      <c r="H923" s="421"/>
      <c r="I923" s="421"/>
      <c r="J923" s="421"/>
      <c r="K923" s="421"/>
      <c r="L923" s="421"/>
      <c r="M923" s="421"/>
      <c r="N923" s="421"/>
      <c r="O923" s="421"/>
    </row>
    <row r="924" spans="3:15" ht="13.5" customHeight="1">
      <c r="C924" s="421" t="s">
        <v>1620</v>
      </c>
      <c r="D924" s="421" t="s">
        <v>1621</v>
      </c>
      <c r="H924" s="421"/>
      <c r="I924" s="421"/>
      <c r="J924" s="421"/>
      <c r="K924" s="421"/>
      <c r="L924" s="421"/>
      <c r="M924" s="421"/>
      <c r="N924" s="421"/>
      <c r="O924" s="421"/>
    </row>
    <row r="925" spans="3:15" ht="13.5" customHeight="1">
      <c r="C925" s="421" t="s">
        <v>1622</v>
      </c>
      <c r="D925" s="421" t="s">
        <v>1623</v>
      </c>
      <c r="H925" s="421"/>
      <c r="I925" s="421"/>
      <c r="J925" s="421"/>
      <c r="K925" s="421"/>
      <c r="L925" s="421"/>
      <c r="M925" s="421"/>
      <c r="N925" s="421"/>
      <c r="O925" s="421"/>
    </row>
    <row r="926" spans="3:15" ht="13.5" customHeight="1">
      <c r="C926" s="421" t="s">
        <v>1624</v>
      </c>
      <c r="D926" s="421" t="s">
        <v>1625</v>
      </c>
      <c r="H926" s="421"/>
      <c r="I926" s="421"/>
      <c r="J926" s="421"/>
      <c r="K926" s="421"/>
      <c r="L926" s="421"/>
      <c r="M926" s="421"/>
      <c r="N926" s="421"/>
      <c r="O926" s="421"/>
    </row>
    <row r="927" spans="3:15" ht="13.5" customHeight="1">
      <c r="C927" s="421" t="s">
        <v>1626</v>
      </c>
      <c r="D927" s="421" t="s">
        <v>1627</v>
      </c>
      <c r="H927" s="421"/>
      <c r="I927" s="421"/>
      <c r="J927" s="421"/>
      <c r="K927" s="421"/>
      <c r="L927" s="421"/>
      <c r="M927" s="421"/>
      <c r="N927" s="421"/>
      <c r="O927" s="421"/>
    </row>
    <row r="928" spans="3:15" ht="13.5" customHeight="1">
      <c r="C928" s="421" t="s">
        <v>1628</v>
      </c>
      <c r="D928" s="421" t="s">
        <v>1629</v>
      </c>
      <c r="H928" s="421"/>
      <c r="I928" s="421"/>
      <c r="J928" s="421"/>
      <c r="K928" s="421"/>
      <c r="L928" s="421"/>
      <c r="M928" s="421"/>
      <c r="N928" s="421"/>
      <c r="O928" s="421"/>
    </row>
    <row r="929" spans="3:15" ht="13.5" customHeight="1">
      <c r="C929" s="421" t="s">
        <v>1630</v>
      </c>
      <c r="D929" s="421" t="s">
        <v>1631</v>
      </c>
      <c r="H929" s="421"/>
      <c r="I929" s="421"/>
      <c r="J929" s="421"/>
      <c r="K929" s="421"/>
      <c r="L929" s="421"/>
      <c r="M929" s="421"/>
      <c r="N929" s="421"/>
      <c r="O929" s="421"/>
    </row>
    <row r="930" spans="3:15" ht="13.5" customHeight="1">
      <c r="C930" s="421" t="s">
        <v>1632</v>
      </c>
      <c r="D930" s="421" t="s">
        <v>1633</v>
      </c>
      <c r="H930" s="421"/>
      <c r="I930" s="421"/>
      <c r="J930" s="421"/>
      <c r="K930" s="421"/>
      <c r="L930" s="421"/>
      <c r="M930" s="421"/>
      <c r="N930" s="421"/>
      <c r="O930" s="421"/>
    </row>
    <row r="931" spans="3:15" ht="13.5" customHeight="1">
      <c r="C931" s="421" t="s">
        <v>1634</v>
      </c>
      <c r="D931" s="421" t="s">
        <v>1635</v>
      </c>
      <c r="H931" s="421"/>
      <c r="I931" s="421"/>
      <c r="J931" s="421"/>
      <c r="K931" s="421"/>
      <c r="L931" s="421"/>
      <c r="M931" s="421"/>
      <c r="N931" s="421"/>
      <c r="O931" s="421"/>
    </row>
    <row r="932" spans="3:15" ht="13.5" customHeight="1">
      <c r="C932" s="421" t="s">
        <v>1636</v>
      </c>
      <c r="D932" s="421" t="s">
        <v>1637</v>
      </c>
      <c r="H932" s="421"/>
      <c r="I932" s="421"/>
      <c r="J932" s="421"/>
      <c r="K932" s="421"/>
      <c r="L932" s="421"/>
      <c r="M932" s="421"/>
      <c r="N932" s="421"/>
      <c r="O932" s="421"/>
    </row>
    <row r="933" spans="3:15" ht="13.5" customHeight="1">
      <c r="C933" s="421" t="s">
        <v>1638</v>
      </c>
      <c r="D933" s="421" t="s">
        <v>1639</v>
      </c>
      <c r="H933" s="421"/>
      <c r="I933" s="421"/>
      <c r="J933" s="421"/>
      <c r="K933" s="421"/>
      <c r="L933" s="421"/>
      <c r="M933" s="421"/>
      <c r="N933" s="421"/>
      <c r="O933" s="421"/>
    </row>
    <row r="934" spans="3:15" ht="13.5" customHeight="1">
      <c r="C934" s="421" t="s">
        <v>1640</v>
      </c>
      <c r="D934" s="421" t="s">
        <v>1641</v>
      </c>
      <c r="H934" s="421"/>
      <c r="I934" s="421"/>
      <c r="J934" s="421"/>
      <c r="K934" s="421"/>
      <c r="L934" s="421"/>
      <c r="M934" s="421"/>
      <c r="N934" s="421"/>
      <c r="O934" s="421"/>
    </row>
    <row r="935" spans="3:15" ht="13.5" customHeight="1">
      <c r="C935" s="421" t="s">
        <v>1642</v>
      </c>
      <c r="D935" s="421" t="s">
        <v>1643</v>
      </c>
      <c r="H935" s="421"/>
      <c r="I935" s="421"/>
      <c r="J935" s="421"/>
      <c r="K935" s="421"/>
      <c r="L935" s="421"/>
      <c r="M935" s="421"/>
      <c r="N935" s="421"/>
      <c r="O935" s="421"/>
    </row>
    <row r="936" spans="3:15" ht="13.5" customHeight="1">
      <c r="C936" s="421" t="s">
        <v>1644</v>
      </c>
      <c r="D936" s="421" t="s">
        <v>1645</v>
      </c>
      <c r="H936" s="421"/>
      <c r="I936" s="421"/>
      <c r="J936" s="421"/>
      <c r="K936" s="421"/>
      <c r="L936" s="421"/>
      <c r="M936" s="421"/>
      <c r="N936" s="421"/>
      <c r="O936" s="421"/>
    </row>
    <row r="937" spans="3:15" ht="13.5" customHeight="1">
      <c r="C937" s="421" t="s">
        <v>1646</v>
      </c>
      <c r="D937" s="421" t="s">
        <v>1647</v>
      </c>
      <c r="H937" s="421"/>
      <c r="I937" s="421"/>
      <c r="J937" s="421"/>
      <c r="K937" s="421"/>
      <c r="L937" s="421"/>
      <c r="M937" s="421"/>
      <c r="N937" s="421"/>
      <c r="O937" s="421"/>
    </row>
    <row r="938" spans="3:15" ht="13.5" customHeight="1">
      <c r="C938" s="421" t="s">
        <v>1648</v>
      </c>
      <c r="D938" s="421" t="s">
        <v>1649</v>
      </c>
      <c r="H938" s="421"/>
      <c r="I938" s="421"/>
      <c r="J938" s="421"/>
      <c r="K938" s="421"/>
      <c r="L938" s="421"/>
      <c r="M938" s="421"/>
      <c r="N938" s="421"/>
      <c r="O938" s="421"/>
    </row>
    <row r="939" spans="3:15" ht="13.5" customHeight="1">
      <c r="C939" s="421" t="s">
        <v>1650</v>
      </c>
      <c r="D939" s="421" t="s">
        <v>1651</v>
      </c>
      <c r="H939" s="421"/>
      <c r="I939" s="421"/>
      <c r="J939" s="421"/>
      <c r="K939" s="421"/>
      <c r="L939" s="421"/>
      <c r="M939" s="421"/>
      <c r="N939" s="421"/>
      <c r="O939" s="421"/>
    </row>
    <row r="940" spans="3:15" ht="13.5" customHeight="1">
      <c r="C940" s="421" t="s">
        <v>1652</v>
      </c>
      <c r="D940" s="421" t="s">
        <v>1653</v>
      </c>
      <c r="H940" s="421"/>
      <c r="I940" s="421"/>
      <c r="J940" s="421"/>
      <c r="K940" s="421"/>
      <c r="L940" s="421"/>
      <c r="M940" s="421"/>
      <c r="N940" s="421"/>
      <c r="O940" s="421"/>
    </row>
    <row r="941" spans="3:15" ht="13.5" customHeight="1">
      <c r="C941" s="421" t="s">
        <v>1654</v>
      </c>
      <c r="D941" s="421" t="s">
        <v>1655</v>
      </c>
      <c r="H941" s="421"/>
      <c r="I941" s="421"/>
      <c r="J941" s="421"/>
      <c r="K941" s="421"/>
      <c r="L941" s="421"/>
      <c r="M941" s="421"/>
      <c r="N941" s="421"/>
      <c r="O941" s="421"/>
    </row>
    <row r="942" spans="3:15" ht="13.5" customHeight="1">
      <c r="C942" s="421" t="s">
        <v>1656</v>
      </c>
      <c r="D942" s="421" t="s">
        <v>1657</v>
      </c>
      <c r="H942" s="421"/>
      <c r="I942" s="421"/>
      <c r="J942" s="421"/>
      <c r="K942" s="421"/>
      <c r="L942" s="421"/>
      <c r="M942" s="421"/>
      <c r="N942" s="421"/>
      <c r="O942" s="421"/>
    </row>
    <row r="943" spans="3:15" ht="13.5" customHeight="1">
      <c r="C943" s="421" t="s">
        <v>1658</v>
      </c>
      <c r="D943" s="421" t="s">
        <v>1659</v>
      </c>
      <c r="H943" s="421"/>
      <c r="I943" s="421"/>
      <c r="J943" s="421"/>
      <c r="K943" s="421"/>
      <c r="L943" s="421"/>
      <c r="M943" s="421"/>
      <c r="N943" s="421"/>
      <c r="O943" s="421"/>
    </row>
    <row r="944" spans="3:15" ht="13.5" customHeight="1">
      <c r="C944" s="421" t="s">
        <v>1660</v>
      </c>
      <c r="D944" s="421" t="s">
        <v>1661</v>
      </c>
      <c r="H944" s="421"/>
      <c r="I944" s="421"/>
      <c r="J944" s="421"/>
      <c r="K944" s="421"/>
      <c r="L944" s="421"/>
      <c r="M944" s="421"/>
      <c r="N944" s="421"/>
      <c r="O944" s="421"/>
    </row>
    <row r="945" spans="3:15" ht="13.5" customHeight="1">
      <c r="C945" s="421" t="s">
        <v>1662</v>
      </c>
      <c r="D945" s="421" t="s">
        <v>1663</v>
      </c>
      <c r="H945" s="421"/>
      <c r="I945" s="421"/>
      <c r="J945" s="421"/>
      <c r="K945" s="421"/>
      <c r="L945" s="421"/>
      <c r="M945" s="421"/>
      <c r="N945" s="421"/>
      <c r="O945" s="421"/>
    </row>
    <row r="946" spans="3:15" ht="13.5" customHeight="1">
      <c r="C946" s="421" t="s">
        <v>1664</v>
      </c>
      <c r="D946" s="421" t="s">
        <v>1665</v>
      </c>
      <c r="H946" s="421"/>
      <c r="I946" s="421"/>
      <c r="J946" s="421"/>
      <c r="K946" s="421"/>
      <c r="L946" s="421"/>
      <c r="M946" s="421"/>
      <c r="N946" s="421"/>
      <c r="O946" s="421"/>
    </row>
    <row r="947" spans="3:15" ht="13.5" customHeight="1">
      <c r="C947" s="421" t="s">
        <v>1666</v>
      </c>
      <c r="D947" s="421" t="s">
        <v>1667</v>
      </c>
      <c r="H947" s="421"/>
      <c r="I947" s="421"/>
      <c r="J947" s="421"/>
      <c r="K947" s="421"/>
      <c r="L947" s="421"/>
      <c r="M947" s="421"/>
      <c r="N947" s="421"/>
      <c r="O947" s="421"/>
    </row>
    <row r="948" spans="3:15" ht="13.5" customHeight="1">
      <c r="C948" s="421" t="s">
        <v>1668</v>
      </c>
      <c r="D948" s="421" t="s">
        <v>1669</v>
      </c>
      <c r="H948" s="421"/>
      <c r="I948" s="421"/>
      <c r="J948" s="421"/>
      <c r="K948" s="421"/>
      <c r="L948" s="421"/>
      <c r="M948" s="421"/>
      <c r="N948" s="421"/>
      <c r="O948" s="421"/>
    </row>
    <row r="949" spans="3:15" ht="13.5" customHeight="1">
      <c r="C949" s="421" t="s">
        <v>1670</v>
      </c>
      <c r="D949" s="421" t="s">
        <v>1671</v>
      </c>
      <c r="H949" s="421"/>
      <c r="I949" s="421"/>
      <c r="J949" s="421"/>
      <c r="K949" s="421"/>
      <c r="L949" s="421"/>
      <c r="M949" s="421"/>
      <c r="N949" s="421"/>
      <c r="O949" s="421"/>
    </row>
    <row r="950" spans="3:15" ht="13.5" customHeight="1">
      <c r="C950" s="421" t="s">
        <v>1672</v>
      </c>
      <c r="D950" s="421" t="s">
        <v>1673</v>
      </c>
      <c r="H950" s="421"/>
      <c r="I950" s="421"/>
      <c r="J950" s="421"/>
      <c r="K950" s="421"/>
      <c r="L950" s="421"/>
      <c r="M950" s="421"/>
      <c r="N950" s="421"/>
      <c r="O950" s="421"/>
    </row>
    <row r="951" spans="3:15" ht="13.5" customHeight="1">
      <c r="C951" s="421" t="s">
        <v>1674</v>
      </c>
      <c r="D951" s="421" t="s">
        <v>1675</v>
      </c>
      <c r="H951" s="421"/>
      <c r="I951" s="421"/>
      <c r="J951" s="421"/>
      <c r="K951" s="421"/>
      <c r="L951" s="421"/>
      <c r="M951" s="421"/>
      <c r="N951" s="421"/>
      <c r="O951" s="421"/>
    </row>
    <row r="952" spans="3:15" ht="13.5" customHeight="1">
      <c r="C952" s="421" t="s">
        <v>1676</v>
      </c>
      <c r="D952" s="421" t="s">
        <v>1677</v>
      </c>
      <c r="H952" s="421"/>
      <c r="I952" s="421"/>
      <c r="J952" s="421"/>
      <c r="K952" s="421"/>
      <c r="L952" s="421"/>
      <c r="M952" s="421"/>
      <c r="N952" s="421"/>
      <c r="O952" s="421"/>
    </row>
    <row r="953" spans="3:15" ht="13.5" customHeight="1">
      <c r="C953" s="421" t="s">
        <v>1678</v>
      </c>
      <c r="D953" s="421" t="s">
        <v>1679</v>
      </c>
      <c r="H953" s="421"/>
      <c r="I953" s="421"/>
      <c r="J953" s="421"/>
      <c r="K953" s="421"/>
      <c r="L953" s="421"/>
      <c r="M953" s="421"/>
      <c r="N953" s="421"/>
      <c r="O953" s="421"/>
    </row>
    <row r="954" spans="3:15" ht="13.5" customHeight="1">
      <c r="C954" s="421" t="s">
        <v>1680</v>
      </c>
      <c r="D954" s="421" t="s">
        <v>1681</v>
      </c>
      <c r="H954" s="421"/>
      <c r="I954" s="421"/>
      <c r="J954" s="421"/>
      <c r="K954" s="421"/>
      <c r="L954" s="421"/>
      <c r="M954" s="421"/>
      <c r="N954" s="421"/>
      <c r="O954" s="421"/>
    </row>
    <row r="955" spans="3:15" ht="13.5" customHeight="1">
      <c r="C955" s="421" t="s">
        <v>1682</v>
      </c>
      <c r="D955" s="421" t="s">
        <v>1683</v>
      </c>
      <c r="H955" s="421"/>
      <c r="I955" s="421"/>
      <c r="J955" s="421"/>
      <c r="K955" s="421"/>
      <c r="L955" s="421"/>
      <c r="M955" s="421"/>
      <c r="N955" s="421"/>
      <c r="O955" s="421"/>
    </row>
    <row r="956" spans="3:15" ht="13.5" customHeight="1">
      <c r="C956" s="421" t="s">
        <v>1684</v>
      </c>
      <c r="D956" s="421" t="s">
        <v>1685</v>
      </c>
      <c r="H956" s="421"/>
      <c r="I956" s="421"/>
      <c r="J956" s="421"/>
      <c r="K956" s="421"/>
      <c r="L956" s="421"/>
      <c r="M956" s="421"/>
      <c r="N956" s="421"/>
      <c r="O956" s="421"/>
    </row>
    <row r="957" spans="3:15" ht="13.5" customHeight="1">
      <c r="C957" s="421" t="s">
        <v>1686</v>
      </c>
      <c r="D957" s="421" t="s">
        <v>1687</v>
      </c>
      <c r="H957" s="421"/>
      <c r="I957" s="421"/>
      <c r="J957" s="421"/>
      <c r="K957" s="421"/>
      <c r="L957" s="421"/>
      <c r="M957" s="421"/>
      <c r="N957" s="421"/>
      <c r="O957" s="421"/>
    </row>
    <row r="958" spans="3:15" ht="13.5" customHeight="1">
      <c r="C958" s="421" t="s">
        <v>1688</v>
      </c>
      <c r="D958" s="421" t="s">
        <v>1689</v>
      </c>
      <c r="H958" s="421"/>
      <c r="I958" s="421"/>
      <c r="J958" s="421"/>
      <c r="K958" s="421"/>
      <c r="L958" s="421"/>
      <c r="M958" s="421"/>
      <c r="N958" s="421"/>
      <c r="O958" s="421"/>
    </row>
    <row r="959" spans="3:15" ht="13.5" customHeight="1">
      <c r="C959" s="421" t="s">
        <v>1690</v>
      </c>
      <c r="D959" s="421" t="s">
        <v>1691</v>
      </c>
      <c r="H959" s="421"/>
      <c r="I959" s="421"/>
      <c r="J959" s="421"/>
      <c r="K959" s="421"/>
      <c r="L959" s="421"/>
      <c r="M959" s="421"/>
      <c r="N959" s="421"/>
      <c r="O959" s="421"/>
    </row>
    <row r="960" spans="3:15" ht="13.5" customHeight="1">
      <c r="C960" s="421" t="s">
        <v>1692</v>
      </c>
      <c r="D960" s="421" t="s">
        <v>1693</v>
      </c>
      <c r="H960" s="421"/>
      <c r="I960" s="421"/>
      <c r="J960" s="421"/>
      <c r="K960" s="421"/>
      <c r="L960" s="421"/>
      <c r="M960" s="421"/>
      <c r="N960" s="421"/>
      <c r="O960" s="421"/>
    </row>
    <row r="961" spans="3:15" ht="13.5" customHeight="1">
      <c r="C961" s="421" t="s">
        <v>1694</v>
      </c>
      <c r="D961" s="421" t="s">
        <v>1695</v>
      </c>
      <c r="H961" s="421"/>
      <c r="I961" s="421"/>
      <c r="J961" s="421"/>
      <c r="K961" s="421"/>
      <c r="L961" s="421"/>
      <c r="M961" s="421"/>
      <c r="N961" s="421"/>
      <c r="O961" s="421"/>
    </row>
    <row r="962" spans="3:15" ht="13.5" customHeight="1">
      <c r="C962" s="421" t="s">
        <v>1696</v>
      </c>
      <c r="D962" s="421" t="s">
        <v>1697</v>
      </c>
      <c r="H962" s="421"/>
      <c r="I962" s="421"/>
      <c r="J962" s="421"/>
      <c r="K962" s="421"/>
      <c r="L962" s="421"/>
      <c r="M962" s="421"/>
      <c r="N962" s="421"/>
      <c r="O962" s="421"/>
    </row>
    <row r="963" spans="3:15" ht="13.5" customHeight="1">
      <c r="C963" s="421" t="s">
        <v>1698</v>
      </c>
      <c r="D963" s="421" t="s">
        <v>1699</v>
      </c>
      <c r="H963" s="421"/>
      <c r="I963" s="421"/>
      <c r="J963" s="421"/>
      <c r="K963" s="421"/>
      <c r="L963" s="421"/>
      <c r="M963" s="421"/>
      <c r="N963" s="421"/>
      <c r="O963" s="421"/>
    </row>
    <row r="964" spans="3:15" ht="13.5" customHeight="1">
      <c r="C964" s="421" t="s">
        <v>1700</v>
      </c>
      <c r="D964" s="421" t="s">
        <v>1701</v>
      </c>
      <c r="H964" s="421"/>
      <c r="I964" s="421"/>
      <c r="J964" s="421"/>
      <c r="K964" s="421"/>
      <c r="L964" s="421"/>
      <c r="M964" s="421"/>
      <c r="N964" s="421"/>
      <c r="O964" s="421"/>
    </row>
    <row r="965" spans="3:15" ht="13.5" customHeight="1">
      <c r="C965" s="421" t="s">
        <v>1702</v>
      </c>
      <c r="D965" s="421" t="s">
        <v>1703</v>
      </c>
      <c r="H965" s="421"/>
      <c r="I965" s="421"/>
      <c r="J965" s="421"/>
      <c r="K965" s="421"/>
      <c r="L965" s="421"/>
      <c r="M965" s="421"/>
      <c r="N965" s="421"/>
      <c r="O965" s="421"/>
    </row>
    <row r="966" spans="3:15" ht="13.5" customHeight="1">
      <c r="C966" s="421" t="s">
        <v>1704</v>
      </c>
      <c r="D966" s="421" t="s">
        <v>1705</v>
      </c>
      <c r="H966" s="421"/>
      <c r="I966" s="421"/>
      <c r="J966" s="421"/>
      <c r="K966" s="421"/>
      <c r="L966" s="421"/>
      <c r="M966" s="421"/>
      <c r="N966" s="421"/>
      <c r="O966" s="421"/>
    </row>
    <row r="967" spans="3:15" ht="13.5" customHeight="1">
      <c r="C967" s="421" t="s">
        <v>1706</v>
      </c>
      <c r="D967" s="421" t="s">
        <v>1707</v>
      </c>
      <c r="H967" s="421"/>
      <c r="I967" s="421"/>
      <c r="J967" s="421"/>
      <c r="K967" s="421"/>
      <c r="L967" s="421"/>
      <c r="M967" s="421"/>
      <c r="N967" s="421"/>
      <c r="O967" s="421"/>
    </row>
    <row r="968" spans="3:15" ht="13.5" customHeight="1">
      <c r="C968" s="421" t="s">
        <v>1708</v>
      </c>
      <c r="D968" s="421" t="s">
        <v>1709</v>
      </c>
      <c r="H968" s="421"/>
      <c r="I968" s="421"/>
      <c r="J968" s="421"/>
      <c r="K968" s="421"/>
      <c r="L968" s="421"/>
      <c r="M968" s="421"/>
      <c r="N968" s="421"/>
      <c r="O968" s="421"/>
    </row>
    <row r="969" spans="3:15" ht="13.5" customHeight="1">
      <c r="C969" s="421" t="s">
        <v>1710</v>
      </c>
      <c r="D969" s="421" t="s">
        <v>1711</v>
      </c>
      <c r="H969" s="421"/>
      <c r="I969" s="421"/>
      <c r="J969" s="421"/>
      <c r="K969" s="421"/>
      <c r="L969" s="421"/>
      <c r="M969" s="421"/>
      <c r="N969" s="421"/>
      <c r="O969" s="421"/>
    </row>
    <row r="970" spans="3:15" ht="13.5" customHeight="1">
      <c r="C970" s="421" t="s">
        <v>1712</v>
      </c>
      <c r="D970" s="421" t="s">
        <v>1713</v>
      </c>
      <c r="H970" s="421"/>
      <c r="I970" s="421"/>
      <c r="J970" s="421"/>
      <c r="K970" s="421"/>
      <c r="L970" s="421"/>
      <c r="M970" s="421"/>
      <c r="N970" s="421"/>
      <c r="O970" s="421"/>
    </row>
    <row r="971" spans="3:15" ht="13.5" customHeight="1">
      <c r="C971" s="421" t="s">
        <v>1714</v>
      </c>
      <c r="D971" s="421" t="s">
        <v>1715</v>
      </c>
      <c r="H971" s="421"/>
      <c r="I971" s="421"/>
      <c r="J971" s="421"/>
      <c r="K971" s="421"/>
      <c r="L971" s="421"/>
      <c r="M971" s="421"/>
      <c r="N971" s="421"/>
      <c r="O971" s="421"/>
    </row>
    <row r="972" spans="3:15" ht="13.5" customHeight="1">
      <c r="C972" s="421" t="s">
        <v>1716</v>
      </c>
      <c r="D972" s="421" t="s">
        <v>1717</v>
      </c>
      <c r="H972" s="421"/>
      <c r="I972" s="421"/>
      <c r="J972" s="421"/>
      <c r="K972" s="421"/>
      <c r="L972" s="421"/>
      <c r="M972" s="421"/>
      <c r="N972" s="421"/>
      <c r="O972" s="421"/>
    </row>
    <row r="973" spans="3:15" ht="13.5" customHeight="1">
      <c r="C973" s="421" t="s">
        <v>1718</v>
      </c>
      <c r="D973" s="421" t="s">
        <v>1719</v>
      </c>
      <c r="H973" s="421"/>
      <c r="I973" s="421"/>
      <c r="J973" s="421"/>
      <c r="K973" s="421"/>
      <c r="L973" s="421"/>
      <c r="M973" s="421"/>
      <c r="N973" s="421"/>
      <c r="O973" s="421"/>
    </row>
    <row r="974" spans="3:15" ht="13.5" customHeight="1">
      <c r="C974" s="421" t="s">
        <v>1720</v>
      </c>
      <c r="D974" s="421" t="s">
        <v>1721</v>
      </c>
      <c r="H974" s="421"/>
      <c r="I974" s="421"/>
      <c r="J974" s="421"/>
      <c r="K974" s="421"/>
      <c r="L974" s="421"/>
      <c r="M974" s="421"/>
      <c r="N974" s="421"/>
      <c r="O974" s="421"/>
    </row>
    <row r="975" spans="3:15" ht="13.5" customHeight="1">
      <c r="C975" s="421" t="s">
        <v>1722</v>
      </c>
      <c r="D975" s="421" t="s">
        <v>1723</v>
      </c>
      <c r="H975" s="421"/>
      <c r="I975" s="421"/>
      <c r="J975" s="421"/>
      <c r="K975" s="421"/>
      <c r="L975" s="421"/>
      <c r="M975" s="421"/>
      <c r="N975" s="421"/>
      <c r="O975" s="421"/>
    </row>
    <row r="976" spans="3:15" ht="13.5" customHeight="1">
      <c r="C976" s="421" t="s">
        <v>1724</v>
      </c>
      <c r="D976" s="421" t="s">
        <v>1725</v>
      </c>
      <c r="H976" s="421"/>
      <c r="I976" s="421"/>
      <c r="J976" s="421"/>
      <c r="K976" s="421"/>
      <c r="L976" s="421"/>
      <c r="M976" s="421"/>
      <c r="N976" s="421"/>
      <c r="O976" s="421"/>
    </row>
    <row r="977" spans="3:15" ht="13.5" customHeight="1">
      <c r="C977" s="421" t="s">
        <v>1726</v>
      </c>
      <c r="D977" s="421" t="s">
        <v>1727</v>
      </c>
      <c r="H977" s="421"/>
      <c r="I977" s="421"/>
      <c r="J977" s="421"/>
      <c r="K977" s="421"/>
      <c r="L977" s="421"/>
      <c r="M977" s="421"/>
      <c r="N977" s="421"/>
      <c r="O977" s="421"/>
    </row>
    <row r="978" spans="3:15" ht="13.5" customHeight="1">
      <c r="C978" s="421" t="s">
        <v>1728</v>
      </c>
      <c r="D978" s="421" t="s">
        <v>1729</v>
      </c>
      <c r="H978" s="421"/>
      <c r="I978" s="421"/>
      <c r="J978" s="421"/>
      <c r="K978" s="421"/>
      <c r="L978" s="421"/>
      <c r="M978" s="421"/>
      <c r="N978" s="421"/>
      <c r="O978" s="421"/>
    </row>
    <row r="979" spans="3:15" ht="13.5" customHeight="1">
      <c r="C979" s="421" t="s">
        <v>1730</v>
      </c>
      <c r="D979" s="421" t="s">
        <v>1731</v>
      </c>
      <c r="H979" s="421"/>
      <c r="I979" s="421"/>
      <c r="J979" s="421"/>
      <c r="K979" s="421"/>
      <c r="L979" s="421"/>
      <c r="M979" s="421"/>
      <c r="N979" s="421"/>
      <c r="O979" s="421"/>
    </row>
    <row r="980" spans="3:15" ht="13.5" customHeight="1">
      <c r="C980" s="421" t="s">
        <v>1732</v>
      </c>
      <c r="D980" s="421" t="s">
        <v>1733</v>
      </c>
      <c r="H980" s="421"/>
      <c r="I980" s="421"/>
      <c r="J980" s="421"/>
      <c r="K980" s="421"/>
      <c r="L980" s="421"/>
      <c r="M980" s="421"/>
      <c r="N980" s="421"/>
      <c r="O980" s="421"/>
    </row>
    <row r="981" spans="3:15" ht="13.5" customHeight="1">
      <c r="C981" s="421" t="s">
        <v>1734</v>
      </c>
      <c r="D981" s="421" t="s">
        <v>1735</v>
      </c>
      <c r="H981" s="421"/>
      <c r="I981" s="421"/>
      <c r="J981" s="421"/>
      <c r="K981" s="421"/>
      <c r="L981" s="421"/>
      <c r="M981" s="421"/>
      <c r="N981" s="421"/>
      <c r="O981" s="421"/>
    </row>
    <row r="982" spans="3:15" ht="13.5" customHeight="1">
      <c r="C982" s="421" t="s">
        <v>1736</v>
      </c>
      <c r="D982" s="421" t="s">
        <v>1737</v>
      </c>
      <c r="H982" s="421"/>
      <c r="I982" s="421"/>
      <c r="J982" s="421"/>
      <c r="K982" s="421"/>
      <c r="L982" s="421"/>
      <c r="M982" s="421"/>
      <c r="N982" s="421"/>
      <c r="O982" s="421"/>
    </row>
    <row r="983" spans="3:15" ht="13.5" customHeight="1">
      <c r="C983" s="421" t="s">
        <v>1738</v>
      </c>
      <c r="D983" s="421" t="s">
        <v>1739</v>
      </c>
      <c r="H983" s="421"/>
      <c r="I983" s="421"/>
      <c r="J983" s="421"/>
      <c r="K983" s="421"/>
      <c r="L983" s="421"/>
      <c r="M983" s="421"/>
      <c r="N983" s="421"/>
      <c r="O983" s="421"/>
    </row>
    <row r="984" spans="3:15" ht="13.5" customHeight="1">
      <c r="C984" s="421" t="s">
        <v>1740</v>
      </c>
      <c r="D984" s="421" t="s">
        <v>1741</v>
      </c>
      <c r="H984" s="421"/>
      <c r="I984" s="421"/>
      <c r="J984" s="421"/>
      <c r="K984" s="421"/>
      <c r="L984" s="421"/>
      <c r="M984" s="421"/>
      <c r="N984" s="421"/>
      <c r="O984" s="421"/>
    </row>
    <row r="985" spans="3:15" ht="13.5" customHeight="1">
      <c r="C985" s="421" t="s">
        <v>1742</v>
      </c>
      <c r="D985" s="421" t="s">
        <v>1743</v>
      </c>
      <c r="H985" s="421"/>
      <c r="I985" s="421"/>
      <c r="J985" s="421"/>
      <c r="K985" s="421"/>
      <c r="L985" s="421"/>
      <c r="M985" s="421"/>
      <c r="N985" s="421"/>
      <c r="O985" s="421"/>
    </row>
    <row r="986" spans="3:15" ht="13.5" customHeight="1">
      <c r="C986" s="421" t="s">
        <v>1744</v>
      </c>
      <c r="D986" s="421" t="s">
        <v>1745</v>
      </c>
      <c r="H986" s="421"/>
      <c r="I986" s="421"/>
      <c r="J986" s="421"/>
      <c r="K986" s="421"/>
      <c r="L986" s="421"/>
      <c r="M986" s="421"/>
      <c r="N986" s="421"/>
      <c r="O986" s="421"/>
    </row>
    <row r="987" spans="3:15" ht="13.5" customHeight="1">
      <c r="C987" s="421" t="s">
        <v>1746</v>
      </c>
      <c r="D987" s="421" t="s">
        <v>1747</v>
      </c>
      <c r="H987" s="421"/>
      <c r="I987" s="421"/>
      <c r="J987" s="421"/>
      <c r="K987" s="421"/>
      <c r="L987" s="421"/>
      <c r="M987" s="421"/>
      <c r="N987" s="421"/>
      <c r="O987" s="421"/>
    </row>
    <row r="988" spans="3:15" ht="13.5" customHeight="1">
      <c r="C988" s="421" t="s">
        <v>1748</v>
      </c>
      <c r="D988" s="421" t="s">
        <v>1749</v>
      </c>
      <c r="H988" s="421"/>
      <c r="I988" s="421"/>
      <c r="J988" s="421"/>
      <c r="K988" s="421"/>
      <c r="L988" s="421"/>
      <c r="M988" s="421"/>
      <c r="N988" s="421"/>
      <c r="O988" s="421"/>
    </row>
    <row r="989" spans="3:15" ht="13.5" customHeight="1">
      <c r="C989" s="421" t="s">
        <v>1750</v>
      </c>
      <c r="D989" s="421" t="s">
        <v>1751</v>
      </c>
      <c r="H989" s="421"/>
      <c r="I989" s="421"/>
      <c r="J989" s="421"/>
      <c r="K989" s="421"/>
      <c r="L989" s="421"/>
      <c r="M989" s="421"/>
      <c r="N989" s="421"/>
      <c r="O989" s="421"/>
    </row>
    <row r="990" spans="3:15" ht="13.5" customHeight="1">
      <c r="C990" s="421" t="s">
        <v>1752</v>
      </c>
      <c r="D990" s="421" t="s">
        <v>1753</v>
      </c>
      <c r="H990" s="421"/>
      <c r="I990" s="421"/>
      <c r="J990" s="421"/>
      <c r="K990" s="421"/>
      <c r="L990" s="421"/>
      <c r="M990" s="421"/>
      <c r="N990" s="421"/>
      <c r="O990" s="421"/>
    </row>
    <row r="991" spans="3:15" ht="13.5" customHeight="1">
      <c r="C991" s="421" t="s">
        <v>1754</v>
      </c>
      <c r="D991" s="421" t="s">
        <v>1755</v>
      </c>
      <c r="H991" s="421"/>
      <c r="I991" s="421"/>
      <c r="J991" s="421"/>
      <c r="K991" s="421"/>
      <c r="L991" s="421"/>
      <c r="M991" s="421"/>
      <c r="N991" s="421"/>
      <c r="O991" s="421"/>
    </row>
    <row r="992" spans="3:15" ht="13.5" customHeight="1">
      <c r="C992" s="421" t="s">
        <v>1756</v>
      </c>
      <c r="D992" s="421" t="s">
        <v>1757</v>
      </c>
      <c r="H992" s="421"/>
      <c r="I992" s="421"/>
      <c r="J992" s="421"/>
      <c r="K992" s="421"/>
      <c r="L992" s="421"/>
      <c r="M992" s="421"/>
      <c r="N992" s="421"/>
      <c r="O992" s="421"/>
    </row>
    <row r="993" spans="3:15" ht="13.5" customHeight="1">
      <c r="C993" s="421" t="s">
        <v>1758</v>
      </c>
      <c r="D993" s="421" t="s">
        <v>1759</v>
      </c>
      <c r="H993" s="421"/>
      <c r="I993" s="421"/>
      <c r="J993" s="421"/>
      <c r="K993" s="421"/>
      <c r="L993" s="421"/>
      <c r="M993" s="421"/>
      <c r="N993" s="421"/>
      <c r="O993" s="421"/>
    </row>
    <row r="994" spans="3:15" ht="13.5" customHeight="1">
      <c r="C994" s="421" t="s">
        <v>1760</v>
      </c>
      <c r="D994" s="421" t="s">
        <v>1761</v>
      </c>
      <c r="H994" s="421"/>
      <c r="I994" s="421"/>
      <c r="J994" s="421"/>
      <c r="K994" s="421"/>
      <c r="L994" s="421"/>
      <c r="M994" s="421"/>
      <c r="N994" s="421"/>
      <c r="O994" s="421"/>
    </row>
    <row r="995" spans="3:15" ht="13.5" customHeight="1">
      <c r="C995" s="421" t="s">
        <v>1762</v>
      </c>
      <c r="D995" s="421" t="s">
        <v>1763</v>
      </c>
      <c r="H995" s="421"/>
      <c r="I995" s="421"/>
      <c r="J995" s="421"/>
      <c r="K995" s="421"/>
      <c r="L995" s="421"/>
      <c r="M995" s="421"/>
      <c r="N995" s="421"/>
      <c r="O995" s="421"/>
    </row>
    <row r="996" spans="3:15" ht="13.5" customHeight="1">
      <c r="C996" s="421" t="s">
        <v>1764</v>
      </c>
      <c r="D996" s="421" t="s">
        <v>1765</v>
      </c>
      <c r="H996" s="421"/>
      <c r="I996" s="421"/>
      <c r="J996" s="421"/>
      <c r="K996" s="421"/>
      <c r="L996" s="421"/>
      <c r="M996" s="421"/>
      <c r="N996" s="421"/>
      <c r="O996" s="421"/>
    </row>
    <row r="997" spans="3:15" ht="13.5" customHeight="1">
      <c r="C997" s="421" t="s">
        <v>1766</v>
      </c>
      <c r="D997" s="421" t="s">
        <v>1767</v>
      </c>
      <c r="H997" s="421"/>
      <c r="I997" s="421"/>
      <c r="J997" s="421"/>
      <c r="K997" s="421"/>
      <c r="L997" s="421"/>
      <c r="M997" s="421"/>
      <c r="N997" s="421"/>
      <c r="O997" s="421"/>
    </row>
    <row r="998" spans="3:15" ht="13.5" customHeight="1">
      <c r="C998" s="421" t="s">
        <v>1768</v>
      </c>
      <c r="D998" s="421" t="s">
        <v>1769</v>
      </c>
      <c r="H998" s="421"/>
      <c r="I998" s="421"/>
      <c r="J998" s="421"/>
      <c r="K998" s="421"/>
      <c r="L998" s="421"/>
      <c r="M998" s="421"/>
      <c r="N998" s="421"/>
      <c r="O998" s="421"/>
    </row>
    <row r="999" spans="3:15" ht="13.5" customHeight="1">
      <c r="C999" s="421" t="s">
        <v>1770</v>
      </c>
      <c r="D999" s="421" t="s">
        <v>1771</v>
      </c>
      <c r="H999" s="421"/>
      <c r="I999" s="421"/>
      <c r="J999" s="421"/>
      <c r="K999" s="421"/>
      <c r="L999" s="421"/>
      <c r="M999" s="421"/>
      <c r="N999" s="421"/>
      <c r="O999" s="421"/>
    </row>
    <row r="1000" spans="3:15" ht="13.5" customHeight="1">
      <c r="C1000" s="421" t="s">
        <v>1772</v>
      </c>
      <c r="D1000" s="421" t="s">
        <v>1773</v>
      </c>
      <c r="H1000" s="421"/>
      <c r="I1000" s="421"/>
      <c r="J1000" s="421"/>
      <c r="K1000" s="421"/>
      <c r="L1000" s="421"/>
      <c r="M1000" s="421"/>
      <c r="N1000" s="421"/>
      <c r="O1000" s="421"/>
    </row>
    <row r="1001" spans="3:15" ht="13.5" customHeight="1">
      <c r="C1001" s="421" t="s">
        <v>1774</v>
      </c>
      <c r="D1001" s="421" t="s">
        <v>1775</v>
      </c>
      <c r="H1001" s="421"/>
      <c r="I1001" s="421"/>
      <c r="J1001" s="421"/>
      <c r="K1001" s="421"/>
      <c r="L1001" s="421"/>
      <c r="M1001" s="421"/>
      <c r="N1001" s="421"/>
      <c r="O1001" s="421"/>
    </row>
    <row r="1002" spans="3:15" ht="13.5" customHeight="1">
      <c r="C1002" s="421" t="s">
        <v>1776</v>
      </c>
      <c r="D1002" s="421" t="s">
        <v>1777</v>
      </c>
      <c r="H1002" s="421"/>
      <c r="I1002" s="421"/>
      <c r="J1002" s="421"/>
      <c r="K1002" s="421"/>
      <c r="L1002" s="421"/>
      <c r="M1002" s="421"/>
      <c r="N1002" s="421"/>
      <c r="O1002" s="421"/>
    </row>
    <row r="1003" spans="3:15" ht="13.5" customHeight="1">
      <c r="C1003" s="421" t="s">
        <v>1778</v>
      </c>
      <c r="D1003" s="421" t="s">
        <v>1779</v>
      </c>
      <c r="H1003" s="421"/>
      <c r="I1003" s="421"/>
      <c r="J1003" s="421"/>
      <c r="K1003" s="421"/>
      <c r="L1003" s="421"/>
      <c r="M1003" s="421"/>
      <c r="N1003" s="421"/>
      <c r="O1003" s="421"/>
    </row>
    <row r="1004" spans="3:15" ht="13.5" customHeight="1">
      <c r="C1004" s="421" t="s">
        <v>1780</v>
      </c>
      <c r="D1004" s="421" t="s">
        <v>1781</v>
      </c>
      <c r="H1004" s="421"/>
      <c r="I1004" s="421"/>
      <c r="J1004" s="421"/>
      <c r="K1004" s="421"/>
      <c r="L1004" s="421"/>
      <c r="M1004" s="421"/>
      <c r="N1004" s="421"/>
      <c r="O1004" s="421"/>
    </row>
    <row r="1005" spans="3:15" ht="13.5" customHeight="1">
      <c r="C1005" s="421" t="s">
        <v>1782</v>
      </c>
      <c r="D1005" s="421" t="s">
        <v>1783</v>
      </c>
      <c r="H1005" s="421"/>
      <c r="I1005" s="421"/>
      <c r="J1005" s="421"/>
      <c r="K1005" s="421"/>
      <c r="L1005" s="421"/>
      <c r="M1005" s="421"/>
      <c r="N1005" s="421"/>
      <c r="O1005" s="421"/>
    </row>
    <row r="1006" spans="3:15" ht="13.5" customHeight="1">
      <c r="C1006" s="421" t="s">
        <v>1784</v>
      </c>
      <c r="D1006" s="421" t="s">
        <v>1785</v>
      </c>
      <c r="H1006" s="421"/>
      <c r="I1006" s="421"/>
      <c r="J1006" s="421"/>
      <c r="K1006" s="421"/>
      <c r="L1006" s="421"/>
      <c r="M1006" s="421"/>
      <c r="N1006" s="421"/>
      <c r="O1006" s="421"/>
    </row>
    <row r="1007" spans="3:15" ht="13.5" customHeight="1">
      <c r="C1007" s="421" t="s">
        <v>1786</v>
      </c>
      <c r="D1007" s="421" t="s">
        <v>1787</v>
      </c>
      <c r="H1007" s="421"/>
      <c r="I1007" s="421"/>
      <c r="J1007" s="421"/>
      <c r="K1007" s="421"/>
      <c r="L1007" s="421"/>
      <c r="M1007" s="421"/>
      <c r="N1007" s="421"/>
      <c r="O1007" s="421"/>
    </row>
    <row r="1008" spans="3:15" ht="13.5" customHeight="1">
      <c r="C1008" s="421" t="s">
        <v>1788</v>
      </c>
      <c r="D1008" s="421" t="s">
        <v>1789</v>
      </c>
      <c r="H1008" s="421"/>
      <c r="I1008" s="421"/>
      <c r="J1008" s="421"/>
      <c r="K1008" s="421"/>
      <c r="L1008" s="421"/>
      <c r="M1008" s="421"/>
      <c r="N1008" s="421"/>
      <c r="O1008" s="421"/>
    </row>
    <row r="1009" spans="3:15" ht="13.5" customHeight="1">
      <c r="C1009" s="421" t="s">
        <v>1790</v>
      </c>
      <c r="D1009" s="421" t="s">
        <v>1791</v>
      </c>
      <c r="H1009" s="421"/>
      <c r="I1009" s="421"/>
      <c r="J1009" s="421"/>
      <c r="K1009" s="421"/>
      <c r="L1009" s="421"/>
      <c r="M1009" s="421"/>
      <c r="N1009" s="421"/>
      <c r="O1009" s="421"/>
    </row>
    <row r="1010" spans="3:15" ht="13.5" customHeight="1">
      <c r="C1010" s="421" t="s">
        <v>1792</v>
      </c>
      <c r="D1010" s="421" t="s">
        <v>1793</v>
      </c>
      <c r="H1010" s="421"/>
      <c r="I1010" s="421"/>
      <c r="J1010" s="421"/>
      <c r="K1010" s="421"/>
      <c r="L1010" s="421"/>
      <c r="M1010" s="421"/>
      <c r="N1010" s="421"/>
      <c r="O1010" s="421"/>
    </row>
    <row r="1011" spans="3:15" ht="13.5" customHeight="1">
      <c r="C1011" s="421" t="s">
        <v>1794</v>
      </c>
      <c r="D1011" s="421" t="s">
        <v>1795</v>
      </c>
      <c r="H1011" s="421"/>
      <c r="I1011" s="421"/>
      <c r="J1011" s="421"/>
      <c r="K1011" s="421"/>
      <c r="L1011" s="421"/>
      <c r="M1011" s="421"/>
      <c r="N1011" s="421"/>
      <c r="O1011" s="421"/>
    </row>
    <row r="1012" spans="3:15" ht="13.5" customHeight="1">
      <c r="C1012" s="421" t="s">
        <v>1796</v>
      </c>
      <c r="D1012" s="421" t="s">
        <v>1797</v>
      </c>
      <c r="H1012" s="421"/>
      <c r="I1012" s="421"/>
      <c r="J1012" s="421"/>
      <c r="K1012" s="421"/>
      <c r="L1012" s="421"/>
      <c r="M1012" s="421"/>
      <c r="N1012" s="421"/>
      <c r="O1012" s="421"/>
    </row>
    <row r="1013" spans="3:15" ht="13.5" customHeight="1">
      <c r="C1013" s="421" t="s">
        <v>1798</v>
      </c>
      <c r="D1013" s="421" t="s">
        <v>1799</v>
      </c>
      <c r="H1013" s="421"/>
      <c r="I1013" s="421"/>
      <c r="J1013" s="421"/>
      <c r="K1013" s="421"/>
      <c r="L1013" s="421"/>
      <c r="M1013" s="421"/>
      <c r="N1013" s="421"/>
      <c r="O1013" s="421"/>
    </row>
    <row r="1014" spans="3:15" ht="13.5" customHeight="1">
      <c r="C1014" s="421" t="s">
        <v>1800</v>
      </c>
      <c r="D1014" s="421" t="s">
        <v>1801</v>
      </c>
      <c r="H1014" s="421"/>
      <c r="I1014" s="421"/>
      <c r="J1014" s="421"/>
      <c r="K1014" s="421"/>
      <c r="L1014" s="421"/>
      <c r="M1014" s="421"/>
      <c r="N1014" s="421"/>
      <c r="O1014" s="421"/>
    </row>
    <row r="1015" spans="3:15" ht="13.5" customHeight="1">
      <c r="C1015" s="421" t="s">
        <v>1802</v>
      </c>
      <c r="D1015" s="421" t="s">
        <v>1803</v>
      </c>
      <c r="H1015" s="421"/>
      <c r="I1015" s="421"/>
      <c r="J1015" s="421"/>
      <c r="K1015" s="421"/>
      <c r="L1015" s="421"/>
      <c r="M1015" s="421"/>
      <c r="N1015" s="421"/>
      <c r="O1015" s="421"/>
    </row>
    <row r="1016" spans="3:15" ht="13.5" customHeight="1">
      <c r="C1016" s="421" t="s">
        <v>1804</v>
      </c>
      <c r="D1016" s="421" t="s">
        <v>1805</v>
      </c>
      <c r="H1016" s="421"/>
      <c r="I1016" s="421"/>
      <c r="J1016" s="421"/>
      <c r="K1016" s="421"/>
      <c r="L1016" s="421"/>
      <c r="M1016" s="421"/>
      <c r="N1016" s="421"/>
      <c r="O1016" s="421"/>
    </row>
    <row r="1017" spans="3:15" ht="13.5" customHeight="1">
      <c r="C1017" s="421" t="s">
        <v>1806</v>
      </c>
      <c r="D1017" s="421" t="s">
        <v>1807</v>
      </c>
      <c r="H1017" s="421"/>
      <c r="I1017" s="421"/>
      <c r="J1017" s="421"/>
      <c r="K1017" s="421"/>
      <c r="L1017" s="421"/>
      <c r="M1017" s="421"/>
      <c r="N1017" s="421"/>
      <c r="O1017" s="421"/>
    </row>
    <row r="1018" spans="3:15" ht="13.5" customHeight="1">
      <c r="C1018" s="421" t="s">
        <v>1808</v>
      </c>
      <c r="D1018" s="421" t="s">
        <v>1809</v>
      </c>
      <c r="H1018" s="421"/>
      <c r="I1018" s="421"/>
      <c r="J1018" s="421"/>
      <c r="K1018" s="421"/>
      <c r="L1018" s="421"/>
      <c r="M1018" s="421"/>
      <c r="N1018" s="421"/>
      <c r="O1018" s="421"/>
    </row>
    <row r="1019" spans="3:15" ht="13.5" customHeight="1">
      <c r="C1019" s="421" t="s">
        <v>1810</v>
      </c>
      <c r="D1019" s="421" t="s">
        <v>1811</v>
      </c>
      <c r="H1019" s="421"/>
      <c r="I1019" s="421"/>
      <c r="J1019" s="421"/>
      <c r="K1019" s="421"/>
      <c r="L1019" s="421"/>
      <c r="M1019" s="421"/>
      <c r="N1019" s="421"/>
      <c r="O1019" s="421"/>
    </row>
    <row r="1020" spans="3:15" ht="13.5" customHeight="1">
      <c r="C1020" s="421" t="s">
        <v>1812</v>
      </c>
      <c r="D1020" s="421" t="s">
        <v>1813</v>
      </c>
      <c r="H1020" s="421"/>
      <c r="I1020" s="421"/>
      <c r="J1020" s="421"/>
      <c r="K1020" s="421"/>
      <c r="L1020" s="421"/>
      <c r="M1020" s="421"/>
      <c r="N1020" s="421"/>
      <c r="O1020" s="421"/>
    </row>
    <row r="1021" spans="3:15" ht="13.5" customHeight="1">
      <c r="C1021" s="421" t="s">
        <v>1814</v>
      </c>
      <c r="D1021" s="421" t="s">
        <v>1815</v>
      </c>
      <c r="H1021" s="421"/>
      <c r="I1021" s="421"/>
      <c r="J1021" s="421"/>
      <c r="K1021" s="421"/>
      <c r="L1021" s="421"/>
      <c r="M1021" s="421"/>
      <c r="N1021" s="421"/>
      <c r="O1021" s="421"/>
    </row>
    <row r="1022" spans="3:15" ht="13.5" customHeight="1">
      <c r="C1022" s="421" t="s">
        <v>1816</v>
      </c>
      <c r="D1022" s="421" t="s">
        <v>1817</v>
      </c>
      <c r="H1022" s="421"/>
      <c r="I1022" s="421"/>
      <c r="J1022" s="421"/>
      <c r="K1022" s="421"/>
      <c r="L1022" s="421"/>
      <c r="M1022" s="421"/>
      <c r="N1022" s="421"/>
      <c r="O1022" s="421"/>
    </row>
    <row r="1023" spans="3:15" ht="13.5" customHeight="1">
      <c r="C1023" s="421" t="s">
        <v>1818</v>
      </c>
      <c r="D1023" s="421" t="s">
        <v>1819</v>
      </c>
      <c r="H1023" s="421"/>
      <c r="I1023" s="421"/>
      <c r="J1023" s="421"/>
      <c r="K1023" s="421"/>
      <c r="L1023" s="421"/>
      <c r="M1023" s="421"/>
      <c r="N1023" s="421"/>
      <c r="O1023" s="421"/>
    </row>
    <row r="1024" spans="3:15" ht="13.5" customHeight="1">
      <c r="C1024" s="421" t="s">
        <v>1820</v>
      </c>
      <c r="D1024" s="421" t="s">
        <v>1821</v>
      </c>
      <c r="H1024" s="421"/>
      <c r="I1024" s="421"/>
      <c r="J1024" s="421"/>
      <c r="K1024" s="421"/>
      <c r="L1024" s="421"/>
      <c r="M1024" s="421"/>
      <c r="N1024" s="421"/>
      <c r="O1024" s="421"/>
    </row>
    <row r="1025" spans="3:15" ht="13.5" customHeight="1">
      <c r="C1025" s="421" t="s">
        <v>1822</v>
      </c>
      <c r="D1025" s="421" t="s">
        <v>1823</v>
      </c>
      <c r="H1025" s="421"/>
      <c r="I1025" s="421"/>
      <c r="J1025" s="421"/>
      <c r="K1025" s="421"/>
      <c r="L1025" s="421"/>
      <c r="M1025" s="421"/>
      <c r="N1025" s="421"/>
      <c r="O1025" s="421"/>
    </row>
    <row r="1026" spans="3:15" ht="13.5" customHeight="1">
      <c r="C1026" s="421" t="s">
        <v>1824</v>
      </c>
      <c r="D1026" s="421" t="s">
        <v>1825</v>
      </c>
      <c r="H1026" s="421"/>
      <c r="I1026" s="421"/>
      <c r="J1026" s="421"/>
      <c r="K1026" s="421"/>
      <c r="L1026" s="421"/>
      <c r="M1026" s="421"/>
      <c r="N1026" s="421"/>
      <c r="O1026" s="421"/>
    </row>
    <row r="1027" spans="3:15" ht="13.5" customHeight="1">
      <c r="C1027" s="421" t="s">
        <v>1826</v>
      </c>
      <c r="D1027" s="421" t="s">
        <v>1827</v>
      </c>
      <c r="H1027" s="421"/>
      <c r="I1027" s="421"/>
      <c r="J1027" s="421"/>
      <c r="K1027" s="421"/>
      <c r="L1027" s="421"/>
      <c r="M1027" s="421"/>
      <c r="N1027" s="421"/>
      <c r="O1027" s="421"/>
    </row>
    <row r="1028" spans="3:15" ht="13.5" customHeight="1">
      <c r="C1028" s="421" t="s">
        <v>1828</v>
      </c>
      <c r="D1028" s="421" t="s">
        <v>1829</v>
      </c>
      <c r="H1028" s="421"/>
      <c r="I1028" s="421"/>
      <c r="J1028" s="421"/>
      <c r="K1028" s="421"/>
      <c r="L1028" s="421"/>
      <c r="M1028" s="421"/>
      <c r="N1028" s="421"/>
      <c r="O1028" s="421"/>
    </row>
    <row r="1029" spans="3:15" ht="13.5" customHeight="1">
      <c r="C1029" s="421" t="s">
        <v>1830</v>
      </c>
      <c r="D1029" s="421" t="s">
        <v>1831</v>
      </c>
      <c r="H1029" s="421"/>
      <c r="I1029" s="421"/>
      <c r="J1029" s="421"/>
      <c r="K1029" s="421"/>
      <c r="L1029" s="421"/>
      <c r="M1029" s="421"/>
      <c r="N1029" s="421"/>
      <c r="O1029" s="421"/>
    </row>
    <row r="1030" spans="3:15" ht="13.5" customHeight="1">
      <c r="C1030" s="421" t="s">
        <v>1832</v>
      </c>
      <c r="D1030" s="421" t="s">
        <v>1833</v>
      </c>
      <c r="H1030" s="421"/>
      <c r="I1030" s="421"/>
      <c r="J1030" s="421"/>
      <c r="K1030" s="421"/>
      <c r="L1030" s="421"/>
      <c r="M1030" s="421"/>
      <c r="N1030" s="421"/>
      <c r="O1030" s="421"/>
    </row>
    <row r="1031" spans="3:15" ht="13.5" customHeight="1">
      <c r="C1031" s="421" t="s">
        <v>1834</v>
      </c>
      <c r="D1031" s="421" t="s">
        <v>1835</v>
      </c>
      <c r="H1031" s="421"/>
      <c r="I1031" s="421"/>
      <c r="J1031" s="421"/>
      <c r="K1031" s="421"/>
      <c r="L1031" s="421"/>
      <c r="M1031" s="421"/>
      <c r="N1031" s="421"/>
      <c r="O1031" s="421"/>
    </row>
    <row r="1032" spans="3:15" ht="13.5" customHeight="1">
      <c r="C1032" s="421" t="s">
        <v>1836</v>
      </c>
      <c r="D1032" s="421" t="s">
        <v>1837</v>
      </c>
      <c r="H1032" s="421"/>
      <c r="I1032" s="421"/>
      <c r="J1032" s="421"/>
      <c r="K1032" s="421"/>
      <c r="L1032" s="421"/>
      <c r="M1032" s="421"/>
      <c r="N1032" s="421"/>
      <c r="O1032" s="421"/>
    </row>
    <row r="1033" spans="3:15" ht="13.5" customHeight="1">
      <c r="C1033" s="421" t="s">
        <v>1838</v>
      </c>
      <c r="D1033" s="421" t="s">
        <v>1839</v>
      </c>
      <c r="H1033" s="421"/>
      <c r="I1033" s="421"/>
      <c r="J1033" s="421"/>
      <c r="K1033" s="421"/>
      <c r="L1033" s="421"/>
      <c r="M1033" s="421"/>
      <c r="N1033" s="421"/>
      <c r="O1033" s="421"/>
    </row>
    <row r="1034" spans="3:15" ht="13.5" customHeight="1">
      <c r="C1034" s="421" t="s">
        <v>1840</v>
      </c>
      <c r="D1034" s="421" t="s">
        <v>1841</v>
      </c>
      <c r="H1034" s="421"/>
      <c r="I1034" s="421"/>
      <c r="J1034" s="421"/>
      <c r="K1034" s="421"/>
      <c r="L1034" s="421"/>
      <c r="M1034" s="421"/>
      <c r="N1034" s="421"/>
      <c r="O1034" s="421"/>
    </row>
    <row r="1035" spans="3:15" ht="13.5" customHeight="1">
      <c r="C1035" s="421" t="s">
        <v>1842</v>
      </c>
      <c r="D1035" s="421" t="s">
        <v>1843</v>
      </c>
      <c r="H1035" s="421"/>
      <c r="I1035" s="421"/>
      <c r="J1035" s="421"/>
      <c r="K1035" s="421"/>
      <c r="L1035" s="421"/>
      <c r="M1035" s="421"/>
      <c r="N1035" s="421"/>
      <c r="O1035" s="421"/>
    </row>
    <row r="1036" spans="3:15" ht="13.5" customHeight="1">
      <c r="C1036" s="421" t="s">
        <v>1844</v>
      </c>
      <c r="D1036" s="421" t="s">
        <v>1845</v>
      </c>
      <c r="H1036" s="421"/>
      <c r="I1036" s="421"/>
      <c r="J1036" s="421"/>
      <c r="K1036" s="421"/>
      <c r="L1036" s="421"/>
      <c r="M1036" s="421"/>
      <c r="N1036" s="421"/>
      <c r="O1036" s="421"/>
    </row>
    <row r="1037" spans="3:15" ht="13.5" customHeight="1">
      <c r="C1037" s="421" t="s">
        <v>1846</v>
      </c>
      <c r="D1037" s="421" t="s">
        <v>1847</v>
      </c>
      <c r="H1037" s="421"/>
      <c r="I1037" s="421"/>
      <c r="J1037" s="421"/>
      <c r="K1037" s="421"/>
      <c r="L1037" s="421"/>
      <c r="M1037" s="421"/>
      <c r="N1037" s="421"/>
      <c r="O1037" s="421"/>
    </row>
    <row r="1038" spans="3:15" ht="13.5" customHeight="1">
      <c r="C1038" s="421" t="s">
        <v>1848</v>
      </c>
      <c r="D1038" s="421" t="s">
        <v>1849</v>
      </c>
      <c r="H1038" s="421"/>
      <c r="I1038" s="421"/>
      <c r="J1038" s="421"/>
      <c r="K1038" s="421"/>
      <c r="L1038" s="421"/>
      <c r="M1038" s="421"/>
      <c r="N1038" s="421"/>
      <c r="O1038" s="421"/>
    </row>
    <row r="1039" spans="3:15" ht="13.5" customHeight="1">
      <c r="C1039" s="421" t="s">
        <v>1850</v>
      </c>
      <c r="D1039" s="421" t="s">
        <v>1851</v>
      </c>
      <c r="H1039" s="421"/>
      <c r="I1039" s="421"/>
      <c r="J1039" s="421"/>
      <c r="K1039" s="421"/>
      <c r="L1039" s="421"/>
      <c r="M1039" s="421"/>
      <c r="N1039" s="421"/>
      <c r="O1039" s="421"/>
    </row>
    <row r="1040" spans="3:15" ht="13.5" customHeight="1">
      <c r="C1040" s="421" t="s">
        <v>1852</v>
      </c>
      <c r="D1040" s="421" t="s">
        <v>1853</v>
      </c>
      <c r="H1040" s="421"/>
      <c r="I1040" s="421"/>
      <c r="J1040" s="421"/>
      <c r="K1040" s="421"/>
      <c r="L1040" s="421"/>
      <c r="M1040" s="421"/>
      <c r="N1040" s="421"/>
      <c r="O1040" s="421"/>
    </row>
    <row r="1041" spans="3:15" ht="13.5" customHeight="1">
      <c r="C1041" s="421" t="s">
        <v>1854</v>
      </c>
      <c r="D1041" s="421" t="s">
        <v>1855</v>
      </c>
      <c r="H1041" s="421"/>
      <c r="I1041" s="421"/>
      <c r="J1041" s="421"/>
      <c r="K1041" s="421"/>
      <c r="L1041" s="421"/>
      <c r="M1041" s="421"/>
      <c r="N1041" s="421"/>
      <c r="O1041" s="421"/>
    </row>
    <row r="1042" spans="3:15" ht="13.5" customHeight="1">
      <c r="C1042" s="421" t="s">
        <v>1856</v>
      </c>
      <c r="D1042" s="421" t="s">
        <v>1857</v>
      </c>
      <c r="H1042" s="421"/>
      <c r="I1042" s="421"/>
      <c r="J1042" s="421"/>
      <c r="K1042" s="421"/>
      <c r="L1042" s="421"/>
      <c r="M1042" s="421"/>
      <c r="N1042" s="421"/>
      <c r="O1042" s="421"/>
    </row>
    <row r="1043" spans="3:15" ht="13.5" customHeight="1">
      <c r="C1043" s="421" t="s">
        <v>1858</v>
      </c>
      <c r="D1043" s="421" t="s">
        <v>1859</v>
      </c>
      <c r="H1043" s="421"/>
      <c r="I1043" s="421"/>
      <c r="J1043" s="421"/>
      <c r="K1043" s="421"/>
      <c r="L1043" s="421"/>
      <c r="M1043" s="421"/>
      <c r="N1043" s="421"/>
      <c r="O1043" s="421"/>
    </row>
    <row r="1044" spans="3:15" ht="13.5" customHeight="1">
      <c r="C1044" s="421" t="s">
        <v>1860</v>
      </c>
      <c r="D1044" s="421" t="s">
        <v>1861</v>
      </c>
      <c r="H1044" s="421"/>
      <c r="I1044" s="421"/>
      <c r="J1044" s="421"/>
      <c r="K1044" s="421"/>
      <c r="L1044" s="421"/>
      <c r="M1044" s="421"/>
      <c r="N1044" s="421"/>
      <c r="O1044" s="421"/>
    </row>
    <row r="1045" spans="3:15" ht="13.5" customHeight="1">
      <c r="C1045" s="421" t="s">
        <v>1862</v>
      </c>
      <c r="D1045" s="421" t="s">
        <v>1863</v>
      </c>
      <c r="H1045" s="421"/>
      <c r="I1045" s="421"/>
      <c r="J1045" s="421"/>
      <c r="K1045" s="421"/>
      <c r="L1045" s="421"/>
      <c r="M1045" s="421"/>
      <c r="N1045" s="421"/>
      <c r="O1045" s="421"/>
    </row>
    <row r="1046" spans="3:15" ht="13.5" customHeight="1">
      <c r="C1046" s="421" t="s">
        <v>1864</v>
      </c>
      <c r="D1046" s="421" t="s">
        <v>1865</v>
      </c>
      <c r="H1046" s="421"/>
      <c r="I1046" s="421"/>
      <c r="J1046" s="421"/>
      <c r="K1046" s="421"/>
      <c r="L1046" s="421"/>
      <c r="M1046" s="421"/>
      <c r="N1046" s="421"/>
      <c r="O1046" s="421"/>
    </row>
    <row r="1047" spans="3:15" ht="13.5" customHeight="1">
      <c r="C1047" s="421" t="s">
        <v>1866</v>
      </c>
      <c r="D1047" s="421" t="s">
        <v>1867</v>
      </c>
      <c r="H1047" s="421"/>
      <c r="I1047" s="421"/>
      <c r="J1047" s="421"/>
      <c r="K1047" s="421"/>
      <c r="L1047" s="421"/>
      <c r="M1047" s="421"/>
      <c r="N1047" s="421"/>
      <c r="O1047" s="421"/>
    </row>
    <row r="1048" spans="3:15" ht="13.5" customHeight="1">
      <c r="C1048" s="421" t="s">
        <v>1868</v>
      </c>
      <c r="D1048" s="421" t="s">
        <v>1869</v>
      </c>
      <c r="H1048" s="421"/>
      <c r="I1048" s="421"/>
      <c r="J1048" s="421"/>
      <c r="K1048" s="421"/>
      <c r="L1048" s="421"/>
      <c r="M1048" s="421"/>
      <c r="N1048" s="421"/>
      <c r="O1048" s="421"/>
    </row>
    <row r="1049" spans="3:15" ht="13.5" customHeight="1">
      <c r="C1049" s="421" t="s">
        <v>1870</v>
      </c>
      <c r="D1049" s="421" t="s">
        <v>1871</v>
      </c>
      <c r="H1049" s="421"/>
      <c r="I1049" s="421"/>
      <c r="J1049" s="421"/>
      <c r="K1049" s="421"/>
      <c r="L1049" s="421"/>
      <c r="M1049" s="421"/>
      <c r="N1049" s="421"/>
      <c r="O1049" s="421"/>
    </row>
    <row r="1050" spans="3:15" ht="13.5" customHeight="1">
      <c r="C1050" s="421" t="s">
        <v>1872</v>
      </c>
      <c r="D1050" s="421" t="s">
        <v>1873</v>
      </c>
      <c r="H1050" s="421"/>
      <c r="I1050" s="421"/>
      <c r="J1050" s="421"/>
      <c r="K1050" s="421"/>
      <c r="L1050" s="421"/>
      <c r="M1050" s="421"/>
      <c r="N1050" s="421"/>
      <c r="O1050" s="421"/>
    </row>
    <row r="1051" spans="3:15" ht="13.5" customHeight="1">
      <c r="C1051" s="421" t="s">
        <v>1874</v>
      </c>
      <c r="D1051" s="421" t="s">
        <v>1875</v>
      </c>
      <c r="H1051" s="421"/>
      <c r="I1051" s="421"/>
      <c r="J1051" s="421"/>
      <c r="K1051" s="421"/>
      <c r="L1051" s="421"/>
      <c r="M1051" s="421"/>
      <c r="N1051" s="421"/>
      <c r="O1051" s="421"/>
    </row>
    <row r="1052" spans="3:15" ht="13.5" customHeight="1">
      <c r="C1052" s="421" t="s">
        <v>1876</v>
      </c>
      <c r="D1052" s="421" t="s">
        <v>1877</v>
      </c>
      <c r="H1052" s="421"/>
      <c r="I1052" s="421"/>
      <c r="J1052" s="421"/>
      <c r="K1052" s="421"/>
      <c r="L1052" s="421"/>
      <c r="M1052" s="421"/>
      <c r="N1052" s="421"/>
      <c r="O1052" s="421"/>
    </row>
    <row r="1053" spans="3:15" ht="13.5" customHeight="1">
      <c r="C1053" s="421" t="s">
        <v>1878</v>
      </c>
      <c r="D1053" s="421" t="s">
        <v>1879</v>
      </c>
      <c r="H1053" s="421"/>
      <c r="I1053" s="421"/>
      <c r="J1053" s="421"/>
      <c r="K1053" s="421"/>
      <c r="L1053" s="421"/>
      <c r="M1053" s="421"/>
      <c r="N1053" s="421"/>
      <c r="O1053" s="421"/>
    </row>
    <row r="1054" spans="3:15" ht="13.5" customHeight="1">
      <c r="C1054" s="421" t="s">
        <v>1880</v>
      </c>
      <c r="D1054" s="421" t="s">
        <v>1881</v>
      </c>
      <c r="H1054" s="421"/>
      <c r="I1054" s="421"/>
      <c r="J1054" s="421"/>
      <c r="K1054" s="421"/>
      <c r="L1054" s="421"/>
      <c r="M1054" s="421"/>
      <c r="N1054" s="421"/>
      <c r="O1054" s="421"/>
    </row>
    <row r="1055" spans="3:15" ht="13.5" customHeight="1">
      <c r="C1055" s="421" t="s">
        <v>1882</v>
      </c>
      <c r="D1055" s="421" t="s">
        <v>1883</v>
      </c>
      <c r="H1055" s="421"/>
      <c r="I1055" s="421"/>
      <c r="J1055" s="421"/>
      <c r="K1055" s="421"/>
      <c r="L1055" s="421"/>
      <c r="M1055" s="421"/>
      <c r="N1055" s="421"/>
      <c r="O1055" s="421"/>
    </row>
    <row r="1056" spans="3:15" ht="13.5" customHeight="1">
      <c r="C1056" s="421" t="s">
        <v>1884</v>
      </c>
      <c r="D1056" s="421" t="s">
        <v>1885</v>
      </c>
      <c r="H1056" s="421"/>
      <c r="I1056" s="421"/>
      <c r="J1056" s="421"/>
      <c r="K1056" s="421"/>
      <c r="L1056" s="421"/>
      <c r="M1056" s="421"/>
      <c r="N1056" s="421"/>
      <c r="O1056" s="421"/>
    </row>
    <row r="1057" spans="3:15" ht="13.5" customHeight="1">
      <c r="C1057" s="421" t="s">
        <v>1886</v>
      </c>
      <c r="D1057" s="421" t="s">
        <v>1887</v>
      </c>
      <c r="H1057" s="421"/>
      <c r="I1057" s="421"/>
      <c r="J1057" s="421"/>
      <c r="K1057" s="421"/>
      <c r="L1057" s="421"/>
      <c r="M1057" s="421"/>
      <c r="N1057" s="421"/>
      <c r="O1057" s="421"/>
    </row>
    <row r="1058" spans="3:15" ht="13.5" customHeight="1">
      <c r="C1058" s="421" t="s">
        <v>1888</v>
      </c>
      <c r="D1058" s="421" t="s">
        <v>1889</v>
      </c>
      <c r="H1058" s="421"/>
      <c r="I1058" s="421"/>
      <c r="J1058" s="421"/>
      <c r="K1058" s="421"/>
      <c r="L1058" s="421"/>
      <c r="M1058" s="421"/>
      <c r="N1058" s="421"/>
      <c r="O1058" s="421"/>
    </row>
    <row r="1059" spans="3:15" ht="13.5" customHeight="1">
      <c r="C1059" s="421" t="s">
        <v>1890</v>
      </c>
      <c r="D1059" s="421" t="s">
        <v>1891</v>
      </c>
      <c r="H1059" s="421"/>
      <c r="I1059" s="421"/>
      <c r="J1059" s="421"/>
      <c r="K1059" s="421"/>
      <c r="L1059" s="421"/>
      <c r="M1059" s="421"/>
      <c r="N1059" s="421"/>
      <c r="O1059" s="421"/>
    </row>
    <row r="1060" spans="3:15" ht="13.5" customHeight="1">
      <c r="C1060" s="421" t="s">
        <v>1892</v>
      </c>
      <c r="D1060" s="421" t="s">
        <v>1893</v>
      </c>
      <c r="H1060" s="421"/>
      <c r="I1060" s="421"/>
      <c r="J1060" s="421"/>
      <c r="K1060" s="421"/>
      <c r="L1060" s="421"/>
      <c r="M1060" s="421"/>
      <c r="N1060" s="421"/>
      <c r="O1060" s="421"/>
    </row>
    <row r="1061" spans="3:15" ht="13.5" customHeight="1">
      <c r="C1061" s="421" t="s">
        <v>1894</v>
      </c>
      <c r="D1061" s="421" t="s">
        <v>1895</v>
      </c>
      <c r="H1061" s="421"/>
      <c r="I1061" s="421"/>
      <c r="J1061" s="421"/>
      <c r="K1061" s="421"/>
      <c r="L1061" s="421"/>
      <c r="M1061" s="421"/>
      <c r="N1061" s="421"/>
      <c r="O1061" s="421"/>
    </row>
    <row r="1062" spans="3:15" ht="13.5" customHeight="1">
      <c r="C1062" s="421" t="s">
        <v>1896</v>
      </c>
      <c r="D1062" s="421" t="s">
        <v>1897</v>
      </c>
      <c r="H1062" s="421"/>
      <c r="I1062" s="421"/>
      <c r="J1062" s="421"/>
      <c r="K1062" s="421"/>
      <c r="L1062" s="421"/>
      <c r="M1062" s="421"/>
      <c r="N1062" s="421"/>
      <c r="O1062" s="421"/>
    </row>
    <row r="1063" spans="3:15" ht="13.5" customHeight="1">
      <c r="C1063" s="421" t="s">
        <v>1898</v>
      </c>
      <c r="D1063" s="421" t="s">
        <v>1899</v>
      </c>
      <c r="H1063" s="421"/>
      <c r="I1063" s="421"/>
      <c r="J1063" s="421"/>
      <c r="K1063" s="421"/>
      <c r="L1063" s="421"/>
      <c r="M1063" s="421"/>
      <c r="N1063" s="421"/>
      <c r="O1063" s="421"/>
    </row>
    <row r="1064" spans="3:15" ht="13.5" customHeight="1">
      <c r="C1064" s="421" t="s">
        <v>1900</v>
      </c>
      <c r="D1064" s="421" t="s">
        <v>1901</v>
      </c>
      <c r="H1064" s="421"/>
      <c r="I1064" s="421"/>
      <c r="J1064" s="421"/>
      <c r="K1064" s="421"/>
      <c r="L1064" s="421"/>
      <c r="M1064" s="421"/>
      <c r="N1064" s="421"/>
      <c r="O1064" s="421"/>
    </row>
    <row r="1065" spans="3:15" ht="13.5" customHeight="1">
      <c r="C1065" s="421" t="s">
        <v>1902</v>
      </c>
      <c r="D1065" s="421" t="s">
        <v>1903</v>
      </c>
      <c r="H1065" s="421"/>
      <c r="I1065" s="421"/>
      <c r="J1065" s="421"/>
      <c r="K1065" s="421"/>
      <c r="L1065" s="421"/>
      <c r="M1065" s="421"/>
      <c r="N1065" s="421"/>
      <c r="O1065" s="421"/>
    </row>
    <row r="1066" spans="3:15" ht="13.5" customHeight="1">
      <c r="C1066" s="421" t="s">
        <v>1904</v>
      </c>
      <c r="D1066" s="421" t="s">
        <v>1905</v>
      </c>
      <c r="H1066" s="421"/>
      <c r="I1066" s="421"/>
      <c r="J1066" s="421"/>
      <c r="K1066" s="421"/>
      <c r="L1066" s="421"/>
      <c r="M1066" s="421"/>
      <c r="N1066" s="421"/>
      <c r="O1066" s="421"/>
    </row>
    <row r="1067" spans="3:15" ht="13.5" customHeight="1">
      <c r="C1067" s="421" t="s">
        <v>1906</v>
      </c>
      <c r="D1067" s="421" t="s">
        <v>1907</v>
      </c>
      <c r="H1067" s="421"/>
      <c r="I1067" s="421"/>
      <c r="J1067" s="421"/>
      <c r="K1067" s="421"/>
      <c r="L1067" s="421"/>
      <c r="M1067" s="421"/>
      <c r="N1067" s="421"/>
      <c r="O1067" s="421"/>
    </row>
    <row r="1068" spans="3:15" ht="13.5" customHeight="1">
      <c r="C1068" s="421" t="s">
        <v>1908</v>
      </c>
      <c r="D1068" s="421" t="s">
        <v>1909</v>
      </c>
      <c r="H1068" s="421"/>
      <c r="I1068" s="421"/>
      <c r="J1068" s="421"/>
      <c r="K1068" s="421"/>
      <c r="L1068" s="421"/>
      <c r="M1068" s="421"/>
      <c r="N1068" s="421"/>
      <c r="O1068" s="421"/>
    </row>
    <row r="1069" spans="3:15" ht="13.5" customHeight="1">
      <c r="C1069" s="421" t="s">
        <v>1910</v>
      </c>
      <c r="D1069" s="421" t="s">
        <v>1911</v>
      </c>
      <c r="H1069" s="421"/>
      <c r="I1069" s="421"/>
      <c r="J1069" s="421"/>
      <c r="K1069" s="421"/>
      <c r="L1069" s="421"/>
      <c r="M1069" s="421"/>
      <c r="N1069" s="421"/>
      <c r="O1069" s="421"/>
    </row>
    <row r="1070" spans="3:15" ht="13.5" customHeight="1">
      <c r="C1070" s="421" t="s">
        <v>1912</v>
      </c>
      <c r="D1070" s="421" t="s">
        <v>1913</v>
      </c>
      <c r="H1070" s="421"/>
      <c r="I1070" s="421"/>
      <c r="J1070" s="421"/>
      <c r="K1070" s="421"/>
      <c r="L1070" s="421"/>
      <c r="M1070" s="421"/>
      <c r="N1070" s="421"/>
      <c r="O1070" s="421"/>
    </row>
    <row r="1071" spans="3:15" ht="13.5" customHeight="1">
      <c r="C1071" s="421" t="s">
        <v>1914</v>
      </c>
      <c r="D1071" s="421" t="s">
        <v>1915</v>
      </c>
      <c r="H1071" s="421"/>
      <c r="I1071" s="421"/>
      <c r="J1071" s="421"/>
      <c r="K1071" s="421"/>
      <c r="L1071" s="421"/>
      <c r="M1071" s="421"/>
      <c r="N1071" s="421"/>
      <c r="O1071" s="421"/>
    </row>
    <row r="1072" spans="3:15" ht="13.5" customHeight="1">
      <c r="C1072" s="421" t="s">
        <v>1916</v>
      </c>
      <c r="D1072" s="421" t="s">
        <v>1917</v>
      </c>
      <c r="H1072" s="421"/>
      <c r="I1072" s="421"/>
      <c r="J1072" s="421"/>
      <c r="K1072" s="421"/>
      <c r="L1072" s="421"/>
      <c r="M1072" s="421"/>
      <c r="N1072" s="421"/>
      <c r="O1072" s="421"/>
    </row>
    <row r="1073" spans="3:15" ht="13.5" customHeight="1">
      <c r="C1073" s="421" t="s">
        <v>1918</v>
      </c>
      <c r="D1073" s="421" t="s">
        <v>1919</v>
      </c>
      <c r="H1073" s="421"/>
      <c r="I1073" s="421"/>
      <c r="J1073" s="421"/>
      <c r="K1073" s="421"/>
      <c r="L1073" s="421"/>
      <c r="M1073" s="421"/>
      <c r="N1073" s="421"/>
      <c r="O1073" s="421"/>
    </row>
    <row r="1074" spans="3:15" ht="13.5" customHeight="1">
      <c r="C1074" s="421" t="s">
        <v>1920</v>
      </c>
      <c r="D1074" s="421" t="s">
        <v>1921</v>
      </c>
      <c r="H1074" s="421"/>
      <c r="I1074" s="421"/>
      <c r="J1074" s="421"/>
      <c r="K1074" s="421"/>
      <c r="L1074" s="421"/>
      <c r="M1074" s="421"/>
      <c r="N1074" s="421"/>
      <c r="O1074" s="421"/>
    </row>
    <row r="1075" spans="3:15" ht="13.5" customHeight="1">
      <c r="C1075" s="421" t="s">
        <v>1922</v>
      </c>
      <c r="D1075" s="421" t="s">
        <v>1923</v>
      </c>
      <c r="H1075" s="421"/>
      <c r="I1075" s="421"/>
      <c r="J1075" s="421"/>
      <c r="K1075" s="421"/>
      <c r="L1075" s="421"/>
      <c r="M1075" s="421"/>
      <c r="N1075" s="421"/>
      <c r="O1075" s="421"/>
    </row>
    <row r="1076" spans="3:15" ht="13.5" customHeight="1">
      <c r="C1076" s="421" t="s">
        <v>1924</v>
      </c>
      <c r="D1076" s="421" t="s">
        <v>1925</v>
      </c>
      <c r="H1076" s="421"/>
      <c r="I1076" s="421"/>
      <c r="J1076" s="421"/>
      <c r="K1076" s="421"/>
      <c r="L1076" s="421"/>
      <c r="M1076" s="421"/>
      <c r="N1076" s="421"/>
      <c r="O1076" s="421"/>
    </row>
    <row r="1077" spans="3:15" ht="13.5" customHeight="1">
      <c r="C1077" s="421" t="s">
        <v>1926</v>
      </c>
      <c r="D1077" s="421" t="s">
        <v>1927</v>
      </c>
      <c r="H1077" s="421"/>
      <c r="I1077" s="421"/>
      <c r="J1077" s="421"/>
      <c r="K1077" s="421"/>
      <c r="L1077" s="421"/>
      <c r="M1077" s="421"/>
      <c r="N1077" s="421"/>
      <c r="O1077" s="421"/>
    </row>
    <row r="1078" spans="3:15" ht="13.5" customHeight="1">
      <c r="C1078" s="421" t="s">
        <v>1928</v>
      </c>
      <c r="D1078" s="421" t="s">
        <v>1929</v>
      </c>
      <c r="H1078" s="421"/>
      <c r="I1078" s="421"/>
      <c r="J1078" s="421"/>
      <c r="K1078" s="421"/>
      <c r="L1078" s="421"/>
      <c r="M1078" s="421"/>
      <c r="N1078" s="421"/>
      <c r="O1078" s="421"/>
    </row>
    <row r="1079" spans="3:15" ht="13.5" customHeight="1">
      <c r="C1079" s="421" t="s">
        <v>1930</v>
      </c>
      <c r="D1079" s="421" t="s">
        <v>1931</v>
      </c>
      <c r="H1079" s="421"/>
      <c r="I1079" s="421"/>
      <c r="J1079" s="421"/>
      <c r="K1079" s="421"/>
      <c r="L1079" s="421"/>
      <c r="M1079" s="421"/>
      <c r="N1079" s="421"/>
      <c r="O1079" s="421"/>
    </row>
    <row r="1080" spans="3:15" ht="13.5" customHeight="1">
      <c r="C1080" s="421" t="s">
        <v>1932</v>
      </c>
      <c r="D1080" s="421" t="s">
        <v>1933</v>
      </c>
      <c r="H1080" s="421"/>
      <c r="I1080" s="421"/>
      <c r="J1080" s="421"/>
      <c r="K1080" s="421"/>
      <c r="L1080" s="421"/>
      <c r="M1080" s="421"/>
      <c r="N1080" s="421"/>
      <c r="O1080" s="421"/>
    </row>
    <row r="1081" spans="3:15" ht="13.5" customHeight="1">
      <c r="C1081" s="421" t="s">
        <v>1934</v>
      </c>
      <c r="D1081" s="421" t="s">
        <v>1935</v>
      </c>
      <c r="H1081" s="421"/>
      <c r="I1081" s="421"/>
      <c r="J1081" s="421"/>
      <c r="K1081" s="421"/>
      <c r="L1081" s="421"/>
      <c r="M1081" s="421"/>
      <c r="N1081" s="421"/>
      <c r="O1081" s="421"/>
    </row>
    <row r="1082" spans="3:15" ht="13.5" customHeight="1">
      <c r="C1082" s="421" t="s">
        <v>1936</v>
      </c>
      <c r="D1082" s="421" t="s">
        <v>1937</v>
      </c>
      <c r="H1082" s="421"/>
      <c r="I1082" s="421"/>
      <c r="J1082" s="421"/>
      <c r="K1082" s="421"/>
      <c r="L1082" s="421"/>
      <c r="M1082" s="421"/>
      <c r="N1082" s="421"/>
      <c r="O1082" s="421"/>
    </row>
    <row r="1083" spans="3:15" ht="13.5" customHeight="1">
      <c r="C1083" s="421" t="s">
        <v>1938</v>
      </c>
      <c r="D1083" s="421" t="s">
        <v>1939</v>
      </c>
      <c r="H1083" s="421"/>
      <c r="I1083" s="421"/>
      <c r="J1083" s="421"/>
      <c r="K1083" s="421"/>
      <c r="L1083" s="421"/>
      <c r="M1083" s="421"/>
      <c r="N1083" s="421"/>
      <c r="O1083" s="421"/>
    </row>
    <row r="1084" spans="3:15" ht="13.5" customHeight="1">
      <c r="C1084" s="421" t="s">
        <v>1940</v>
      </c>
      <c r="D1084" s="421" t="s">
        <v>1941</v>
      </c>
      <c r="H1084" s="421"/>
      <c r="I1084" s="421"/>
      <c r="J1084" s="421"/>
      <c r="K1084" s="421"/>
      <c r="L1084" s="421"/>
      <c r="M1084" s="421"/>
      <c r="N1084" s="421"/>
      <c r="O1084" s="421"/>
    </row>
    <row r="1085" spans="3:15" ht="13.5" customHeight="1">
      <c r="C1085" s="421" t="s">
        <v>1942</v>
      </c>
      <c r="D1085" s="421" t="s">
        <v>1943</v>
      </c>
      <c r="H1085" s="421"/>
      <c r="I1085" s="421"/>
      <c r="J1085" s="421"/>
      <c r="K1085" s="421"/>
      <c r="L1085" s="421"/>
      <c r="M1085" s="421"/>
      <c r="N1085" s="421"/>
      <c r="O1085" s="421"/>
    </row>
    <row r="1086" spans="3:15" ht="13.5" customHeight="1">
      <c r="C1086" s="421" t="s">
        <v>1944</v>
      </c>
      <c r="D1086" s="421" t="s">
        <v>1945</v>
      </c>
      <c r="H1086" s="421"/>
      <c r="I1086" s="421"/>
      <c r="J1086" s="421"/>
      <c r="K1086" s="421"/>
      <c r="L1086" s="421"/>
      <c r="M1086" s="421"/>
      <c r="N1086" s="421"/>
      <c r="O1086" s="421"/>
    </row>
    <row r="1087" spans="3:15" ht="13.5" customHeight="1">
      <c r="C1087" s="421" t="s">
        <v>1946</v>
      </c>
      <c r="D1087" s="421" t="s">
        <v>1947</v>
      </c>
      <c r="H1087" s="421"/>
      <c r="I1087" s="421"/>
      <c r="J1087" s="421"/>
      <c r="K1087" s="421"/>
      <c r="L1087" s="421"/>
      <c r="M1087" s="421"/>
      <c r="N1087" s="421"/>
      <c r="O1087" s="421"/>
    </row>
    <row r="1088" spans="3:15" ht="13.5" customHeight="1">
      <c r="C1088" s="421" t="s">
        <v>1948</v>
      </c>
      <c r="D1088" s="421" t="s">
        <v>1949</v>
      </c>
      <c r="H1088" s="421"/>
      <c r="I1088" s="421"/>
      <c r="J1088" s="421"/>
      <c r="K1088" s="421"/>
      <c r="L1088" s="421"/>
      <c r="M1088" s="421"/>
      <c r="N1088" s="421"/>
      <c r="O1088" s="421"/>
    </row>
    <row r="1089" spans="3:15" ht="13.5" customHeight="1">
      <c r="C1089" s="421" t="s">
        <v>1950</v>
      </c>
      <c r="D1089" s="421" t="s">
        <v>1951</v>
      </c>
      <c r="H1089" s="421"/>
      <c r="I1089" s="421"/>
      <c r="J1089" s="421"/>
      <c r="K1089" s="421"/>
      <c r="L1089" s="421"/>
      <c r="M1089" s="421"/>
      <c r="N1089" s="421"/>
      <c r="O1089" s="421"/>
    </row>
    <row r="1090" spans="3:15" ht="13.5" customHeight="1">
      <c r="C1090" s="421" t="s">
        <v>1952</v>
      </c>
      <c r="D1090" s="421" t="s">
        <v>1953</v>
      </c>
      <c r="H1090" s="421"/>
      <c r="I1090" s="421"/>
      <c r="J1090" s="421"/>
      <c r="K1090" s="421"/>
      <c r="L1090" s="421"/>
      <c r="M1090" s="421"/>
      <c r="N1090" s="421"/>
      <c r="O1090" s="421"/>
    </row>
    <row r="1091" spans="3:15" ht="13.5" customHeight="1">
      <c r="C1091" s="421" t="s">
        <v>1954</v>
      </c>
      <c r="D1091" s="421" t="s">
        <v>1955</v>
      </c>
      <c r="H1091" s="421"/>
      <c r="I1091" s="421"/>
      <c r="J1091" s="421"/>
      <c r="K1091" s="421"/>
      <c r="L1091" s="421"/>
      <c r="M1091" s="421"/>
      <c r="N1091" s="421"/>
      <c r="O1091" s="421"/>
    </row>
    <row r="1092" spans="3:15" ht="13.5" customHeight="1">
      <c r="C1092" s="421" t="s">
        <v>1956</v>
      </c>
      <c r="D1092" s="421" t="s">
        <v>1957</v>
      </c>
      <c r="H1092" s="421"/>
      <c r="I1092" s="421"/>
      <c r="J1092" s="421"/>
      <c r="K1092" s="421"/>
      <c r="L1092" s="421"/>
      <c r="M1092" s="421"/>
      <c r="N1092" s="421"/>
      <c r="O1092" s="421"/>
    </row>
    <row r="1093" spans="3:15" ht="13.5" customHeight="1">
      <c r="C1093" s="421" t="s">
        <v>1958</v>
      </c>
      <c r="D1093" s="421" t="s">
        <v>1959</v>
      </c>
      <c r="H1093" s="421"/>
      <c r="I1093" s="421"/>
      <c r="J1093" s="421"/>
      <c r="K1093" s="421"/>
      <c r="L1093" s="421"/>
      <c r="M1093" s="421"/>
      <c r="N1093" s="421"/>
      <c r="O1093" s="421"/>
    </row>
    <row r="1094" spans="3:15" ht="13.5" customHeight="1">
      <c r="C1094" s="421" t="s">
        <v>1960</v>
      </c>
      <c r="D1094" s="421" t="s">
        <v>1961</v>
      </c>
      <c r="H1094" s="421"/>
      <c r="I1094" s="421"/>
      <c r="J1094" s="421"/>
      <c r="K1094" s="421"/>
      <c r="L1094" s="421"/>
      <c r="M1094" s="421"/>
      <c r="N1094" s="421"/>
      <c r="O1094" s="421"/>
    </row>
    <row r="1095" spans="3:15" ht="13.5" customHeight="1">
      <c r="C1095" s="421" t="s">
        <v>1962</v>
      </c>
      <c r="D1095" s="421" t="s">
        <v>1963</v>
      </c>
      <c r="H1095" s="421"/>
      <c r="I1095" s="421"/>
      <c r="J1095" s="421"/>
      <c r="K1095" s="421"/>
      <c r="L1095" s="421"/>
      <c r="M1095" s="421"/>
      <c r="N1095" s="421"/>
      <c r="O1095" s="421"/>
    </row>
    <row r="1096" spans="3:15" ht="13.5" customHeight="1">
      <c r="C1096" s="421" t="s">
        <v>1964</v>
      </c>
      <c r="D1096" s="421" t="s">
        <v>1965</v>
      </c>
      <c r="H1096" s="421"/>
      <c r="I1096" s="421"/>
      <c r="J1096" s="421"/>
      <c r="K1096" s="421"/>
      <c r="L1096" s="421"/>
      <c r="M1096" s="421"/>
      <c r="N1096" s="421"/>
      <c r="O1096" s="421"/>
    </row>
    <row r="1097" spans="3:15" ht="13.5" customHeight="1">
      <c r="C1097" s="421" t="s">
        <v>1966</v>
      </c>
      <c r="D1097" s="421" t="s">
        <v>1967</v>
      </c>
      <c r="H1097" s="421"/>
      <c r="I1097" s="421"/>
      <c r="J1097" s="421"/>
      <c r="K1097" s="421"/>
      <c r="L1097" s="421"/>
      <c r="M1097" s="421"/>
      <c r="N1097" s="421"/>
      <c r="O1097" s="421"/>
    </row>
    <row r="1098" spans="3:15" ht="13.5" customHeight="1">
      <c r="C1098" s="421" t="s">
        <v>1968</v>
      </c>
      <c r="D1098" s="421" t="s">
        <v>1969</v>
      </c>
      <c r="H1098" s="421"/>
      <c r="I1098" s="421"/>
      <c r="J1098" s="421"/>
      <c r="K1098" s="421"/>
      <c r="L1098" s="421"/>
      <c r="M1098" s="421"/>
      <c r="N1098" s="421"/>
      <c r="O1098" s="421"/>
    </row>
    <row r="1099" spans="3:15" ht="13.5" customHeight="1">
      <c r="C1099" s="421" t="s">
        <v>1970</v>
      </c>
      <c r="D1099" s="421" t="s">
        <v>1971</v>
      </c>
      <c r="H1099" s="421"/>
      <c r="I1099" s="421"/>
      <c r="J1099" s="421"/>
      <c r="K1099" s="421"/>
      <c r="L1099" s="421"/>
      <c r="M1099" s="421"/>
      <c r="N1099" s="421"/>
      <c r="O1099" s="421"/>
    </row>
    <row r="1100" spans="3:15" ht="13.5" customHeight="1">
      <c r="C1100" s="421" t="s">
        <v>1972</v>
      </c>
      <c r="D1100" s="421" t="s">
        <v>1973</v>
      </c>
      <c r="H1100" s="421"/>
      <c r="I1100" s="421"/>
      <c r="J1100" s="421"/>
      <c r="K1100" s="421"/>
      <c r="L1100" s="421"/>
      <c r="M1100" s="421"/>
      <c r="N1100" s="421"/>
      <c r="O1100" s="421"/>
    </row>
    <row r="1101" spans="3:15" ht="13.5" customHeight="1">
      <c r="C1101" s="421" t="s">
        <v>1974</v>
      </c>
      <c r="D1101" s="421" t="s">
        <v>1975</v>
      </c>
      <c r="H1101" s="421"/>
      <c r="I1101" s="421"/>
      <c r="J1101" s="421"/>
      <c r="K1101" s="421"/>
      <c r="L1101" s="421"/>
      <c r="M1101" s="421"/>
      <c r="N1101" s="421"/>
      <c r="O1101" s="421"/>
    </row>
    <row r="1102" spans="3:15" ht="13.5" customHeight="1">
      <c r="C1102" s="421" t="s">
        <v>1976</v>
      </c>
      <c r="D1102" s="421" t="s">
        <v>1977</v>
      </c>
      <c r="H1102" s="421"/>
      <c r="I1102" s="421"/>
      <c r="J1102" s="421"/>
      <c r="K1102" s="421"/>
      <c r="L1102" s="421"/>
      <c r="M1102" s="421"/>
      <c r="N1102" s="421"/>
      <c r="O1102" s="421"/>
    </row>
    <row r="1103" spans="3:15" ht="13.5" customHeight="1">
      <c r="C1103" s="421" t="s">
        <v>1978</v>
      </c>
      <c r="D1103" s="421" t="s">
        <v>1979</v>
      </c>
      <c r="H1103" s="421"/>
      <c r="I1103" s="421"/>
      <c r="J1103" s="421"/>
      <c r="K1103" s="421"/>
      <c r="L1103" s="421"/>
      <c r="M1103" s="421"/>
      <c r="N1103" s="421"/>
      <c r="O1103" s="421"/>
    </row>
    <row r="1104" spans="3:15" ht="13.5" customHeight="1">
      <c r="C1104" s="421" t="s">
        <v>1980</v>
      </c>
      <c r="D1104" s="421" t="s">
        <v>1981</v>
      </c>
      <c r="H1104" s="421"/>
      <c r="I1104" s="421"/>
      <c r="J1104" s="421"/>
      <c r="K1104" s="421"/>
      <c r="L1104" s="421"/>
      <c r="M1104" s="421"/>
      <c r="N1104" s="421"/>
      <c r="O1104" s="421"/>
    </row>
    <row r="1105" spans="3:15" ht="13.5" customHeight="1">
      <c r="C1105" s="421" t="s">
        <v>1982</v>
      </c>
      <c r="D1105" s="421" t="s">
        <v>1983</v>
      </c>
      <c r="H1105" s="421"/>
      <c r="I1105" s="421"/>
      <c r="J1105" s="421"/>
      <c r="K1105" s="421"/>
      <c r="L1105" s="421"/>
      <c r="M1105" s="421"/>
      <c r="N1105" s="421"/>
      <c r="O1105" s="421"/>
    </row>
    <row r="1106" spans="3:15" ht="13.5" customHeight="1">
      <c r="C1106" s="421" t="s">
        <v>1984</v>
      </c>
      <c r="D1106" s="421" t="s">
        <v>1985</v>
      </c>
      <c r="H1106" s="421"/>
      <c r="I1106" s="421"/>
      <c r="J1106" s="421"/>
      <c r="K1106" s="421"/>
      <c r="L1106" s="421"/>
      <c r="M1106" s="421"/>
      <c r="N1106" s="421"/>
      <c r="O1106" s="421"/>
    </row>
    <row r="1107" spans="3:15" ht="13.5" customHeight="1">
      <c r="C1107" s="421" t="s">
        <v>1986</v>
      </c>
      <c r="D1107" s="421" t="s">
        <v>1987</v>
      </c>
      <c r="H1107" s="421"/>
      <c r="I1107" s="421"/>
      <c r="J1107" s="421"/>
      <c r="K1107" s="421"/>
      <c r="L1107" s="421"/>
      <c r="M1107" s="421"/>
      <c r="N1107" s="421"/>
      <c r="O1107" s="421"/>
    </row>
    <row r="1108" spans="3:15" ht="13.5" customHeight="1">
      <c r="C1108" s="421" t="s">
        <v>1988</v>
      </c>
      <c r="D1108" s="421" t="s">
        <v>1989</v>
      </c>
      <c r="H1108" s="421"/>
      <c r="I1108" s="421"/>
      <c r="J1108" s="421"/>
      <c r="K1108" s="421"/>
      <c r="L1108" s="421"/>
      <c r="M1108" s="421"/>
      <c r="N1108" s="421"/>
      <c r="O1108" s="421"/>
    </row>
    <row r="1109" spans="3:15" ht="13.5" customHeight="1">
      <c r="C1109" s="421" t="s">
        <v>1990</v>
      </c>
      <c r="D1109" s="421" t="s">
        <v>1991</v>
      </c>
      <c r="H1109" s="421"/>
      <c r="I1109" s="421"/>
      <c r="J1109" s="421"/>
      <c r="K1109" s="421"/>
      <c r="L1109" s="421"/>
      <c r="M1109" s="421"/>
      <c r="N1109" s="421"/>
      <c r="O1109" s="421"/>
    </row>
    <row r="1110" spans="3:15" ht="13.5" customHeight="1">
      <c r="C1110" s="421" t="s">
        <v>1992</v>
      </c>
      <c r="D1110" s="421" t="s">
        <v>1993</v>
      </c>
      <c r="H1110" s="421"/>
      <c r="I1110" s="421"/>
      <c r="J1110" s="421"/>
      <c r="K1110" s="421"/>
      <c r="L1110" s="421"/>
      <c r="M1110" s="421"/>
      <c r="N1110" s="421"/>
      <c r="O1110" s="421"/>
    </row>
    <row r="1111" spans="3:15" ht="13.5" customHeight="1">
      <c r="C1111" s="421" t="s">
        <v>1994</v>
      </c>
      <c r="D1111" s="421" t="s">
        <v>1995</v>
      </c>
      <c r="H1111" s="421"/>
      <c r="I1111" s="421"/>
      <c r="J1111" s="421"/>
      <c r="K1111" s="421"/>
      <c r="L1111" s="421"/>
      <c r="M1111" s="421"/>
      <c r="N1111" s="421"/>
      <c r="O1111" s="421"/>
    </row>
    <row r="1112" spans="3:15" ht="13.5" customHeight="1">
      <c r="C1112" s="421" t="s">
        <v>1996</v>
      </c>
      <c r="D1112" s="421" t="s">
        <v>1997</v>
      </c>
      <c r="H1112" s="421"/>
      <c r="I1112" s="421"/>
      <c r="J1112" s="421"/>
      <c r="K1112" s="421"/>
      <c r="L1112" s="421"/>
      <c r="M1112" s="421"/>
      <c r="N1112" s="421"/>
      <c r="O1112" s="421"/>
    </row>
    <row r="1113" spans="3:15" ht="13.5" customHeight="1">
      <c r="C1113" s="421" t="s">
        <v>1998</v>
      </c>
      <c r="D1113" s="421" t="s">
        <v>1999</v>
      </c>
      <c r="H1113" s="421"/>
      <c r="I1113" s="421"/>
      <c r="J1113" s="421"/>
      <c r="K1113" s="421"/>
      <c r="L1113" s="421"/>
      <c r="M1113" s="421"/>
      <c r="N1113" s="421"/>
      <c r="O1113" s="421"/>
    </row>
    <row r="1114" spans="3:15" ht="13.5" customHeight="1">
      <c r="C1114" s="421" t="s">
        <v>2000</v>
      </c>
      <c r="D1114" s="421" t="s">
        <v>2001</v>
      </c>
      <c r="H1114" s="421"/>
      <c r="I1114" s="421"/>
      <c r="J1114" s="421"/>
      <c r="K1114" s="421"/>
      <c r="L1114" s="421"/>
      <c r="M1114" s="421"/>
      <c r="N1114" s="421"/>
      <c r="O1114" s="421"/>
    </row>
    <row r="1115" spans="3:15" ht="13.5" customHeight="1">
      <c r="C1115" s="421" t="s">
        <v>2002</v>
      </c>
      <c r="D1115" s="421" t="s">
        <v>2003</v>
      </c>
      <c r="H1115" s="421"/>
      <c r="I1115" s="421"/>
      <c r="J1115" s="421"/>
      <c r="K1115" s="421"/>
      <c r="L1115" s="421"/>
      <c r="M1115" s="421"/>
      <c r="N1115" s="421"/>
      <c r="O1115" s="421"/>
    </row>
    <row r="1116" spans="3:15" ht="13.5" customHeight="1">
      <c r="C1116" s="421" t="s">
        <v>2004</v>
      </c>
      <c r="D1116" s="421" t="s">
        <v>2005</v>
      </c>
      <c r="H1116" s="421"/>
      <c r="I1116" s="421"/>
      <c r="J1116" s="421"/>
      <c r="K1116" s="421"/>
      <c r="L1116" s="421"/>
      <c r="M1116" s="421"/>
      <c r="N1116" s="421"/>
      <c r="O1116" s="421"/>
    </row>
    <row r="1117" spans="3:15" ht="13.5" customHeight="1">
      <c r="C1117" s="421" t="s">
        <v>2006</v>
      </c>
      <c r="D1117" s="421" t="s">
        <v>2007</v>
      </c>
      <c r="H1117" s="421"/>
      <c r="I1117" s="421"/>
      <c r="J1117" s="421"/>
      <c r="K1117" s="421"/>
      <c r="L1117" s="421"/>
      <c r="M1117" s="421"/>
      <c r="N1117" s="421"/>
      <c r="O1117" s="421"/>
    </row>
    <row r="1118" spans="3:15" ht="13.5" customHeight="1">
      <c r="C1118" s="421" t="s">
        <v>2008</v>
      </c>
      <c r="D1118" s="421" t="s">
        <v>2009</v>
      </c>
      <c r="H1118" s="421"/>
      <c r="I1118" s="421"/>
      <c r="J1118" s="421"/>
      <c r="K1118" s="421"/>
      <c r="L1118" s="421"/>
      <c r="M1118" s="421"/>
      <c r="N1118" s="421"/>
      <c r="O1118" s="421"/>
    </row>
    <row r="1119" spans="3:15" ht="13.5" customHeight="1">
      <c r="C1119" s="421" t="s">
        <v>2010</v>
      </c>
      <c r="D1119" s="421" t="s">
        <v>2011</v>
      </c>
      <c r="H1119" s="421"/>
      <c r="I1119" s="421"/>
      <c r="J1119" s="421"/>
      <c r="K1119" s="421"/>
      <c r="L1119" s="421"/>
      <c r="M1119" s="421"/>
      <c r="N1119" s="421"/>
      <c r="O1119" s="421"/>
    </row>
    <row r="1120" spans="3:15" ht="13.5" customHeight="1">
      <c r="C1120" s="421" t="s">
        <v>2012</v>
      </c>
      <c r="D1120" s="421" t="s">
        <v>2013</v>
      </c>
      <c r="H1120" s="421"/>
      <c r="I1120" s="421"/>
      <c r="J1120" s="421"/>
      <c r="K1120" s="421"/>
      <c r="L1120" s="421"/>
      <c r="M1120" s="421"/>
      <c r="N1120" s="421"/>
      <c r="O1120" s="421"/>
    </row>
    <row r="1121" spans="3:15" ht="13.5" customHeight="1">
      <c r="C1121" s="421" t="s">
        <v>2014</v>
      </c>
      <c r="D1121" s="421" t="s">
        <v>2015</v>
      </c>
      <c r="H1121" s="421"/>
      <c r="I1121" s="421"/>
      <c r="J1121" s="421"/>
      <c r="K1121" s="421"/>
      <c r="L1121" s="421"/>
      <c r="M1121" s="421"/>
      <c r="N1121" s="421"/>
      <c r="O1121" s="421"/>
    </row>
    <row r="1122" spans="3:15" ht="13.5" customHeight="1">
      <c r="C1122" s="421" t="s">
        <v>2016</v>
      </c>
      <c r="D1122" s="421" t="s">
        <v>2017</v>
      </c>
      <c r="H1122" s="421"/>
      <c r="I1122" s="421"/>
      <c r="J1122" s="421"/>
      <c r="K1122" s="421"/>
      <c r="L1122" s="421"/>
      <c r="M1122" s="421"/>
      <c r="N1122" s="421"/>
      <c r="O1122" s="421"/>
    </row>
    <row r="1123" spans="3:15" ht="13.5" customHeight="1">
      <c r="C1123" s="421" t="s">
        <v>2018</v>
      </c>
      <c r="D1123" s="421" t="s">
        <v>2019</v>
      </c>
      <c r="H1123" s="421"/>
      <c r="I1123" s="421"/>
      <c r="J1123" s="421"/>
      <c r="K1123" s="421"/>
      <c r="L1123" s="421"/>
      <c r="M1123" s="421"/>
      <c r="N1123" s="421"/>
      <c r="O1123" s="421"/>
    </row>
    <row r="1124" spans="3:15" ht="13.5" customHeight="1">
      <c r="C1124" s="421" t="s">
        <v>2020</v>
      </c>
      <c r="D1124" s="421" t="s">
        <v>2021</v>
      </c>
      <c r="H1124" s="421"/>
      <c r="I1124" s="421"/>
      <c r="J1124" s="421"/>
      <c r="K1124" s="421"/>
      <c r="L1124" s="421"/>
      <c r="M1124" s="421"/>
      <c r="N1124" s="421"/>
      <c r="O1124" s="421"/>
    </row>
    <row r="1125" spans="3:15" ht="13.5" customHeight="1">
      <c r="C1125" s="421" t="s">
        <v>2022</v>
      </c>
      <c r="D1125" s="421" t="s">
        <v>2023</v>
      </c>
      <c r="H1125" s="421"/>
      <c r="I1125" s="421"/>
      <c r="J1125" s="421"/>
      <c r="K1125" s="421"/>
      <c r="L1125" s="421"/>
      <c r="M1125" s="421"/>
      <c r="N1125" s="421"/>
      <c r="O1125" s="421"/>
    </row>
    <row r="1126" spans="3:15" ht="13.5" customHeight="1">
      <c r="C1126" s="421" t="s">
        <v>2024</v>
      </c>
      <c r="D1126" s="421" t="s">
        <v>2021</v>
      </c>
      <c r="H1126" s="421"/>
      <c r="I1126" s="421"/>
      <c r="J1126" s="421"/>
      <c r="K1126" s="421"/>
      <c r="L1126" s="421"/>
      <c r="M1126" s="421"/>
      <c r="N1126" s="421"/>
      <c r="O1126" s="421"/>
    </row>
    <row r="1127" spans="3:15" ht="13.5" customHeight="1">
      <c r="C1127" s="421" t="s">
        <v>2025</v>
      </c>
      <c r="D1127" s="421" t="s">
        <v>2026</v>
      </c>
      <c r="H1127" s="421"/>
      <c r="I1127" s="421"/>
      <c r="J1127" s="421"/>
      <c r="K1127" s="421"/>
      <c r="L1127" s="421"/>
      <c r="M1127" s="421"/>
      <c r="N1127" s="421"/>
      <c r="O1127" s="421"/>
    </row>
    <row r="1128" spans="3:15" ht="13.5" customHeight="1">
      <c r="C1128" s="421" t="s">
        <v>2027</v>
      </c>
      <c r="D1128" s="421" t="s">
        <v>2028</v>
      </c>
      <c r="H1128" s="421"/>
      <c r="I1128" s="421"/>
      <c r="J1128" s="421"/>
      <c r="K1128" s="421"/>
      <c r="L1128" s="421"/>
      <c r="M1128" s="421"/>
      <c r="N1128" s="421"/>
      <c r="O1128" s="421"/>
    </row>
    <row r="1129" spans="3:15" ht="13.5" customHeight="1">
      <c r="C1129" s="421" t="s">
        <v>2029</v>
      </c>
      <c r="D1129" s="421" t="s">
        <v>2030</v>
      </c>
      <c r="H1129" s="421"/>
      <c r="I1129" s="421"/>
      <c r="J1129" s="421"/>
      <c r="K1129" s="421"/>
      <c r="L1129" s="421"/>
      <c r="M1129" s="421"/>
      <c r="N1129" s="421"/>
      <c r="O1129" s="421"/>
    </row>
    <row r="1130" spans="3:15" ht="13.5" customHeight="1">
      <c r="C1130" s="421" t="s">
        <v>2031</v>
      </c>
      <c r="D1130" s="421" t="s">
        <v>2032</v>
      </c>
      <c r="H1130" s="421"/>
      <c r="I1130" s="421"/>
      <c r="J1130" s="421"/>
      <c r="K1130" s="421"/>
      <c r="L1130" s="421"/>
      <c r="M1130" s="421"/>
      <c r="N1130" s="421"/>
      <c r="O1130" s="421"/>
    </row>
    <row r="1131" spans="3:15" ht="13.5" customHeight="1">
      <c r="C1131" s="421" t="s">
        <v>2033</v>
      </c>
      <c r="D1131" s="421" t="s">
        <v>2034</v>
      </c>
      <c r="H1131" s="421"/>
      <c r="I1131" s="421"/>
      <c r="J1131" s="421"/>
      <c r="K1131" s="421"/>
      <c r="L1131" s="421"/>
      <c r="M1131" s="421"/>
      <c r="N1131" s="421"/>
      <c r="O1131" s="421"/>
    </row>
    <row r="1132" spans="3:15" ht="13.5" customHeight="1">
      <c r="C1132" s="421" t="s">
        <v>2035</v>
      </c>
      <c r="D1132" s="421" t="s">
        <v>2036</v>
      </c>
      <c r="H1132" s="421"/>
      <c r="I1132" s="421"/>
      <c r="J1132" s="421"/>
      <c r="K1132" s="421"/>
      <c r="L1132" s="421"/>
      <c r="M1132" s="421"/>
      <c r="N1132" s="421"/>
      <c r="O1132" s="421"/>
    </row>
    <row r="1133" spans="3:15" ht="13.5" customHeight="1">
      <c r="C1133" s="421" t="s">
        <v>2037</v>
      </c>
      <c r="D1133" s="421" t="s">
        <v>2038</v>
      </c>
      <c r="H1133" s="421"/>
      <c r="I1133" s="421"/>
      <c r="J1133" s="421"/>
      <c r="K1133" s="421"/>
      <c r="L1133" s="421"/>
      <c r="M1133" s="421"/>
      <c r="N1133" s="421"/>
      <c r="O1133" s="421"/>
    </row>
    <row r="1134" spans="3:15" ht="13.5" customHeight="1">
      <c r="C1134" s="421" t="s">
        <v>2039</v>
      </c>
      <c r="D1134" s="421" t="s">
        <v>2040</v>
      </c>
      <c r="H1134" s="421"/>
      <c r="I1134" s="421"/>
      <c r="J1134" s="421"/>
      <c r="K1134" s="421"/>
      <c r="L1134" s="421"/>
      <c r="M1134" s="421"/>
      <c r="N1134" s="421"/>
      <c r="O1134" s="421"/>
    </row>
    <row r="1135" spans="3:15" ht="13.5" customHeight="1">
      <c r="C1135" s="421" t="s">
        <v>2041</v>
      </c>
      <c r="D1135" s="421" t="s">
        <v>2042</v>
      </c>
      <c r="H1135" s="421"/>
      <c r="I1135" s="421"/>
      <c r="J1135" s="421"/>
      <c r="K1135" s="421"/>
      <c r="L1135" s="421"/>
      <c r="M1135" s="421"/>
      <c r="N1135" s="421"/>
      <c r="O1135" s="421"/>
    </row>
    <row r="1136" spans="3:15" ht="13.5" customHeight="1">
      <c r="C1136" s="421" t="s">
        <v>2043</v>
      </c>
      <c r="D1136" s="421" t="s">
        <v>2044</v>
      </c>
      <c r="H1136" s="421"/>
      <c r="I1136" s="421"/>
      <c r="J1136" s="421"/>
      <c r="K1136" s="421"/>
      <c r="L1136" s="421"/>
      <c r="M1136" s="421"/>
      <c r="N1136" s="421"/>
      <c r="O1136" s="421"/>
    </row>
    <row r="1137" spans="3:15" ht="13.5" customHeight="1">
      <c r="C1137" s="421" t="s">
        <v>2045</v>
      </c>
      <c r="D1137" s="421" t="s">
        <v>2046</v>
      </c>
      <c r="H1137" s="421"/>
      <c r="I1137" s="421"/>
      <c r="J1137" s="421"/>
      <c r="K1137" s="421"/>
      <c r="L1137" s="421"/>
      <c r="M1137" s="421"/>
      <c r="N1137" s="421"/>
      <c r="O1137" s="421"/>
    </row>
    <row r="1138" spans="3:15" ht="13.5" customHeight="1">
      <c r="C1138" s="421" t="s">
        <v>2047</v>
      </c>
      <c r="D1138" s="421" t="s">
        <v>2048</v>
      </c>
      <c r="H1138" s="421"/>
      <c r="I1138" s="421"/>
      <c r="J1138" s="421"/>
      <c r="K1138" s="421"/>
      <c r="L1138" s="421"/>
      <c r="M1138" s="421"/>
      <c r="N1138" s="421"/>
      <c r="O1138" s="421"/>
    </row>
    <row r="1139" spans="3:15" ht="13.5" customHeight="1">
      <c r="C1139" s="421" t="s">
        <v>2049</v>
      </c>
      <c r="D1139" s="421" t="s">
        <v>2050</v>
      </c>
      <c r="H1139" s="421"/>
      <c r="I1139" s="421"/>
      <c r="J1139" s="421"/>
      <c r="K1139" s="421"/>
      <c r="L1139" s="421"/>
      <c r="M1139" s="421"/>
      <c r="N1139" s="421"/>
      <c r="O1139" s="421"/>
    </row>
    <row r="1140" spans="3:15" ht="13.5" customHeight="1">
      <c r="C1140" s="421" t="s">
        <v>2051</v>
      </c>
      <c r="D1140" s="421" t="s">
        <v>2052</v>
      </c>
      <c r="H1140" s="421"/>
      <c r="I1140" s="421"/>
      <c r="J1140" s="421"/>
      <c r="K1140" s="421"/>
      <c r="L1140" s="421"/>
      <c r="M1140" s="421"/>
      <c r="N1140" s="421"/>
      <c r="O1140" s="421"/>
    </row>
    <row r="1141" spans="3:15" ht="13.5" customHeight="1">
      <c r="C1141" s="421" t="s">
        <v>2053</v>
      </c>
      <c r="D1141" s="421" t="s">
        <v>2054</v>
      </c>
      <c r="H1141" s="421"/>
      <c r="I1141" s="421"/>
      <c r="J1141" s="421"/>
      <c r="K1141" s="421"/>
      <c r="L1141" s="421"/>
      <c r="M1141" s="421"/>
      <c r="N1141" s="421"/>
      <c r="O1141" s="421"/>
    </row>
    <row r="1142" spans="3:15" ht="13.5" customHeight="1">
      <c r="C1142" s="421" t="s">
        <v>2055</v>
      </c>
      <c r="D1142" s="421" t="s">
        <v>2056</v>
      </c>
      <c r="H1142" s="421"/>
      <c r="I1142" s="421"/>
      <c r="J1142" s="421"/>
      <c r="K1142" s="421"/>
      <c r="L1142" s="421"/>
      <c r="M1142" s="421"/>
      <c r="N1142" s="421"/>
      <c r="O1142" s="421"/>
    </row>
    <row r="1143" spans="3:15" ht="13.5" customHeight="1">
      <c r="C1143" s="421" t="s">
        <v>2057</v>
      </c>
      <c r="D1143" s="421" t="s">
        <v>2058</v>
      </c>
      <c r="H1143" s="421"/>
      <c r="I1143" s="421"/>
      <c r="J1143" s="421"/>
      <c r="K1143" s="421"/>
      <c r="L1143" s="421"/>
      <c r="M1143" s="421"/>
      <c r="N1143" s="421"/>
      <c r="O1143" s="421"/>
    </row>
    <row r="1144" spans="3:15" ht="13.5" customHeight="1">
      <c r="C1144" s="421" t="s">
        <v>2059</v>
      </c>
      <c r="D1144" s="421" t="s">
        <v>2060</v>
      </c>
      <c r="H1144" s="421"/>
      <c r="I1144" s="421"/>
      <c r="J1144" s="421"/>
      <c r="K1144" s="421"/>
      <c r="L1144" s="421"/>
      <c r="M1144" s="421"/>
      <c r="N1144" s="421"/>
      <c r="O1144" s="421"/>
    </row>
    <row r="1145" spans="3:15" ht="13.5" customHeight="1">
      <c r="C1145" s="421" t="s">
        <v>2061</v>
      </c>
      <c r="D1145" s="421" t="s">
        <v>2062</v>
      </c>
      <c r="H1145" s="421"/>
      <c r="I1145" s="421"/>
      <c r="J1145" s="421"/>
      <c r="K1145" s="421"/>
      <c r="L1145" s="421"/>
      <c r="M1145" s="421"/>
      <c r="N1145" s="421"/>
      <c r="O1145" s="421"/>
    </row>
    <row r="1146" spans="3:15" ht="13.5" customHeight="1">
      <c r="C1146" s="421" t="s">
        <v>2063</v>
      </c>
      <c r="D1146" s="421" t="s">
        <v>2064</v>
      </c>
      <c r="H1146" s="421"/>
      <c r="I1146" s="421"/>
      <c r="J1146" s="421"/>
      <c r="K1146" s="421"/>
      <c r="L1146" s="421"/>
      <c r="M1146" s="421"/>
      <c r="N1146" s="421"/>
      <c r="O1146" s="421"/>
    </row>
    <row r="1147" spans="3:15" ht="13.5" customHeight="1">
      <c r="C1147" s="421" t="s">
        <v>2065</v>
      </c>
      <c r="D1147" s="421" t="s">
        <v>2066</v>
      </c>
      <c r="H1147" s="421"/>
      <c r="I1147" s="421"/>
      <c r="J1147" s="421"/>
      <c r="K1147" s="421"/>
      <c r="L1147" s="421"/>
      <c r="M1147" s="421"/>
      <c r="N1147" s="421"/>
      <c r="O1147" s="421"/>
    </row>
    <row r="1148" spans="3:15" ht="13.5" customHeight="1">
      <c r="C1148" s="421" t="s">
        <v>2067</v>
      </c>
      <c r="D1148" s="421" t="s">
        <v>2068</v>
      </c>
      <c r="H1148" s="421"/>
      <c r="I1148" s="421"/>
      <c r="J1148" s="421"/>
      <c r="K1148" s="421"/>
      <c r="L1148" s="421"/>
      <c r="M1148" s="421"/>
      <c r="N1148" s="421"/>
      <c r="O1148" s="421"/>
    </row>
    <row r="1149" spans="3:15" ht="13.5" customHeight="1">
      <c r="C1149" s="421" t="s">
        <v>2069</v>
      </c>
      <c r="D1149" s="421" t="s">
        <v>2070</v>
      </c>
      <c r="H1149" s="421"/>
      <c r="I1149" s="421"/>
      <c r="J1149" s="421"/>
      <c r="K1149" s="421"/>
      <c r="L1149" s="421"/>
      <c r="M1149" s="421"/>
      <c r="N1149" s="421"/>
      <c r="O1149" s="421"/>
    </row>
    <row r="1150" spans="3:15" ht="13.5" customHeight="1">
      <c r="C1150" s="421" t="s">
        <v>2071</v>
      </c>
      <c r="D1150" s="421" t="s">
        <v>2072</v>
      </c>
      <c r="H1150" s="421"/>
      <c r="I1150" s="421"/>
      <c r="J1150" s="421"/>
      <c r="K1150" s="421"/>
      <c r="L1150" s="421"/>
      <c r="M1150" s="421"/>
      <c r="N1150" s="421"/>
      <c r="O1150" s="421"/>
    </row>
    <row r="1151" spans="3:15" ht="13.5" customHeight="1">
      <c r="C1151" s="421" t="s">
        <v>2073</v>
      </c>
      <c r="D1151" s="421" t="s">
        <v>2074</v>
      </c>
      <c r="H1151" s="421"/>
      <c r="I1151" s="421"/>
      <c r="J1151" s="421"/>
      <c r="K1151" s="421"/>
      <c r="L1151" s="421"/>
      <c r="M1151" s="421"/>
      <c r="N1151" s="421"/>
      <c r="O1151" s="421"/>
    </row>
    <row r="1152" spans="3:15" ht="13.5" customHeight="1">
      <c r="C1152" s="421" t="s">
        <v>2075</v>
      </c>
      <c r="D1152" s="421" t="s">
        <v>2076</v>
      </c>
      <c r="H1152" s="421"/>
      <c r="I1152" s="421"/>
      <c r="J1152" s="421"/>
      <c r="K1152" s="421"/>
      <c r="L1152" s="421"/>
      <c r="M1152" s="421"/>
      <c r="N1152" s="421"/>
      <c r="O1152" s="421"/>
    </row>
    <row r="1153" spans="3:15" ht="13.5" customHeight="1">
      <c r="C1153" s="421" t="s">
        <v>2077</v>
      </c>
      <c r="D1153" s="421" t="s">
        <v>2078</v>
      </c>
      <c r="H1153" s="421"/>
      <c r="I1153" s="421"/>
      <c r="J1153" s="421"/>
      <c r="K1153" s="421"/>
      <c r="L1153" s="421"/>
      <c r="M1153" s="421"/>
      <c r="N1153" s="421"/>
      <c r="O1153" s="421"/>
    </row>
    <row r="1154" spans="3:15" ht="13.5" customHeight="1">
      <c r="C1154" s="421" t="s">
        <v>2079</v>
      </c>
      <c r="D1154" s="421" t="s">
        <v>2080</v>
      </c>
      <c r="H1154" s="421"/>
      <c r="I1154" s="421"/>
      <c r="J1154" s="421"/>
      <c r="K1154" s="421"/>
      <c r="L1154" s="421"/>
      <c r="M1154" s="421"/>
      <c r="N1154" s="421"/>
      <c r="O1154" s="421"/>
    </row>
    <row r="1155" spans="3:15" ht="13.5" customHeight="1">
      <c r="C1155" s="421" t="s">
        <v>2081</v>
      </c>
      <c r="D1155" s="421" t="s">
        <v>2082</v>
      </c>
      <c r="H1155" s="421"/>
      <c r="I1155" s="421"/>
      <c r="J1155" s="421"/>
      <c r="K1155" s="421"/>
      <c r="L1155" s="421"/>
      <c r="M1155" s="421"/>
      <c r="N1155" s="421"/>
      <c r="O1155" s="421"/>
    </row>
    <row r="1156" spans="3:15" ht="13.5" customHeight="1">
      <c r="C1156" s="421" t="s">
        <v>2083</v>
      </c>
      <c r="D1156" s="421" t="s">
        <v>2084</v>
      </c>
      <c r="H1156" s="421"/>
      <c r="I1156" s="421"/>
      <c r="J1156" s="421"/>
      <c r="K1156" s="421"/>
      <c r="L1156" s="421"/>
      <c r="M1156" s="421"/>
      <c r="N1156" s="421"/>
      <c r="O1156" s="421"/>
    </row>
    <row r="1157" spans="3:15" ht="13.5" customHeight="1">
      <c r="C1157" s="421" t="s">
        <v>2085</v>
      </c>
      <c r="D1157" s="421" t="s">
        <v>2086</v>
      </c>
      <c r="H1157" s="421"/>
      <c r="I1157" s="421"/>
      <c r="J1157" s="421"/>
      <c r="K1157" s="421"/>
      <c r="L1157" s="421"/>
      <c r="M1157" s="421"/>
      <c r="N1157" s="421"/>
      <c r="O1157" s="421"/>
    </row>
    <row r="1158" spans="3:15" ht="13.5" customHeight="1">
      <c r="C1158" s="421" t="s">
        <v>2087</v>
      </c>
      <c r="D1158" s="421" t="s">
        <v>2088</v>
      </c>
      <c r="H1158" s="421"/>
      <c r="I1158" s="421"/>
      <c r="J1158" s="421"/>
      <c r="K1158" s="421"/>
      <c r="L1158" s="421"/>
      <c r="M1158" s="421"/>
      <c r="N1158" s="421"/>
      <c r="O1158" s="421"/>
    </row>
    <row r="1159" spans="3:15" ht="13.5" customHeight="1">
      <c r="C1159" s="421" t="s">
        <v>2089</v>
      </c>
      <c r="D1159" s="421" t="s">
        <v>2090</v>
      </c>
      <c r="H1159" s="421"/>
      <c r="I1159" s="421"/>
      <c r="J1159" s="421"/>
      <c r="K1159" s="421"/>
      <c r="L1159" s="421"/>
      <c r="M1159" s="421"/>
      <c r="N1159" s="421"/>
      <c r="O1159" s="421"/>
    </row>
    <row r="1160" spans="3:15" ht="13.5" customHeight="1">
      <c r="C1160" s="421" t="s">
        <v>2091</v>
      </c>
      <c r="D1160" s="421" t="s">
        <v>2092</v>
      </c>
      <c r="H1160" s="421"/>
      <c r="I1160" s="421"/>
      <c r="J1160" s="421"/>
      <c r="K1160" s="421"/>
      <c r="L1160" s="421"/>
      <c r="M1160" s="421"/>
      <c r="N1160" s="421"/>
      <c r="O1160" s="421"/>
    </row>
    <row r="1161" spans="3:15" ht="13.5" customHeight="1">
      <c r="C1161" s="421" t="s">
        <v>2093</v>
      </c>
      <c r="D1161" s="421" t="s">
        <v>2094</v>
      </c>
      <c r="H1161" s="421"/>
      <c r="I1161" s="421"/>
      <c r="J1161" s="421"/>
      <c r="K1161" s="421"/>
      <c r="L1161" s="421"/>
      <c r="M1161" s="421"/>
      <c r="N1161" s="421"/>
      <c r="O1161" s="421"/>
    </row>
    <row r="1162" spans="3:15" ht="13.5" customHeight="1">
      <c r="C1162" s="421" t="s">
        <v>2095</v>
      </c>
      <c r="D1162" s="421" t="s">
        <v>2096</v>
      </c>
      <c r="H1162" s="421"/>
      <c r="I1162" s="421"/>
      <c r="J1162" s="421"/>
      <c r="K1162" s="421"/>
      <c r="L1162" s="421"/>
      <c r="M1162" s="421"/>
      <c r="N1162" s="421"/>
      <c r="O1162" s="421"/>
    </row>
    <row r="1163" spans="3:15" ht="13.5" customHeight="1">
      <c r="C1163" s="421" t="s">
        <v>2097</v>
      </c>
      <c r="D1163" s="421" t="s">
        <v>2098</v>
      </c>
      <c r="H1163" s="421"/>
      <c r="I1163" s="421"/>
      <c r="J1163" s="421"/>
      <c r="K1163" s="421"/>
      <c r="L1163" s="421"/>
      <c r="M1163" s="421"/>
      <c r="N1163" s="421"/>
      <c r="O1163" s="421"/>
    </row>
    <row r="1164" spans="3:15" ht="13.5" customHeight="1">
      <c r="C1164" s="421" t="s">
        <v>2099</v>
      </c>
      <c r="D1164" s="421" t="s">
        <v>2100</v>
      </c>
      <c r="H1164" s="421"/>
      <c r="I1164" s="421"/>
      <c r="J1164" s="421"/>
      <c r="K1164" s="421"/>
      <c r="L1164" s="421"/>
      <c r="M1164" s="421"/>
      <c r="N1164" s="421"/>
      <c r="O1164" s="421"/>
    </row>
    <row r="1165" spans="3:15" ht="13.5" customHeight="1">
      <c r="C1165" s="421" t="s">
        <v>2101</v>
      </c>
      <c r="D1165" s="421" t="s">
        <v>2102</v>
      </c>
      <c r="H1165" s="421"/>
      <c r="I1165" s="421"/>
      <c r="J1165" s="421"/>
      <c r="K1165" s="421"/>
      <c r="L1165" s="421"/>
      <c r="M1165" s="421"/>
      <c r="N1165" s="421"/>
      <c r="O1165" s="421"/>
    </row>
    <row r="1166" spans="3:15" ht="13.5" customHeight="1">
      <c r="C1166" s="421" t="s">
        <v>2103</v>
      </c>
      <c r="D1166" s="421" t="s">
        <v>2104</v>
      </c>
      <c r="H1166" s="421"/>
      <c r="I1166" s="421"/>
      <c r="J1166" s="421"/>
      <c r="K1166" s="421"/>
      <c r="L1166" s="421"/>
      <c r="M1166" s="421"/>
      <c r="N1166" s="421"/>
      <c r="O1166" s="421"/>
    </row>
    <row r="1167" spans="3:15" ht="13.5" customHeight="1">
      <c r="C1167" s="421" t="s">
        <v>2105</v>
      </c>
      <c r="D1167" s="421" t="s">
        <v>2106</v>
      </c>
      <c r="H1167" s="421"/>
      <c r="I1167" s="421"/>
      <c r="J1167" s="421"/>
      <c r="K1167" s="421"/>
      <c r="L1167" s="421"/>
      <c r="M1167" s="421"/>
      <c r="N1167" s="421"/>
      <c r="O1167" s="421"/>
    </row>
    <row r="1168" spans="3:15" ht="13.5" customHeight="1">
      <c r="C1168" s="421" t="s">
        <v>2107</v>
      </c>
      <c r="D1168" s="421" t="s">
        <v>2108</v>
      </c>
      <c r="H1168" s="421"/>
      <c r="I1168" s="421"/>
      <c r="J1168" s="421"/>
      <c r="K1168" s="421"/>
      <c r="L1168" s="421"/>
      <c r="M1168" s="421"/>
      <c r="N1168" s="421"/>
      <c r="O1168" s="421"/>
    </row>
    <row r="1169" spans="3:15" ht="13.5" customHeight="1">
      <c r="C1169" s="421" t="s">
        <v>2109</v>
      </c>
      <c r="D1169" s="421" t="s">
        <v>2110</v>
      </c>
      <c r="H1169" s="421"/>
      <c r="I1169" s="421"/>
      <c r="J1169" s="421"/>
      <c r="K1169" s="421"/>
      <c r="L1169" s="421"/>
      <c r="M1169" s="421"/>
      <c r="N1169" s="421"/>
      <c r="O1169" s="421"/>
    </row>
    <row r="1170" spans="3:15" ht="13.5" customHeight="1">
      <c r="C1170" s="421" t="s">
        <v>2111</v>
      </c>
      <c r="D1170" s="421" t="s">
        <v>2112</v>
      </c>
      <c r="H1170" s="421"/>
      <c r="I1170" s="421"/>
      <c r="J1170" s="421"/>
      <c r="K1170" s="421"/>
      <c r="L1170" s="421"/>
      <c r="M1170" s="421"/>
      <c r="N1170" s="421"/>
      <c r="O1170" s="421"/>
    </row>
    <row r="1171" spans="3:15" ht="13.5" customHeight="1">
      <c r="C1171" s="421" t="s">
        <v>2113</v>
      </c>
      <c r="D1171" s="421" t="s">
        <v>2114</v>
      </c>
      <c r="H1171" s="421"/>
      <c r="I1171" s="421"/>
      <c r="J1171" s="421"/>
      <c r="K1171" s="421"/>
      <c r="L1171" s="421"/>
      <c r="M1171" s="421"/>
      <c r="N1171" s="421"/>
      <c r="O1171" s="421"/>
    </row>
    <row r="1172" spans="3:15" ht="13.5" customHeight="1">
      <c r="C1172" s="421" t="s">
        <v>2115</v>
      </c>
      <c r="D1172" s="421" t="s">
        <v>2116</v>
      </c>
      <c r="H1172" s="421"/>
      <c r="I1172" s="421"/>
      <c r="J1172" s="421"/>
      <c r="K1172" s="421"/>
      <c r="L1172" s="421"/>
      <c r="M1172" s="421"/>
      <c r="N1172" s="421"/>
      <c r="O1172" s="421"/>
    </row>
    <row r="1173" spans="3:15" ht="13.5" customHeight="1">
      <c r="C1173" s="421" t="s">
        <v>2117</v>
      </c>
      <c r="D1173" s="421" t="s">
        <v>2118</v>
      </c>
      <c r="H1173" s="421"/>
      <c r="I1173" s="421"/>
      <c r="J1173" s="421"/>
      <c r="K1173" s="421"/>
      <c r="L1173" s="421"/>
      <c r="M1173" s="421"/>
      <c r="N1173" s="421"/>
      <c r="O1173" s="421"/>
    </row>
    <row r="1174" spans="3:15" ht="13.5" customHeight="1">
      <c r="C1174" s="421" t="s">
        <v>2119</v>
      </c>
      <c r="D1174" s="421" t="s">
        <v>2120</v>
      </c>
      <c r="H1174" s="421"/>
      <c r="I1174" s="421"/>
      <c r="J1174" s="421"/>
      <c r="K1174" s="421"/>
      <c r="L1174" s="421"/>
      <c r="M1174" s="421"/>
      <c r="N1174" s="421"/>
      <c r="O1174" s="421"/>
    </row>
    <row r="1175" spans="3:15" ht="13.5" customHeight="1">
      <c r="C1175" s="421" t="s">
        <v>2121</v>
      </c>
      <c r="D1175" s="421" t="s">
        <v>2122</v>
      </c>
      <c r="H1175" s="421"/>
      <c r="I1175" s="421"/>
      <c r="J1175" s="421"/>
      <c r="K1175" s="421"/>
      <c r="L1175" s="421"/>
      <c r="M1175" s="421"/>
      <c r="N1175" s="421"/>
      <c r="O1175" s="421"/>
    </row>
    <row r="1176" spans="3:15" ht="13.5" customHeight="1">
      <c r="C1176" s="421" t="s">
        <v>2123</v>
      </c>
      <c r="D1176" s="421" t="s">
        <v>2124</v>
      </c>
      <c r="H1176" s="421"/>
      <c r="I1176" s="421"/>
      <c r="J1176" s="421"/>
      <c r="K1176" s="421"/>
      <c r="L1176" s="421"/>
      <c r="M1176" s="421"/>
      <c r="N1176" s="421"/>
      <c r="O1176" s="421"/>
    </row>
    <row r="1177" spans="3:15" ht="13.5" customHeight="1">
      <c r="C1177" s="421" t="s">
        <v>2125</v>
      </c>
      <c r="D1177" s="421" t="s">
        <v>2126</v>
      </c>
      <c r="H1177" s="421"/>
      <c r="I1177" s="421"/>
      <c r="J1177" s="421"/>
      <c r="K1177" s="421"/>
      <c r="L1177" s="421"/>
      <c r="M1177" s="421"/>
      <c r="N1177" s="421"/>
      <c r="O1177" s="421"/>
    </row>
    <row r="1178" spans="3:15" ht="13.5" customHeight="1">
      <c r="C1178" s="421" t="s">
        <v>2127</v>
      </c>
      <c r="D1178" s="421" t="s">
        <v>2128</v>
      </c>
      <c r="H1178" s="421"/>
      <c r="I1178" s="421"/>
      <c r="J1178" s="421"/>
      <c r="K1178" s="421"/>
      <c r="L1178" s="421"/>
      <c r="M1178" s="421"/>
      <c r="N1178" s="421"/>
      <c r="O1178" s="421"/>
    </row>
    <row r="1179" spans="3:15" ht="13.5" customHeight="1">
      <c r="C1179" s="421" t="s">
        <v>2129</v>
      </c>
      <c r="D1179" s="421" t="s">
        <v>2130</v>
      </c>
      <c r="H1179" s="421"/>
      <c r="I1179" s="421"/>
      <c r="J1179" s="421"/>
      <c r="K1179" s="421"/>
      <c r="L1179" s="421"/>
      <c r="M1179" s="421"/>
      <c r="N1179" s="421"/>
      <c r="O1179" s="421"/>
    </row>
    <row r="1180" spans="3:15" ht="13.5" customHeight="1">
      <c r="C1180" s="421" t="s">
        <v>2131</v>
      </c>
      <c r="D1180" s="421" t="s">
        <v>2132</v>
      </c>
      <c r="H1180" s="421"/>
      <c r="I1180" s="421"/>
      <c r="J1180" s="421"/>
      <c r="K1180" s="421"/>
      <c r="L1180" s="421"/>
      <c r="M1180" s="421"/>
      <c r="N1180" s="421"/>
      <c r="O1180" s="421"/>
    </row>
    <row r="1181" spans="3:15" ht="13.5" customHeight="1">
      <c r="C1181" s="421" t="s">
        <v>2133</v>
      </c>
      <c r="D1181" s="421" t="s">
        <v>2134</v>
      </c>
      <c r="H1181" s="421"/>
      <c r="I1181" s="421"/>
      <c r="J1181" s="421"/>
      <c r="K1181" s="421"/>
      <c r="L1181" s="421"/>
      <c r="M1181" s="421"/>
      <c r="N1181" s="421"/>
      <c r="O1181" s="421"/>
    </row>
    <row r="1182" spans="3:15" ht="13.5" customHeight="1">
      <c r="C1182" s="421" t="s">
        <v>2135</v>
      </c>
      <c r="D1182" s="421" t="s">
        <v>2136</v>
      </c>
      <c r="H1182" s="421"/>
      <c r="I1182" s="421"/>
      <c r="J1182" s="421"/>
      <c r="K1182" s="421"/>
      <c r="L1182" s="421"/>
      <c r="M1182" s="421"/>
      <c r="N1182" s="421"/>
      <c r="O1182" s="421"/>
    </row>
    <row r="1183" spans="3:15" ht="13.5" customHeight="1">
      <c r="C1183" s="421" t="s">
        <v>2137</v>
      </c>
      <c r="D1183" s="421" t="s">
        <v>2138</v>
      </c>
      <c r="H1183" s="421"/>
      <c r="I1183" s="421"/>
      <c r="J1183" s="421"/>
      <c r="K1183" s="421"/>
      <c r="L1183" s="421"/>
      <c r="M1183" s="421"/>
      <c r="N1183" s="421"/>
      <c r="O1183" s="421"/>
    </row>
    <row r="1184" spans="3:15" ht="13.5" customHeight="1">
      <c r="C1184" s="421" t="s">
        <v>2139</v>
      </c>
      <c r="D1184" s="421" t="s">
        <v>2140</v>
      </c>
      <c r="H1184" s="421"/>
      <c r="I1184" s="421"/>
      <c r="J1184" s="421"/>
      <c r="K1184" s="421"/>
      <c r="L1184" s="421"/>
      <c r="M1184" s="421"/>
      <c r="N1184" s="421"/>
      <c r="O1184" s="421"/>
    </row>
    <row r="1185" spans="3:15" ht="13.5" customHeight="1">
      <c r="C1185" s="421" t="s">
        <v>2141</v>
      </c>
      <c r="D1185" s="421" t="s">
        <v>2142</v>
      </c>
      <c r="H1185" s="421"/>
      <c r="I1185" s="421"/>
      <c r="J1185" s="421"/>
      <c r="K1185" s="421"/>
      <c r="L1185" s="421"/>
      <c r="M1185" s="421"/>
      <c r="N1185" s="421"/>
      <c r="O1185" s="421"/>
    </row>
    <row r="1186" spans="3:15" ht="13.5" customHeight="1">
      <c r="C1186" s="421" t="s">
        <v>2143</v>
      </c>
      <c r="D1186" s="421" t="s">
        <v>2144</v>
      </c>
      <c r="H1186" s="421"/>
      <c r="I1186" s="421"/>
      <c r="J1186" s="421"/>
      <c r="K1186" s="421"/>
      <c r="L1186" s="421"/>
      <c r="M1186" s="421"/>
      <c r="N1186" s="421"/>
      <c r="O1186" s="421"/>
    </row>
    <row r="1187" spans="3:15" ht="13.5" customHeight="1">
      <c r="C1187" s="421" t="s">
        <v>2145</v>
      </c>
      <c r="D1187" s="421" t="s">
        <v>2146</v>
      </c>
      <c r="H1187" s="421"/>
      <c r="I1187" s="421"/>
      <c r="J1187" s="421"/>
      <c r="K1187" s="421"/>
      <c r="L1187" s="421"/>
      <c r="M1187" s="421"/>
      <c r="N1187" s="421"/>
      <c r="O1187" s="421"/>
    </row>
    <row r="1188" spans="3:15" ht="13.5" customHeight="1">
      <c r="C1188" s="421" t="s">
        <v>2147</v>
      </c>
      <c r="D1188" s="421" t="s">
        <v>2148</v>
      </c>
      <c r="H1188" s="421"/>
      <c r="I1188" s="421"/>
      <c r="J1188" s="421"/>
      <c r="K1188" s="421"/>
      <c r="L1188" s="421"/>
      <c r="M1188" s="421"/>
      <c r="N1188" s="421"/>
      <c r="O1188" s="421"/>
    </row>
    <row r="1189" spans="3:15" ht="13.5" customHeight="1">
      <c r="C1189" s="421" t="s">
        <v>2149</v>
      </c>
      <c r="D1189" s="421" t="s">
        <v>2150</v>
      </c>
      <c r="H1189" s="421"/>
      <c r="I1189" s="421"/>
      <c r="J1189" s="421"/>
      <c r="K1189" s="421"/>
      <c r="L1189" s="421"/>
      <c r="M1189" s="421"/>
      <c r="N1189" s="421"/>
      <c r="O1189" s="421"/>
    </row>
    <row r="1190" spans="3:15" ht="13.5" customHeight="1">
      <c r="C1190" s="421" t="s">
        <v>2151</v>
      </c>
      <c r="D1190" s="421" t="s">
        <v>2152</v>
      </c>
      <c r="H1190" s="421"/>
      <c r="I1190" s="421"/>
      <c r="J1190" s="421"/>
      <c r="K1190" s="421"/>
      <c r="L1190" s="421"/>
      <c r="M1190" s="421"/>
      <c r="N1190" s="421"/>
      <c r="O1190" s="421"/>
    </row>
    <row r="1191" spans="3:15" ht="13.5" customHeight="1">
      <c r="C1191" s="421" t="s">
        <v>2153</v>
      </c>
      <c r="D1191" s="421" t="s">
        <v>2154</v>
      </c>
      <c r="H1191" s="421"/>
      <c r="I1191" s="421"/>
      <c r="J1191" s="421"/>
      <c r="K1191" s="421"/>
      <c r="L1191" s="421"/>
      <c r="M1191" s="421"/>
      <c r="N1191" s="421"/>
      <c r="O1191" s="421"/>
    </row>
    <row r="1192" spans="3:15" ht="13.5" customHeight="1">
      <c r="C1192" s="421" t="s">
        <v>2155</v>
      </c>
      <c r="D1192" s="421" t="s">
        <v>2156</v>
      </c>
      <c r="H1192" s="421"/>
      <c r="I1192" s="421"/>
      <c r="J1192" s="421"/>
      <c r="K1192" s="421"/>
      <c r="L1192" s="421"/>
      <c r="M1192" s="421"/>
      <c r="N1192" s="421"/>
      <c r="O1192" s="421"/>
    </row>
    <row r="1193" spans="3:15" ht="13.5" customHeight="1">
      <c r="C1193" s="421" t="s">
        <v>2157</v>
      </c>
      <c r="D1193" s="421" t="s">
        <v>2158</v>
      </c>
      <c r="H1193" s="421"/>
      <c r="I1193" s="421"/>
      <c r="J1193" s="421"/>
      <c r="K1193" s="421"/>
      <c r="L1193" s="421"/>
      <c r="M1193" s="421"/>
      <c r="N1193" s="421"/>
      <c r="O1193" s="421"/>
    </row>
    <row r="1194" spans="3:15" ht="13.5" customHeight="1">
      <c r="C1194" s="421" t="s">
        <v>2159</v>
      </c>
      <c r="D1194" s="421" t="s">
        <v>2160</v>
      </c>
      <c r="H1194" s="421"/>
      <c r="I1194" s="421"/>
      <c r="J1194" s="421"/>
      <c r="K1194" s="421"/>
      <c r="L1194" s="421"/>
      <c r="M1194" s="421"/>
      <c r="N1194" s="421"/>
      <c r="O1194" s="421"/>
    </row>
    <row r="1195" spans="3:15" ht="13.5" customHeight="1">
      <c r="C1195" s="421" t="s">
        <v>2161</v>
      </c>
      <c r="D1195" s="421" t="s">
        <v>2162</v>
      </c>
      <c r="H1195" s="421"/>
      <c r="I1195" s="421"/>
      <c r="J1195" s="421"/>
      <c r="K1195" s="421"/>
      <c r="L1195" s="421"/>
      <c r="M1195" s="421"/>
      <c r="N1195" s="421"/>
      <c r="O1195" s="421"/>
    </row>
    <row r="1196" spans="3:15" ht="13.5" customHeight="1">
      <c r="C1196" s="421" t="s">
        <v>2163</v>
      </c>
      <c r="D1196" s="421" t="s">
        <v>2164</v>
      </c>
      <c r="H1196" s="421"/>
      <c r="I1196" s="421"/>
      <c r="J1196" s="421"/>
      <c r="K1196" s="421"/>
      <c r="L1196" s="421"/>
      <c r="M1196" s="421"/>
      <c r="N1196" s="421"/>
      <c r="O1196" s="421"/>
    </row>
    <row r="1197" spans="3:15" ht="13.5" customHeight="1">
      <c r="C1197" s="421" t="s">
        <v>2165</v>
      </c>
      <c r="D1197" s="421" t="s">
        <v>2166</v>
      </c>
      <c r="H1197" s="421"/>
      <c r="I1197" s="421"/>
      <c r="J1197" s="421"/>
      <c r="K1197" s="421"/>
      <c r="L1197" s="421"/>
      <c r="M1197" s="421"/>
      <c r="N1197" s="421"/>
      <c r="O1197" s="421"/>
    </row>
    <row r="1198" spans="3:15" ht="13.5" customHeight="1">
      <c r="C1198" s="421" t="s">
        <v>2167</v>
      </c>
      <c r="D1198" s="421" t="s">
        <v>2168</v>
      </c>
      <c r="H1198" s="421"/>
      <c r="I1198" s="421"/>
      <c r="J1198" s="421"/>
      <c r="K1198" s="421"/>
      <c r="L1198" s="421"/>
      <c r="M1198" s="421"/>
      <c r="N1198" s="421"/>
      <c r="O1198" s="421"/>
    </row>
    <row r="1199" spans="3:15" ht="13.5" customHeight="1">
      <c r="C1199" s="421" t="s">
        <v>2169</v>
      </c>
      <c r="D1199" s="421" t="s">
        <v>2170</v>
      </c>
      <c r="H1199" s="421"/>
      <c r="I1199" s="421"/>
      <c r="J1199" s="421"/>
      <c r="K1199" s="421"/>
      <c r="L1199" s="421"/>
      <c r="M1199" s="421"/>
      <c r="N1199" s="421"/>
      <c r="O1199" s="421"/>
    </row>
    <row r="1200" spans="3:15" ht="13.5" customHeight="1">
      <c r="C1200" s="421" t="s">
        <v>2171</v>
      </c>
      <c r="D1200" s="421" t="s">
        <v>2172</v>
      </c>
      <c r="H1200" s="421"/>
      <c r="I1200" s="421"/>
      <c r="J1200" s="421"/>
      <c r="K1200" s="421"/>
      <c r="L1200" s="421"/>
      <c r="M1200" s="421"/>
      <c r="N1200" s="421"/>
      <c r="O1200" s="421"/>
    </row>
    <row r="1201" spans="3:15" ht="13.5" customHeight="1">
      <c r="C1201" s="421" t="s">
        <v>2173</v>
      </c>
      <c r="D1201" s="421" t="s">
        <v>2174</v>
      </c>
      <c r="H1201" s="421"/>
      <c r="I1201" s="421"/>
      <c r="J1201" s="421"/>
      <c r="K1201" s="421"/>
      <c r="L1201" s="421"/>
      <c r="M1201" s="421"/>
      <c r="N1201" s="421"/>
      <c r="O1201" s="421"/>
    </row>
    <row r="1202" spans="3:15" ht="13.5" customHeight="1">
      <c r="C1202" s="421" t="s">
        <v>2175</v>
      </c>
      <c r="D1202" s="421" t="s">
        <v>2176</v>
      </c>
      <c r="H1202" s="421"/>
      <c r="I1202" s="421"/>
      <c r="J1202" s="421"/>
      <c r="K1202" s="421"/>
      <c r="L1202" s="421"/>
      <c r="M1202" s="421"/>
      <c r="N1202" s="421"/>
      <c r="O1202" s="421"/>
    </row>
    <row r="1203" spans="3:15" ht="13.5" customHeight="1">
      <c r="C1203" s="421" t="s">
        <v>2177</v>
      </c>
      <c r="D1203" s="421" t="s">
        <v>2178</v>
      </c>
      <c r="H1203" s="421"/>
      <c r="I1203" s="421"/>
      <c r="J1203" s="421"/>
      <c r="K1203" s="421"/>
      <c r="L1203" s="421"/>
      <c r="M1203" s="421"/>
      <c r="N1203" s="421"/>
      <c r="O1203" s="421"/>
    </row>
    <row r="1204" spans="3:15" ht="13.5" customHeight="1">
      <c r="C1204" s="421" t="s">
        <v>2179</v>
      </c>
      <c r="D1204" s="421" t="s">
        <v>2180</v>
      </c>
      <c r="H1204" s="421"/>
      <c r="I1204" s="421"/>
      <c r="J1204" s="421"/>
      <c r="K1204" s="421"/>
      <c r="L1204" s="421"/>
      <c r="M1204" s="421"/>
      <c r="N1204" s="421"/>
      <c r="O1204" s="421"/>
    </row>
    <row r="1205" spans="3:15" ht="13.5" customHeight="1">
      <c r="C1205" s="421" t="s">
        <v>2181</v>
      </c>
      <c r="D1205" s="421" t="s">
        <v>2182</v>
      </c>
      <c r="H1205" s="421"/>
      <c r="I1205" s="421"/>
      <c r="J1205" s="421"/>
      <c r="K1205" s="421"/>
      <c r="L1205" s="421"/>
      <c r="M1205" s="421"/>
      <c r="N1205" s="421"/>
      <c r="O1205" s="421"/>
    </row>
    <row r="1206" spans="3:15" ht="13.5" customHeight="1">
      <c r="C1206" s="421" t="s">
        <v>2183</v>
      </c>
      <c r="D1206" s="421" t="s">
        <v>2184</v>
      </c>
      <c r="H1206" s="421"/>
      <c r="I1206" s="421"/>
      <c r="J1206" s="421"/>
      <c r="K1206" s="421"/>
      <c r="L1206" s="421"/>
      <c r="M1206" s="421"/>
      <c r="N1206" s="421"/>
      <c r="O1206" s="421"/>
    </row>
    <row r="1207" spans="3:15" ht="13.5" customHeight="1">
      <c r="C1207" s="421" t="s">
        <v>2185</v>
      </c>
      <c r="D1207" s="421" t="s">
        <v>2186</v>
      </c>
      <c r="H1207" s="421"/>
      <c r="I1207" s="421"/>
      <c r="J1207" s="421"/>
      <c r="K1207" s="421"/>
      <c r="L1207" s="421"/>
      <c r="M1207" s="421"/>
      <c r="N1207" s="421"/>
      <c r="O1207" s="421"/>
    </row>
    <row r="1208" spans="3:15" ht="13.5" customHeight="1">
      <c r="C1208" s="421" t="s">
        <v>2187</v>
      </c>
      <c r="D1208" s="421" t="s">
        <v>2188</v>
      </c>
      <c r="H1208" s="421"/>
      <c r="I1208" s="421"/>
      <c r="J1208" s="421"/>
      <c r="K1208" s="421"/>
      <c r="L1208" s="421"/>
      <c r="M1208" s="421"/>
      <c r="N1208" s="421"/>
      <c r="O1208" s="421"/>
    </row>
    <row r="1209" spans="3:15" ht="13.5" customHeight="1">
      <c r="C1209" s="421" t="s">
        <v>2189</v>
      </c>
      <c r="D1209" s="421" t="s">
        <v>2190</v>
      </c>
      <c r="H1209" s="421"/>
      <c r="I1209" s="421"/>
      <c r="J1209" s="421"/>
      <c r="K1209" s="421"/>
      <c r="L1209" s="421"/>
      <c r="M1209" s="421"/>
      <c r="N1209" s="421"/>
      <c r="O1209" s="421"/>
    </row>
    <row r="1210" spans="3:15" ht="13.5" customHeight="1">
      <c r="C1210" s="421" t="s">
        <v>2191</v>
      </c>
      <c r="D1210" s="421" t="s">
        <v>2192</v>
      </c>
      <c r="H1210" s="421"/>
      <c r="I1210" s="421"/>
      <c r="J1210" s="421"/>
      <c r="K1210" s="421"/>
      <c r="L1210" s="421"/>
      <c r="M1210" s="421"/>
      <c r="N1210" s="421"/>
      <c r="O1210" s="421"/>
    </row>
    <row r="1211" spans="3:15" ht="13.5" customHeight="1">
      <c r="C1211" s="421" t="s">
        <v>2193</v>
      </c>
      <c r="D1211" s="421" t="s">
        <v>2194</v>
      </c>
      <c r="H1211" s="421"/>
      <c r="I1211" s="421"/>
      <c r="J1211" s="421"/>
      <c r="K1211" s="421"/>
      <c r="L1211" s="421"/>
      <c r="M1211" s="421"/>
      <c r="N1211" s="421"/>
      <c r="O1211" s="421"/>
    </row>
    <row r="1212" spans="3:15" ht="13.5" customHeight="1">
      <c r="C1212" s="421" t="s">
        <v>2195</v>
      </c>
      <c r="D1212" s="421" t="s">
        <v>2196</v>
      </c>
      <c r="H1212" s="421"/>
      <c r="I1212" s="421"/>
      <c r="J1212" s="421"/>
      <c r="K1212" s="421"/>
      <c r="L1212" s="421"/>
      <c r="M1212" s="421"/>
      <c r="N1212" s="421"/>
      <c r="O1212" s="421"/>
    </row>
    <row r="1213" spans="3:15" ht="13.5" customHeight="1">
      <c r="C1213" s="421" t="s">
        <v>2197</v>
      </c>
      <c r="D1213" s="421" t="s">
        <v>2198</v>
      </c>
      <c r="H1213" s="421"/>
      <c r="I1213" s="421"/>
      <c r="J1213" s="421"/>
      <c r="K1213" s="421"/>
      <c r="L1213" s="421"/>
      <c r="M1213" s="421"/>
      <c r="N1213" s="421"/>
      <c r="O1213" s="421"/>
    </row>
    <row r="1214" spans="3:15" ht="13.5" customHeight="1">
      <c r="C1214" s="421" t="s">
        <v>2199</v>
      </c>
      <c r="D1214" s="421" t="s">
        <v>2200</v>
      </c>
      <c r="H1214" s="421"/>
      <c r="I1214" s="421"/>
      <c r="J1214" s="421"/>
      <c r="K1214" s="421"/>
      <c r="L1214" s="421"/>
      <c r="M1214" s="421"/>
      <c r="N1214" s="421"/>
      <c r="O1214" s="421"/>
    </row>
    <row r="1215" spans="3:15" ht="13.5" customHeight="1">
      <c r="C1215" s="421" t="s">
        <v>2201</v>
      </c>
      <c r="D1215" s="421" t="s">
        <v>2202</v>
      </c>
      <c r="H1215" s="421"/>
      <c r="I1215" s="421"/>
      <c r="J1215" s="421"/>
      <c r="K1215" s="421"/>
      <c r="L1215" s="421"/>
      <c r="M1215" s="421"/>
      <c r="N1215" s="421"/>
      <c r="O1215" s="421"/>
    </row>
    <row r="1216" spans="3:15" ht="13.5" customHeight="1">
      <c r="C1216" s="421" t="s">
        <v>2203</v>
      </c>
      <c r="D1216" s="421" t="s">
        <v>2204</v>
      </c>
      <c r="H1216" s="421"/>
      <c r="I1216" s="421"/>
      <c r="J1216" s="421"/>
      <c r="K1216" s="421"/>
      <c r="L1216" s="421"/>
      <c r="M1216" s="421"/>
      <c r="N1216" s="421"/>
      <c r="O1216" s="421"/>
    </row>
    <row r="1217" spans="3:15" ht="13.5" customHeight="1">
      <c r="C1217" s="421" t="s">
        <v>2205</v>
      </c>
      <c r="D1217" s="421" t="s">
        <v>2206</v>
      </c>
      <c r="H1217" s="421"/>
      <c r="I1217" s="421"/>
      <c r="J1217" s="421"/>
      <c r="K1217" s="421"/>
      <c r="L1217" s="421"/>
      <c r="M1217" s="421"/>
      <c r="N1217" s="421"/>
      <c r="O1217" s="421"/>
    </row>
    <row r="1218" spans="3:15" ht="13.5" customHeight="1">
      <c r="C1218" s="421" t="s">
        <v>2207</v>
      </c>
      <c r="D1218" s="421" t="s">
        <v>2208</v>
      </c>
      <c r="H1218" s="421"/>
      <c r="I1218" s="421"/>
      <c r="J1218" s="421"/>
      <c r="K1218" s="421"/>
      <c r="L1218" s="421"/>
      <c r="M1218" s="421"/>
      <c r="N1218" s="421"/>
      <c r="O1218" s="421"/>
    </row>
    <row r="1219" spans="3:15" ht="13.5" customHeight="1">
      <c r="C1219" s="421" t="s">
        <v>2209</v>
      </c>
      <c r="D1219" s="421" t="s">
        <v>2210</v>
      </c>
      <c r="H1219" s="421"/>
      <c r="I1219" s="421"/>
      <c r="J1219" s="421"/>
      <c r="K1219" s="421"/>
      <c r="L1219" s="421"/>
      <c r="M1219" s="421"/>
      <c r="N1219" s="421"/>
      <c r="O1219" s="421"/>
    </row>
    <row r="1220" spans="3:15" ht="13.5" customHeight="1">
      <c r="C1220" s="421" t="s">
        <v>2211</v>
      </c>
      <c r="D1220" s="421" t="s">
        <v>2212</v>
      </c>
      <c r="H1220" s="421"/>
      <c r="I1220" s="421"/>
      <c r="J1220" s="421"/>
      <c r="K1220" s="421"/>
      <c r="L1220" s="421"/>
      <c r="M1220" s="421"/>
      <c r="N1220" s="421"/>
      <c r="O1220" s="421"/>
    </row>
    <row r="1221" spans="3:15" ht="13.5" customHeight="1">
      <c r="C1221" s="421" t="s">
        <v>2213</v>
      </c>
      <c r="D1221" s="421" t="s">
        <v>2214</v>
      </c>
      <c r="H1221" s="421"/>
      <c r="I1221" s="421"/>
      <c r="J1221" s="421"/>
      <c r="K1221" s="421"/>
      <c r="L1221" s="421"/>
      <c r="M1221" s="421"/>
      <c r="N1221" s="421"/>
      <c r="O1221" s="421"/>
    </row>
    <row r="1222" spans="3:15" ht="13.5" customHeight="1">
      <c r="C1222" s="421" t="s">
        <v>2215</v>
      </c>
      <c r="D1222" s="421" t="s">
        <v>2216</v>
      </c>
      <c r="H1222" s="421"/>
      <c r="I1222" s="421"/>
      <c r="J1222" s="421"/>
      <c r="K1222" s="421"/>
      <c r="L1222" s="421"/>
      <c r="M1222" s="421"/>
      <c r="N1222" s="421"/>
      <c r="O1222" s="421"/>
    </row>
    <row r="1223" spans="3:15" ht="13.5" customHeight="1">
      <c r="C1223" s="421" t="s">
        <v>2217</v>
      </c>
      <c r="D1223" s="421" t="s">
        <v>2218</v>
      </c>
      <c r="H1223" s="421"/>
      <c r="I1223" s="421"/>
      <c r="J1223" s="421"/>
      <c r="K1223" s="421"/>
      <c r="L1223" s="421"/>
      <c r="M1223" s="421"/>
      <c r="N1223" s="421"/>
      <c r="O1223" s="421"/>
    </row>
    <row r="1224" spans="3:15" ht="13.5" customHeight="1">
      <c r="C1224" s="421" t="s">
        <v>2219</v>
      </c>
      <c r="D1224" s="421" t="s">
        <v>2220</v>
      </c>
      <c r="H1224" s="421"/>
      <c r="I1224" s="421"/>
      <c r="J1224" s="421"/>
      <c r="K1224" s="421"/>
      <c r="L1224" s="421"/>
      <c r="M1224" s="421"/>
      <c r="N1224" s="421"/>
      <c r="O1224" s="421"/>
    </row>
    <row r="1225" spans="3:15" ht="13.5" customHeight="1">
      <c r="C1225" s="421" t="s">
        <v>2221</v>
      </c>
      <c r="D1225" s="421" t="s">
        <v>2222</v>
      </c>
      <c r="H1225" s="421"/>
      <c r="I1225" s="421"/>
      <c r="J1225" s="421"/>
      <c r="K1225" s="421"/>
      <c r="L1225" s="421"/>
      <c r="M1225" s="421"/>
      <c r="N1225" s="421"/>
      <c r="O1225" s="421"/>
    </row>
    <row r="1226" spans="3:15" ht="13.5" customHeight="1">
      <c r="C1226" s="421" t="s">
        <v>2223</v>
      </c>
      <c r="D1226" s="421" t="s">
        <v>2224</v>
      </c>
      <c r="H1226" s="421"/>
      <c r="I1226" s="421"/>
      <c r="J1226" s="421"/>
      <c r="K1226" s="421"/>
      <c r="L1226" s="421"/>
      <c r="M1226" s="421"/>
      <c r="N1226" s="421"/>
      <c r="O1226" s="421"/>
    </row>
    <row r="1227" spans="3:15" ht="13.5" customHeight="1">
      <c r="C1227" s="421" t="s">
        <v>2225</v>
      </c>
      <c r="D1227" s="421" t="s">
        <v>2226</v>
      </c>
      <c r="H1227" s="421"/>
      <c r="I1227" s="421"/>
      <c r="J1227" s="421"/>
      <c r="K1227" s="421"/>
      <c r="L1227" s="421"/>
      <c r="M1227" s="421"/>
      <c r="N1227" s="421"/>
      <c r="O1227" s="421"/>
    </row>
    <row r="1228" spans="3:15" ht="13.5" customHeight="1">
      <c r="C1228" s="421" t="s">
        <v>2227</v>
      </c>
      <c r="D1228" s="421" t="s">
        <v>2228</v>
      </c>
      <c r="H1228" s="421"/>
      <c r="I1228" s="421"/>
      <c r="J1228" s="421"/>
      <c r="K1228" s="421"/>
      <c r="L1228" s="421"/>
      <c r="M1228" s="421"/>
      <c r="N1228" s="421"/>
      <c r="O1228" s="421"/>
    </row>
    <row r="1229" spans="3:15" ht="13.5" customHeight="1">
      <c r="C1229" s="421" t="s">
        <v>2229</v>
      </c>
      <c r="D1229" s="421" t="s">
        <v>2230</v>
      </c>
      <c r="H1229" s="421"/>
      <c r="I1229" s="421"/>
      <c r="J1229" s="421"/>
      <c r="K1229" s="421"/>
      <c r="L1229" s="421"/>
      <c r="M1229" s="421"/>
      <c r="N1229" s="421"/>
      <c r="O1229" s="421"/>
    </row>
    <row r="1230" spans="3:15" ht="13.5" customHeight="1">
      <c r="C1230" s="421" t="s">
        <v>2231</v>
      </c>
      <c r="D1230" s="421" t="s">
        <v>2232</v>
      </c>
      <c r="H1230" s="421"/>
      <c r="I1230" s="421"/>
      <c r="J1230" s="421"/>
      <c r="K1230" s="421"/>
      <c r="L1230" s="421"/>
      <c r="M1230" s="421"/>
      <c r="N1230" s="421"/>
      <c r="O1230" s="421"/>
    </row>
    <row r="1231" spans="3:15" ht="13.5" customHeight="1">
      <c r="C1231" s="421" t="s">
        <v>2233</v>
      </c>
      <c r="D1231" s="421" t="s">
        <v>2234</v>
      </c>
      <c r="H1231" s="421"/>
      <c r="I1231" s="421"/>
      <c r="J1231" s="421"/>
      <c r="K1231" s="421"/>
      <c r="L1231" s="421"/>
      <c r="M1231" s="421"/>
      <c r="N1231" s="421"/>
      <c r="O1231" s="421"/>
    </row>
    <row r="1232" spans="3:15" ht="13.5" customHeight="1">
      <c r="C1232" s="421" t="s">
        <v>2235</v>
      </c>
      <c r="D1232" s="421" t="s">
        <v>2236</v>
      </c>
      <c r="H1232" s="421"/>
      <c r="I1232" s="421"/>
      <c r="J1232" s="421"/>
      <c r="K1232" s="421"/>
      <c r="L1232" s="421"/>
      <c r="M1232" s="421"/>
      <c r="N1232" s="421"/>
      <c r="O1232" s="421"/>
    </row>
    <row r="1233" spans="3:15" ht="13.5" customHeight="1">
      <c r="C1233" s="421" t="s">
        <v>2237</v>
      </c>
      <c r="D1233" s="421" t="s">
        <v>2238</v>
      </c>
      <c r="H1233" s="421"/>
      <c r="I1233" s="421"/>
      <c r="J1233" s="421"/>
      <c r="K1233" s="421"/>
      <c r="L1233" s="421"/>
      <c r="M1233" s="421"/>
      <c r="N1233" s="421"/>
      <c r="O1233" s="421"/>
    </row>
    <row r="1234" spans="3:15" ht="13.5" customHeight="1">
      <c r="C1234" s="421" t="s">
        <v>2239</v>
      </c>
      <c r="D1234" s="421" t="s">
        <v>2240</v>
      </c>
      <c r="H1234" s="421"/>
      <c r="I1234" s="421"/>
      <c r="J1234" s="421"/>
      <c r="K1234" s="421"/>
      <c r="L1234" s="421"/>
      <c r="M1234" s="421"/>
      <c r="N1234" s="421"/>
      <c r="O1234" s="421"/>
    </row>
    <row r="1235" spans="3:15" ht="13.5" customHeight="1">
      <c r="C1235" s="421" t="s">
        <v>2241</v>
      </c>
      <c r="D1235" s="421" t="s">
        <v>2242</v>
      </c>
      <c r="H1235" s="421"/>
      <c r="I1235" s="421"/>
      <c r="J1235" s="421"/>
      <c r="K1235" s="421"/>
      <c r="L1235" s="421"/>
      <c r="M1235" s="421"/>
      <c r="N1235" s="421"/>
      <c r="O1235" s="421"/>
    </row>
    <row r="1236" spans="3:15" ht="13.5" customHeight="1">
      <c r="C1236" s="421" t="s">
        <v>2243</v>
      </c>
      <c r="D1236" s="421" t="s">
        <v>2244</v>
      </c>
      <c r="H1236" s="421"/>
      <c r="I1236" s="421"/>
      <c r="J1236" s="421"/>
      <c r="K1236" s="421"/>
      <c r="L1236" s="421"/>
      <c r="M1236" s="421"/>
      <c r="N1236" s="421"/>
      <c r="O1236" s="421"/>
    </row>
    <row r="1237" spans="3:15" ht="13.5" customHeight="1">
      <c r="C1237" s="421" t="s">
        <v>2245</v>
      </c>
      <c r="D1237" s="421" t="s">
        <v>2246</v>
      </c>
      <c r="H1237" s="421"/>
      <c r="I1237" s="421"/>
      <c r="J1237" s="421"/>
      <c r="K1237" s="421"/>
      <c r="L1237" s="421"/>
      <c r="M1237" s="421"/>
      <c r="N1237" s="421"/>
      <c r="O1237" s="421"/>
    </row>
    <row r="1238" spans="3:15" ht="13.5" customHeight="1">
      <c r="C1238" s="421" t="s">
        <v>2247</v>
      </c>
      <c r="D1238" s="421" t="s">
        <v>2248</v>
      </c>
      <c r="H1238" s="421"/>
      <c r="I1238" s="421"/>
      <c r="J1238" s="421"/>
      <c r="K1238" s="421"/>
      <c r="L1238" s="421"/>
      <c r="M1238" s="421"/>
      <c r="N1238" s="421"/>
      <c r="O1238" s="421"/>
    </row>
    <row r="1239" spans="3:15" ht="13.5" customHeight="1">
      <c r="C1239" s="421" t="s">
        <v>2249</v>
      </c>
      <c r="D1239" s="421" t="s">
        <v>2250</v>
      </c>
      <c r="H1239" s="421"/>
      <c r="I1239" s="421"/>
      <c r="J1239" s="421"/>
      <c r="K1239" s="421"/>
      <c r="L1239" s="421"/>
      <c r="M1239" s="421"/>
      <c r="N1239" s="421"/>
      <c r="O1239" s="421"/>
    </row>
    <row r="1240" spans="3:15" ht="13.5" customHeight="1">
      <c r="C1240" s="421" t="s">
        <v>2251</v>
      </c>
      <c r="D1240" s="421" t="s">
        <v>2252</v>
      </c>
      <c r="H1240" s="421"/>
      <c r="I1240" s="421"/>
      <c r="J1240" s="421"/>
      <c r="K1240" s="421"/>
      <c r="L1240" s="421"/>
      <c r="M1240" s="421"/>
      <c r="N1240" s="421"/>
      <c r="O1240" s="421"/>
    </row>
    <row r="1241" spans="3:15" ht="13.5" customHeight="1">
      <c r="C1241" s="421" t="s">
        <v>2253</v>
      </c>
      <c r="D1241" s="421" t="s">
        <v>2254</v>
      </c>
      <c r="H1241" s="421"/>
      <c r="I1241" s="421"/>
      <c r="J1241" s="421"/>
      <c r="K1241" s="421"/>
      <c r="L1241" s="421"/>
      <c r="M1241" s="421"/>
      <c r="N1241" s="421"/>
      <c r="O1241" s="421"/>
    </row>
    <row r="1242" spans="3:15" ht="13.5" customHeight="1">
      <c r="C1242" s="421" t="s">
        <v>2255</v>
      </c>
      <c r="D1242" s="421" t="s">
        <v>2256</v>
      </c>
      <c r="H1242" s="421"/>
      <c r="I1242" s="421"/>
      <c r="J1242" s="421"/>
      <c r="K1242" s="421"/>
      <c r="L1242" s="421"/>
      <c r="M1242" s="421"/>
      <c r="N1242" s="421"/>
      <c r="O1242" s="421"/>
    </row>
    <row r="1243" spans="3:15" ht="13.5" customHeight="1">
      <c r="C1243" s="421" t="s">
        <v>2257</v>
      </c>
      <c r="D1243" s="421" t="s">
        <v>2258</v>
      </c>
      <c r="H1243" s="421"/>
      <c r="I1243" s="421"/>
      <c r="J1243" s="421"/>
      <c r="K1243" s="421"/>
      <c r="L1243" s="421"/>
      <c r="M1243" s="421"/>
      <c r="N1243" s="421"/>
      <c r="O1243" s="421"/>
    </row>
    <row r="1244" spans="3:15" ht="13.5" customHeight="1">
      <c r="C1244" s="421" t="s">
        <v>2259</v>
      </c>
      <c r="D1244" s="421" t="s">
        <v>2260</v>
      </c>
      <c r="H1244" s="421"/>
      <c r="I1244" s="421"/>
      <c r="J1244" s="421"/>
      <c r="K1244" s="421"/>
      <c r="L1244" s="421"/>
      <c r="M1244" s="421"/>
      <c r="N1244" s="421"/>
      <c r="O1244" s="421"/>
    </row>
    <row r="1245" spans="3:15" ht="13.5" customHeight="1">
      <c r="C1245" s="421" t="s">
        <v>2261</v>
      </c>
      <c r="D1245" s="421" t="s">
        <v>2262</v>
      </c>
      <c r="H1245" s="421"/>
      <c r="I1245" s="421"/>
      <c r="J1245" s="421"/>
      <c r="K1245" s="421"/>
      <c r="L1245" s="421"/>
      <c r="M1245" s="421"/>
      <c r="N1245" s="421"/>
      <c r="O1245" s="421"/>
    </row>
    <row r="1246" spans="3:15" ht="13.5" customHeight="1">
      <c r="C1246" s="421" t="s">
        <v>2263</v>
      </c>
      <c r="D1246" s="421" t="s">
        <v>2264</v>
      </c>
      <c r="H1246" s="421"/>
      <c r="I1246" s="421"/>
      <c r="J1246" s="421"/>
      <c r="K1246" s="421"/>
      <c r="L1246" s="421"/>
      <c r="M1246" s="421"/>
      <c r="N1246" s="421"/>
      <c r="O1246" s="421"/>
    </row>
    <row r="1247" spans="3:15" ht="13.5" customHeight="1">
      <c r="C1247" s="421" t="s">
        <v>2265</v>
      </c>
      <c r="D1247" s="421" t="s">
        <v>2250</v>
      </c>
      <c r="H1247" s="421"/>
      <c r="I1247" s="421"/>
      <c r="J1247" s="421"/>
      <c r="K1247" s="421"/>
      <c r="L1247" s="421"/>
      <c r="M1247" s="421"/>
      <c r="N1247" s="421"/>
      <c r="O1247" s="421"/>
    </row>
    <row r="1248" spans="3:15" ht="13.5" customHeight="1">
      <c r="C1248" s="421" t="s">
        <v>2266</v>
      </c>
      <c r="D1248" s="421" t="s">
        <v>2267</v>
      </c>
      <c r="H1248" s="421"/>
      <c r="I1248" s="421"/>
      <c r="J1248" s="421"/>
      <c r="K1248" s="421"/>
      <c r="L1248" s="421"/>
      <c r="M1248" s="421"/>
      <c r="N1248" s="421"/>
      <c r="O1248" s="421"/>
    </row>
    <row r="1249" spans="3:15" ht="13.5" customHeight="1">
      <c r="C1249" s="421" t="s">
        <v>2268</v>
      </c>
      <c r="D1249" s="421" t="s">
        <v>2269</v>
      </c>
      <c r="H1249" s="421"/>
      <c r="I1249" s="421"/>
      <c r="J1249" s="421"/>
      <c r="K1249" s="421"/>
      <c r="L1249" s="421"/>
      <c r="M1249" s="421"/>
      <c r="N1249" s="421"/>
      <c r="O1249" s="421"/>
    </row>
    <row r="1250" spans="3:15" ht="13.5" customHeight="1">
      <c r="C1250" s="421" t="s">
        <v>2270</v>
      </c>
      <c r="D1250" s="421" t="s">
        <v>2252</v>
      </c>
      <c r="H1250" s="421"/>
      <c r="I1250" s="421"/>
      <c r="J1250" s="421"/>
      <c r="K1250" s="421"/>
      <c r="L1250" s="421"/>
      <c r="M1250" s="421"/>
      <c r="N1250" s="421"/>
      <c r="O1250" s="421"/>
    </row>
    <row r="1251" spans="3:15" ht="13.5" customHeight="1">
      <c r="C1251" s="421" t="s">
        <v>2271</v>
      </c>
      <c r="D1251" s="421" t="s">
        <v>2254</v>
      </c>
      <c r="H1251" s="421"/>
      <c r="I1251" s="421"/>
      <c r="J1251" s="421"/>
      <c r="K1251" s="421"/>
      <c r="L1251" s="421"/>
      <c r="M1251" s="421"/>
      <c r="N1251" s="421"/>
      <c r="O1251" s="421"/>
    </row>
    <row r="1252" spans="3:15" ht="13.5" customHeight="1">
      <c r="C1252" s="421" t="s">
        <v>2272</v>
      </c>
      <c r="D1252" s="421" t="s">
        <v>2256</v>
      </c>
      <c r="H1252" s="421"/>
      <c r="I1252" s="421"/>
      <c r="J1252" s="421"/>
      <c r="K1252" s="421"/>
      <c r="L1252" s="421"/>
      <c r="M1252" s="421"/>
      <c r="N1252" s="421"/>
      <c r="O1252" s="421"/>
    </row>
    <row r="1253" spans="3:15" ht="13.5" customHeight="1">
      <c r="C1253" s="421" t="s">
        <v>2273</v>
      </c>
      <c r="D1253" s="421" t="s">
        <v>2258</v>
      </c>
      <c r="H1253" s="421"/>
      <c r="I1253" s="421"/>
      <c r="J1253" s="421"/>
      <c r="K1253" s="421"/>
      <c r="L1253" s="421"/>
      <c r="M1253" s="421"/>
      <c r="N1253" s="421"/>
      <c r="O1253" s="421"/>
    </row>
    <row r="1254" spans="3:15" ht="13.5" customHeight="1">
      <c r="C1254" s="421" t="s">
        <v>2274</v>
      </c>
      <c r="D1254" s="421" t="s">
        <v>2275</v>
      </c>
      <c r="H1254" s="421"/>
      <c r="I1254" s="421"/>
      <c r="J1254" s="421"/>
      <c r="K1254" s="421"/>
      <c r="L1254" s="421"/>
      <c r="M1254" s="421"/>
      <c r="N1254" s="421"/>
      <c r="O1254" s="421"/>
    </row>
    <row r="1255" spans="3:15" ht="13.5" customHeight="1">
      <c r="C1255" s="421" t="s">
        <v>2276</v>
      </c>
      <c r="D1255" s="421" t="s">
        <v>2277</v>
      </c>
      <c r="H1255" s="421"/>
      <c r="I1255" s="421"/>
      <c r="J1255" s="421"/>
      <c r="K1255" s="421"/>
      <c r="L1255" s="421"/>
      <c r="M1255" s="421"/>
      <c r="N1255" s="421"/>
      <c r="O1255" s="421"/>
    </row>
    <row r="1256" spans="3:15" ht="13.5" customHeight="1">
      <c r="C1256" s="421" t="s">
        <v>2278</v>
      </c>
      <c r="D1256" s="421" t="s">
        <v>2279</v>
      </c>
      <c r="H1256" s="421"/>
      <c r="I1256" s="421"/>
      <c r="J1256" s="421"/>
      <c r="K1256" s="421"/>
      <c r="L1256" s="421"/>
      <c r="M1256" s="421"/>
      <c r="N1256" s="421"/>
      <c r="O1256" s="421"/>
    </row>
    <row r="1257" spans="3:15" ht="13.5" customHeight="1">
      <c r="C1257" s="421" t="s">
        <v>2280</v>
      </c>
      <c r="D1257" s="421" t="s">
        <v>2281</v>
      </c>
      <c r="H1257" s="421"/>
      <c r="I1257" s="421"/>
      <c r="J1257" s="421"/>
      <c r="K1257" s="421"/>
      <c r="L1257" s="421"/>
      <c r="M1257" s="421"/>
      <c r="N1257" s="421"/>
      <c r="O1257" s="421"/>
    </row>
    <row r="1258" spans="3:15" ht="13.5" customHeight="1">
      <c r="C1258" s="421" t="s">
        <v>2282</v>
      </c>
      <c r="D1258" s="421" t="s">
        <v>2283</v>
      </c>
      <c r="H1258" s="421"/>
      <c r="I1258" s="421"/>
      <c r="J1258" s="421"/>
      <c r="K1258" s="421"/>
      <c r="L1258" s="421"/>
      <c r="M1258" s="421"/>
      <c r="N1258" s="421"/>
      <c r="O1258" s="421"/>
    </row>
    <row r="1259" spans="3:15" ht="13.5" customHeight="1">
      <c r="C1259" s="421" t="s">
        <v>2284</v>
      </c>
      <c r="D1259" s="421" t="s">
        <v>2285</v>
      </c>
      <c r="H1259" s="421"/>
      <c r="I1259" s="421"/>
      <c r="J1259" s="421"/>
      <c r="K1259" s="421"/>
      <c r="L1259" s="421"/>
      <c r="M1259" s="421"/>
      <c r="N1259" s="421"/>
      <c r="O1259" s="421"/>
    </row>
    <row r="1260" spans="3:15" ht="13.5" customHeight="1">
      <c r="C1260" s="421" t="s">
        <v>2286</v>
      </c>
      <c r="D1260" s="421" t="s">
        <v>2287</v>
      </c>
      <c r="H1260" s="421"/>
      <c r="I1260" s="421"/>
      <c r="J1260" s="421"/>
      <c r="K1260" s="421"/>
      <c r="L1260" s="421"/>
      <c r="M1260" s="421"/>
      <c r="N1260" s="421"/>
      <c r="O1260" s="421"/>
    </row>
    <row r="1261" spans="3:15" ht="13.5" customHeight="1">
      <c r="C1261" s="421" t="s">
        <v>2288</v>
      </c>
      <c r="D1261" s="421" t="s">
        <v>2289</v>
      </c>
      <c r="H1261" s="421"/>
      <c r="I1261" s="421"/>
      <c r="J1261" s="421"/>
      <c r="K1261" s="421"/>
      <c r="L1261" s="421"/>
      <c r="M1261" s="421"/>
      <c r="N1261" s="421"/>
      <c r="O1261" s="421"/>
    </row>
    <row r="1262" spans="3:15" ht="13.5" customHeight="1">
      <c r="C1262" s="421" t="s">
        <v>2290</v>
      </c>
      <c r="D1262" s="421" t="s">
        <v>2291</v>
      </c>
      <c r="H1262" s="421"/>
      <c r="I1262" s="421"/>
      <c r="J1262" s="421"/>
      <c r="K1262" s="421"/>
      <c r="L1262" s="421"/>
      <c r="M1262" s="421"/>
      <c r="N1262" s="421"/>
      <c r="O1262" s="421"/>
    </row>
    <row r="1263" spans="3:15" ht="13.5" customHeight="1">
      <c r="C1263" s="421" t="s">
        <v>2292</v>
      </c>
      <c r="D1263" s="421" t="s">
        <v>2293</v>
      </c>
      <c r="H1263" s="421"/>
      <c r="I1263" s="421"/>
      <c r="J1263" s="421"/>
      <c r="K1263" s="421"/>
      <c r="L1263" s="421"/>
      <c r="M1263" s="421"/>
      <c r="N1263" s="421"/>
      <c r="O1263" s="421"/>
    </row>
    <row r="1264" spans="3:15" ht="13.5" customHeight="1">
      <c r="C1264" s="421" t="s">
        <v>2294</v>
      </c>
      <c r="D1264" s="421" t="s">
        <v>2295</v>
      </c>
      <c r="H1264" s="421"/>
      <c r="I1264" s="421"/>
      <c r="J1264" s="421"/>
      <c r="K1264" s="421"/>
      <c r="L1264" s="421"/>
      <c r="M1264" s="421"/>
      <c r="N1264" s="421"/>
      <c r="O1264" s="421"/>
    </row>
    <row r="1265" spans="3:15" ht="13.5" customHeight="1">
      <c r="C1265" s="421" t="s">
        <v>2296</v>
      </c>
      <c r="D1265" s="421" t="s">
        <v>2297</v>
      </c>
      <c r="H1265" s="421"/>
      <c r="I1265" s="421"/>
      <c r="J1265" s="421"/>
      <c r="K1265" s="421"/>
      <c r="L1265" s="421"/>
      <c r="M1265" s="421"/>
      <c r="N1265" s="421"/>
      <c r="O1265" s="421"/>
    </row>
    <row r="1266" spans="3:15" ht="13.5" customHeight="1">
      <c r="C1266" s="421" t="s">
        <v>2298</v>
      </c>
      <c r="D1266" s="421" t="s">
        <v>2299</v>
      </c>
      <c r="H1266" s="421"/>
      <c r="I1266" s="421"/>
      <c r="J1266" s="421"/>
      <c r="K1266" s="421"/>
      <c r="L1266" s="421"/>
      <c r="M1266" s="421"/>
      <c r="N1266" s="421"/>
      <c r="O1266" s="421"/>
    </row>
    <row r="1267" spans="3:15" ht="13.5" customHeight="1">
      <c r="C1267" s="421" t="s">
        <v>2300</v>
      </c>
      <c r="D1267" s="421" t="s">
        <v>2301</v>
      </c>
      <c r="H1267" s="421"/>
      <c r="I1267" s="421"/>
      <c r="J1267" s="421"/>
      <c r="K1267" s="421"/>
      <c r="L1267" s="421"/>
      <c r="M1267" s="421"/>
      <c r="N1267" s="421"/>
      <c r="O1267" s="421"/>
    </row>
    <row r="1268" spans="3:15" ht="13.5" customHeight="1">
      <c r="C1268" s="421" t="s">
        <v>2302</v>
      </c>
      <c r="D1268" s="421" t="s">
        <v>2303</v>
      </c>
      <c r="H1268" s="421"/>
      <c r="I1268" s="421"/>
      <c r="J1268" s="421"/>
      <c r="K1268" s="421"/>
      <c r="L1268" s="421"/>
      <c r="M1268" s="421"/>
      <c r="N1268" s="421"/>
      <c r="O1268" s="421"/>
    </row>
    <row r="1269" spans="3:15" ht="13.5" customHeight="1">
      <c r="C1269" s="421" t="s">
        <v>2304</v>
      </c>
      <c r="D1269" s="421" t="s">
        <v>2305</v>
      </c>
      <c r="H1269" s="421"/>
      <c r="I1269" s="421"/>
      <c r="J1269" s="421"/>
      <c r="K1269" s="421"/>
      <c r="L1269" s="421"/>
      <c r="M1269" s="421"/>
      <c r="N1269" s="421"/>
      <c r="O1269" s="421"/>
    </row>
    <row r="1270" spans="3:15" ht="13.5" customHeight="1">
      <c r="C1270" s="421" t="s">
        <v>2306</v>
      </c>
      <c r="D1270" s="421" t="s">
        <v>2307</v>
      </c>
      <c r="H1270" s="421"/>
      <c r="I1270" s="421"/>
      <c r="J1270" s="421"/>
      <c r="K1270" s="421"/>
      <c r="L1270" s="421"/>
      <c r="M1270" s="421"/>
      <c r="N1270" s="421"/>
      <c r="O1270" s="421"/>
    </row>
    <row r="1271" spans="3:15" ht="13.5" customHeight="1">
      <c r="C1271" s="421" t="s">
        <v>2308</v>
      </c>
      <c r="D1271" s="421" t="s">
        <v>2309</v>
      </c>
      <c r="H1271" s="421"/>
      <c r="I1271" s="421"/>
      <c r="J1271" s="421"/>
      <c r="K1271" s="421"/>
      <c r="L1271" s="421"/>
      <c r="M1271" s="421"/>
      <c r="N1271" s="421"/>
      <c r="O1271" s="421"/>
    </row>
    <row r="1272" spans="3:15" ht="13.5" customHeight="1">
      <c r="C1272" s="421" t="s">
        <v>2310</v>
      </c>
      <c r="D1272" s="421" t="s">
        <v>2311</v>
      </c>
      <c r="H1272" s="421"/>
      <c r="I1272" s="421"/>
      <c r="J1272" s="421"/>
      <c r="K1272" s="421"/>
      <c r="L1272" s="421"/>
      <c r="M1272" s="421"/>
      <c r="N1272" s="421"/>
      <c r="O1272" s="421"/>
    </row>
    <row r="1273" spans="3:15" ht="13.5" customHeight="1">
      <c r="C1273" s="421" t="s">
        <v>2312</v>
      </c>
      <c r="D1273" s="421" t="s">
        <v>2313</v>
      </c>
      <c r="H1273" s="421"/>
      <c r="I1273" s="421"/>
      <c r="J1273" s="421"/>
      <c r="K1273" s="421"/>
      <c r="L1273" s="421"/>
      <c r="M1273" s="421"/>
      <c r="N1273" s="421"/>
      <c r="O1273" s="421"/>
    </row>
    <row r="1274" spans="3:15" ht="13.5" customHeight="1">
      <c r="C1274" s="421" t="s">
        <v>2314</v>
      </c>
      <c r="D1274" s="421" t="s">
        <v>2315</v>
      </c>
      <c r="H1274" s="421"/>
      <c r="I1274" s="421"/>
      <c r="J1274" s="421"/>
      <c r="K1274" s="421"/>
      <c r="L1274" s="421"/>
      <c r="M1274" s="421"/>
      <c r="N1274" s="421"/>
      <c r="O1274" s="421"/>
    </row>
    <row r="1275" spans="3:15" ht="13.5" customHeight="1">
      <c r="C1275" s="421" t="s">
        <v>2316</v>
      </c>
      <c r="D1275" s="421" t="s">
        <v>2317</v>
      </c>
      <c r="H1275" s="421"/>
      <c r="I1275" s="421"/>
      <c r="J1275" s="421"/>
      <c r="K1275" s="421"/>
      <c r="L1275" s="421"/>
      <c r="M1275" s="421"/>
      <c r="N1275" s="421"/>
      <c r="O1275" s="421"/>
    </row>
    <row r="1276" spans="3:15" ht="13.5" customHeight="1">
      <c r="C1276" s="421" t="s">
        <v>2318</v>
      </c>
      <c r="D1276" s="421" t="s">
        <v>2315</v>
      </c>
      <c r="H1276" s="421"/>
      <c r="I1276" s="421"/>
      <c r="J1276" s="421"/>
      <c r="K1276" s="421"/>
      <c r="L1276" s="421"/>
      <c r="M1276" s="421"/>
      <c r="N1276" s="421"/>
      <c r="O1276" s="421"/>
    </row>
    <row r="1277" spans="3:15" ht="13.5" customHeight="1">
      <c r="C1277" s="421" t="s">
        <v>2319</v>
      </c>
      <c r="D1277" s="421" t="s">
        <v>2320</v>
      </c>
      <c r="H1277" s="421"/>
      <c r="I1277" s="421"/>
      <c r="J1277" s="421"/>
      <c r="K1277" s="421"/>
      <c r="L1277" s="421"/>
      <c r="M1277" s="421"/>
      <c r="N1277" s="421"/>
      <c r="O1277" s="421"/>
    </row>
    <row r="1278" spans="3:15" ht="13.5" customHeight="1">
      <c r="C1278" s="421" t="s">
        <v>2321</v>
      </c>
      <c r="D1278" s="421" t="s">
        <v>2322</v>
      </c>
      <c r="H1278" s="421"/>
      <c r="I1278" s="421"/>
      <c r="J1278" s="421"/>
      <c r="K1278" s="421"/>
      <c r="L1278" s="421"/>
      <c r="M1278" s="421"/>
      <c r="N1278" s="421"/>
      <c r="O1278" s="421"/>
    </row>
    <row r="1279" spans="3:15" ht="13.5" customHeight="1">
      <c r="C1279" s="421" t="s">
        <v>2323</v>
      </c>
      <c r="D1279" s="421" t="s">
        <v>2324</v>
      </c>
      <c r="H1279" s="421"/>
      <c r="I1279" s="421"/>
      <c r="J1279" s="421"/>
      <c r="K1279" s="421"/>
      <c r="L1279" s="421"/>
      <c r="M1279" s="421"/>
      <c r="N1279" s="421"/>
      <c r="O1279" s="421"/>
    </row>
    <row r="1280" spans="3:15" ht="13.5" customHeight="1">
      <c r="C1280" s="421" t="s">
        <v>2325</v>
      </c>
      <c r="D1280" s="421" t="s">
        <v>2326</v>
      </c>
      <c r="H1280" s="421"/>
      <c r="I1280" s="421"/>
      <c r="J1280" s="421"/>
      <c r="K1280" s="421"/>
      <c r="L1280" s="421"/>
      <c r="M1280" s="421"/>
      <c r="N1280" s="421"/>
      <c r="O1280" s="421"/>
    </row>
    <row r="1281" spans="3:15" ht="13.5" customHeight="1">
      <c r="C1281" s="421" t="s">
        <v>2327</v>
      </c>
      <c r="D1281" s="421" t="s">
        <v>2328</v>
      </c>
      <c r="H1281" s="421"/>
      <c r="I1281" s="421"/>
      <c r="J1281" s="421"/>
      <c r="K1281" s="421"/>
      <c r="L1281" s="421"/>
      <c r="M1281" s="421"/>
      <c r="N1281" s="421"/>
      <c r="O1281" s="421"/>
    </row>
    <row r="1282" spans="3:15" ht="13.5" customHeight="1">
      <c r="C1282" s="421" t="s">
        <v>2329</v>
      </c>
      <c r="D1282" s="421" t="s">
        <v>2330</v>
      </c>
      <c r="H1282" s="421"/>
      <c r="I1282" s="421"/>
      <c r="J1282" s="421"/>
      <c r="K1282" s="421"/>
      <c r="L1282" s="421"/>
      <c r="M1282" s="421"/>
      <c r="N1282" s="421"/>
      <c r="O1282" s="421"/>
    </row>
    <row r="1283" spans="3:15" ht="13.5" customHeight="1">
      <c r="C1283" s="421" t="s">
        <v>2331</v>
      </c>
      <c r="D1283" s="421" t="s">
        <v>2332</v>
      </c>
      <c r="H1283" s="421"/>
      <c r="I1283" s="421"/>
      <c r="J1283" s="421"/>
      <c r="K1283" s="421"/>
      <c r="L1283" s="421"/>
      <c r="M1283" s="421"/>
      <c r="N1283" s="421"/>
      <c r="O1283" s="421"/>
    </row>
    <row r="1284" spans="3:15" ht="13.5" customHeight="1">
      <c r="C1284" s="421" t="s">
        <v>2333</v>
      </c>
      <c r="D1284" s="421" t="s">
        <v>2334</v>
      </c>
      <c r="H1284" s="421"/>
      <c r="I1284" s="421"/>
      <c r="J1284" s="421"/>
      <c r="K1284" s="421"/>
      <c r="L1284" s="421"/>
      <c r="M1284" s="421"/>
      <c r="N1284" s="421"/>
      <c r="O1284" s="421"/>
    </row>
    <row r="1285" spans="3:15" ht="13.5" customHeight="1">
      <c r="C1285" s="421" t="s">
        <v>2335</v>
      </c>
      <c r="D1285" s="421" t="s">
        <v>2336</v>
      </c>
      <c r="H1285" s="421"/>
      <c r="I1285" s="421"/>
      <c r="J1285" s="421"/>
      <c r="K1285" s="421"/>
      <c r="L1285" s="421"/>
      <c r="M1285" s="421"/>
      <c r="N1285" s="421"/>
      <c r="O1285" s="421"/>
    </row>
    <row r="1286" spans="3:15" ht="13.5" customHeight="1">
      <c r="C1286" s="421" t="s">
        <v>2337</v>
      </c>
      <c r="D1286" s="421" t="s">
        <v>2338</v>
      </c>
      <c r="H1286" s="421"/>
      <c r="I1286" s="421"/>
      <c r="J1286" s="421"/>
      <c r="K1286" s="421"/>
      <c r="L1286" s="421"/>
      <c r="M1286" s="421"/>
      <c r="N1286" s="421"/>
      <c r="O1286" s="421"/>
    </row>
    <row r="1287" spans="3:15" ht="13.5" customHeight="1">
      <c r="C1287" s="421" t="s">
        <v>2339</v>
      </c>
      <c r="D1287" s="421" t="s">
        <v>2340</v>
      </c>
      <c r="H1287" s="421"/>
      <c r="I1287" s="421"/>
      <c r="J1287" s="421"/>
      <c r="K1287" s="421"/>
      <c r="L1287" s="421"/>
      <c r="M1287" s="421"/>
      <c r="N1287" s="421"/>
      <c r="O1287" s="421"/>
    </row>
    <row r="1288" spans="3:15" ht="13.5" customHeight="1">
      <c r="C1288" s="421" t="s">
        <v>2341</v>
      </c>
      <c r="D1288" s="421" t="s">
        <v>2342</v>
      </c>
      <c r="H1288" s="421"/>
      <c r="I1288" s="421"/>
      <c r="J1288" s="421"/>
      <c r="K1288" s="421"/>
      <c r="L1288" s="421"/>
      <c r="M1288" s="421"/>
      <c r="N1288" s="421"/>
      <c r="O1288" s="421"/>
    </row>
    <row r="1289" spans="3:15" ht="13.5" customHeight="1">
      <c r="C1289" s="421" t="s">
        <v>2343</v>
      </c>
      <c r="D1289" s="421" t="s">
        <v>2344</v>
      </c>
      <c r="H1289" s="421"/>
      <c r="I1289" s="421"/>
      <c r="J1289" s="421"/>
      <c r="K1289" s="421"/>
      <c r="L1289" s="421"/>
      <c r="M1289" s="421"/>
      <c r="N1289" s="421"/>
      <c r="O1289" s="421"/>
    </row>
    <row r="1290" spans="3:15" ht="13.5" customHeight="1">
      <c r="C1290" s="421" t="s">
        <v>2345</v>
      </c>
      <c r="D1290" s="421" t="s">
        <v>2346</v>
      </c>
      <c r="H1290" s="421"/>
      <c r="I1290" s="421"/>
      <c r="J1290" s="421"/>
      <c r="K1290" s="421"/>
      <c r="L1290" s="421"/>
      <c r="M1290" s="421"/>
      <c r="N1290" s="421"/>
      <c r="O1290" s="421"/>
    </row>
    <row r="1291" spans="3:15" ht="13.5" customHeight="1">
      <c r="C1291" s="421" t="s">
        <v>2347</v>
      </c>
      <c r="D1291" s="421" t="s">
        <v>2348</v>
      </c>
      <c r="H1291" s="421"/>
      <c r="I1291" s="421"/>
      <c r="J1291" s="421"/>
      <c r="K1291" s="421"/>
      <c r="L1291" s="421"/>
      <c r="M1291" s="421"/>
      <c r="N1291" s="421"/>
      <c r="O1291" s="421"/>
    </row>
    <row r="1292" spans="3:15" ht="13.5" customHeight="1">
      <c r="C1292" s="421" t="s">
        <v>2349</v>
      </c>
      <c r="D1292" s="421" t="s">
        <v>2350</v>
      </c>
      <c r="H1292" s="421"/>
      <c r="I1292" s="421"/>
      <c r="J1292" s="421"/>
      <c r="K1292" s="421"/>
      <c r="L1292" s="421"/>
      <c r="M1292" s="421"/>
      <c r="N1292" s="421"/>
      <c r="O1292" s="421"/>
    </row>
    <row r="1293" spans="3:15" ht="13.5" customHeight="1">
      <c r="C1293" s="421" t="s">
        <v>2351</v>
      </c>
      <c r="D1293" s="421" t="s">
        <v>2352</v>
      </c>
      <c r="H1293" s="421"/>
      <c r="I1293" s="421"/>
      <c r="J1293" s="421"/>
      <c r="K1293" s="421"/>
      <c r="L1293" s="421"/>
      <c r="M1293" s="421"/>
      <c r="N1293" s="421"/>
      <c r="O1293" s="421"/>
    </row>
    <row r="1294" spans="3:15" ht="13.5" customHeight="1">
      <c r="C1294" s="421" t="s">
        <v>2353</v>
      </c>
      <c r="D1294" s="421" t="s">
        <v>2354</v>
      </c>
      <c r="H1294" s="421"/>
      <c r="I1294" s="421"/>
      <c r="J1294" s="421"/>
      <c r="K1294" s="421"/>
      <c r="L1294" s="421"/>
      <c r="M1294" s="421"/>
      <c r="N1294" s="421"/>
      <c r="O1294" s="421"/>
    </row>
    <row r="1295" spans="3:15" ht="13.5" customHeight="1">
      <c r="C1295" s="421" t="s">
        <v>2355</v>
      </c>
      <c r="D1295" s="421" t="s">
        <v>2356</v>
      </c>
      <c r="H1295" s="421"/>
      <c r="I1295" s="421"/>
      <c r="J1295" s="421"/>
      <c r="K1295" s="421"/>
      <c r="L1295" s="421"/>
      <c r="M1295" s="421"/>
      <c r="N1295" s="421"/>
      <c r="O1295" s="421"/>
    </row>
    <row r="1296" spans="3:15" ht="13.5" customHeight="1">
      <c r="C1296" s="421" t="s">
        <v>2357</v>
      </c>
      <c r="D1296" s="421" t="s">
        <v>2358</v>
      </c>
      <c r="H1296" s="421"/>
      <c r="I1296" s="421"/>
      <c r="J1296" s="421"/>
      <c r="K1296" s="421"/>
      <c r="L1296" s="421"/>
      <c r="M1296" s="421"/>
      <c r="N1296" s="421"/>
      <c r="O1296" s="421"/>
    </row>
    <row r="1297" spans="3:15" ht="13.5" customHeight="1">
      <c r="C1297" s="421" t="s">
        <v>2359</v>
      </c>
      <c r="D1297" s="421" t="s">
        <v>2360</v>
      </c>
      <c r="H1297" s="421"/>
      <c r="I1297" s="421"/>
      <c r="J1297" s="421"/>
      <c r="K1297" s="421"/>
      <c r="L1297" s="421"/>
      <c r="M1297" s="421"/>
      <c r="N1297" s="421"/>
      <c r="O1297" s="421"/>
    </row>
    <row r="1298" spans="3:15" ht="13.5" customHeight="1">
      <c r="C1298" s="421" t="s">
        <v>2361</v>
      </c>
      <c r="D1298" s="421" t="s">
        <v>2362</v>
      </c>
      <c r="H1298" s="421"/>
      <c r="I1298" s="421"/>
      <c r="J1298" s="421"/>
      <c r="K1298" s="421"/>
      <c r="L1298" s="421"/>
      <c r="M1298" s="421"/>
      <c r="N1298" s="421"/>
      <c r="O1298" s="421"/>
    </row>
    <row r="1299" spans="3:15" ht="13.5" customHeight="1">
      <c r="C1299" s="421" t="s">
        <v>2363</v>
      </c>
      <c r="D1299" s="421" t="s">
        <v>2364</v>
      </c>
      <c r="H1299" s="421"/>
      <c r="I1299" s="421"/>
      <c r="J1299" s="421"/>
      <c r="K1299" s="421"/>
      <c r="L1299" s="421"/>
      <c r="M1299" s="421"/>
      <c r="N1299" s="421"/>
      <c r="O1299" s="421"/>
    </row>
    <row r="1300" spans="3:15" ht="13.5" customHeight="1">
      <c r="C1300" s="421" t="s">
        <v>2365</v>
      </c>
      <c r="D1300" s="421" t="s">
        <v>2366</v>
      </c>
      <c r="H1300" s="421"/>
      <c r="I1300" s="421"/>
      <c r="J1300" s="421"/>
      <c r="K1300" s="421"/>
      <c r="L1300" s="421"/>
      <c r="M1300" s="421"/>
      <c r="N1300" s="421"/>
      <c r="O1300" s="421"/>
    </row>
    <row r="1301" spans="3:15" ht="13.5" customHeight="1">
      <c r="C1301" s="421" t="s">
        <v>2367</v>
      </c>
      <c r="D1301" s="421" t="s">
        <v>2368</v>
      </c>
      <c r="H1301" s="421"/>
      <c r="I1301" s="421"/>
      <c r="J1301" s="421"/>
      <c r="K1301" s="421"/>
      <c r="L1301" s="421"/>
      <c r="M1301" s="421"/>
      <c r="N1301" s="421"/>
      <c r="O1301" s="421"/>
    </row>
    <row r="1302" spans="3:15" ht="13.5" customHeight="1">
      <c r="C1302" s="421" t="s">
        <v>2369</v>
      </c>
      <c r="D1302" s="421" t="s">
        <v>2370</v>
      </c>
      <c r="H1302" s="421"/>
      <c r="I1302" s="421"/>
      <c r="J1302" s="421"/>
      <c r="K1302" s="421"/>
      <c r="L1302" s="421"/>
      <c r="M1302" s="421"/>
      <c r="N1302" s="421"/>
      <c r="O1302" s="421"/>
    </row>
    <row r="1303" spans="3:15" ht="13.5" customHeight="1">
      <c r="C1303" s="421" t="s">
        <v>2371</v>
      </c>
      <c r="D1303" s="421" t="s">
        <v>2372</v>
      </c>
      <c r="H1303" s="421"/>
      <c r="I1303" s="421"/>
      <c r="J1303" s="421"/>
      <c r="K1303" s="421"/>
      <c r="L1303" s="421"/>
      <c r="M1303" s="421"/>
      <c r="N1303" s="421"/>
      <c r="O1303" s="421"/>
    </row>
    <row r="1304" spans="3:15" ht="13.5" customHeight="1">
      <c r="C1304" s="421" t="s">
        <v>2373</v>
      </c>
      <c r="D1304" s="421" t="s">
        <v>2374</v>
      </c>
      <c r="H1304" s="421"/>
      <c r="I1304" s="421"/>
      <c r="J1304" s="421"/>
      <c r="K1304" s="421"/>
      <c r="L1304" s="421"/>
      <c r="M1304" s="421"/>
      <c r="N1304" s="421"/>
      <c r="O1304" s="421"/>
    </row>
    <row r="1305" spans="3:15" ht="13.5" customHeight="1">
      <c r="C1305" s="421" t="s">
        <v>2375</v>
      </c>
      <c r="D1305" s="421" t="s">
        <v>2376</v>
      </c>
      <c r="H1305" s="421"/>
      <c r="I1305" s="421"/>
      <c r="J1305" s="421"/>
      <c r="K1305" s="421"/>
      <c r="L1305" s="421"/>
      <c r="M1305" s="421"/>
      <c r="N1305" s="421"/>
      <c r="O1305" s="421"/>
    </row>
    <row r="1306" spans="3:15" ht="13.5" customHeight="1">
      <c r="C1306" s="421" t="s">
        <v>2377</v>
      </c>
      <c r="D1306" s="421" t="s">
        <v>2378</v>
      </c>
      <c r="H1306" s="421"/>
      <c r="I1306" s="421"/>
      <c r="J1306" s="421"/>
      <c r="K1306" s="421"/>
      <c r="L1306" s="421"/>
      <c r="M1306" s="421"/>
      <c r="N1306" s="421"/>
      <c r="O1306" s="421"/>
    </row>
    <row r="1307" spans="3:15" ht="13.5" customHeight="1">
      <c r="C1307" s="421" t="s">
        <v>2379</v>
      </c>
      <c r="D1307" s="421" t="s">
        <v>2380</v>
      </c>
      <c r="H1307" s="421"/>
      <c r="I1307" s="421"/>
      <c r="J1307" s="421"/>
      <c r="K1307" s="421"/>
      <c r="L1307" s="421"/>
      <c r="M1307" s="421"/>
      <c r="N1307" s="421"/>
      <c r="O1307" s="421"/>
    </row>
    <row r="1308" spans="3:15" ht="13.5" customHeight="1">
      <c r="C1308" s="421" t="s">
        <v>2381</v>
      </c>
      <c r="D1308" s="421" t="s">
        <v>2382</v>
      </c>
      <c r="H1308" s="421"/>
      <c r="I1308" s="421"/>
      <c r="J1308" s="421"/>
      <c r="K1308" s="421"/>
      <c r="L1308" s="421"/>
      <c r="M1308" s="421"/>
      <c r="N1308" s="421"/>
      <c r="O1308" s="421"/>
    </row>
    <row r="1309" spans="3:15" ht="13.5" customHeight="1">
      <c r="C1309" s="421" t="s">
        <v>2383</v>
      </c>
      <c r="D1309" s="421" t="s">
        <v>2384</v>
      </c>
      <c r="H1309" s="421"/>
      <c r="I1309" s="421"/>
      <c r="J1309" s="421"/>
      <c r="K1309" s="421"/>
      <c r="L1309" s="421"/>
      <c r="M1309" s="421"/>
      <c r="N1309" s="421"/>
      <c r="O1309" s="421"/>
    </row>
    <row r="1310" spans="3:15" ht="13.5" customHeight="1">
      <c r="C1310" s="421" t="s">
        <v>2385</v>
      </c>
      <c r="D1310" s="421" t="s">
        <v>2386</v>
      </c>
      <c r="H1310" s="421"/>
      <c r="I1310" s="421"/>
      <c r="J1310" s="421"/>
      <c r="K1310" s="421"/>
      <c r="L1310" s="421"/>
      <c r="M1310" s="421"/>
      <c r="N1310" s="421"/>
      <c r="O1310" s="421"/>
    </row>
    <row r="1311" spans="3:15" ht="13.5" customHeight="1">
      <c r="C1311" s="421" t="s">
        <v>2387</v>
      </c>
      <c r="D1311" s="421" t="s">
        <v>2388</v>
      </c>
      <c r="H1311" s="421"/>
      <c r="I1311" s="421"/>
      <c r="J1311" s="421"/>
      <c r="K1311" s="421"/>
      <c r="L1311" s="421"/>
      <c r="M1311" s="421"/>
      <c r="N1311" s="421"/>
      <c r="O1311" s="421"/>
    </row>
    <row r="1312" spans="3:15" ht="13.5" customHeight="1">
      <c r="C1312" s="421" t="s">
        <v>2389</v>
      </c>
      <c r="D1312" s="421" t="s">
        <v>2390</v>
      </c>
      <c r="H1312" s="421"/>
      <c r="I1312" s="421"/>
      <c r="J1312" s="421"/>
      <c r="K1312" s="421"/>
      <c r="L1312" s="421"/>
      <c r="M1312" s="421"/>
      <c r="N1312" s="421"/>
      <c r="O1312" s="421"/>
    </row>
    <row r="1313" spans="3:15" ht="13.5" customHeight="1">
      <c r="C1313" s="421" t="s">
        <v>2391</v>
      </c>
      <c r="D1313" s="421" t="s">
        <v>2392</v>
      </c>
      <c r="H1313" s="421"/>
      <c r="I1313" s="421"/>
      <c r="J1313" s="421"/>
      <c r="K1313" s="421"/>
      <c r="L1313" s="421"/>
      <c r="M1313" s="421"/>
      <c r="N1313" s="421"/>
      <c r="O1313" s="421"/>
    </row>
    <row r="1314" spans="3:15" ht="13.5" customHeight="1">
      <c r="C1314" s="421" t="s">
        <v>2393</v>
      </c>
      <c r="D1314" s="421" t="s">
        <v>2394</v>
      </c>
      <c r="H1314" s="421"/>
      <c r="I1314" s="421"/>
      <c r="J1314" s="421"/>
      <c r="K1314" s="421"/>
      <c r="L1314" s="421"/>
      <c r="M1314" s="421"/>
      <c r="N1314" s="421"/>
      <c r="O1314" s="421"/>
    </row>
    <row r="1315" spans="3:15" ht="13.5" customHeight="1">
      <c r="C1315" s="421" t="s">
        <v>2395</v>
      </c>
      <c r="D1315" s="421" t="s">
        <v>2396</v>
      </c>
      <c r="H1315" s="421"/>
      <c r="I1315" s="421"/>
      <c r="J1315" s="421"/>
      <c r="K1315" s="421"/>
      <c r="L1315" s="421"/>
      <c r="M1315" s="421"/>
      <c r="N1315" s="421"/>
      <c r="O1315" s="421"/>
    </row>
    <row r="1316" spans="3:15" ht="13.5" customHeight="1">
      <c r="C1316" s="421" t="s">
        <v>2397</v>
      </c>
      <c r="D1316" s="421" t="s">
        <v>2398</v>
      </c>
      <c r="H1316" s="421"/>
      <c r="I1316" s="421"/>
      <c r="J1316" s="421"/>
      <c r="K1316" s="421"/>
      <c r="L1316" s="421"/>
      <c r="M1316" s="421"/>
      <c r="N1316" s="421"/>
      <c r="O1316" s="421"/>
    </row>
    <row r="1317" spans="3:15" ht="13.5" customHeight="1">
      <c r="C1317" s="421" t="s">
        <v>2399</v>
      </c>
      <c r="D1317" s="421" t="s">
        <v>2400</v>
      </c>
      <c r="H1317" s="421"/>
      <c r="I1317" s="421"/>
      <c r="J1317" s="421"/>
      <c r="K1317" s="421"/>
      <c r="L1317" s="421"/>
      <c r="M1317" s="421"/>
      <c r="N1317" s="421"/>
      <c r="O1317" s="421"/>
    </row>
    <row r="1318" spans="3:15" ht="13.5" customHeight="1">
      <c r="C1318" s="421" t="s">
        <v>2401</v>
      </c>
      <c r="D1318" s="421" t="s">
        <v>2402</v>
      </c>
      <c r="H1318" s="421"/>
      <c r="I1318" s="421"/>
      <c r="J1318" s="421"/>
      <c r="K1318" s="421"/>
      <c r="L1318" s="421"/>
      <c r="M1318" s="421"/>
      <c r="N1318" s="421"/>
      <c r="O1318" s="421"/>
    </row>
    <row r="1319" spans="3:15" ht="13.5" customHeight="1">
      <c r="C1319" s="421" t="s">
        <v>2403</v>
      </c>
      <c r="D1319" s="421" t="s">
        <v>2404</v>
      </c>
      <c r="H1319" s="421"/>
      <c r="I1319" s="421"/>
      <c r="J1319" s="421"/>
      <c r="K1319" s="421"/>
      <c r="L1319" s="421"/>
      <c r="M1319" s="421"/>
      <c r="N1319" s="421"/>
      <c r="O1319" s="421"/>
    </row>
    <row r="1320" spans="3:15" ht="13.5" customHeight="1">
      <c r="C1320" s="421" t="s">
        <v>2405</v>
      </c>
      <c r="D1320" s="421" t="s">
        <v>2406</v>
      </c>
      <c r="H1320" s="421"/>
      <c r="I1320" s="421"/>
      <c r="J1320" s="421"/>
      <c r="K1320" s="421"/>
      <c r="L1320" s="421"/>
      <c r="M1320" s="421"/>
      <c r="N1320" s="421"/>
      <c r="O1320" s="421"/>
    </row>
    <row r="1321" spans="3:15" ht="13.5" customHeight="1">
      <c r="C1321" s="421" t="s">
        <v>2407</v>
      </c>
      <c r="D1321" s="421" t="s">
        <v>2408</v>
      </c>
      <c r="H1321" s="421"/>
      <c r="I1321" s="421"/>
      <c r="J1321" s="421"/>
      <c r="K1321" s="421"/>
      <c r="L1321" s="421"/>
      <c r="M1321" s="421"/>
      <c r="N1321" s="421"/>
      <c r="O1321" s="421"/>
    </row>
    <row r="1322" spans="3:15" ht="13.5" customHeight="1">
      <c r="C1322" s="421" t="s">
        <v>2409</v>
      </c>
      <c r="D1322" s="421" t="s">
        <v>2410</v>
      </c>
      <c r="H1322" s="421"/>
      <c r="I1322" s="421"/>
      <c r="J1322" s="421"/>
      <c r="K1322" s="421"/>
      <c r="L1322" s="421"/>
      <c r="M1322" s="421"/>
      <c r="N1322" s="421"/>
      <c r="O1322" s="421"/>
    </row>
    <row r="1323" spans="3:15" ht="13.5" customHeight="1">
      <c r="C1323" s="421" t="s">
        <v>2411</v>
      </c>
      <c r="D1323" s="421" t="s">
        <v>2412</v>
      </c>
      <c r="H1323" s="421"/>
      <c r="I1323" s="421"/>
      <c r="J1323" s="421"/>
      <c r="K1323" s="421"/>
      <c r="L1323" s="421"/>
      <c r="M1323" s="421"/>
      <c r="N1323" s="421"/>
      <c r="O1323" s="421"/>
    </row>
    <row r="1324" spans="3:15" ht="13.5" customHeight="1">
      <c r="C1324" s="421" t="s">
        <v>2413</v>
      </c>
      <c r="D1324" s="421" t="s">
        <v>2414</v>
      </c>
      <c r="H1324" s="421"/>
      <c r="I1324" s="421"/>
      <c r="J1324" s="421"/>
      <c r="K1324" s="421"/>
      <c r="L1324" s="421"/>
      <c r="M1324" s="421"/>
      <c r="N1324" s="421"/>
      <c r="O1324" s="421"/>
    </row>
    <row r="1325" spans="3:15" ht="13.5" customHeight="1">
      <c r="C1325" s="421" t="s">
        <v>2415</v>
      </c>
      <c r="D1325" s="421" t="s">
        <v>2416</v>
      </c>
      <c r="H1325" s="421"/>
      <c r="I1325" s="421"/>
      <c r="J1325" s="421"/>
      <c r="K1325" s="421"/>
      <c r="L1325" s="421"/>
      <c r="M1325" s="421"/>
      <c r="N1325" s="421"/>
      <c r="O1325" s="421"/>
    </row>
    <row r="1326" spans="3:15" ht="13.5" customHeight="1">
      <c r="C1326" s="421" t="s">
        <v>2417</v>
      </c>
      <c r="D1326" s="421" t="s">
        <v>2418</v>
      </c>
      <c r="H1326" s="421"/>
      <c r="I1326" s="421"/>
      <c r="J1326" s="421"/>
      <c r="K1326" s="421"/>
      <c r="L1326" s="421"/>
      <c r="M1326" s="421"/>
      <c r="N1326" s="421"/>
      <c r="O1326" s="421"/>
    </row>
    <row r="1327" spans="3:15" ht="13.5" customHeight="1">
      <c r="C1327" s="421" t="s">
        <v>2419</v>
      </c>
      <c r="D1327" s="421" t="s">
        <v>2420</v>
      </c>
      <c r="H1327" s="421"/>
      <c r="I1327" s="421"/>
      <c r="J1327" s="421"/>
      <c r="K1327" s="421"/>
      <c r="L1327" s="421"/>
      <c r="M1327" s="421"/>
      <c r="N1327" s="421"/>
      <c r="O1327" s="421"/>
    </row>
    <row r="1328" spans="3:15" ht="13.5" customHeight="1">
      <c r="C1328" s="421" t="s">
        <v>2421</v>
      </c>
      <c r="D1328" s="421" t="s">
        <v>2422</v>
      </c>
      <c r="H1328" s="421"/>
      <c r="I1328" s="421"/>
      <c r="J1328" s="421"/>
      <c r="K1328" s="421"/>
      <c r="L1328" s="421"/>
      <c r="M1328" s="421"/>
      <c r="N1328" s="421"/>
      <c r="O1328" s="421"/>
    </row>
    <row r="1329" spans="3:15" ht="13.5" customHeight="1">
      <c r="C1329" s="421" t="s">
        <v>2423</v>
      </c>
      <c r="D1329" s="421" t="s">
        <v>2424</v>
      </c>
      <c r="H1329" s="421"/>
      <c r="I1329" s="421"/>
      <c r="J1329" s="421"/>
      <c r="K1329" s="421"/>
      <c r="L1329" s="421"/>
      <c r="M1329" s="421"/>
      <c r="N1329" s="421"/>
      <c r="O1329" s="421"/>
    </row>
    <row r="1330" spans="3:15" ht="13.5" customHeight="1">
      <c r="C1330" s="421" t="s">
        <v>2425</v>
      </c>
      <c r="D1330" s="421" t="s">
        <v>2426</v>
      </c>
      <c r="H1330" s="421"/>
      <c r="I1330" s="421"/>
      <c r="J1330" s="421"/>
      <c r="K1330" s="421"/>
      <c r="L1330" s="421"/>
      <c r="M1330" s="421"/>
      <c r="N1330" s="421"/>
      <c r="O1330" s="421"/>
    </row>
    <row r="1331" spans="3:15" ht="13.5" customHeight="1">
      <c r="C1331" s="421" t="s">
        <v>2427</v>
      </c>
      <c r="D1331" s="421" t="s">
        <v>2428</v>
      </c>
      <c r="H1331" s="421"/>
      <c r="I1331" s="421"/>
      <c r="J1331" s="421"/>
      <c r="K1331" s="421"/>
      <c r="L1331" s="421"/>
      <c r="M1331" s="421"/>
      <c r="N1331" s="421"/>
      <c r="O1331" s="421"/>
    </row>
    <row r="1332" spans="3:15" ht="13.5" customHeight="1">
      <c r="C1332" s="421" t="s">
        <v>2429</v>
      </c>
      <c r="D1332" s="421" t="s">
        <v>2430</v>
      </c>
      <c r="H1332" s="421"/>
      <c r="I1332" s="421"/>
      <c r="J1332" s="421"/>
      <c r="K1332" s="421"/>
      <c r="L1332" s="421"/>
      <c r="M1332" s="421"/>
      <c r="N1332" s="421"/>
      <c r="O1332" s="421"/>
    </row>
    <row r="1333" spans="3:15" ht="13.5" customHeight="1">
      <c r="C1333" s="421" t="s">
        <v>2431</v>
      </c>
      <c r="D1333" s="421" t="s">
        <v>2432</v>
      </c>
      <c r="H1333" s="421"/>
      <c r="I1333" s="421"/>
      <c r="J1333" s="421"/>
      <c r="K1333" s="421"/>
      <c r="L1333" s="421"/>
      <c r="M1333" s="421"/>
      <c r="N1333" s="421"/>
      <c r="O1333" s="421"/>
    </row>
    <row r="1334" spans="3:15" ht="13.5" customHeight="1">
      <c r="C1334" s="421" t="s">
        <v>2433</v>
      </c>
      <c r="D1334" s="421" t="s">
        <v>2434</v>
      </c>
      <c r="H1334" s="421"/>
      <c r="I1334" s="421"/>
      <c r="J1334" s="421"/>
      <c r="K1334" s="421"/>
      <c r="L1334" s="421"/>
      <c r="M1334" s="421"/>
      <c r="N1334" s="421"/>
      <c r="O1334" s="421"/>
    </row>
    <row r="1335" spans="3:15" ht="13.5" customHeight="1">
      <c r="C1335" s="421" t="s">
        <v>2435</v>
      </c>
      <c r="D1335" s="421" t="s">
        <v>2436</v>
      </c>
      <c r="H1335" s="421"/>
      <c r="I1335" s="421"/>
      <c r="J1335" s="421"/>
      <c r="K1335" s="421"/>
      <c r="L1335" s="421"/>
      <c r="M1335" s="421"/>
      <c r="N1335" s="421"/>
      <c r="O1335" s="421"/>
    </row>
    <row r="1336" spans="3:15" ht="13.5" customHeight="1">
      <c r="C1336" s="421" t="s">
        <v>2437</v>
      </c>
      <c r="D1336" s="421" t="s">
        <v>2438</v>
      </c>
      <c r="H1336" s="421"/>
      <c r="I1336" s="421"/>
      <c r="J1336" s="421"/>
      <c r="K1336" s="421"/>
      <c r="L1336" s="421"/>
      <c r="M1336" s="421"/>
      <c r="N1336" s="421"/>
      <c r="O1336" s="421"/>
    </row>
    <row r="1337" spans="3:15" ht="13.5" customHeight="1">
      <c r="C1337" s="421" t="s">
        <v>2439</v>
      </c>
      <c r="D1337" s="421" t="s">
        <v>2440</v>
      </c>
      <c r="H1337" s="421"/>
      <c r="I1337" s="421"/>
      <c r="J1337" s="421"/>
      <c r="K1337" s="421"/>
      <c r="L1337" s="421"/>
      <c r="M1337" s="421"/>
      <c r="N1337" s="421"/>
      <c r="O1337" s="421"/>
    </row>
    <row r="1338" spans="3:15" ht="13.5" customHeight="1">
      <c r="C1338" s="421" t="s">
        <v>2441</v>
      </c>
      <c r="D1338" s="421" t="s">
        <v>2442</v>
      </c>
      <c r="H1338" s="421"/>
      <c r="I1338" s="421"/>
      <c r="J1338" s="421"/>
      <c r="K1338" s="421"/>
      <c r="L1338" s="421"/>
      <c r="M1338" s="421"/>
      <c r="N1338" s="421"/>
      <c r="O1338" s="421"/>
    </row>
    <row r="1339" spans="3:15" ht="13.5" customHeight="1">
      <c r="C1339" s="421" t="s">
        <v>2443</v>
      </c>
      <c r="D1339" s="421" t="s">
        <v>2444</v>
      </c>
      <c r="H1339" s="421"/>
      <c r="I1339" s="421"/>
      <c r="J1339" s="421"/>
      <c r="K1339" s="421"/>
      <c r="L1339" s="421"/>
      <c r="M1339" s="421"/>
      <c r="N1339" s="421"/>
      <c r="O1339" s="421"/>
    </row>
    <row r="1340" spans="3:15" ht="13.5" customHeight="1">
      <c r="C1340" s="421" t="s">
        <v>2445</v>
      </c>
      <c r="D1340" s="421" t="s">
        <v>2446</v>
      </c>
      <c r="H1340" s="421"/>
      <c r="I1340" s="421"/>
      <c r="J1340" s="421"/>
      <c r="K1340" s="421"/>
      <c r="L1340" s="421"/>
      <c r="M1340" s="421"/>
      <c r="N1340" s="421"/>
      <c r="O1340" s="421"/>
    </row>
    <row r="1341" spans="3:15" ht="13.5" customHeight="1">
      <c r="C1341" s="421" t="s">
        <v>2447</v>
      </c>
      <c r="D1341" s="421" t="s">
        <v>2448</v>
      </c>
      <c r="H1341" s="421"/>
      <c r="I1341" s="421"/>
      <c r="J1341" s="421"/>
      <c r="K1341" s="421"/>
      <c r="L1341" s="421"/>
      <c r="M1341" s="421"/>
      <c r="N1341" s="421"/>
      <c r="O1341" s="421"/>
    </row>
    <row r="1342" spans="3:15" ht="13.5" customHeight="1">
      <c r="C1342" s="421" t="s">
        <v>2449</v>
      </c>
      <c r="D1342" s="421" t="s">
        <v>2450</v>
      </c>
      <c r="H1342" s="421"/>
      <c r="I1342" s="421"/>
      <c r="J1342" s="421"/>
      <c r="K1342" s="421"/>
      <c r="L1342" s="421"/>
      <c r="M1342" s="421"/>
      <c r="N1342" s="421"/>
      <c r="O1342" s="421"/>
    </row>
    <row r="1343" spans="3:15" ht="13.5" customHeight="1">
      <c r="C1343" s="421" t="s">
        <v>2451</v>
      </c>
      <c r="D1343" s="421" t="s">
        <v>2452</v>
      </c>
      <c r="H1343" s="421"/>
      <c r="I1343" s="421"/>
      <c r="J1343" s="421"/>
      <c r="K1343" s="421"/>
      <c r="L1343" s="421"/>
      <c r="M1343" s="421"/>
      <c r="N1343" s="421"/>
      <c r="O1343" s="421"/>
    </row>
    <row r="1344" spans="3:15" ht="13.5" customHeight="1">
      <c r="C1344" s="421" t="s">
        <v>2453</v>
      </c>
      <c r="D1344" s="421" t="s">
        <v>2454</v>
      </c>
      <c r="H1344" s="421"/>
      <c r="I1344" s="421"/>
      <c r="J1344" s="421"/>
      <c r="K1344" s="421"/>
      <c r="L1344" s="421"/>
      <c r="M1344" s="421"/>
      <c r="N1344" s="421"/>
      <c r="O1344" s="421"/>
    </row>
    <row r="1345" spans="3:15" ht="13.5" customHeight="1">
      <c r="C1345" s="421" t="s">
        <v>2455</v>
      </c>
      <c r="D1345" s="421" t="s">
        <v>2456</v>
      </c>
      <c r="H1345" s="421"/>
      <c r="I1345" s="421"/>
      <c r="J1345" s="421"/>
      <c r="K1345" s="421"/>
      <c r="L1345" s="421"/>
      <c r="M1345" s="421"/>
      <c r="N1345" s="421"/>
      <c r="O1345" s="421"/>
    </row>
    <row r="1346" spans="3:15" ht="13.5" customHeight="1">
      <c r="C1346" s="421" t="s">
        <v>2457</v>
      </c>
      <c r="D1346" s="421" t="s">
        <v>2458</v>
      </c>
      <c r="H1346" s="421"/>
      <c r="I1346" s="421"/>
      <c r="J1346" s="421"/>
      <c r="K1346" s="421"/>
      <c r="L1346" s="421"/>
      <c r="M1346" s="421"/>
      <c r="N1346" s="421"/>
      <c r="O1346" s="421"/>
    </row>
    <row r="1347" spans="3:15" ht="13.5" customHeight="1">
      <c r="C1347" s="421" t="s">
        <v>2459</v>
      </c>
      <c r="D1347" s="421" t="s">
        <v>2460</v>
      </c>
      <c r="H1347" s="421"/>
      <c r="I1347" s="421"/>
      <c r="J1347" s="421"/>
      <c r="K1347" s="421"/>
      <c r="L1347" s="421"/>
      <c r="M1347" s="421"/>
      <c r="N1347" s="421"/>
      <c r="O1347" s="421"/>
    </row>
    <row r="1348" spans="3:15" ht="13.5" customHeight="1">
      <c r="C1348" s="421" t="s">
        <v>2461</v>
      </c>
      <c r="D1348" s="421" t="s">
        <v>2462</v>
      </c>
      <c r="H1348" s="421"/>
      <c r="I1348" s="421"/>
      <c r="J1348" s="421"/>
      <c r="K1348" s="421"/>
      <c r="L1348" s="421"/>
      <c r="M1348" s="421"/>
      <c r="N1348" s="421"/>
      <c r="O1348" s="421"/>
    </row>
    <row r="1349" spans="3:15" ht="13.5" customHeight="1">
      <c r="C1349" s="421" t="s">
        <v>2463</v>
      </c>
      <c r="D1349" s="421" t="s">
        <v>2464</v>
      </c>
      <c r="H1349" s="421"/>
      <c r="I1349" s="421"/>
      <c r="J1349" s="421"/>
      <c r="K1349" s="421"/>
      <c r="L1349" s="421"/>
      <c r="M1349" s="421"/>
      <c r="N1349" s="421"/>
      <c r="O1349" s="421"/>
    </row>
    <row r="1350" spans="3:15" ht="13.5" customHeight="1">
      <c r="C1350" s="421" t="s">
        <v>2465</v>
      </c>
      <c r="D1350" s="421" t="s">
        <v>2466</v>
      </c>
      <c r="H1350" s="421"/>
      <c r="I1350" s="421"/>
      <c r="J1350" s="421"/>
      <c r="K1350" s="421"/>
      <c r="L1350" s="421"/>
      <c r="M1350" s="421"/>
      <c r="N1350" s="421"/>
      <c r="O1350" s="421"/>
    </row>
    <row r="1351" spans="3:15" ht="13.5" customHeight="1">
      <c r="C1351" s="421" t="s">
        <v>2467</v>
      </c>
      <c r="D1351" s="421" t="s">
        <v>2468</v>
      </c>
      <c r="H1351" s="421"/>
      <c r="I1351" s="421"/>
      <c r="J1351" s="421"/>
      <c r="K1351" s="421"/>
      <c r="L1351" s="421"/>
      <c r="M1351" s="421"/>
      <c r="N1351" s="421"/>
      <c r="O1351" s="421"/>
    </row>
    <row r="1352" spans="3:15" ht="13.5" customHeight="1">
      <c r="C1352" s="421" t="s">
        <v>2469</v>
      </c>
      <c r="D1352" s="421" t="s">
        <v>2470</v>
      </c>
      <c r="H1352" s="421"/>
      <c r="I1352" s="421"/>
      <c r="J1352" s="421"/>
      <c r="K1352" s="421"/>
      <c r="L1352" s="421"/>
      <c r="M1352" s="421"/>
      <c r="N1352" s="421"/>
      <c r="O1352" s="421"/>
    </row>
    <row r="1353" spans="3:15" ht="13.5" customHeight="1">
      <c r="C1353" s="421" t="s">
        <v>2471</v>
      </c>
      <c r="D1353" s="421" t="s">
        <v>2472</v>
      </c>
      <c r="H1353" s="421"/>
      <c r="I1353" s="421"/>
      <c r="J1353" s="421"/>
      <c r="K1353" s="421"/>
      <c r="L1353" s="421"/>
      <c r="M1353" s="421"/>
      <c r="N1353" s="421"/>
      <c r="O1353" s="421"/>
    </row>
    <row r="1354" spans="3:15" ht="13.5" customHeight="1">
      <c r="C1354" s="421" t="s">
        <v>2473</v>
      </c>
      <c r="D1354" s="421" t="s">
        <v>2474</v>
      </c>
      <c r="H1354" s="421"/>
      <c r="I1354" s="421"/>
      <c r="J1354" s="421"/>
      <c r="K1354" s="421"/>
      <c r="L1354" s="421"/>
      <c r="M1354" s="421"/>
      <c r="N1354" s="421"/>
      <c r="O1354" s="421"/>
    </row>
    <row r="1355" spans="3:15" ht="13.5" customHeight="1">
      <c r="C1355" s="421" t="s">
        <v>2475</v>
      </c>
      <c r="D1355" s="421" t="s">
        <v>2476</v>
      </c>
      <c r="H1355" s="421"/>
      <c r="I1355" s="421"/>
      <c r="J1355" s="421"/>
      <c r="K1355" s="421"/>
      <c r="L1355" s="421"/>
      <c r="M1355" s="421"/>
      <c r="N1355" s="421"/>
      <c r="O1355" s="421"/>
    </row>
    <row r="1356" spans="3:15" ht="13.5" customHeight="1">
      <c r="C1356" s="421" t="s">
        <v>2477</v>
      </c>
      <c r="D1356" s="421" t="s">
        <v>2478</v>
      </c>
      <c r="H1356" s="421"/>
      <c r="I1356" s="421"/>
      <c r="J1356" s="421"/>
      <c r="K1356" s="421"/>
      <c r="L1356" s="421"/>
      <c r="M1356" s="421"/>
      <c r="N1356" s="421"/>
      <c r="O1356" s="421"/>
    </row>
    <row r="1357" spans="3:15" ht="13.5" customHeight="1">
      <c r="C1357" s="421" t="s">
        <v>2479</v>
      </c>
      <c r="D1357" s="421" t="s">
        <v>2480</v>
      </c>
      <c r="H1357" s="421"/>
      <c r="I1357" s="421"/>
      <c r="J1357" s="421"/>
      <c r="K1357" s="421"/>
      <c r="L1357" s="421"/>
      <c r="M1357" s="421"/>
      <c r="N1357" s="421"/>
      <c r="O1357" s="421"/>
    </row>
    <row r="1358" spans="3:15" ht="13.5" customHeight="1">
      <c r="C1358" s="421" t="s">
        <v>2481</v>
      </c>
      <c r="D1358" s="421" t="s">
        <v>2482</v>
      </c>
      <c r="H1358" s="421"/>
      <c r="I1358" s="421"/>
      <c r="J1358" s="421"/>
      <c r="K1358" s="421"/>
      <c r="L1358" s="421"/>
      <c r="M1358" s="421"/>
      <c r="N1358" s="421"/>
      <c r="O1358" s="421"/>
    </row>
    <row r="1359" spans="3:15" ht="13.5" customHeight="1">
      <c r="C1359" s="421" t="s">
        <v>2483</v>
      </c>
      <c r="D1359" s="421" t="s">
        <v>2484</v>
      </c>
      <c r="H1359" s="421"/>
      <c r="I1359" s="421"/>
      <c r="J1359" s="421"/>
      <c r="K1359" s="421"/>
      <c r="L1359" s="421"/>
      <c r="M1359" s="421"/>
      <c r="N1359" s="421"/>
      <c r="O1359" s="421"/>
    </row>
    <row r="1360" spans="3:15" ht="13.5" customHeight="1">
      <c r="C1360" s="421" t="s">
        <v>2485</v>
      </c>
      <c r="D1360" s="421" t="s">
        <v>2486</v>
      </c>
      <c r="H1360" s="421"/>
      <c r="I1360" s="421"/>
      <c r="J1360" s="421"/>
      <c r="K1360" s="421"/>
      <c r="L1360" s="421"/>
      <c r="M1360" s="421"/>
      <c r="N1360" s="421"/>
      <c r="O1360" s="421"/>
    </row>
    <row r="1361" spans="3:15" ht="13.5" customHeight="1">
      <c r="C1361" s="421" t="s">
        <v>2487</v>
      </c>
      <c r="D1361" s="421" t="s">
        <v>2488</v>
      </c>
      <c r="H1361" s="421"/>
      <c r="I1361" s="421"/>
      <c r="J1361" s="421"/>
      <c r="K1361" s="421"/>
      <c r="L1361" s="421"/>
      <c r="M1361" s="421"/>
      <c r="N1361" s="421"/>
      <c r="O1361" s="421"/>
    </row>
    <row r="1362" spans="3:15" ht="13.5" customHeight="1">
      <c r="C1362" s="421" t="s">
        <v>2489</v>
      </c>
      <c r="D1362" s="421" t="s">
        <v>2490</v>
      </c>
      <c r="H1362" s="421"/>
      <c r="I1362" s="421"/>
      <c r="J1362" s="421"/>
      <c r="K1362" s="421"/>
      <c r="L1362" s="421"/>
      <c r="M1362" s="421"/>
      <c r="N1362" s="421"/>
      <c r="O1362" s="421"/>
    </row>
    <row r="1363" spans="3:15" ht="13.5" customHeight="1">
      <c r="C1363" s="421" t="s">
        <v>2491</v>
      </c>
      <c r="D1363" s="421" t="s">
        <v>2492</v>
      </c>
      <c r="H1363" s="421"/>
      <c r="I1363" s="421"/>
      <c r="J1363" s="421"/>
      <c r="K1363" s="421"/>
      <c r="L1363" s="421"/>
      <c r="M1363" s="421"/>
      <c r="N1363" s="421"/>
      <c r="O1363" s="421"/>
    </row>
    <row r="1364" spans="3:15" ht="13.5" customHeight="1">
      <c r="C1364" s="421" t="s">
        <v>2493</v>
      </c>
      <c r="D1364" s="421" t="s">
        <v>2494</v>
      </c>
      <c r="H1364" s="421"/>
      <c r="I1364" s="421"/>
      <c r="J1364" s="421"/>
      <c r="K1364" s="421"/>
      <c r="L1364" s="421"/>
      <c r="M1364" s="421"/>
      <c r="N1364" s="421"/>
      <c r="O1364" s="421"/>
    </row>
    <row r="1365" spans="3:15" ht="13.5" customHeight="1">
      <c r="C1365" s="421" t="s">
        <v>2495</v>
      </c>
      <c r="D1365" s="421" t="s">
        <v>2496</v>
      </c>
      <c r="H1365" s="421"/>
      <c r="I1365" s="421"/>
      <c r="J1365" s="421"/>
      <c r="K1365" s="421"/>
      <c r="L1365" s="421"/>
      <c r="M1365" s="421"/>
      <c r="N1365" s="421"/>
      <c r="O1365" s="421"/>
    </row>
    <row r="1366" spans="3:15" ht="13.5" customHeight="1">
      <c r="C1366" s="421" t="s">
        <v>2497</v>
      </c>
      <c r="D1366" s="421" t="s">
        <v>2498</v>
      </c>
      <c r="H1366" s="421"/>
      <c r="I1366" s="421"/>
      <c r="J1366" s="421"/>
      <c r="K1366" s="421"/>
      <c r="L1366" s="421"/>
      <c r="M1366" s="421"/>
      <c r="N1366" s="421"/>
      <c r="O1366" s="421"/>
    </row>
    <row r="1367" spans="3:15" ht="13.5" customHeight="1">
      <c r="C1367" s="421" t="s">
        <v>2499</v>
      </c>
      <c r="D1367" s="421" t="s">
        <v>2500</v>
      </c>
      <c r="H1367" s="421"/>
      <c r="I1367" s="421"/>
      <c r="J1367" s="421"/>
      <c r="K1367" s="421"/>
      <c r="L1367" s="421"/>
      <c r="M1367" s="421"/>
      <c r="N1367" s="421"/>
      <c r="O1367" s="421"/>
    </row>
    <row r="1368" spans="3:15" ht="13.5" customHeight="1">
      <c r="C1368" s="421" t="s">
        <v>2501</v>
      </c>
      <c r="D1368" s="421" t="s">
        <v>2502</v>
      </c>
      <c r="H1368" s="421"/>
      <c r="I1368" s="421"/>
      <c r="J1368" s="421"/>
      <c r="K1368" s="421"/>
      <c r="L1368" s="421"/>
      <c r="M1368" s="421"/>
      <c r="N1368" s="421"/>
      <c r="O1368" s="421"/>
    </row>
    <row r="1369" spans="3:15" ht="13.5" customHeight="1">
      <c r="C1369" s="421" t="s">
        <v>2503</v>
      </c>
      <c r="D1369" s="421" t="s">
        <v>2504</v>
      </c>
      <c r="H1369" s="421"/>
      <c r="I1369" s="421"/>
      <c r="J1369" s="421"/>
      <c r="K1369" s="421"/>
      <c r="L1369" s="421"/>
      <c r="M1369" s="421"/>
      <c r="N1369" s="421"/>
      <c r="O1369" s="421"/>
    </row>
    <row r="1370" spans="3:15" ht="13.5" customHeight="1">
      <c r="C1370" s="421" t="s">
        <v>2505</v>
      </c>
      <c r="D1370" s="421" t="s">
        <v>2506</v>
      </c>
      <c r="H1370" s="421"/>
      <c r="I1370" s="421"/>
      <c r="J1370" s="421"/>
      <c r="K1370" s="421"/>
      <c r="L1370" s="421"/>
      <c r="M1370" s="421"/>
      <c r="N1370" s="421"/>
      <c r="O1370" s="421"/>
    </row>
    <row r="1371" spans="3:15" ht="13.5" customHeight="1">
      <c r="C1371" s="421" t="s">
        <v>2507</v>
      </c>
      <c r="D1371" s="421" t="s">
        <v>2508</v>
      </c>
      <c r="H1371" s="421"/>
      <c r="I1371" s="421"/>
      <c r="J1371" s="421"/>
      <c r="K1371" s="421"/>
      <c r="L1371" s="421"/>
      <c r="M1371" s="421"/>
      <c r="N1371" s="421"/>
      <c r="O1371" s="421"/>
    </row>
    <row r="1372" spans="3:15" ht="13.5" customHeight="1">
      <c r="C1372" s="421" t="s">
        <v>2509</v>
      </c>
      <c r="D1372" s="421" t="s">
        <v>2510</v>
      </c>
      <c r="H1372" s="421"/>
      <c r="I1372" s="421"/>
      <c r="J1372" s="421"/>
      <c r="K1372" s="421"/>
      <c r="L1372" s="421"/>
      <c r="M1372" s="421"/>
      <c r="N1372" s="421"/>
      <c r="O1372" s="421"/>
    </row>
    <row r="1373" spans="3:15" ht="13.5" customHeight="1">
      <c r="C1373" s="421" t="s">
        <v>2511</v>
      </c>
      <c r="D1373" s="421" t="s">
        <v>2512</v>
      </c>
      <c r="H1373" s="421"/>
      <c r="I1373" s="421"/>
      <c r="J1373" s="421"/>
      <c r="K1373" s="421"/>
      <c r="L1373" s="421"/>
      <c r="M1373" s="421"/>
      <c r="N1373" s="421"/>
      <c r="O1373" s="421"/>
    </row>
    <row r="1374" spans="3:15" ht="13.5" customHeight="1">
      <c r="C1374" s="421" t="s">
        <v>2513</v>
      </c>
      <c r="D1374" s="421" t="s">
        <v>2514</v>
      </c>
      <c r="H1374" s="421"/>
      <c r="I1374" s="421"/>
      <c r="J1374" s="421"/>
      <c r="K1374" s="421"/>
      <c r="L1374" s="421"/>
      <c r="M1374" s="421"/>
      <c r="N1374" s="421"/>
      <c r="O1374" s="421"/>
    </row>
    <row r="1375" spans="3:15" ht="13.5" customHeight="1">
      <c r="C1375" s="421" t="s">
        <v>2515</v>
      </c>
      <c r="D1375" s="421" t="s">
        <v>2516</v>
      </c>
      <c r="H1375" s="421"/>
      <c r="I1375" s="421"/>
      <c r="J1375" s="421"/>
      <c r="K1375" s="421"/>
      <c r="L1375" s="421"/>
      <c r="M1375" s="421"/>
      <c r="N1375" s="421"/>
      <c r="O1375" s="421"/>
    </row>
    <row r="1376" spans="3:15" ht="13.5" customHeight="1">
      <c r="C1376" s="421" t="s">
        <v>2517</v>
      </c>
      <c r="D1376" s="421" t="s">
        <v>2518</v>
      </c>
      <c r="H1376" s="421"/>
      <c r="I1376" s="421"/>
      <c r="J1376" s="421"/>
      <c r="K1376" s="421"/>
      <c r="L1376" s="421"/>
      <c r="M1376" s="421"/>
      <c r="N1376" s="421"/>
      <c r="O1376" s="421"/>
    </row>
    <row r="1377" spans="3:15" ht="13.5" customHeight="1">
      <c r="C1377" s="421" t="s">
        <v>2519</v>
      </c>
      <c r="D1377" s="421" t="s">
        <v>2520</v>
      </c>
      <c r="H1377" s="421"/>
      <c r="I1377" s="421"/>
      <c r="J1377" s="421"/>
      <c r="K1377" s="421"/>
      <c r="L1377" s="421"/>
      <c r="M1377" s="421"/>
      <c r="N1377" s="421"/>
      <c r="O1377" s="421"/>
    </row>
    <row r="1378" spans="3:15" ht="13.5" customHeight="1">
      <c r="C1378" s="421" t="s">
        <v>2521</v>
      </c>
      <c r="D1378" s="421" t="s">
        <v>2522</v>
      </c>
      <c r="H1378" s="421"/>
      <c r="I1378" s="421"/>
      <c r="J1378" s="421"/>
      <c r="K1378" s="421"/>
      <c r="L1378" s="421"/>
      <c r="M1378" s="421"/>
      <c r="N1378" s="421"/>
      <c r="O1378" s="421"/>
    </row>
    <row r="1379" spans="3:15" ht="13.5" customHeight="1">
      <c r="C1379" s="421" t="s">
        <v>2523</v>
      </c>
      <c r="D1379" s="421" t="s">
        <v>2524</v>
      </c>
      <c r="H1379" s="421"/>
      <c r="I1379" s="421"/>
      <c r="J1379" s="421"/>
      <c r="K1379" s="421"/>
      <c r="L1379" s="421"/>
      <c r="M1379" s="421"/>
      <c r="N1379" s="421"/>
      <c r="O1379" s="421"/>
    </row>
    <row r="1380" spans="3:15" ht="13.5" customHeight="1">
      <c r="C1380" s="421" t="s">
        <v>2525</v>
      </c>
      <c r="D1380" s="421" t="s">
        <v>2526</v>
      </c>
      <c r="H1380" s="421"/>
      <c r="I1380" s="421"/>
      <c r="J1380" s="421"/>
      <c r="K1380" s="421"/>
      <c r="L1380" s="421"/>
      <c r="M1380" s="421"/>
      <c r="N1380" s="421"/>
      <c r="O1380" s="421"/>
    </row>
    <row r="1381" spans="3:15" ht="13.5" customHeight="1">
      <c r="C1381" s="421" t="s">
        <v>2527</v>
      </c>
      <c r="D1381" s="421" t="s">
        <v>2528</v>
      </c>
      <c r="H1381" s="421"/>
      <c r="I1381" s="421"/>
      <c r="J1381" s="421"/>
      <c r="K1381" s="421"/>
      <c r="L1381" s="421"/>
      <c r="M1381" s="421"/>
      <c r="N1381" s="421"/>
      <c r="O1381" s="421"/>
    </row>
    <row r="1382" spans="3:15" ht="13.5" customHeight="1">
      <c r="C1382" s="421" t="s">
        <v>2529</v>
      </c>
      <c r="D1382" s="421" t="s">
        <v>2530</v>
      </c>
      <c r="H1382" s="421"/>
      <c r="I1382" s="421"/>
      <c r="J1382" s="421"/>
      <c r="K1382" s="421"/>
      <c r="L1382" s="421"/>
      <c r="M1382" s="421"/>
      <c r="N1382" s="421"/>
      <c r="O1382" s="421"/>
    </row>
    <row r="1383" spans="3:15" ht="13.5" customHeight="1">
      <c r="C1383" s="421" t="s">
        <v>2531</v>
      </c>
      <c r="D1383" s="421" t="s">
        <v>2532</v>
      </c>
      <c r="H1383" s="421"/>
      <c r="I1383" s="421"/>
      <c r="J1383" s="421"/>
      <c r="K1383" s="421"/>
      <c r="L1383" s="421"/>
      <c r="M1383" s="421"/>
      <c r="N1383" s="421"/>
      <c r="O1383" s="421"/>
    </row>
    <row r="1384" spans="3:15" ht="13.5" customHeight="1">
      <c r="C1384" s="421" t="s">
        <v>2533</v>
      </c>
      <c r="D1384" s="421" t="s">
        <v>2534</v>
      </c>
      <c r="H1384" s="421"/>
      <c r="I1384" s="421"/>
      <c r="J1384" s="421"/>
      <c r="K1384" s="421"/>
      <c r="L1384" s="421"/>
      <c r="M1384" s="421"/>
      <c r="N1384" s="421"/>
      <c r="O1384" s="421"/>
    </row>
    <row r="1385" spans="3:15" ht="13.5" customHeight="1">
      <c r="C1385" s="421" t="s">
        <v>2535</v>
      </c>
      <c r="D1385" s="421" t="s">
        <v>2536</v>
      </c>
      <c r="H1385" s="421"/>
      <c r="I1385" s="421"/>
      <c r="J1385" s="421"/>
      <c r="K1385" s="421"/>
      <c r="L1385" s="421"/>
      <c r="M1385" s="421"/>
      <c r="N1385" s="421"/>
      <c r="O1385" s="421"/>
    </row>
    <row r="1386" spans="3:15" ht="13.5" customHeight="1">
      <c r="C1386" s="421" t="s">
        <v>2537</v>
      </c>
      <c r="D1386" s="421" t="s">
        <v>2538</v>
      </c>
      <c r="H1386" s="421"/>
      <c r="I1386" s="421"/>
      <c r="J1386" s="421"/>
      <c r="K1386" s="421"/>
      <c r="L1386" s="421"/>
      <c r="M1386" s="421"/>
      <c r="N1386" s="421"/>
      <c r="O1386" s="421"/>
    </row>
    <row r="1387" spans="3:15" ht="13.5" customHeight="1">
      <c r="C1387" s="421" t="s">
        <v>2539</v>
      </c>
      <c r="D1387" s="421" t="s">
        <v>2540</v>
      </c>
      <c r="H1387" s="421"/>
      <c r="I1387" s="421"/>
      <c r="J1387" s="421"/>
      <c r="K1387" s="421"/>
      <c r="L1387" s="421"/>
      <c r="M1387" s="421"/>
      <c r="N1387" s="421"/>
      <c r="O1387" s="421"/>
    </row>
    <row r="1388" spans="3:15" ht="13.5" customHeight="1">
      <c r="C1388" s="421" t="s">
        <v>2541</v>
      </c>
      <c r="D1388" s="421" t="s">
        <v>2542</v>
      </c>
      <c r="H1388" s="421"/>
      <c r="I1388" s="421"/>
      <c r="J1388" s="421"/>
      <c r="K1388" s="421"/>
      <c r="L1388" s="421"/>
      <c r="M1388" s="421"/>
      <c r="N1388" s="421"/>
      <c r="O1388" s="421"/>
    </row>
    <row r="1389" spans="3:15" ht="13.5" customHeight="1">
      <c r="C1389" s="421" t="s">
        <v>2543</v>
      </c>
      <c r="D1389" s="421" t="s">
        <v>2544</v>
      </c>
      <c r="H1389" s="421"/>
      <c r="I1389" s="421"/>
      <c r="J1389" s="421"/>
      <c r="K1389" s="421"/>
      <c r="L1389" s="421"/>
      <c r="M1389" s="421"/>
      <c r="N1389" s="421"/>
      <c r="O1389" s="421"/>
    </row>
    <row r="1390" spans="3:15" ht="13.5" customHeight="1">
      <c r="C1390" s="421" t="s">
        <v>2545</v>
      </c>
      <c r="D1390" s="421" t="s">
        <v>2546</v>
      </c>
      <c r="H1390" s="421"/>
      <c r="I1390" s="421"/>
      <c r="J1390" s="421"/>
      <c r="K1390" s="421"/>
      <c r="L1390" s="421"/>
      <c r="M1390" s="421"/>
      <c r="N1390" s="421"/>
      <c r="O1390" s="421"/>
    </row>
    <row r="1391" spans="3:15" ht="13.5" customHeight="1">
      <c r="C1391" s="421" t="s">
        <v>2547</v>
      </c>
      <c r="D1391" s="421" t="s">
        <v>2548</v>
      </c>
      <c r="H1391" s="421"/>
      <c r="I1391" s="421"/>
      <c r="J1391" s="421"/>
      <c r="K1391" s="421"/>
      <c r="L1391" s="421"/>
      <c r="M1391" s="421"/>
      <c r="N1391" s="421"/>
      <c r="O1391" s="421"/>
    </row>
    <row r="1392" spans="3:15" ht="13.5" customHeight="1">
      <c r="C1392" s="421" t="s">
        <v>2549</v>
      </c>
      <c r="D1392" s="421" t="s">
        <v>2550</v>
      </c>
      <c r="H1392" s="421"/>
      <c r="I1392" s="421"/>
      <c r="J1392" s="421"/>
      <c r="K1392" s="421"/>
      <c r="L1392" s="421"/>
      <c r="M1392" s="421"/>
      <c r="N1392" s="421"/>
      <c r="O1392" s="421"/>
    </row>
    <row r="1393" spans="3:15" ht="13.5" customHeight="1">
      <c r="C1393" s="421" t="s">
        <v>2551</v>
      </c>
      <c r="D1393" s="421" t="s">
        <v>2552</v>
      </c>
      <c r="H1393" s="421"/>
      <c r="I1393" s="421"/>
      <c r="J1393" s="421"/>
      <c r="K1393" s="421"/>
      <c r="L1393" s="421"/>
      <c r="M1393" s="421"/>
      <c r="N1393" s="421"/>
      <c r="O1393" s="421"/>
    </row>
    <row r="1394" spans="3:15" ht="13.5" customHeight="1">
      <c r="C1394" s="421" t="s">
        <v>2553</v>
      </c>
      <c r="D1394" s="421" t="s">
        <v>2554</v>
      </c>
      <c r="H1394" s="421"/>
      <c r="I1394" s="421"/>
      <c r="J1394" s="421"/>
      <c r="K1394" s="421"/>
      <c r="L1394" s="421"/>
      <c r="M1394" s="421"/>
      <c r="N1394" s="421"/>
      <c r="O1394" s="421"/>
    </row>
    <row r="1395" spans="3:15" ht="13.5" customHeight="1">
      <c r="C1395" s="421" t="s">
        <v>2555</v>
      </c>
      <c r="D1395" s="421" t="s">
        <v>2556</v>
      </c>
      <c r="H1395" s="421"/>
      <c r="I1395" s="421"/>
      <c r="J1395" s="421"/>
      <c r="K1395" s="421"/>
      <c r="L1395" s="421"/>
      <c r="M1395" s="421"/>
      <c r="N1395" s="421"/>
      <c r="O1395" s="421"/>
    </row>
    <row r="1396" spans="3:15" ht="13.5" customHeight="1">
      <c r="C1396" s="421" t="s">
        <v>2557</v>
      </c>
      <c r="D1396" s="421" t="s">
        <v>2558</v>
      </c>
      <c r="H1396" s="421"/>
      <c r="I1396" s="421"/>
      <c r="J1396" s="421"/>
      <c r="K1396" s="421"/>
      <c r="L1396" s="421"/>
      <c r="M1396" s="421"/>
      <c r="N1396" s="421"/>
      <c r="O1396" s="421"/>
    </row>
    <row r="1397" spans="3:15" ht="13.5" customHeight="1">
      <c r="C1397" s="421" t="s">
        <v>2559</v>
      </c>
      <c r="D1397" s="421" t="s">
        <v>2544</v>
      </c>
      <c r="H1397" s="421"/>
      <c r="I1397" s="421"/>
      <c r="J1397" s="421"/>
      <c r="K1397" s="421"/>
      <c r="L1397" s="421"/>
      <c r="M1397" s="421"/>
      <c r="N1397" s="421"/>
      <c r="O1397" s="421"/>
    </row>
    <row r="1398" spans="3:15" ht="13.5" customHeight="1">
      <c r="C1398" s="421" t="s">
        <v>2560</v>
      </c>
      <c r="D1398" s="421" t="s">
        <v>2561</v>
      </c>
      <c r="H1398" s="421"/>
      <c r="I1398" s="421"/>
      <c r="J1398" s="421"/>
      <c r="K1398" s="421"/>
      <c r="L1398" s="421"/>
      <c r="M1398" s="421"/>
      <c r="N1398" s="421"/>
      <c r="O1398" s="421"/>
    </row>
    <row r="1399" spans="3:15" ht="13.5" customHeight="1">
      <c r="C1399" s="421" t="s">
        <v>2562</v>
      </c>
      <c r="D1399" s="421" t="s">
        <v>2563</v>
      </c>
      <c r="H1399" s="421"/>
      <c r="I1399" s="421"/>
      <c r="J1399" s="421"/>
      <c r="K1399" s="421"/>
      <c r="L1399" s="421"/>
      <c r="M1399" s="421"/>
      <c r="N1399" s="421"/>
      <c r="O1399" s="421"/>
    </row>
    <row r="1400" spans="3:15" ht="13.5" customHeight="1">
      <c r="C1400" s="421" t="s">
        <v>2564</v>
      </c>
      <c r="D1400" s="421" t="s">
        <v>2546</v>
      </c>
      <c r="H1400" s="421"/>
      <c r="I1400" s="421"/>
      <c r="J1400" s="421"/>
      <c r="K1400" s="421"/>
      <c r="L1400" s="421"/>
      <c r="M1400" s="421"/>
      <c r="N1400" s="421"/>
      <c r="O1400" s="421"/>
    </row>
    <row r="1401" spans="3:15" ht="13.5" customHeight="1">
      <c r="C1401" s="421" t="s">
        <v>2565</v>
      </c>
      <c r="D1401" s="421" t="s">
        <v>2548</v>
      </c>
      <c r="H1401" s="421"/>
      <c r="I1401" s="421"/>
      <c r="J1401" s="421"/>
      <c r="K1401" s="421"/>
      <c r="L1401" s="421"/>
      <c r="M1401" s="421"/>
      <c r="N1401" s="421"/>
      <c r="O1401" s="421"/>
    </row>
    <row r="1402" spans="3:15" ht="13.5" customHeight="1">
      <c r="C1402" s="421" t="s">
        <v>2566</v>
      </c>
      <c r="D1402" s="421" t="s">
        <v>2550</v>
      </c>
      <c r="H1402" s="421"/>
      <c r="I1402" s="421"/>
      <c r="J1402" s="421"/>
      <c r="K1402" s="421"/>
      <c r="L1402" s="421"/>
      <c r="M1402" s="421"/>
      <c r="N1402" s="421"/>
      <c r="O1402" s="421"/>
    </row>
    <row r="1403" spans="3:15" ht="13.5" customHeight="1">
      <c r="C1403" s="421" t="s">
        <v>2567</v>
      </c>
      <c r="D1403" s="421" t="s">
        <v>2552</v>
      </c>
      <c r="H1403" s="421"/>
      <c r="I1403" s="421"/>
      <c r="J1403" s="421"/>
      <c r="K1403" s="421"/>
      <c r="L1403" s="421"/>
      <c r="M1403" s="421"/>
      <c r="N1403" s="421"/>
      <c r="O1403" s="421"/>
    </row>
    <row r="1404" spans="3:15" ht="13.5" customHeight="1">
      <c r="C1404" s="421" t="s">
        <v>2568</v>
      </c>
      <c r="D1404" s="421" t="s">
        <v>2569</v>
      </c>
      <c r="H1404" s="421"/>
      <c r="I1404" s="421"/>
      <c r="J1404" s="421"/>
      <c r="K1404" s="421"/>
      <c r="L1404" s="421"/>
      <c r="M1404" s="421"/>
      <c r="N1404" s="421"/>
      <c r="O1404" s="421"/>
    </row>
    <row r="1405" spans="3:15" ht="13.5" customHeight="1">
      <c r="C1405" s="421" t="s">
        <v>2570</v>
      </c>
      <c r="D1405" s="421" t="s">
        <v>2571</v>
      </c>
      <c r="H1405" s="421"/>
      <c r="I1405" s="421"/>
      <c r="J1405" s="421"/>
      <c r="K1405" s="421"/>
      <c r="L1405" s="421"/>
      <c r="M1405" s="421"/>
      <c r="N1405" s="421"/>
      <c r="O1405" s="421"/>
    </row>
    <row r="1406" spans="3:15" ht="13.5" customHeight="1">
      <c r="C1406" s="421" t="s">
        <v>2572</v>
      </c>
      <c r="D1406" s="421" t="s">
        <v>2573</v>
      </c>
      <c r="H1406" s="421"/>
      <c r="I1406" s="421"/>
      <c r="J1406" s="421"/>
      <c r="K1406" s="421"/>
      <c r="L1406" s="421"/>
      <c r="M1406" s="421"/>
      <c r="N1406" s="421"/>
      <c r="O1406" s="421"/>
    </row>
    <row r="1407" spans="3:15" ht="13.5" customHeight="1">
      <c r="C1407" s="421" t="s">
        <v>2574</v>
      </c>
      <c r="D1407" s="421" t="s">
        <v>2575</v>
      </c>
      <c r="H1407" s="421"/>
      <c r="I1407" s="421"/>
      <c r="J1407" s="421"/>
      <c r="K1407" s="421"/>
      <c r="L1407" s="421"/>
      <c r="M1407" s="421"/>
      <c r="N1407" s="421"/>
      <c r="O1407" s="421"/>
    </row>
    <row r="1408" spans="3:15" ht="13.5" customHeight="1">
      <c r="C1408" s="421" t="s">
        <v>2576</v>
      </c>
      <c r="D1408" s="421" t="s">
        <v>2577</v>
      </c>
      <c r="H1408" s="421"/>
      <c r="I1408" s="421"/>
      <c r="J1408" s="421"/>
      <c r="K1408" s="421"/>
      <c r="L1408" s="421"/>
      <c r="M1408" s="421"/>
      <c r="N1408" s="421"/>
      <c r="O1408" s="421"/>
    </row>
    <row r="1409" spans="3:15" ht="13.5" customHeight="1">
      <c r="C1409" s="421" t="s">
        <v>2578</v>
      </c>
      <c r="D1409" s="421" t="s">
        <v>2579</v>
      </c>
      <c r="H1409" s="421"/>
      <c r="I1409" s="421"/>
      <c r="J1409" s="421"/>
      <c r="K1409" s="421"/>
      <c r="L1409" s="421"/>
      <c r="M1409" s="421"/>
      <c r="N1409" s="421"/>
      <c r="O1409" s="421"/>
    </row>
    <row r="1410" spans="3:15" ht="13.5" customHeight="1">
      <c r="C1410" s="421" t="s">
        <v>2580</v>
      </c>
      <c r="D1410" s="421" t="s">
        <v>2581</v>
      </c>
      <c r="H1410" s="421"/>
      <c r="I1410" s="421"/>
      <c r="J1410" s="421"/>
      <c r="K1410" s="421"/>
      <c r="L1410" s="421"/>
      <c r="M1410" s="421"/>
      <c r="N1410" s="421"/>
      <c r="O1410" s="421"/>
    </row>
    <row r="1411" spans="3:15" ht="13.5" customHeight="1">
      <c r="C1411" s="421" t="s">
        <v>2582</v>
      </c>
      <c r="D1411" s="421" t="s">
        <v>2583</v>
      </c>
      <c r="H1411" s="421"/>
      <c r="I1411" s="421"/>
      <c r="J1411" s="421"/>
      <c r="K1411" s="421"/>
      <c r="L1411" s="421"/>
      <c r="M1411" s="421"/>
      <c r="N1411" s="421"/>
      <c r="O1411" s="421"/>
    </row>
    <row r="1412" spans="3:15" ht="13.5" customHeight="1">
      <c r="C1412" s="421" t="s">
        <v>2584</v>
      </c>
      <c r="D1412" s="421" t="s">
        <v>2585</v>
      </c>
      <c r="H1412" s="421"/>
      <c r="I1412" s="421"/>
      <c r="J1412" s="421"/>
      <c r="K1412" s="421"/>
      <c r="L1412" s="421"/>
      <c r="M1412" s="421"/>
      <c r="N1412" s="421"/>
      <c r="O1412" s="421"/>
    </row>
    <row r="1413" spans="3:15" ht="13.5" customHeight="1">
      <c r="C1413" s="421" t="s">
        <v>2586</v>
      </c>
      <c r="D1413" s="421" t="s">
        <v>2587</v>
      </c>
      <c r="H1413" s="421"/>
      <c r="I1413" s="421"/>
      <c r="J1413" s="421"/>
      <c r="K1413" s="421"/>
      <c r="L1413" s="421"/>
      <c r="M1413" s="421"/>
      <c r="N1413" s="421"/>
      <c r="O1413" s="421"/>
    </row>
    <row r="1414" spans="3:15" ht="13.5" customHeight="1">
      <c r="C1414" s="421" t="s">
        <v>2588</v>
      </c>
      <c r="D1414" s="421" t="s">
        <v>2589</v>
      </c>
      <c r="H1414" s="421"/>
      <c r="I1414" s="421"/>
      <c r="J1414" s="421"/>
      <c r="K1414" s="421"/>
      <c r="L1414" s="421"/>
      <c r="M1414" s="421"/>
      <c r="N1414" s="421"/>
      <c r="O1414" s="421"/>
    </row>
    <row r="1415" spans="3:15" ht="13.5" customHeight="1">
      <c r="C1415" s="421" t="s">
        <v>2590</v>
      </c>
      <c r="D1415" s="421" t="s">
        <v>2591</v>
      </c>
      <c r="H1415" s="421"/>
      <c r="I1415" s="421"/>
      <c r="J1415" s="421"/>
      <c r="K1415" s="421"/>
      <c r="L1415" s="421"/>
      <c r="M1415" s="421"/>
      <c r="N1415" s="421"/>
      <c r="O1415" s="421"/>
    </row>
    <row r="1416" spans="3:15" ht="13.5" customHeight="1">
      <c r="C1416" s="421" t="s">
        <v>2592</v>
      </c>
      <c r="D1416" s="421" t="s">
        <v>2593</v>
      </c>
      <c r="H1416" s="421"/>
      <c r="I1416" s="421"/>
      <c r="J1416" s="421"/>
      <c r="K1416" s="421"/>
      <c r="L1416" s="421"/>
      <c r="M1416" s="421"/>
      <c r="N1416" s="421"/>
      <c r="O1416" s="421"/>
    </row>
    <row r="1417" spans="3:15" ht="13.5" customHeight="1">
      <c r="C1417" s="421" t="s">
        <v>2594</v>
      </c>
      <c r="D1417" s="421" t="s">
        <v>2595</v>
      </c>
      <c r="H1417" s="421"/>
      <c r="I1417" s="421"/>
      <c r="J1417" s="421"/>
      <c r="K1417" s="421"/>
      <c r="L1417" s="421"/>
      <c r="M1417" s="421"/>
      <c r="N1417" s="421"/>
      <c r="O1417" s="421"/>
    </row>
    <row r="1418" spans="3:15" ht="13.5" customHeight="1">
      <c r="C1418" s="421" t="s">
        <v>2596</v>
      </c>
      <c r="D1418" s="421" t="s">
        <v>2597</v>
      </c>
      <c r="H1418" s="421"/>
      <c r="I1418" s="421"/>
      <c r="J1418" s="421"/>
      <c r="K1418" s="421"/>
      <c r="L1418" s="421"/>
      <c r="M1418" s="421"/>
      <c r="N1418" s="421"/>
      <c r="O1418" s="421"/>
    </row>
    <row r="1419" spans="3:15" ht="13.5" customHeight="1">
      <c r="C1419" s="421" t="s">
        <v>2598</v>
      </c>
      <c r="D1419" s="421" t="s">
        <v>2599</v>
      </c>
      <c r="H1419" s="421"/>
      <c r="I1419" s="421"/>
      <c r="J1419" s="421"/>
      <c r="K1419" s="421"/>
      <c r="L1419" s="421"/>
      <c r="M1419" s="421"/>
      <c r="N1419" s="421"/>
      <c r="O1419" s="421"/>
    </row>
    <row r="1420" spans="3:15" ht="13.5" customHeight="1">
      <c r="C1420" s="421" t="s">
        <v>2600</v>
      </c>
      <c r="D1420" s="421" t="s">
        <v>2601</v>
      </c>
      <c r="H1420" s="421"/>
      <c r="I1420" s="421"/>
      <c r="J1420" s="421"/>
      <c r="K1420" s="421"/>
      <c r="L1420" s="421"/>
      <c r="M1420" s="421"/>
      <c r="N1420" s="421"/>
      <c r="O1420" s="421"/>
    </row>
    <row r="1421" spans="3:15" ht="13.5" customHeight="1">
      <c r="C1421" s="421" t="s">
        <v>2602</v>
      </c>
      <c r="D1421" s="421" t="s">
        <v>2603</v>
      </c>
      <c r="H1421" s="421"/>
      <c r="I1421" s="421"/>
      <c r="J1421" s="421"/>
      <c r="K1421" s="421"/>
      <c r="L1421" s="421"/>
      <c r="M1421" s="421"/>
      <c r="N1421" s="421"/>
      <c r="O1421" s="421"/>
    </row>
    <row r="1422" spans="3:15" ht="13.5" customHeight="1">
      <c r="C1422" s="421" t="s">
        <v>2604</v>
      </c>
      <c r="D1422" s="421" t="s">
        <v>2605</v>
      </c>
      <c r="H1422" s="421"/>
      <c r="I1422" s="421"/>
      <c r="J1422" s="421"/>
      <c r="K1422" s="421"/>
      <c r="L1422" s="421"/>
      <c r="M1422" s="421"/>
      <c r="N1422" s="421"/>
      <c r="O1422" s="421"/>
    </row>
    <row r="1423" spans="3:15" ht="13.5" customHeight="1">
      <c r="C1423" s="421" t="s">
        <v>2606</v>
      </c>
      <c r="D1423" s="421" t="s">
        <v>2607</v>
      </c>
      <c r="H1423" s="421"/>
      <c r="I1423" s="421"/>
      <c r="J1423" s="421"/>
      <c r="K1423" s="421"/>
      <c r="L1423" s="421"/>
      <c r="M1423" s="421"/>
      <c r="N1423" s="421"/>
      <c r="O1423" s="421"/>
    </row>
    <row r="1424" spans="3:15" ht="13.5" customHeight="1">
      <c r="C1424" s="421" t="s">
        <v>2608</v>
      </c>
      <c r="D1424" s="421" t="s">
        <v>2609</v>
      </c>
      <c r="H1424" s="421"/>
      <c r="I1424" s="421"/>
      <c r="J1424" s="421"/>
      <c r="K1424" s="421"/>
      <c r="L1424" s="421"/>
      <c r="M1424" s="421"/>
      <c r="N1424" s="421"/>
      <c r="O1424" s="421"/>
    </row>
    <row r="1425" spans="3:15" ht="13.5" customHeight="1">
      <c r="C1425" s="421" t="s">
        <v>2610</v>
      </c>
      <c r="D1425" s="421" t="s">
        <v>2611</v>
      </c>
      <c r="H1425" s="421"/>
      <c r="I1425" s="421"/>
      <c r="J1425" s="421"/>
      <c r="K1425" s="421"/>
      <c r="L1425" s="421"/>
      <c r="M1425" s="421"/>
      <c r="N1425" s="421"/>
      <c r="O1425" s="421"/>
    </row>
    <row r="1426" spans="3:15" ht="13.5" customHeight="1">
      <c r="C1426" s="421" t="s">
        <v>2612</v>
      </c>
      <c r="D1426" s="421" t="s">
        <v>2609</v>
      </c>
      <c r="H1426" s="421"/>
      <c r="I1426" s="421"/>
      <c r="J1426" s="421"/>
      <c r="K1426" s="421"/>
      <c r="L1426" s="421"/>
      <c r="M1426" s="421"/>
      <c r="N1426" s="421"/>
      <c r="O1426" s="421"/>
    </row>
    <row r="1427" spans="3:15" ht="13.5" customHeight="1">
      <c r="C1427" s="421" t="s">
        <v>2613</v>
      </c>
      <c r="D1427" s="421" t="s">
        <v>2614</v>
      </c>
      <c r="H1427" s="421"/>
      <c r="I1427" s="421"/>
      <c r="J1427" s="421"/>
      <c r="K1427" s="421"/>
      <c r="L1427" s="421"/>
      <c r="M1427" s="421"/>
      <c r="N1427" s="421"/>
      <c r="O1427" s="421"/>
    </row>
    <row r="1428" spans="3:15" ht="13.5" customHeight="1">
      <c r="C1428" s="421" t="s">
        <v>2615</v>
      </c>
      <c r="D1428" s="421" t="s">
        <v>2616</v>
      </c>
      <c r="H1428" s="421"/>
      <c r="I1428" s="421"/>
      <c r="J1428" s="421"/>
      <c r="K1428" s="421"/>
      <c r="L1428" s="421"/>
      <c r="M1428" s="421"/>
      <c r="N1428" s="421"/>
      <c r="O1428" s="421"/>
    </row>
    <row r="1429" spans="3:15" ht="13.5" customHeight="1">
      <c r="C1429" s="421" t="s">
        <v>2617</v>
      </c>
      <c r="D1429" s="421" t="s">
        <v>2618</v>
      </c>
      <c r="H1429" s="421"/>
      <c r="I1429" s="421"/>
      <c r="J1429" s="421"/>
      <c r="K1429" s="421"/>
      <c r="L1429" s="421"/>
      <c r="M1429" s="421"/>
      <c r="N1429" s="421"/>
      <c r="O1429" s="421"/>
    </row>
    <row r="1430" spans="3:15" ht="13.5" customHeight="1">
      <c r="C1430" s="421" t="s">
        <v>2619</v>
      </c>
      <c r="D1430" s="421" t="s">
        <v>2620</v>
      </c>
      <c r="H1430" s="421"/>
      <c r="I1430" s="421"/>
      <c r="J1430" s="421"/>
      <c r="K1430" s="421"/>
      <c r="L1430" s="421"/>
      <c r="M1430" s="421"/>
      <c r="N1430" s="421"/>
      <c r="O1430" s="421"/>
    </row>
    <row r="1431" spans="3:15" ht="13.5" customHeight="1">
      <c r="C1431" s="421" t="s">
        <v>2621</v>
      </c>
      <c r="D1431" s="421" t="s">
        <v>2622</v>
      </c>
      <c r="H1431" s="421"/>
      <c r="I1431" s="421"/>
      <c r="J1431" s="421"/>
      <c r="K1431" s="421"/>
      <c r="L1431" s="421"/>
      <c r="M1431" s="421"/>
      <c r="N1431" s="421"/>
      <c r="O1431" s="421"/>
    </row>
    <row r="1432" spans="3:15" ht="13.5" customHeight="1">
      <c r="C1432" s="421" t="s">
        <v>2623</v>
      </c>
      <c r="D1432" s="421" t="s">
        <v>2624</v>
      </c>
      <c r="H1432" s="421"/>
      <c r="I1432" s="421"/>
      <c r="J1432" s="421"/>
      <c r="K1432" s="421"/>
      <c r="L1432" s="421"/>
      <c r="M1432" s="421"/>
      <c r="N1432" s="421"/>
      <c r="O1432" s="421"/>
    </row>
    <row r="1433" spans="3:15" ht="13.5" customHeight="1">
      <c r="C1433" s="421" t="s">
        <v>2625</v>
      </c>
      <c r="D1433" s="421" t="s">
        <v>2626</v>
      </c>
      <c r="H1433" s="421"/>
      <c r="I1433" s="421"/>
      <c r="J1433" s="421"/>
      <c r="K1433" s="421"/>
      <c r="L1433" s="421"/>
      <c r="M1433" s="421"/>
      <c r="N1433" s="421"/>
      <c r="O1433" s="421"/>
    </row>
    <row r="1434" spans="3:15" ht="13.5" customHeight="1">
      <c r="C1434" s="421" t="s">
        <v>2627</v>
      </c>
      <c r="D1434" s="421" t="s">
        <v>2628</v>
      </c>
      <c r="H1434" s="421"/>
      <c r="I1434" s="421"/>
      <c r="J1434" s="421"/>
      <c r="K1434" s="421"/>
      <c r="L1434" s="421"/>
      <c r="M1434" s="421"/>
      <c r="N1434" s="421"/>
      <c r="O1434" s="421"/>
    </row>
    <row r="1435" spans="3:15" ht="13.5" customHeight="1">
      <c r="C1435" s="421" t="s">
        <v>2629</v>
      </c>
      <c r="D1435" s="421" t="s">
        <v>2630</v>
      </c>
      <c r="H1435" s="421"/>
      <c r="I1435" s="421"/>
      <c r="J1435" s="421"/>
      <c r="K1435" s="421"/>
      <c r="L1435" s="421"/>
      <c r="M1435" s="421"/>
      <c r="N1435" s="421"/>
      <c r="O1435" s="421"/>
    </row>
    <row r="1436" spans="3:15" ht="13.5" customHeight="1">
      <c r="C1436" s="421" t="s">
        <v>2631</v>
      </c>
      <c r="D1436" s="421" t="s">
        <v>2632</v>
      </c>
      <c r="H1436" s="421"/>
      <c r="I1436" s="421"/>
      <c r="J1436" s="421"/>
      <c r="K1436" s="421"/>
      <c r="L1436" s="421"/>
      <c r="M1436" s="421"/>
      <c r="N1436" s="421"/>
      <c r="O1436" s="421"/>
    </row>
    <row r="1437" spans="3:15" ht="13.5" customHeight="1">
      <c r="C1437" s="421" t="s">
        <v>2633</v>
      </c>
      <c r="D1437" s="421" t="s">
        <v>2634</v>
      </c>
      <c r="H1437" s="421"/>
      <c r="I1437" s="421"/>
      <c r="J1437" s="421"/>
      <c r="K1437" s="421"/>
      <c r="L1437" s="421"/>
      <c r="M1437" s="421"/>
      <c r="N1437" s="421"/>
      <c r="O1437" s="421"/>
    </row>
    <row r="1438" spans="3:15" ht="13.5" customHeight="1">
      <c r="C1438" s="421" t="s">
        <v>2635</v>
      </c>
      <c r="D1438" s="421" t="s">
        <v>2636</v>
      </c>
      <c r="H1438" s="421"/>
      <c r="I1438" s="421"/>
      <c r="J1438" s="421"/>
      <c r="K1438" s="421"/>
      <c r="L1438" s="421"/>
      <c r="M1438" s="421"/>
      <c r="N1438" s="421"/>
      <c r="O1438" s="421"/>
    </row>
    <row r="1439" spans="3:15" ht="13.5" customHeight="1">
      <c r="C1439" s="421" t="s">
        <v>2637</v>
      </c>
      <c r="D1439" s="421" t="s">
        <v>2638</v>
      </c>
      <c r="H1439" s="421"/>
      <c r="I1439" s="421"/>
      <c r="J1439" s="421"/>
      <c r="K1439" s="421"/>
      <c r="L1439" s="421"/>
      <c r="M1439" s="421"/>
      <c r="N1439" s="421"/>
      <c r="O1439" s="421"/>
    </row>
    <row r="1440" spans="3:15" ht="13.5" customHeight="1">
      <c r="C1440" s="421" t="s">
        <v>2639</v>
      </c>
      <c r="D1440" s="421" t="s">
        <v>2640</v>
      </c>
      <c r="H1440" s="421"/>
      <c r="I1440" s="421"/>
      <c r="J1440" s="421"/>
      <c r="K1440" s="421"/>
      <c r="L1440" s="421"/>
      <c r="M1440" s="421"/>
      <c r="N1440" s="421"/>
      <c r="O1440" s="421"/>
    </row>
    <row r="1441" spans="3:15" ht="13.5" customHeight="1">
      <c r="C1441" s="421" t="s">
        <v>2641</v>
      </c>
      <c r="D1441" s="421" t="s">
        <v>2642</v>
      </c>
      <c r="H1441" s="421"/>
      <c r="I1441" s="421"/>
      <c r="J1441" s="421"/>
      <c r="K1441" s="421"/>
      <c r="L1441" s="421"/>
      <c r="M1441" s="421"/>
      <c r="N1441" s="421"/>
      <c r="O1441" s="421"/>
    </row>
    <row r="1442" spans="3:15" ht="13.5" customHeight="1">
      <c r="C1442" s="421" t="s">
        <v>2643</v>
      </c>
      <c r="D1442" s="421" t="s">
        <v>2644</v>
      </c>
      <c r="H1442" s="421"/>
      <c r="I1442" s="421"/>
      <c r="J1442" s="421"/>
      <c r="K1442" s="421"/>
      <c r="L1442" s="421"/>
      <c r="M1442" s="421"/>
      <c r="N1442" s="421"/>
      <c r="O1442" s="421"/>
    </row>
    <row r="1443" spans="3:15" ht="13.5" customHeight="1">
      <c r="C1443" s="421" t="s">
        <v>2645</v>
      </c>
      <c r="D1443" s="421" t="s">
        <v>2646</v>
      </c>
      <c r="H1443" s="421"/>
      <c r="I1443" s="421"/>
      <c r="J1443" s="421"/>
      <c r="K1443" s="421"/>
      <c r="L1443" s="421"/>
      <c r="M1443" s="421"/>
      <c r="N1443" s="421"/>
      <c r="O1443" s="421"/>
    </row>
    <row r="1444" spans="3:15" ht="13.5" customHeight="1">
      <c r="C1444" s="421" t="s">
        <v>2647</v>
      </c>
      <c r="D1444" s="421" t="s">
        <v>2648</v>
      </c>
      <c r="H1444" s="421"/>
      <c r="I1444" s="421"/>
      <c r="J1444" s="421"/>
      <c r="K1444" s="421"/>
      <c r="L1444" s="421"/>
      <c r="M1444" s="421"/>
      <c r="N1444" s="421"/>
      <c r="O1444" s="421"/>
    </row>
    <row r="1445" spans="3:15" ht="13.5" customHeight="1">
      <c r="C1445" s="421" t="s">
        <v>2649</v>
      </c>
      <c r="D1445" s="421" t="s">
        <v>2650</v>
      </c>
      <c r="H1445" s="421"/>
      <c r="I1445" s="421"/>
      <c r="J1445" s="421"/>
      <c r="K1445" s="421"/>
      <c r="L1445" s="421"/>
      <c r="M1445" s="421"/>
      <c r="N1445" s="421"/>
      <c r="O1445" s="421"/>
    </row>
    <row r="1446" spans="3:15" ht="13.5" customHeight="1">
      <c r="C1446" s="421" t="s">
        <v>2651</v>
      </c>
      <c r="D1446" s="421" t="s">
        <v>2652</v>
      </c>
      <c r="H1446" s="421"/>
      <c r="I1446" s="421"/>
      <c r="J1446" s="421"/>
      <c r="K1446" s="421"/>
      <c r="L1446" s="421"/>
      <c r="M1446" s="421"/>
      <c r="N1446" s="421"/>
      <c r="O1446" s="421"/>
    </row>
    <row r="1447" spans="3:15" ht="13.5" customHeight="1">
      <c r="C1447" s="421" t="s">
        <v>2653</v>
      </c>
      <c r="D1447" s="421" t="s">
        <v>2654</v>
      </c>
      <c r="H1447" s="421"/>
      <c r="I1447" s="421"/>
      <c r="J1447" s="421"/>
      <c r="K1447" s="421"/>
      <c r="L1447" s="421"/>
      <c r="M1447" s="421"/>
      <c r="N1447" s="421"/>
      <c r="O1447" s="421"/>
    </row>
    <row r="1448" spans="3:15" ht="13.5" customHeight="1">
      <c r="C1448" s="421" t="s">
        <v>2655</v>
      </c>
      <c r="D1448" s="421" t="s">
        <v>2656</v>
      </c>
      <c r="H1448" s="421"/>
      <c r="I1448" s="421"/>
      <c r="J1448" s="421"/>
      <c r="K1448" s="421"/>
      <c r="L1448" s="421"/>
      <c r="M1448" s="421"/>
      <c r="N1448" s="421"/>
      <c r="O1448" s="421"/>
    </row>
    <row r="1449" spans="3:15" ht="13.5" customHeight="1">
      <c r="C1449" s="421" t="s">
        <v>2657</v>
      </c>
      <c r="D1449" s="421" t="s">
        <v>2658</v>
      </c>
      <c r="H1449" s="421"/>
      <c r="I1449" s="421"/>
      <c r="J1449" s="421"/>
      <c r="K1449" s="421"/>
      <c r="L1449" s="421"/>
      <c r="M1449" s="421"/>
      <c r="N1449" s="421"/>
      <c r="O1449" s="421"/>
    </row>
    <row r="1450" spans="3:15" ht="13.5" customHeight="1">
      <c r="C1450" s="421" t="s">
        <v>2659</v>
      </c>
      <c r="D1450" s="421" t="s">
        <v>2660</v>
      </c>
      <c r="H1450" s="421"/>
      <c r="I1450" s="421"/>
      <c r="J1450" s="421"/>
      <c r="K1450" s="421"/>
      <c r="L1450" s="421"/>
      <c r="M1450" s="421"/>
      <c r="N1450" s="421"/>
      <c r="O1450" s="421"/>
    </row>
    <row r="1451" spans="3:15" ht="13.5" customHeight="1">
      <c r="C1451" s="421" t="s">
        <v>2661</v>
      </c>
      <c r="D1451" s="421" t="s">
        <v>2662</v>
      </c>
      <c r="H1451" s="421"/>
      <c r="I1451" s="421"/>
      <c r="J1451" s="421"/>
      <c r="K1451" s="421"/>
      <c r="L1451" s="421"/>
      <c r="M1451" s="421"/>
      <c r="N1451" s="421"/>
      <c r="O1451" s="421"/>
    </row>
    <row r="1452" spans="3:15" ht="13.5" customHeight="1">
      <c r="C1452" s="421" t="s">
        <v>2663</v>
      </c>
      <c r="D1452" s="421" t="s">
        <v>2664</v>
      </c>
      <c r="H1452" s="421"/>
      <c r="I1452" s="421"/>
      <c r="J1452" s="421"/>
      <c r="K1452" s="421"/>
      <c r="L1452" s="421"/>
      <c r="M1452" s="421"/>
      <c r="N1452" s="421"/>
      <c r="O1452" s="421"/>
    </row>
    <row r="1453" spans="3:15" ht="13.5" customHeight="1">
      <c r="C1453" s="421" t="s">
        <v>2665</v>
      </c>
      <c r="D1453" s="421" t="s">
        <v>2666</v>
      </c>
      <c r="H1453" s="421"/>
      <c r="I1453" s="421"/>
      <c r="J1453" s="421"/>
      <c r="K1453" s="421"/>
      <c r="L1453" s="421"/>
      <c r="M1453" s="421"/>
      <c r="N1453" s="421"/>
      <c r="O1453" s="421"/>
    </row>
    <row r="1454" spans="3:15" ht="13.5" customHeight="1">
      <c r="C1454" s="421" t="s">
        <v>2667</v>
      </c>
      <c r="D1454" s="421" t="s">
        <v>2668</v>
      </c>
      <c r="H1454" s="421"/>
      <c r="I1454" s="421"/>
      <c r="J1454" s="421"/>
      <c r="K1454" s="421"/>
      <c r="L1454" s="421"/>
      <c r="M1454" s="421"/>
      <c r="N1454" s="421"/>
      <c r="O1454" s="421"/>
    </row>
    <row r="1455" spans="3:15" ht="13.5" customHeight="1">
      <c r="C1455" s="421" t="s">
        <v>2669</v>
      </c>
      <c r="D1455" s="421" t="s">
        <v>2670</v>
      </c>
      <c r="H1455" s="421"/>
      <c r="I1455" s="421"/>
      <c r="J1455" s="421"/>
      <c r="K1455" s="421"/>
      <c r="L1455" s="421"/>
      <c r="M1455" s="421"/>
      <c r="N1455" s="421"/>
      <c r="O1455" s="421"/>
    </row>
    <row r="1456" spans="3:15" ht="13.5" customHeight="1">
      <c r="C1456" s="421" t="s">
        <v>2671</v>
      </c>
      <c r="D1456" s="421" t="s">
        <v>2672</v>
      </c>
      <c r="H1456" s="421"/>
      <c r="I1456" s="421"/>
      <c r="J1456" s="421"/>
      <c r="K1456" s="421"/>
      <c r="L1456" s="421"/>
      <c r="M1456" s="421"/>
      <c r="N1456" s="421"/>
      <c r="O1456" s="421"/>
    </row>
    <row r="1457" spans="3:15" ht="13.5" customHeight="1">
      <c r="C1457" s="421" t="s">
        <v>2673</v>
      </c>
      <c r="D1457" s="421" t="s">
        <v>2674</v>
      </c>
      <c r="H1457" s="421"/>
      <c r="I1457" s="421"/>
      <c r="J1457" s="421"/>
      <c r="K1457" s="421"/>
      <c r="L1457" s="421"/>
      <c r="M1457" s="421"/>
      <c r="N1457" s="421"/>
      <c r="O1457" s="421"/>
    </row>
    <row r="1458" spans="3:15" ht="13.5" customHeight="1">
      <c r="C1458" s="421" t="s">
        <v>2675</v>
      </c>
      <c r="D1458" s="421" t="s">
        <v>2676</v>
      </c>
      <c r="H1458" s="421"/>
      <c r="I1458" s="421"/>
      <c r="J1458" s="421"/>
      <c r="K1458" s="421"/>
      <c r="L1458" s="421"/>
      <c r="M1458" s="421"/>
      <c r="N1458" s="421"/>
      <c r="O1458" s="421"/>
    </row>
    <row r="1459" spans="3:15" ht="13.5" customHeight="1">
      <c r="C1459" s="421" t="s">
        <v>2677</v>
      </c>
      <c r="D1459" s="421" t="s">
        <v>2678</v>
      </c>
      <c r="H1459" s="421"/>
      <c r="I1459" s="421"/>
      <c r="J1459" s="421"/>
      <c r="K1459" s="421"/>
      <c r="L1459" s="421"/>
      <c r="M1459" s="421"/>
      <c r="N1459" s="421"/>
      <c r="O1459" s="421"/>
    </row>
    <row r="1460" spans="3:15" ht="13.5" customHeight="1">
      <c r="C1460" s="421" t="s">
        <v>2679</v>
      </c>
      <c r="D1460" s="421" t="s">
        <v>2680</v>
      </c>
      <c r="H1460" s="421"/>
      <c r="I1460" s="421"/>
      <c r="J1460" s="421"/>
      <c r="K1460" s="421"/>
      <c r="L1460" s="421"/>
      <c r="M1460" s="421"/>
      <c r="N1460" s="421"/>
      <c r="O1460" s="421"/>
    </row>
    <row r="1461" spans="3:15" ht="13.5" customHeight="1">
      <c r="C1461" s="421" t="s">
        <v>2681</v>
      </c>
      <c r="D1461" s="421" t="s">
        <v>2682</v>
      </c>
      <c r="H1461" s="421"/>
      <c r="I1461" s="421"/>
      <c r="J1461" s="421"/>
      <c r="K1461" s="421"/>
      <c r="L1461" s="421"/>
      <c r="M1461" s="421"/>
      <c r="N1461" s="421"/>
      <c r="O1461" s="421"/>
    </row>
    <row r="1462" spans="3:15" ht="13.5" customHeight="1">
      <c r="C1462" s="421" t="s">
        <v>2683</v>
      </c>
      <c r="D1462" s="421" t="s">
        <v>2684</v>
      </c>
      <c r="H1462" s="421"/>
      <c r="I1462" s="421"/>
      <c r="J1462" s="421"/>
      <c r="K1462" s="421"/>
      <c r="L1462" s="421"/>
      <c r="M1462" s="421"/>
      <c r="N1462" s="421"/>
      <c r="O1462" s="421"/>
    </row>
    <row r="1463" spans="3:15" ht="13.5" customHeight="1">
      <c r="C1463" s="421" t="s">
        <v>2685</v>
      </c>
      <c r="D1463" s="421" t="s">
        <v>2686</v>
      </c>
      <c r="H1463" s="421"/>
      <c r="I1463" s="421"/>
      <c r="J1463" s="421"/>
      <c r="K1463" s="421"/>
      <c r="L1463" s="421"/>
      <c r="M1463" s="421"/>
      <c r="N1463" s="421"/>
      <c r="O1463" s="421"/>
    </row>
    <row r="1464" spans="3:15" ht="13.5" customHeight="1">
      <c r="C1464" s="421" t="s">
        <v>2687</v>
      </c>
      <c r="D1464" s="421" t="s">
        <v>2688</v>
      </c>
      <c r="H1464" s="421"/>
      <c r="I1464" s="421"/>
      <c r="J1464" s="421"/>
      <c r="K1464" s="421"/>
      <c r="L1464" s="421"/>
      <c r="M1464" s="421"/>
      <c r="N1464" s="421"/>
      <c r="O1464" s="421"/>
    </row>
    <row r="1465" spans="3:15" ht="13.5" customHeight="1">
      <c r="C1465" s="421" t="s">
        <v>2689</v>
      </c>
      <c r="D1465" s="421" t="s">
        <v>2690</v>
      </c>
      <c r="H1465" s="421"/>
      <c r="I1465" s="421"/>
      <c r="J1465" s="421"/>
      <c r="K1465" s="421"/>
      <c r="L1465" s="421"/>
      <c r="M1465" s="421"/>
      <c r="N1465" s="421"/>
      <c r="O1465" s="421"/>
    </row>
    <row r="1466" spans="3:15" ht="13.5" customHeight="1">
      <c r="C1466" s="421" t="s">
        <v>2691</v>
      </c>
      <c r="D1466" s="421" t="s">
        <v>2692</v>
      </c>
      <c r="H1466" s="421"/>
      <c r="I1466" s="421"/>
      <c r="J1466" s="421"/>
      <c r="K1466" s="421"/>
      <c r="L1466" s="421"/>
      <c r="M1466" s="421"/>
      <c r="N1466" s="421"/>
      <c r="O1466" s="421"/>
    </row>
    <row r="1467" spans="3:15" ht="13.5" customHeight="1">
      <c r="C1467" s="421" t="s">
        <v>2693</v>
      </c>
      <c r="D1467" s="421" t="s">
        <v>2694</v>
      </c>
      <c r="H1467" s="421"/>
      <c r="I1467" s="421"/>
      <c r="J1467" s="421"/>
      <c r="K1467" s="421"/>
      <c r="L1467" s="421"/>
      <c r="M1467" s="421"/>
      <c r="N1467" s="421"/>
      <c r="O1467" s="421"/>
    </row>
    <row r="1468" spans="3:15" ht="13.5" customHeight="1">
      <c r="C1468" s="421" t="s">
        <v>2695</v>
      </c>
      <c r="D1468" s="421" t="s">
        <v>2696</v>
      </c>
      <c r="H1468" s="421"/>
      <c r="I1468" s="421"/>
      <c r="J1468" s="421"/>
      <c r="K1468" s="421"/>
      <c r="L1468" s="421"/>
      <c r="M1468" s="421"/>
      <c r="N1468" s="421"/>
      <c r="O1468" s="421"/>
    </row>
    <row r="1469" spans="3:15" ht="13.5" customHeight="1">
      <c r="C1469" s="421" t="s">
        <v>2697</v>
      </c>
      <c r="D1469" s="421" t="s">
        <v>2698</v>
      </c>
      <c r="H1469" s="421"/>
      <c r="I1469" s="421"/>
      <c r="J1469" s="421"/>
      <c r="K1469" s="421"/>
      <c r="L1469" s="421"/>
      <c r="M1469" s="421"/>
      <c r="N1469" s="421"/>
      <c r="O1469" s="421"/>
    </row>
    <row r="1470" spans="3:15" ht="13.5" customHeight="1">
      <c r="C1470" s="421" t="s">
        <v>2699</v>
      </c>
      <c r="D1470" s="421" t="s">
        <v>2700</v>
      </c>
      <c r="H1470" s="421"/>
      <c r="I1470" s="421"/>
      <c r="J1470" s="421"/>
      <c r="K1470" s="421"/>
      <c r="L1470" s="421"/>
      <c r="M1470" s="421"/>
      <c r="N1470" s="421"/>
      <c r="O1470" s="421"/>
    </row>
    <row r="1471" spans="3:15" ht="13.5" customHeight="1">
      <c r="C1471" s="421" t="s">
        <v>2701</v>
      </c>
      <c r="D1471" s="421" t="s">
        <v>2702</v>
      </c>
      <c r="H1471" s="421"/>
      <c r="I1471" s="421"/>
      <c r="J1471" s="421"/>
      <c r="K1471" s="421"/>
      <c r="L1471" s="421"/>
      <c r="M1471" s="421"/>
      <c r="N1471" s="421"/>
      <c r="O1471" s="421"/>
    </row>
    <row r="1472" spans="3:15" ht="13.5" customHeight="1">
      <c r="C1472" s="421" t="s">
        <v>2703</v>
      </c>
      <c r="D1472" s="421" t="s">
        <v>2704</v>
      </c>
      <c r="H1472" s="421"/>
      <c r="I1472" s="421"/>
      <c r="J1472" s="421"/>
      <c r="K1472" s="421"/>
      <c r="L1472" s="421"/>
      <c r="M1472" s="421"/>
      <c r="N1472" s="421"/>
      <c r="O1472" s="421"/>
    </row>
    <row r="1473" spans="3:15" ht="13.5" customHeight="1">
      <c r="C1473" s="421" t="s">
        <v>2705</v>
      </c>
      <c r="D1473" s="421" t="s">
        <v>2706</v>
      </c>
      <c r="H1473" s="421"/>
      <c r="I1473" s="421"/>
      <c r="J1473" s="421"/>
      <c r="K1473" s="421"/>
      <c r="L1473" s="421"/>
      <c r="M1473" s="421"/>
      <c r="N1473" s="421"/>
      <c r="O1473" s="421"/>
    </row>
    <row r="1474" spans="3:15" ht="13.5" customHeight="1">
      <c r="C1474" s="421" t="s">
        <v>2707</v>
      </c>
      <c r="D1474" s="421" t="s">
        <v>2708</v>
      </c>
      <c r="H1474" s="421"/>
      <c r="I1474" s="421"/>
      <c r="J1474" s="421"/>
      <c r="K1474" s="421"/>
      <c r="L1474" s="421"/>
      <c r="M1474" s="421"/>
      <c r="N1474" s="421"/>
      <c r="O1474" s="421"/>
    </row>
    <row r="1475" spans="3:15" ht="13.5" customHeight="1">
      <c r="C1475" s="421" t="s">
        <v>2709</v>
      </c>
      <c r="D1475" s="421" t="s">
        <v>2710</v>
      </c>
      <c r="H1475" s="421"/>
      <c r="I1475" s="421"/>
      <c r="J1475" s="421"/>
      <c r="K1475" s="421"/>
      <c r="L1475" s="421"/>
      <c r="M1475" s="421"/>
      <c r="N1475" s="421"/>
      <c r="O1475" s="421"/>
    </row>
    <row r="1476" spans="3:15" ht="13.5" customHeight="1">
      <c r="C1476" s="421" t="s">
        <v>2711</v>
      </c>
      <c r="D1476" s="421" t="s">
        <v>2712</v>
      </c>
      <c r="H1476" s="421"/>
      <c r="I1476" s="421"/>
      <c r="J1476" s="421"/>
      <c r="K1476" s="421"/>
      <c r="L1476" s="421"/>
      <c r="M1476" s="421"/>
      <c r="N1476" s="421"/>
      <c r="O1476" s="421"/>
    </row>
    <row r="1477" spans="3:15" ht="13.5" customHeight="1">
      <c r="C1477" s="421" t="s">
        <v>2713</v>
      </c>
      <c r="D1477" s="421" t="s">
        <v>2714</v>
      </c>
      <c r="H1477" s="421"/>
      <c r="I1477" s="421"/>
      <c r="J1477" s="421"/>
      <c r="K1477" s="421"/>
      <c r="L1477" s="421"/>
      <c r="M1477" s="421"/>
      <c r="N1477" s="421"/>
      <c r="O1477" s="421"/>
    </row>
    <row r="1478" spans="3:15" ht="13.5" customHeight="1">
      <c r="C1478" s="421" t="s">
        <v>2715</v>
      </c>
      <c r="D1478" s="421" t="s">
        <v>2716</v>
      </c>
      <c r="H1478" s="421"/>
      <c r="I1478" s="421"/>
      <c r="J1478" s="421"/>
      <c r="K1478" s="421"/>
      <c r="L1478" s="421"/>
      <c r="M1478" s="421"/>
      <c r="N1478" s="421"/>
      <c r="O1478" s="421"/>
    </row>
    <row r="1479" spans="3:15" ht="13.5" customHeight="1">
      <c r="C1479" s="421" t="s">
        <v>2717</v>
      </c>
      <c r="D1479" s="421" t="s">
        <v>2718</v>
      </c>
      <c r="H1479" s="421"/>
      <c r="I1479" s="421"/>
      <c r="J1479" s="421"/>
      <c r="K1479" s="421"/>
      <c r="L1479" s="421"/>
      <c r="M1479" s="421"/>
      <c r="N1479" s="421"/>
      <c r="O1479" s="421"/>
    </row>
    <row r="1480" spans="3:15" ht="13.5" customHeight="1">
      <c r="C1480" s="421" t="s">
        <v>2719</v>
      </c>
      <c r="D1480" s="421" t="s">
        <v>2720</v>
      </c>
      <c r="H1480" s="421"/>
      <c r="I1480" s="421"/>
      <c r="J1480" s="421"/>
      <c r="K1480" s="421"/>
      <c r="L1480" s="421"/>
      <c r="M1480" s="421"/>
      <c r="N1480" s="421"/>
      <c r="O1480" s="421"/>
    </row>
    <row r="1481" spans="3:15" ht="13.5" customHeight="1">
      <c r="C1481" s="421" t="s">
        <v>2721</v>
      </c>
      <c r="D1481" s="421" t="s">
        <v>2722</v>
      </c>
      <c r="H1481" s="421"/>
      <c r="I1481" s="421"/>
      <c r="J1481" s="421"/>
      <c r="K1481" s="421"/>
      <c r="L1481" s="421"/>
      <c r="M1481" s="421"/>
      <c r="N1481" s="421"/>
      <c r="O1481" s="421"/>
    </row>
    <row r="1482" spans="3:15" ht="13.5" customHeight="1">
      <c r="C1482" s="421" t="s">
        <v>2723</v>
      </c>
      <c r="D1482" s="421" t="s">
        <v>2724</v>
      </c>
      <c r="H1482" s="421"/>
      <c r="I1482" s="421"/>
      <c r="J1482" s="421"/>
      <c r="K1482" s="421"/>
      <c r="L1482" s="421"/>
      <c r="M1482" s="421"/>
      <c r="N1482" s="421"/>
      <c r="O1482" s="421"/>
    </row>
    <row r="1483" spans="3:15" ht="13.5" customHeight="1">
      <c r="C1483" s="421" t="s">
        <v>2725</v>
      </c>
      <c r="D1483" s="421" t="s">
        <v>2726</v>
      </c>
      <c r="H1483" s="421"/>
      <c r="I1483" s="421"/>
      <c r="J1483" s="421"/>
      <c r="K1483" s="421"/>
      <c r="L1483" s="421"/>
      <c r="M1483" s="421"/>
      <c r="N1483" s="421"/>
      <c r="O1483" s="421"/>
    </row>
    <row r="1484" spans="3:15" ht="13.5" customHeight="1">
      <c r="C1484" s="421" t="s">
        <v>2727</v>
      </c>
      <c r="D1484" s="421" t="s">
        <v>2728</v>
      </c>
      <c r="H1484" s="421"/>
      <c r="I1484" s="421"/>
      <c r="J1484" s="421"/>
      <c r="K1484" s="421"/>
      <c r="L1484" s="421"/>
      <c r="M1484" s="421"/>
      <c r="N1484" s="421"/>
      <c r="O1484" s="421"/>
    </row>
    <row r="1485" spans="3:15" ht="13.5" customHeight="1">
      <c r="C1485" s="421" t="s">
        <v>2729</v>
      </c>
      <c r="D1485" s="421" t="s">
        <v>2730</v>
      </c>
      <c r="H1485" s="421"/>
      <c r="I1485" s="421"/>
      <c r="J1485" s="421"/>
      <c r="K1485" s="421"/>
      <c r="L1485" s="421"/>
      <c r="M1485" s="421"/>
      <c r="N1485" s="421"/>
      <c r="O1485" s="421"/>
    </row>
    <row r="1486" spans="3:15" ht="13.5" customHeight="1">
      <c r="C1486" s="421" t="s">
        <v>2731</v>
      </c>
      <c r="D1486" s="421" t="s">
        <v>2732</v>
      </c>
      <c r="H1486" s="421"/>
      <c r="I1486" s="421"/>
      <c r="J1486" s="421"/>
      <c r="K1486" s="421"/>
      <c r="L1486" s="421"/>
      <c r="M1486" s="421"/>
      <c r="N1486" s="421"/>
      <c r="O1486" s="421"/>
    </row>
    <row r="1487" spans="3:15" ht="13.5" customHeight="1">
      <c r="C1487" s="421" t="s">
        <v>2733</v>
      </c>
      <c r="D1487" s="421" t="s">
        <v>2734</v>
      </c>
      <c r="H1487" s="421"/>
      <c r="I1487" s="421"/>
      <c r="J1487" s="421"/>
      <c r="K1487" s="421"/>
      <c r="L1487" s="421"/>
      <c r="M1487" s="421"/>
      <c r="N1487" s="421"/>
      <c r="O1487" s="421"/>
    </row>
    <row r="1488" spans="3:15" ht="13.5" customHeight="1">
      <c r="C1488" s="421" t="s">
        <v>2735</v>
      </c>
      <c r="D1488" s="421" t="s">
        <v>2736</v>
      </c>
      <c r="H1488" s="421"/>
      <c r="I1488" s="421"/>
      <c r="J1488" s="421"/>
      <c r="K1488" s="421"/>
      <c r="L1488" s="421"/>
      <c r="M1488" s="421"/>
      <c r="N1488" s="421"/>
      <c r="O1488" s="421"/>
    </row>
    <row r="1489" spans="3:15" ht="13.5" customHeight="1">
      <c r="C1489" s="421" t="s">
        <v>2737</v>
      </c>
      <c r="D1489" s="421" t="s">
        <v>2738</v>
      </c>
      <c r="H1489" s="421"/>
      <c r="I1489" s="421"/>
      <c r="J1489" s="421"/>
      <c r="K1489" s="421"/>
      <c r="L1489" s="421"/>
      <c r="M1489" s="421"/>
      <c r="N1489" s="421"/>
      <c r="O1489" s="421"/>
    </row>
    <row r="1490" spans="3:15" ht="13.5" customHeight="1">
      <c r="C1490" s="421" t="s">
        <v>2739</v>
      </c>
      <c r="D1490" s="421" t="s">
        <v>2740</v>
      </c>
      <c r="H1490" s="421"/>
      <c r="I1490" s="421"/>
      <c r="J1490" s="421"/>
      <c r="K1490" s="421"/>
      <c r="L1490" s="421"/>
      <c r="M1490" s="421"/>
      <c r="N1490" s="421"/>
      <c r="O1490" s="421"/>
    </row>
    <row r="1491" spans="3:15" ht="13.5" customHeight="1">
      <c r="C1491" s="421" t="s">
        <v>2741</v>
      </c>
      <c r="D1491" s="421" t="s">
        <v>2742</v>
      </c>
      <c r="H1491" s="421"/>
      <c r="I1491" s="421"/>
      <c r="J1491" s="421"/>
      <c r="K1491" s="421"/>
      <c r="L1491" s="421"/>
      <c r="M1491" s="421"/>
      <c r="N1491" s="421"/>
      <c r="O1491" s="421"/>
    </row>
    <row r="1492" spans="3:15" ht="13.5" customHeight="1">
      <c r="C1492" s="421" t="s">
        <v>2743</v>
      </c>
      <c r="D1492" s="421" t="s">
        <v>2744</v>
      </c>
      <c r="H1492" s="421"/>
      <c r="I1492" s="421"/>
      <c r="J1492" s="421"/>
      <c r="K1492" s="421"/>
      <c r="L1492" s="421"/>
      <c r="M1492" s="421"/>
      <c r="N1492" s="421"/>
      <c r="O1492" s="421"/>
    </row>
    <row r="1493" spans="3:15" ht="13.5" customHeight="1">
      <c r="C1493" s="421" t="s">
        <v>2745</v>
      </c>
      <c r="D1493" s="421" t="s">
        <v>2746</v>
      </c>
      <c r="H1493" s="421"/>
      <c r="I1493" s="421"/>
      <c r="J1493" s="421"/>
      <c r="K1493" s="421"/>
      <c r="L1493" s="421"/>
      <c r="M1493" s="421"/>
      <c r="N1493" s="421"/>
      <c r="O1493" s="421"/>
    </row>
    <row r="1494" spans="3:15" ht="13.5" customHeight="1">
      <c r="C1494" s="421" t="s">
        <v>2747</v>
      </c>
      <c r="D1494" s="421" t="s">
        <v>2748</v>
      </c>
      <c r="H1494" s="421"/>
      <c r="I1494" s="421"/>
      <c r="J1494" s="421"/>
      <c r="K1494" s="421"/>
      <c r="L1494" s="421"/>
      <c r="M1494" s="421"/>
      <c r="N1494" s="421"/>
      <c r="O1494" s="421"/>
    </row>
    <row r="1495" spans="3:15" ht="13.5" customHeight="1">
      <c r="C1495" s="421" t="s">
        <v>2749</v>
      </c>
      <c r="D1495" s="421" t="s">
        <v>2750</v>
      </c>
      <c r="H1495" s="421"/>
      <c r="I1495" s="421"/>
      <c r="J1495" s="421"/>
      <c r="K1495" s="421"/>
      <c r="L1495" s="421"/>
      <c r="M1495" s="421"/>
      <c r="N1495" s="421"/>
      <c r="O1495" s="421"/>
    </row>
    <row r="1496" spans="3:15" ht="13.5" customHeight="1">
      <c r="C1496" s="421" t="s">
        <v>2751</v>
      </c>
      <c r="D1496" s="421" t="s">
        <v>2752</v>
      </c>
      <c r="H1496" s="421"/>
      <c r="I1496" s="421"/>
      <c r="J1496" s="421"/>
      <c r="K1496" s="421"/>
      <c r="L1496" s="421"/>
      <c r="M1496" s="421"/>
      <c r="N1496" s="421"/>
      <c r="O1496" s="421"/>
    </row>
    <row r="1497" spans="3:15" ht="13.5" customHeight="1">
      <c r="C1497" s="421" t="s">
        <v>2753</v>
      </c>
      <c r="D1497" s="421" t="s">
        <v>2754</v>
      </c>
      <c r="H1497" s="421"/>
      <c r="I1497" s="421"/>
      <c r="J1497" s="421"/>
      <c r="K1497" s="421"/>
      <c r="L1497" s="421"/>
      <c r="M1497" s="421"/>
      <c r="N1497" s="421"/>
      <c r="O1497" s="421"/>
    </row>
    <row r="1498" spans="3:15" ht="13.5" customHeight="1">
      <c r="C1498" s="421" t="s">
        <v>2755</v>
      </c>
      <c r="D1498" s="421" t="s">
        <v>2756</v>
      </c>
      <c r="H1498" s="421"/>
      <c r="I1498" s="421"/>
      <c r="J1498" s="421"/>
      <c r="K1498" s="421"/>
      <c r="L1498" s="421"/>
      <c r="M1498" s="421"/>
      <c r="N1498" s="421"/>
      <c r="O1498" s="421"/>
    </row>
    <row r="1499" spans="3:15" ht="13.5" customHeight="1">
      <c r="C1499" s="421" t="s">
        <v>2757</v>
      </c>
      <c r="D1499" s="421" t="s">
        <v>2758</v>
      </c>
      <c r="H1499" s="421"/>
      <c r="I1499" s="421"/>
      <c r="J1499" s="421"/>
      <c r="K1499" s="421"/>
      <c r="L1499" s="421"/>
      <c r="M1499" s="421"/>
      <c r="N1499" s="421"/>
      <c r="O1499" s="421"/>
    </row>
    <row r="1500" spans="3:15" ht="13.5" customHeight="1">
      <c r="C1500" s="421" t="s">
        <v>2759</v>
      </c>
      <c r="D1500" s="421" t="s">
        <v>2760</v>
      </c>
      <c r="H1500" s="421"/>
      <c r="I1500" s="421"/>
      <c r="J1500" s="421"/>
      <c r="K1500" s="421"/>
      <c r="L1500" s="421"/>
      <c r="M1500" s="421"/>
      <c r="N1500" s="421"/>
      <c r="O1500" s="421"/>
    </row>
    <row r="1501" spans="3:15" ht="13.5" customHeight="1">
      <c r="C1501" s="421" t="s">
        <v>2761</v>
      </c>
      <c r="D1501" s="421" t="s">
        <v>2762</v>
      </c>
      <c r="H1501" s="421"/>
      <c r="I1501" s="421"/>
      <c r="J1501" s="421"/>
      <c r="K1501" s="421"/>
      <c r="L1501" s="421"/>
      <c r="M1501" s="421"/>
      <c r="N1501" s="421"/>
      <c r="O1501" s="421"/>
    </row>
    <row r="1502" spans="3:15" ht="13.5" customHeight="1">
      <c r="C1502" s="421" t="s">
        <v>2763</v>
      </c>
      <c r="D1502" s="421" t="s">
        <v>2764</v>
      </c>
      <c r="H1502" s="421"/>
      <c r="I1502" s="421"/>
      <c r="J1502" s="421"/>
      <c r="K1502" s="421"/>
      <c r="L1502" s="421"/>
      <c r="M1502" s="421"/>
      <c r="N1502" s="421"/>
      <c r="O1502" s="421"/>
    </row>
    <row r="1503" spans="3:15" ht="13.5" customHeight="1">
      <c r="C1503" s="421" t="s">
        <v>2765</v>
      </c>
      <c r="D1503" s="421" t="s">
        <v>2766</v>
      </c>
      <c r="H1503" s="421"/>
      <c r="I1503" s="421"/>
      <c r="J1503" s="421"/>
      <c r="K1503" s="421"/>
      <c r="L1503" s="421"/>
      <c r="M1503" s="421"/>
      <c r="N1503" s="421"/>
      <c r="O1503" s="421"/>
    </row>
    <row r="1504" spans="3:15" ht="13.5" customHeight="1">
      <c r="C1504" s="421" t="s">
        <v>2767</v>
      </c>
      <c r="D1504" s="421" t="s">
        <v>2768</v>
      </c>
      <c r="H1504" s="421"/>
      <c r="I1504" s="421"/>
      <c r="J1504" s="421"/>
      <c r="K1504" s="421"/>
      <c r="L1504" s="421"/>
      <c r="M1504" s="421"/>
      <c r="N1504" s="421"/>
      <c r="O1504" s="421"/>
    </row>
    <row r="1505" spans="3:15" ht="13.5" customHeight="1">
      <c r="C1505" s="421" t="s">
        <v>2769</v>
      </c>
      <c r="D1505" s="421" t="s">
        <v>2770</v>
      </c>
      <c r="H1505" s="421"/>
      <c r="I1505" s="421"/>
      <c r="J1505" s="421"/>
      <c r="K1505" s="421"/>
      <c r="L1505" s="421"/>
      <c r="M1505" s="421"/>
      <c r="N1505" s="421"/>
      <c r="O1505" s="421"/>
    </row>
    <row r="1506" spans="3:15" ht="13.5" customHeight="1">
      <c r="C1506" s="421" t="s">
        <v>2771</v>
      </c>
      <c r="D1506" s="421" t="s">
        <v>2772</v>
      </c>
      <c r="H1506" s="421"/>
      <c r="I1506" s="421"/>
      <c r="J1506" s="421"/>
      <c r="K1506" s="421"/>
      <c r="L1506" s="421"/>
      <c r="M1506" s="421"/>
      <c r="N1506" s="421"/>
      <c r="O1506" s="421"/>
    </row>
    <row r="1507" spans="3:15" ht="13.5" customHeight="1">
      <c r="C1507" s="421" t="s">
        <v>2773</v>
      </c>
      <c r="D1507" s="421" t="s">
        <v>2774</v>
      </c>
      <c r="H1507" s="421"/>
      <c r="I1507" s="421"/>
      <c r="J1507" s="421"/>
      <c r="K1507" s="421"/>
      <c r="L1507" s="421"/>
      <c r="M1507" s="421"/>
      <c r="N1507" s="421"/>
      <c r="O1507" s="421"/>
    </row>
    <row r="1508" spans="3:15" ht="13.5" customHeight="1">
      <c r="C1508" s="421" t="s">
        <v>2775</v>
      </c>
      <c r="D1508" s="421" t="s">
        <v>2776</v>
      </c>
      <c r="H1508" s="421"/>
      <c r="I1508" s="421"/>
      <c r="J1508" s="421"/>
      <c r="K1508" s="421"/>
      <c r="L1508" s="421"/>
      <c r="M1508" s="421"/>
      <c r="N1508" s="421"/>
      <c r="O1508" s="421"/>
    </row>
    <row r="1509" spans="3:15" ht="13.5" customHeight="1">
      <c r="C1509" s="421" t="s">
        <v>2777</v>
      </c>
      <c r="D1509" s="421" t="s">
        <v>2778</v>
      </c>
      <c r="H1509" s="421"/>
      <c r="I1509" s="421"/>
      <c r="J1509" s="421"/>
      <c r="K1509" s="421"/>
      <c r="L1509" s="421"/>
      <c r="M1509" s="421"/>
      <c r="N1509" s="421"/>
      <c r="O1509" s="421"/>
    </row>
    <row r="1510" spans="3:15" ht="13.5" customHeight="1">
      <c r="C1510" s="421" t="s">
        <v>2779</v>
      </c>
      <c r="D1510" s="421" t="s">
        <v>2780</v>
      </c>
      <c r="H1510" s="421"/>
      <c r="I1510" s="421"/>
      <c r="J1510" s="421"/>
      <c r="K1510" s="421"/>
      <c r="L1510" s="421"/>
      <c r="M1510" s="421"/>
      <c r="N1510" s="421"/>
      <c r="O1510" s="421"/>
    </row>
    <row r="1511" spans="3:15" ht="13.5" customHeight="1">
      <c r="C1511" s="421" t="s">
        <v>2781</v>
      </c>
      <c r="D1511" s="421" t="s">
        <v>2782</v>
      </c>
      <c r="H1511" s="421"/>
      <c r="I1511" s="421"/>
      <c r="J1511" s="421"/>
      <c r="K1511" s="421"/>
      <c r="L1511" s="421"/>
      <c r="M1511" s="421"/>
      <c r="N1511" s="421"/>
      <c r="O1511" s="421"/>
    </row>
    <row r="1512" spans="3:15" ht="13.5" customHeight="1">
      <c r="C1512" s="421" t="s">
        <v>2783</v>
      </c>
      <c r="D1512" s="421" t="s">
        <v>2784</v>
      </c>
      <c r="H1512" s="421"/>
      <c r="I1512" s="421"/>
      <c r="J1512" s="421"/>
      <c r="K1512" s="421"/>
      <c r="L1512" s="421"/>
      <c r="M1512" s="421"/>
      <c r="N1512" s="421"/>
      <c r="O1512" s="421"/>
    </row>
    <row r="1513" spans="3:15" ht="13.5" customHeight="1">
      <c r="C1513" s="421" t="s">
        <v>2785</v>
      </c>
      <c r="D1513" s="421" t="s">
        <v>2786</v>
      </c>
      <c r="H1513" s="421"/>
      <c r="I1513" s="421"/>
      <c r="J1513" s="421"/>
      <c r="K1513" s="421"/>
      <c r="L1513" s="421"/>
      <c r="M1513" s="421"/>
      <c r="N1513" s="421"/>
      <c r="O1513" s="421"/>
    </row>
    <row r="1514" spans="3:15" ht="13.5" customHeight="1">
      <c r="C1514" s="421" t="s">
        <v>2787</v>
      </c>
      <c r="D1514" s="421" t="s">
        <v>2788</v>
      </c>
      <c r="H1514" s="421"/>
      <c r="I1514" s="421"/>
      <c r="J1514" s="421"/>
      <c r="K1514" s="421"/>
      <c r="L1514" s="421"/>
      <c r="M1514" s="421"/>
      <c r="N1514" s="421"/>
      <c r="O1514" s="421"/>
    </row>
    <row r="1515" spans="3:15" ht="13.5" customHeight="1">
      <c r="C1515" s="421" t="s">
        <v>2789</v>
      </c>
      <c r="D1515" s="421" t="s">
        <v>2790</v>
      </c>
      <c r="H1515" s="421"/>
      <c r="I1515" s="421"/>
      <c r="J1515" s="421"/>
      <c r="K1515" s="421"/>
      <c r="L1515" s="421"/>
      <c r="M1515" s="421"/>
      <c r="N1515" s="421"/>
      <c r="O1515" s="421"/>
    </row>
    <row r="1516" spans="3:15" ht="13.5" customHeight="1">
      <c r="C1516" s="421" t="s">
        <v>2791</v>
      </c>
      <c r="D1516" s="421" t="s">
        <v>2792</v>
      </c>
      <c r="H1516" s="421"/>
      <c r="I1516" s="421"/>
      <c r="J1516" s="421"/>
      <c r="K1516" s="421"/>
      <c r="L1516" s="421"/>
      <c r="M1516" s="421"/>
      <c r="N1516" s="421"/>
      <c r="O1516" s="421"/>
    </row>
    <row r="1517" spans="3:15" ht="13.5" customHeight="1">
      <c r="C1517" s="421" t="s">
        <v>2793</v>
      </c>
      <c r="D1517" s="421" t="s">
        <v>2794</v>
      </c>
      <c r="H1517" s="421"/>
      <c r="I1517" s="421"/>
      <c r="J1517" s="421"/>
      <c r="K1517" s="421"/>
      <c r="L1517" s="421"/>
      <c r="M1517" s="421"/>
      <c r="N1517" s="421"/>
      <c r="O1517" s="421"/>
    </row>
    <row r="1518" spans="3:15" ht="13.5" customHeight="1">
      <c r="C1518" s="421" t="s">
        <v>2795</v>
      </c>
      <c r="D1518" s="421" t="s">
        <v>2796</v>
      </c>
      <c r="H1518" s="421"/>
      <c r="I1518" s="421"/>
      <c r="J1518" s="421"/>
      <c r="K1518" s="421"/>
      <c r="L1518" s="421"/>
      <c r="M1518" s="421"/>
      <c r="N1518" s="421"/>
      <c r="O1518" s="421"/>
    </row>
    <row r="1519" spans="3:15" ht="13.5" customHeight="1">
      <c r="C1519" s="421" t="s">
        <v>2797</v>
      </c>
      <c r="D1519" s="421" t="s">
        <v>2798</v>
      </c>
      <c r="H1519" s="421"/>
      <c r="I1519" s="421"/>
      <c r="J1519" s="421"/>
      <c r="K1519" s="421"/>
      <c r="L1519" s="421"/>
      <c r="M1519" s="421"/>
      <c r="N1519" s="421"/>
      <c r="O1519" s="421"/>
    </row>
    <row r="1520" spans="3:15" ht="13.5" customHeight="1">
      <c r="C1520" s="421" t="s">
        <v>2799</v>
      </c>
      <c r="D1520" s="421" t="s">
        <v>2800</v>
      </c>
      <c r="H1520" s="421"/>
      <c r="I1520" s="421"/>
      <c r="J1520" s="421"/>
      <c r="K1520" s="421"/>
      <c r="L1520" s="421"/>
      <c r="M1520" s="421"/>
      <c r="N1520" s="421"/>
      <c r="O1520" s="421"/>
    </row>
    <row r="1521" spans="3:15" ht="13.5" customHeight="1">
      <c r="C1521" s="421" t="s">
        <v>2801</v>
      </c>
      <c r="D1521" s="421" t="s">
        <v>2802</v>
      </c>
      <c r="H1521" s="421"/>
      <c r="I1521" s="421"/>
      <c r="J1521" s="421"/>
      <c r="K1521" s="421"/>
      <c r="L1521" s="421"/>
      <c r="M1521" s="421"/>
      <c r="N1521" s="421"/>
      <c r="O1521" s="421"/>
    </row>
    <row r="1522" spans="3:15" ht="13.5" customHeight="1">
      <c r="C1522" s="421" t="s">
        <v>2803</v>
      </c>
      <c r="D1522" s="421" t="s">
        <v>2804</v>
      </c>
      <c r="H1522" s="421"/>
      <c r="I1522" s="421"/>
      <c r="J1522" s="421"/>
      <c r="K1522" s="421"/>
      <c r="L1522" s="421"/>
      <c r="M1522" s="421"/>
      <c r="N1522" s="421"/>
      <c r="O1522" s="421"/>
    </row>
    <row r="1523" spans="3:15" ht="13.5" customHeight="1">
      <c r="C1523" s="421" t="s">
        <v>2805</v>
      </c>
      <c r="D1523" s="421" t="s">
        <v>2806</v>
      </c>
      <c r="H1523" s="421"/>
      <c r="I1523" s="421"/>
      <c r="J1523" s="421"/>
      <c r="K1523" s="421"/>
      <c r="L1523" s="421"/>
      <c r="M1523" s="421"/>
      <c r="N1523" s="421"/>
      <c r="O1523" s="421"/>
    </row>
    <row r="1524" spans="3:15" ht="13.5" customHeight="1">
      <c r="C1524" s="421" t="s">
        <v>2807</v>
      </c>
      <c r="D1524" s="421" t="s">
        <v>2808</v>
      </c>
      <c r="H1524" s="421"/>
      <c r="I1524" s="421"/>
      <c r="J1524" s="421"/>
      <c r="K1524" s="421"/>
      <c r="L1524" s="421"/>
      <c r="M1524" s="421"/>
      <c r="N1524" s="421"/>
      <c r="O1524" s="421"/>
    </row>
    <row r="1525" spans="3:15" ht="13.5" customHeight="1">
      <c r="C1525" s="421" t="s">
        <v>2809</v>
      </c>
      <c r="D1525" s="421" t="s">
        <v>2810</v>
      </c>
      <c r="H1525" s="421"/>
      <c r="I1525" s="421"/>
      <c r="J1525" s="421"/>
      <c r="K1525" s="421"/>
      <c r="L1525" s="421"/>
      <c r="M1525" s="421"/>
      <c r="N1525" s="421"/>
      <c r="O1525" s="421"/>
    </row>
    <row r="1526" spans="3:15" ht="13.5" customHeight="1">
      <c r="C1526" s="421" t="s">
        <v>2811</v>
      </c>
      <c r="D1526" s="421" t="s">
        <v>2812</v>
      </c>
      <c r="H1526" s="421"/>
      <c r="I1526" s="421"/>
      <c r="J1526" s="421"/>
      <c r="K1526" s="421"/>
      <c r="L1526" s="421"/>
      <c r="M1526" s="421"/>
      <c r="N1526" s="421"/>
      <c r="O1526" s="421"/>
    </row>
    <row r="1527" spans="3:15" ht="13.5" customHeight="1">
      <c r="C1527" s="421" t="s">
        <v>2813</v>
      </c>
      <c r="D1527" s="421" t="s">
        <v>2814</v>
      </c>
      <c r="H1527" s="421"/>
      <c r="I1527" s="421"/>
      <c r="J1527" s="421"/>
      <c r="K1527" s="421"/>
      <c r="L1527" s="421"/>
      <c r="M1527" s="421"/>
      <c r="N1527" s="421"/>
      <c r="O1527" s="421"/>
    </row>
    <row r="1528" spans="3:15" ht="13.5" customHeight="1">
      <c r="C1528" s="421" t="s">
        <v>2815</v>
      </c>
      <c r="D1528" s="421" t="s">
        <v>2816</v>
      </c>
      <c r="H1528" s="421"/>
      <c r="I1528" s="421"/>
      <c r="J1528" s="421"/>
      <c r="K1528" s="421"/>
      <c r="L1528" s="421"/>
      <c r="M1528" s="421"/>
      <c r="N1528" s="421"/>
      <c r="O1528" s="421"/>
    </row>
    <row r="1529" spans="3:15" ht="13.5" customHeight="1">
      <c r="C1529" s="421" t="s">
        <v>2817</v>
      </c>
      <c r="D1529" s="421" t="s">
        <v>2818</v>
      </c>
      <c r="H1529" s="421"/>
      <c r="I1529" s="421"/>
      <c r="J1529" s="421"/>
      <c r="K1529" s="421"/>
      <c r="L1529" s="421"/>
      <c r="M1529" s="421"/>
      <c r="N1529" s="421"/>
      <c r="O1529" s="421"/>
    </row>
    <row r="1530" spans="3:15" ht="13.5" customHeight="1">
      <c r="C1530" s="421" t="s">
        <v>2819</v>
      </c>
      <c r="D1530" s="421" t="s">
        <v>2820</v>
      </c>
      <c r="H1530" s="421"/>
      <c r="I1530" s="421"/>
      <c r="J1530" s="421"/>
      <c r="K1530" s="421"/>
      <c r="L1530" s="421"/>
      <c r="M1530" s="421"/>
      <c r="N1530" s="421"/>
      <c r="O1530" s="421"/>
    </row>
    <row r="1531" spans="3:15" ht="13.5" customHeight="1">
      <c r="C1531" s="421" t="s">
        <v>2821</v>
      </c>
      <c r="D1531" s="421" t="s">
        <v>2822</v>
      </c>
      <c r="H1531" s="421"/>
      <c r="I1531" s="421"/>
      <c r="J1531" s="421"/>
      <c r="K1531" s="421"/>
      <c r="L1531" s="421"/>
      <c r="M1531" s="421"/>
      <c r="N1531" s="421"/>
      <c r="O1531" s="421"/>
    </row>
    <row r="1532" spans="3:15" ht="13.5" customHeight="1">
      <c r="C1532" s="421" t="s">
        <v>2823</v>
      </c>
      <c r="D1532" s="421" t="s">
        <v>2824</v>
      </c>
      <c r="H1532" s="421"/>
      <c r="I1532" s="421"/>
      <c r="J1532" s="421"/>
      <c r="K1532" s="421"/>
      <c r="L1532" s="421"/>
      <c r="M1532" s="421"/>
      <c r="N1532" s="421"/>
      <c r="O1532" s="421"/>
    </row>
    <row r="1533" spans="3:15" ht="13.5" customHeight="1">
      <c r="C1533" s="421" t="s">
        <v>2825</v>
      </c>
      <c r="D1533" s="421" t="s">
        <v>2826</v>
      </c>
      <c r="H1533" s="421"/>
      <c r="I1533" s="421"/>
      <c r="J1533" s="421"/>
      <c r="K1533" s="421"/>
      <c r="L1533" s="421"/>
      <c r="M1533" s="421"/>
      <c r="N1533" s="421"/>
      <c r="O1533" s="421"/>
    </row>
    <row r="1534" spans="3:15" ht="13.5" customHeight="1">
      <c r="C1534" s="421" t="s">
        <v>2827</v>
      </c>
      <c r="D1534" s="421" t="s">
        <v>2828</v>
      </c>
      <c r="H1534" s="421"/>
      <c r="I1534" s="421"/>
      <c r="J1534" s="421"/>
      <c r="K1534" s="421"/>
      <c r="L1534" s="421"/>
      <c r="M1534" s="421"/>
      <c r="N1534" s="421"/>
      <c r="O1534" s="421"/>
    </row>
    <row r="1535" spans="3:15" ht="13.5" customHeight="1">
      <c r="C1535" s="421" t="s">
        <v>2829</v>
      </c>
      <c r="D1535" s="421" t="s">
        <v>2830</v>
      </c>
      <c r="H1535" s="421"/>
      <c r="I1535" s="421"/>
      <c r="J1535" s="421"/>
      <c r="K1535" s="421"/>
      <c r="L1535" s="421"/>
      <c r="M1535" s="421"/>
      <c r="N1535" s="421"/>
      <c r="O1535" s="421"/>
    </row>
    <row r="1536" spans="3:15" ht="13.5" customHeight="1">
      <c r="C1536" s="421" t="s">
        <v>2831</v>
      </c>
      <c r="D1536" s="421" t="s">
        <v>2832</v>
      </c>
      <c r="H1536" s="421"/>
      <c r="I1536" s="421"/>
      <c r="J1536" s="421"/>
      <c r="K1536" s="421"/>
      <c r="L1536" s="421"/>
      <c r="M1536" s="421"/>
      <c r="N1536" s="421"/>
      <c r="O1536" s="421"/>
    </row>
    <row r="1537" spans="3:15" ht="13.5" customHeight="1">
      <c r="C1537" s="421" t="s">
        <v>2833</v>
      </c>
      <c r="D1537" s="421" t="s">
        <v>2834</v>
      </c>
      <c r="H1537" s="421"/>
      <c r="I1537" s="421"/>
      <c r="J1537" s="421"/>
      <c r="K1537" s="421"/>
      <c r="L1537" s="421"/>
      <c r="M1537" s="421"/>
      <c r="N1537" s="421"/>
      <c r="O1537" s="421"/>
    </row>
    <row r="1538" spans="3:15" ht="13.5" customHeight="1">
      <c r="C1538" s="421" t="s">
        <v>2835</v>
      </c>
      <c r="D1538" s="421" t="s">
        <v>2836</v>
      </c>
      <c r="H1538" s="421"/>
      <c r="I1538" s="421"/>
      <c r="J1538" s="421"/>
      <c r="K1538" s="421"/>
      <c r="L1538" s="421"/>
      <c r="M1538" s="421"/>
      <c r="N1538" s="421"/>
      <c r="O1538" s="421"/>
    </row>
    <row r="1539" spans="3:15" ht="13.5" customHeight="1">
      <c r="C1539" s="421" t="s">
        <v>2837</v>
      </c>
      <c r="D1539" s="421" t="s">
        <v>2838</v>
      </c>
      <c r="H1539" s="421"/>
      <c r="I1539" s="421"/>
      <c r="J1539" s="421"/>
      <c r="K1539" s="421"/>
      <c r="L1539" s="421"/>
      <c r="M1539" s="421"/>
      <c r="N1539" s="421"/>
      <c r="O1539" s="421"/>
    </row>
    <row r="1540" spans="3:15" ht="13.5" customHeight="1">
      <c r="C1540" s="421" t="s">
        <v>2839</v>
      </c>
      <c r="D1540" s="421" t="s">
        <v>2840</v>
      </c>
      <c r="H1540" s="421"/>
      <c r="I1540" s="421"/>
      <c r="J1540" s="421"/>
      <c r="K1540" s="421"/>
      <c r="L1540" s="421"/>
      <c r="M1540" s="421"/>
      <c r="N1540" s="421"/>
      <c r="O1540" s="421"/>
    </row>
    <row r="1541" spans="3:15" ht="13.5" customHeight="1">
      <c r="C1541" s="421" t="s">
        <v>2841</v>
      </c>
      <c r="D1541" s="421" t="s">
        <v>2842</v>
      </c>
      <c r="H1541" s="421"/>
      <c r="I1541" s="421"/>
      <c r="J1541" s="421"/>
      <c r="K1541" s="421"/>
      <c r="L1541" s="421"/>
      <c r="M1541" s="421"/>
      <c r="N1541" s="421"/>
      <c r="O1541" s="421"/>
    </row>
    <row r="1542" spans="3:15" ht="13.5" customHeight="1">
      <c r="C1542" s="421" t="s">
        <v>2843</v>
      </c>
      <c r="D1542" s="421" t="s">
        <v>2844</v>
      </c>
      <c r="H1542" s="421"/>
      <c r="I1542" s="421"/>
      <c r="J1542" s="421"/>
      <c r="K1542" s="421"/>
      <c r="L1542" s="421"/>
      <c r="M1542" s="421"/>
      <c r="N1542" s="421"/>
      <c r="O1542" s="421"/>
    </row>
    <row r="1543" spans="3:15" ht="13.5" customHeight="1">
      <c r="C1543" s="421" t="s">
        <v>2845</v>
      </c>
      <c r="D1543" s="421" t="s">
        <v>2846</v>
      </c>
      <c r="H1543" s="421"/>
      <c r="I1543" s="421"/>
      <c r="J1543" s="421"/>
      <c r="K1543" s="421"/>
      <c r="L1543" s="421"/>
      <c r="M1543" s="421"/>
      <c r="N1543" s="421"/>
      <c r="O1543" s="421"/>
    </row>
    <row r="1544" spans="3:15" ht="13.5" customHeight="1">
      <c r="C1544" s="421" t="s">
        <v>2847</v>
      </c>
      <c r="D1544" s="421" t="s">
        <v>2848</v>
      </c>
      <c r="H1544" s="421"/>
      <c r="I1544" s="421"/>
      <c r="J1544" s="421"/>
      <c r="K1544" s="421"/>
      <c r="L1544" s="421"/>
      <c r="M1544" s="421"/>
      <c r="N1544" s="421"/>
      <c r="O1544" s="421"/>
    </row>
    <row r="1545" spans="3:15" ht="13.5" customHeight="1">
      <c r="C1545" s="421" t="s">
        <v>2849</v>
      </c>
      <c r="D1545" s="421" t="s">
        <v>2850</v>
      </c>
      <c r="H1545" s="421"/>
      <c r="I1545" s="421"/>
      <c r="J1545" s="421"/>
      <c r="K1545" s="421"/>
      <c r="L1545" s="421"/>
      <c r="M1545" s="421"/>
      <c r="N1545" s="421"/>
      <c r="O1545" s="421"/>
    </row>
    <row r="1546" spans="3:15" ht="13.5" customHeight="1">
      <c r="C1546" s="421" t="s">
        <v>2851</v>
      </c>
      <c r="D1546" s="421" t="s">
        <v>2852</v>
      </c>
      <c r="H1546" s="421"/>
      <c r="I1546" s="421"/>
      <c r="J1546" s="421"/>
      <c r="K1546" s="421"/>
      <c r="L1546" s="421"/>
      <c r="M1546" s="421"/>
      <c r="N1546" s="421"/>
      <c r="O1546" s="421"/>
    </row>
    <row r="1547" spans="3:15" ht="13.5" customHeight="1">
      <c r="C1547" s="421" t="s">
        <v>2853</v>
      </c>
      <c r="D1547" s="421" t="s">
        <v>2838</v>
      </c>
      <c r="H1547" s="421"/>
      <c r="I1547" s="421"/>
      <c r="J1547" s="421"/>
      <c r="K1547" s="421"/>
      <c r="L1547" s="421"/>
      <c r="M1547" s="421"/>
      <c r="N1547" s="421"/>
      <c r="O1547" s="421"/>
    </row>
    <row r="1548" spans="3:15" ht="13.5" customHeight="1">
      <c r="C1548" s="421" t="s">
        <v>2854</v>
      </c>
      <c r="D1548" s="421" t="s">
        <v>2855</v>
      </c>
      <c r="H1548" s="421"/>
      <c r="I1548" s="421"/>
      <c r="J1548" s="421"/>
      <c r="K1548" s="421"/>
      <c r="L1548" s="421"/>
      <c r="M1548" s="421"/>
      <c r="N1548" s="421"/>
      <c r="O1548" s="421"/>
    </row>
    <row r="1549" spans="3:15" ht="13.5" customHeight="1">
      <c r="C1549" s="421" t="s">
        <v>2856</v>
      </c>
      <c r="D1549" s="421" t="s">
        <v>2857</v>
      </c>
      <c r="H1549" s="421"/>
      <c r="I1549" s="421"/>
      <c r="J1549" s="421"/>
      <c r="K1549" s="421"/>
      <c r="L1549" s="421"/>
      <c r="M1549" s="421"/>
      <c r="N1549" s="421"/>
      <c r="O1549" s="421"/>
    </row>
    <row r="1550" spans="3:15" ht="13.5" customHeight="1">
      <c r="C1550" s="421" t="s">
        <v>2858</v>
      </c>
      <c r="D1550" s="421" t="s">
        <v>2840</v>
      </c>
      <c r="H1550" s="421"/>
      <c r="I1550" s="421"/>
      <c r="J1550" s="421"/>
      <c r="K1550" s="421"/>
      <c r="L1550" s="421"/>
      <c r="M1550" s="421"/>
      <c r="N1550" s="421"/>
      <c r="O1550" s="421"/>
    </row>
    <row r="1551" spans="3:15" ht="13.5" customHeight="1">
      <c r="C1551" s="421" t="s">
        <v>2859</v>
      </c>
      <c r="D1551" s="421" t="s">
        <v>2842</v>
      </c>
      <c r="H1551" s="421"/>
      <c r="I1551" s="421"/>
      <c r="J1551" s="421"/>
      <c r="K1551" s="421"/>
      <c r="L1551" s="421"/>
      <c r="M1551" s="421"/>
      <c r="N1551" s="421"/>
      <c r="O1551" s="421"/>
    </row>
    <row r="1552" spans="3:15" ht="13.5" customHeight="1">
      <c r="C1552" s="421" t="s">
        <v>2860</v>
      </c>
      <c r="D1552" s="421" t="s">
        <v>2844</v>
      </c>
      <c r="H1552" s="421"/>
      <c r="I1552" s="421"/>
      <c r="J1552" s="421"/>
      <c r="K1552" s="421"/>
      <c r="L1552" s="421"/>
      <c r="M1552" s="421"/>
      <c r="N1552" s="421"/>
      <c r="O1552" s="421"/>
    </row>
    <row r="1553" spans="3:15" ht="13.5" customHeight="1">
      <c r="C1553" s="421" t="s">
        <v>2861</v>
      </c>
      <c r="D1553" s="421" t="s">
        <v>2846</v>
      </c>
      <c r="H1553" s="421"/>
      <c r="I1553" s="421"/>
      <c r="J1553" s="421"/>
      <c r="K1553" s="421"/>
      <c r="L1553" s="421"/>
      <c r="M1553" s="421"/>
      <c r="N1553" s="421"/>
      <c r="O1553" s="421"/>
    </row>
    <row r="1554" spans="3:15" ht="13.5" customHeight="1">
      <c r="C1554" s="421" t="s">
        <v>2862</v>
      </c>
      <c r="D1554" s="421" t="s">
        <v>2863</v>
      </c>
      <c r="H1554" s="421"/>
      <c r="I1554" s="421"/>
      <c r="J1554" s="421"/>
      <c r="K1554" s="421"/>
      <c r="L1554" s="421"/>
      <c r="M1554" s="421"/>
      <c r="N1554" s="421"/>
      <c r="O1554" s="421"/>
    </row>
    <row r="1555" spans="3:15" ht="13.5" customHeight="1">
      <c r="C1555" s="421" t="s">
        <v>2864</v>
      </c>
      <c r="D1555" s="421" t="s">
        <v>2865</v>
      </c>
      <c r="H1555" s="421"/>
      <c r="I1555" s="421"/>
      <c r="J1555" s="421"/>
      <c r="K1555" s="421"/>
      <c r="L1555" s="421"/>
      <c r="M1555" s="421"/>
      <c r="N1555" s="421"/>
      <c r="O1555" s="421"/>
    </row>
    <row r="1556" spans="3:15" ht="13.5" customHeight="1">
      <c r="C1556" s="421" t="s">
        <v>2866</v>
      </c>
      <c r="D1556" s="421" t="s">
        <v>2867</v>
      </c>
      <c r="H1556" s="421"/>
      <c r="I1556" s="421"/>
      <c r="J1556" s="421"/>
      <c r="K1556" s="421"/>
      <c r="L1556" s="421"/>
      <c r="M1556" s="421"/>
      <c r="N1556" s="421"/>
      <c r="O1556" s="421"/>
    </row>
    <row r="1557" spans="3:15" ht="13.5" customHeight="1">
      <c r="C1557" s="421" t="s">
        <v>2868</v>
      </c>
      <c r="D1557" s="421" t="s">
        <v>2869</v>
      </c>
      <c r="H1557" s="421"/>
      <c r="I1557" s="421"/>
      <c r="J1557" s="421"/>
      <c r="K1557" s="421"/>
      <c r="L1557" s="421"/>
      <c r="M1557" s="421"/>
      <c r="N1557" s="421"/>
      <c r="O1557" s="421"/>
    </row>
    <row r="1558" spans="3:15" ht="13.5" customHeight="1">
      <c r="C1558" s="421" t="s">
        <v>2870</v>
      </c>
      <c r="D1558" s="421" t="s">
        <v>2871</v>
      </c>
      <c r="H1558" s="421"/>
      <c r="I1558" s="421"/>
      <c r="J1558" s="421"/>
      <c r="K1558" s="421"/>
      <c r="L1558" s="421"/>
      <c r="M1558" s="421"/>
      <c r="N1558" s="421"/>
      <c r="O1558" s="421"/>
    </row>
    <row r="1559" spans="3:15" ht="13.5" customHeight="1">
      <c r="C1559" s="421" t="s">
        <v>2872</v>
      </c>
      <c r="D1559" s="421" t="s">
        <v>2873</v>
      </c>
      <c r="H1559" s="421"/>
      <c r="I1559" s="421"/>
      <c r="J1559" s="421"/>
      <c r="K1559" s="421"/>
      <c r="L1559" s="421"/>
      <c r="M1559" s="421"/>
      <c r="N1559" s="421"/>
      <c r="O1559" s="421"/>
    </row>
    <row r="1560" spans="3:15" ht="13.5" customHeight="1">
      <c r="C1560" s="421" t="s">
        <v>2874</v>
      </c>
      <c r="D1560" s="421" t="s">
        <v>2875</v>
      </c>
      <c r="H1560" s="421"/>
      <c r="I1560" s="421"/>
      <c r="J1560" s="421"/>
      <c r="K1560" s="421"/>
      <c r="L1560" s="421"/>
      <c r="M1560" s="421"/>
      <c r="N1560" s="421"/>
      <c r="O1560" s="421"/>
    </row>
    <row r="1561" spans="3:15" ht="13.5" customHeight="1">
      <c r="C1561" s="421" t="s">
        <v>2876</v>
      </c>
      <c r="D1561" s="421" t="s">
        <v>2877</v>
      </c>
      <c r="H1561" s="421"/>
      <c r="I1561" s="421"/>
      <c r="J1561" s="421"/>
      <c r="K1561" s="421"/>
      <c r="L1561" s="421"/>
      <c r="M1561" s="421"/>
      <c r="N1561" s="421"/>
      <c r="O1561" s="421"/>
    </row>
    <row r="1562" spans="3:15" ht="13.5" customHeight="1">
      <c r="C1562" s="421" t="s">
        <v>2878</v>
      </c>
      <c r="D1562" s="421" t="s">
        <v>2879</v>
      </c>
      <c r="H1562" s="421"/>
      <c r="I1562" s="421"/>
      <c r="J1562" s="421"/>
      <c r="K1562" s="421"/>
      <c r="L1562" s="421"/>
      <c r="M1562" s="421"/>
      <c r="N1562" s="421"/>
      <c r="O1562" s="421"/>
    </row>
    <row r="1563" spans="3:15" ht="13.5" customHeight="1">
      <c r="C1563" s="421" t="s">
        <v>2880</v>
      </c>
      <c r="D1563" s="421" t="s">
        <v>2881</v>
      </c>
      <c r="H1563" s="421"/>
      <c r="I1563" s="421"/>
      <c r="J1563" s="421"/>
      <c r="K1563" s="421"/>
      <c r="L1563" s="421"/>
      <c r="M1563" s="421"/>
      <c r="N1563" s="421"/>
      <c r="O1563" s="421"/>
    </row>
    <row r="1564" spans="3:15" ht="13.5" customHeight="1">
      <c r="C1564" s="421" t="s">
        <v>2882</v>
      </c>
      <c r="D1564" s="421" t="s">
        <v>2883</v>
      </c>
      <c r="H1564" s="421"/>
      <c r="I1564" s="421"/>
      <c r="J1564" s="421"/>
      <c r="K1564" s="421"/>
      <c r="L1564" s="421"/>
      <c r="M1564" s="421"/>
      <c r="N1564" s="421"/>
      <c r="O1564" s="421"/>
    </row>
    <row r="1565" spans="3:15" ht="13.5" customHeight="1">
      <c r="C1565" s="421" t="s">
        <v>2884</v>
      </c>
      <c r="D1565" s="421" t="s">
        <v>2885</v>
      </c>
      <c r="H1565" s="421"/>
      <c r="I1565" s="421"/>
      <c r="J1565" s="421"/>
      <c r="K1565" s="421"/>
      <c r="L1565" s="421"/>
      <c r="M1565" s="421"/>
      <c r="N1565" s="421"/>
      <c r="O1565" s="421"/>
    </row>
    <row r="1566" spans="3:15" ht="13.5" customHeight="1">
      <c r="C1566" s="421" t="s">
        <v>2886</v>
      </c>
      <c r="D1566" s="421" t="s">
        <v>2887</v>
      </c>
      <c r="H1566" s="421"/>
      <c r="I1566" s="421"/>
      <c r="J1566" s="421"/>
      <c r="K1566" s="421"/>
      <c r="L1566" s="421"/>
      <c r="M1566" s="421"/>
      <c r="N1566" s="421"/>
      <c r="O1566" s="421"/>
    </row>
    <row r="1567" spans="3:15" ht="13.5" customHeight="1">
      <c r="C1567" s="421" t="s">
        <v>2888</v>
      </c>
      <c r="D1567" s="421" t="s">
        <v>2889</v>
      </c>
      <c r="H1567" s="421"/>
      <c r="I1567" s="421"/>
      <c r="J1567" s="421"/>
      <c r="K1567" s="421"/>
      <c r="L1567" s="421"/>
      <c r="M1567" s="421"/>
      <c r="N1567" s="421"/>
      <c r="O1567" s="421"/>
    </row>
    <row r="1568" spans="3:15" ht="13.5" customHeight="1">
      <c r="C1568" s="421" t="s">
        <v>2890</v>
      </c>
      <c r="D1568" s="421" t="s">
        <v>2891</v>
      </c>
      <c r="H1568" s="421"/>
      <c r="I1568" s="421"/>
      <c r="J1568" s="421"/>
      <c r="K1568" s="421"/>
      <c r="L1568" s="421"/>
      <c r="M1568" s="421"/>
      <c r="N1568" s="421"/>
      <c r="O1568" s="421"/>
    </row>
    <row r="1569" spans="3:15" ht="13.5" customHeight="1">
      <c r="C1569" s="421" t="s">
        <v>2892</v>
      </c>
      <c r="D1569" s="421" t="s">
        <v>2893</v>
      </c>
      <c r="H1569" s="421"/>
      <c r="I1569" s="421"/>
      <c r="J1569" s="421"/>
      <c r="K1569" s="421"/>
      <c r="L1569" s="421"/>
      <c r="M1569" s="421"/>
      <c r="N1569" s="421"/>
      <c r="O1569" s="421"/>
    </row>
    <row r="1570" spans="3:15" ht="13.5" customHeight="1">
      <c r="C1570" s="421" t="s">
        <v>2894</v>
      </c>
      <c r="D1570" s="421" t="s">
        <v>2895</v>
      </c>
      <c r="H1570" s="421"/>
      <c r="I1570" s="421"/>
      <c r="J1570" s="421"/>
      <c r="K1570" s="421"/>
      <c r="L1570" s="421"/>
      <c r="M1570" s="421"/>
      <c r="N1570" s="421"/>
      <c r="O1570" s="421"/>
    </row>
    <row r="1571" spans="3:15" ht="13.5" customHeight="1">
      <c r="C1571" s="421" t="s">
        <v>2896</v>
      </c>
      <c r="D1571" s="421" t="s">
        <v>2897</v>
      </c>
      <c r="H1571" s="421"/>
      <c r="I1571" s="421"/>
      <c r="J1571" s="421"/>
      <c r="K1571" s="421"/>
      <c r="L1571" s="421"/>
      <c r="M1571" s="421"/>
      <c r="N1571" s="421"/>
      <c r="O1571" s="421"/>
    </row>
    <row r="1572" spans="3:15" ht="13.5" customHeight="1">
      <c r="C1572" s="421" t="s">
        <v>2898</v>
      </c>
      <c r="D1572" s="421" t="s">
        <v>2899</v>
      </c>
      <c r="H1572" s="421"/>
      <c r="I1572" s="421"/>
      <c r="J1572" s="421"/>
      <c r="K1572" s="421"/>
      <c r="L1572" s="421"/>
      <c r="M1572" s="421"/>
      <c r="N1572" s="421"/>
      <c r="O1572" s="421"/>
    </row>
    <row r="1573" spans="3:15" ht="13.5" customHeight="1">
      <c r="C1573" s="421" t="s">
        <v>2900</v>
      </c>
      <c r="D1573" s="421" t="s">
        <v>2901</v>
      </c>
      <c r="H1573" s="421"/>
      <c r="I1573" s="421"/>
      <c r="J1573" s="421"/>
      <c r="K1573" s="421"/>
      <c r="L1573" s="421"/>
      <c r="M1573" s="421"/>
      <c r="N1573" s="421"/>
      <c r="O1573" s="421"/>
    </row>
    <row r="1574" spans="3:15" ht="13.5" customHeight="1">
      <c r="C1574" s="421" t="s">
        <v>2902</v>
      </c>
      <c r="D1574" s="421" t="s">
        <v>2903</v>
      </c>
      <c r="H1574" s="421"/>
      <c r="I1574" s="421"/>
      <c r="J1574" s="421"/>
      <c r="K1574" s="421"/>
      <c r="L1574" s="421"/>
      <c r="M1574" s="421"/>
      <c r="N1574" s="421"/>
      <c r="O1574" s="421"/>
    </row>
    <row r="1575" spans="3:15" ht="13.5" customHeight="1">
      <c r="C1575" s="421" t="s">
        <v>2904</v>
      </c>
      <c r="D1575" s="421" t="s">
        <v>2905</v>
      </c>
      <c r="H1575" s="421"/>
      <c r="I1575" s="421"/>
      <c r="J1575" s="421"/>
      <c r="K1575" s="421"/>
      <c r="L1575" s="421"/>
      <c r="M1575" s="421"/>
      <c r="N1575" s="421"/>
      <c r="O1575" s="421"/>
    </row>
    <row r="1576" spans="3:15" ht="13.5" customHeight="1">
      <c r="C1576" s="421" t="s">
        <v>2906</v>
      </c>
      <c r="D1576" s="421" t="s">
        <v>2903</v>
      </c>
      <c r="H1576" s="421"/>
      <c r="I1576" s="421"/>
      <c r="J1576" s="421"/>
      <c r="K1576" s="421"/>
      <c r="L1576" s="421"/>
      <c r="M1576" s="421"/>
      <c r="N1576" s="421"/>
      <c r="O1576" s="421"/>
    </row>
    <row r="1577" spans="3:15" ht="13.5" customHeight="1">
      <c r="C1577" s="421" t="s">
        <v>2907</v>
      </c>
      <c r="D1577" s="421" t="s">
        <v>2908</v>
      </c>
      <c r="H1577" s="421"/>
      <c r="I1577" s="421"/>
      <c r="J1577" s="421"/>
      <c r="K1577" s="421"/>
      <c r="L1577" s="421"/>
      <c r="M1577" s="421"/>
      <c r="N1577" s="421"/>
      <c r="O1577" s="421"/>
    </row>
    <row r="1578" spans="3:15" ht="13.5" customHeight="1">
      <c r="C1578" s="421" t="s">
        <v>2909</v>
      </c>
      <c r="D1578" s="421" t="s">
        <v>2910</v>
      </c>
      <c r="H1578" s="421"/>
      <c r="I1578" s="421"/>
      <c r="J1578" s="421"/>
      <c r="K1578" s="421"/>
      <c r="L1578" s="421"/>
      <c r="M1578" s="421"/>
      <c r="N1578" s="421"/>
      <c r="O1578" s="421"/>
    </row>
    <row r="1579" spans="3:15" ht="13.5" customHeight="1">
      <c r="C1579" s="421" t="s">
        <v>2911</v>
      </c>
      <c r="D1579" s="421" t="s">
        <v>2912</v>
      </c>
      <c r="H1579" s="421"/>
      <c r="I1579" s="421"/>
      <c r="J1579" s="421"/>
      <c r="K1579" s="421"/>
      <c r="L1579" s="421"/>
      <c r="M1579" s="421"/>
      <c r="N1579" s="421"/>
      <c r="O1579" s="421"/>
    </row>
    <row r="1580" spans="3:15" ht="13.5" customHeight="1">
      <c r="C1580" s="421" t="s">
        <v>2913</v>
      </c>
      <c r="D1580" s="421" t="s">
        <v>2914</v>
      </c>
      <c r="H1580" s="421"/>
      <c r="I1580" s="421"/>
      <c r="J1580" s="421"/>
      <c r="K1580" s="421"/>
      <c r="L1580" s="421"/>
      <c r="M1580" s="421"/>
      <c r="N1580" s="421"/>
      <c r="O1580" s="421"/>
    </row>
    <row r="1581" spans="3:15" ht="13.5" customHeight="1">
      <c r="C1581" s="421" t="s">
        <v>2915</v>
      </c>
      <c r="D1581" s="421" t="s">
        <v>2916</v>
      </c>
      <c r="H1581" s="421"/>
      <c r="I1581" s="421"/>
      <c r="J1581" s="421"/>
      <c r="K1581" s="421"/>
      <c r="L1581" s="421"/>
      <c r="M1581" s="421"/>
      <c r="N1581" s="421"/>
      <c r="O1581" s="421"/>
    </row>
    <row r="1582" spans="3:15" ht="13.5" customHeight="1">
      <c r="C1582" s="421" t="s">
        <v>2917</v>
      </c>
      <c r="D1582" s="421" t="s">
        <v>2918</v>
      </c>
      <c r="H1582" s="421"/>
      <c r="I1582" s="421"/>
      <c r="J1582" s="421"/>
      <c r="K1582" s="421"/>
      <c r="L1582" s="421"/>
      <c r="M1582" s="421"/>
      <c r="N1582" s="421"/>
      <c r="O1582" s="421"/>
    </row>
    <row r="1583" spans="3:15" ht="13.5" customHeight="1">
      <c r="C1583" s="421" t="s">
        <v>2919</v>
      </c>
      <c r="D1583" s="421" t="s">
        <v>2920</v>
      </c>
      <c r="H1583" s="421"/>
      <c r="I1583" s="421"/>
      <c r="J1583" s="421"/>
      <c r="K1583" s="421"/>
      <c r="L1583" s="421"/>
      <c r="M1583" s="421"/>
      <c r="N1583" s="421"/>
      <c r="O1583" s="421"/>
    </row>
    <row r="1584" spans="3:15" ht="13.5" customHeight="1">
      <c r="C1584" s="421" t="s">
        <v>2921</v>
      </c>
      <c r="D1584" s="421" t="s">
        <v>2922</v>
      </c>
      <c r="H1584" s="421"/>
      <c r="I1584" s="421"/>
      <c r="J1584" s="421"/>
      <c r="K1584" s="421"/>
      <c r="L1584" s="421"/>
      <c r="M1584" s="421"/>
      <c r="N1584" s="421"/>
      <c r="O1584" s="421"/>
    </row>
    <row r="1585" spans="3:15" ht="13.5" customHeight="1">
      <c r="C1585" s="421" t="s">
        <v>2923</v>
      </c>
      <c r="D1585" s="421" t="s">
        <v>2924</v>
      </c>
      <c r="H1585" s="421"/>
      <c r="I1585" s="421"/>
      <c r="J1585" s="421"/>
      <c r="K1585" s="421"/>
      <c r="L1585" s="421"/>
      <c r="M1585" s="421"/>
      <c r="N1585" s="421"/>
      <c r="O1585" s="421"/>
    </row>
    <row r="1586" spans="3:15" ht="13.5" customHeight="1">
      <c r="C1586" s="421" t="s">
        <v>2925</v>
      </c>
      <c r="D1586" s="421" t="s">
        <v>2926</v>
      </c>
      <c r="H1586" s="421"/>
      <c r="I1586" s="421"/>
      <c r="J1586" s="421"/>
      <c r="K1586" s="421"/>
      <c r="L1586" s="421"/>
      <c r="M1586" s="421"/>
      <c r="N1586" s="421"/>
      <c r="O1586" s="421"/>
    </row>
    <row r="1587" spans="3:15" ht="13.5" customHeight="1">
      <c r="C1587" s="421" t="s">
        <v>2927</v>
      </c>
      <c r="D1587" s="421" t="s">
        <v>2928</v>
      </c>
      <c r="H1587" s="421"/>
      <c r="I1587" s="421"/>
      <c r="J1587" s="421"/>
      <c r="K1587" s="421"/>
      <c r="L1587" s="421"/>
      <c r="M1587" s="421"/>
      <c r="N1587" s="421"/>
      <c r="O1587" s="421"/>
    </row>
    <row r="1588" spans="3:15" ht="13.5" customHeight="1">
      <c r="C1588" s="421" t="s">
        <v>2929</v>
      </c>
      <c r="D1588" s="421" t="s">
        <v>2930</v>
      </c>
      <c r="H1588" s="421"/>
      <c r="I1588" s="421"/>
      <c r="J1588" s="421"/>
      <c r="K1588" s="421"/>
      <c r="L1588" s="421"/>
      <c r="M1588" s="421"/>
      <c r="N1588" s="421"/>
      <c r="O1588" s="421"/>
    </row>
    <row r="1589" spans="3:15" ht="13.5" customHeight="1">
      <c r="C1589" s="421" t="s">
        <v>2931</v>
      </c>
      <c r="D1589" s="421" t="s">
        <v>2932</v>
      </c>
      <c r="H1589" s="421"/>
      <c r="I1589" s="421"/>
      <c r="J1589" s="421"/>
      <c r="K1589" s="421"/>
      <c r="L1589" s="421"/>
      <c r="M1589" s="421"/>
      <c r="N1589" s="421"/>
      <c r="O1589" s="421"/>
    </row>
    <row r="1590" spans="3:15" ht="13.5" customHeight="1">
      <c r="C1590" s="421" t="s">
        <v>2933</v>
      </c>
      <c r="D1590" s="421" t="s">
        <v>2934</v>
      </c>
      <c r="H1590" s="421"/>
      <c r="I1590" s="421"/>
      <c r="J1590" s="421"/>
      <c r="K1590" s="421"/>
      <c r="L1590" s="421"/>
      <c r="M1590" s="421"/>
      <c r="N1590" s="421"/>
      <c r="O1590" s="421"/>
    </row>
    <row r="1591" spans="3:15" ht="13.5" customHeight="1">
      <c r="C1591" s="421" t="s">
        <v>2935</v>
      </c>
      <c r="D1591" s="421" t="s">
        <v>2936</v>
      </c>
      <c r="H1591" s="421"/>
      <c r="I1591" s="421"/>
      <c r="J1591" s="421"/>
      <c r="K1591" s="421"/>
      <c r="L1591" s="421"/>
      <c r="M1591" s="421"/>
      <c r="N1591" s="421"/>
      <c r="O1591" s="421"/>
    </row>
    <row r="1592" spans="3:15" ht="13.5" customHeight="1">
      <c r="C1592" s="421" t="s">
        <v>2937</v>
      </c>
      <c r="D1592" s="421" t="s">
        <v>2938</v>
      </c>
      <c r="H1592" s="421"/>
      <c r="I1592" s="421"/>
      <c r="J1592" s="421"/>
      <c r="K1592" s="421"/>
      <c r="L1592" s="421"/>
      <c r="M1592" s="421"/>
      <c r="N1592" s="421"/>
      <c r="O1592" s="421"/>
    </row>
    <row r="1593" spans="3:15" ht="13.5" customHeight="1">
      <c r="C1593" s="421" t="s">
        <v>2939</v>
      </c>
      <c r="D1593" s="421" t="s">
        <v>2940</v>
      </c>
      <c r="H1593" s="421"/>
      <c r="I1593" s="421"/>
      <c r="J1593" s="421"/>
      <c r="K1593" s="421"/>
      <c r="L1593" s="421"/>
      <c r="M1593" s="421"/>
      <c r="N1593" s="421"/>
      <c r="O1593" s="421"/>
    </row>
    <row r="1594" spans="3:15" ht="13.5" customHeight="1">
      <c r="C1594" s="421" t="s">
        <v>2941</v>
      </c>
      <c r="D1594" s="421" t="s">
        <v>2942</v>
      </c>
      <c r="H1594" s="421"/>
      <c r="I1594" s="421"/>
      <c r="J1594" s="421"/>
      <c r="K1594" s="421"/>
      <c r="L1594" s="421"/>
      <c r="M1594" s="421"/>
      <c r="N1594" s="421"/>
      <c r="O1594" s="421"/>
    </row>
    <row r="1595" spans="3:15" ht="13.5" customHeight="1">
      <c r="C1595" s="421" t="s">
        <v>2943</v>
      </c>
      <c r="D1595" s="421" t="s">
        <v>2944</v>
      </c>
      <c r="H1595" s="421"/>
      <c r="I1595" s="421"/>
      <c r="J1595" s="421"/>
      <c r="K1595" s="421"/>
      <c r="L1595" s="421"/>
      <c r="M1595" s="421"/>
      <c r="N1595" s="421"/>
      <c r="O1595" s="421"/>
    </row>
    <row r="1596" spans="3:15" ht="13.5" customHeight="1">
      <c r="C1596" s="421" t="s">
        <v>2945</v>
      </c>
      <c r="D1596" s="421" t="s">
        <v>2946</v>
      </c>
      <c r="H1596" s="421"/>
      <c r="I1596" s="421"/>
      <c r="J1596" s="421"/>
      <c r="K1596" s="421"/>
      <c r="L1596" s="421"/>
      <c r="M1596" s="421"/>
      <c r="N1596" s="421"/>
      <c r="O1596" s="421"/>
    </row>
    <row r="1597" spans="3:15" ht="13.5" customHeight="1">
      <c r="C1597" s="421" t="s">
        <v>2947</v>
      </c>
      <c r="D1597" s="421" t="s">
        <v>2948</v>
      </c>
      <c r="H1597" s="421"/>
      <c r="I1597" s="421"/>
      <c r="J1597" s="421"/>
      <c r="K1597" s="421"/>
      <c r="L1597" s="421"/>
      <c r="M1597" s="421"/>
      <c r="N1597" s="421"/>
      <c r="O1597" s="421"/>
    </row>
    <row r="1598" spans="3:15" ht="13.5" customHeight="1">
      <c r="C1598" s="421" t="s">
        <v>2949</v>
      </c>
      <c r="D1598" s="421" t="s">
        <v>2950</v>
      </c>
      <c r="H1598" s="421"/>
      <c r="I1598" s="421"/>
      <c r="J1598" s="421"/>
      <c r="K1598" s="421"/>
      <c r="L1598" s="421"/>
      <c r="M1598" s="421"/>
      <c r="N1598" s="421"/>
      <c r="O1598" s="421"/>
    </row>
    <row r="1599" spans="3:15" ht="13.5" customHeight="1">
      <c r="C1599" s="421" t="s">
        <v>2951</v>
      </c>
      <c r="D1599" s="421" t="s">
        <v>2952</v>
      </c>
      <c r="H1599" s="421"/>
      <c r="I1599" s="421"/>
      <c r="J1599" s="421"/>
      <c r="K1599" s="421"/>
      <c r="L1599" s="421"/>
      <c r="M1599" s="421"/>
      <c r="N1599" s="421"/>
      <c r="O1599" s="421"/>
    </row>
    <row r="1600" spans="3:15" ht="13.5" customHeight="1">
      <c r="C1600" s="421" t="s">
        <v>2953</v>
      </c>
      <c r="D1600" s="421" t="s">
        <v>2954</v>
      </c>
      <c r="H1600" s="421"/>
      <c r="I1600" s="421"/>
      <c r="J1600" s="421"/>
      <c r="K1600" s="421"/>
      <c r="L1600" s="421"/>
      <c r="M1600" s="421"/>
      <c r="N1600" s="421"/>
      <c r="O1600" s="421"/>
    </row>
    <row r="1601" spans="3:15" ht="13.5" customHeight="1">
      <c r="C1601" s="421" t="s">
        <v>2955</v>
      </c>
      <c r="D1601" s="421" t="s">
        <v>2956</v>
      </c>
      <c r="H1601" s="421"/>
      <c r="I1601" s="421"/>
      <c r="J1601" s="421"/>
      <c r="K1601" s="421"/>
      <c r="L1601" s="421"/>
      <c r="M1601" s="421"/>
      <c r="N1601" s="421"/>
      <c r="O1601" s="421"/>
    </row>
    <row r="1602" spans="3:15" ht="13.5" customHeight="1">
      <c r="C1602" s="421" t="s">
        <v>2957</v>
      </c>
      <c r="D1602" s="421" t="s">
        <v>2958</v>
      </c>
      <c r="H1602" s="421"/>
      <c r="I1602" s="421"/>
      <c r="J1602" s="421"/>
      <c r="K1602" s="421"/>
      <c r="L1602" s="421"/>
      <c r="M1602" s="421"/>
      <c r="N1602" s="421"/>
      <c r="O1602" s="421"/>
    </row>
    <row r="1603" spans="3:15" ht="13.5" customHeight="1">
      <c r="C1603" s="421" t="s">
        <v>2959</v>
      </c>
      <c r="D1603" s="421" t="s">
        <v>2960</v>
      </c>
      <c r="H1603" s="421"/>
      <c r="I1603" s="421"/>
      <c r="J1603" s="421"/>
      <c r="K1603" s="421"/>
      <c r="L1603" s="421"/>
      <c r="M1603" s="421"/>
      <c r="N1603" s="421"/>
      <c r="O1603" s="421"/>
    </row>
    <row r="1604" spans="3:15" ht="13.5" customHeight="1">
      <c r="C1604" s="421" t="s">
        <v>2961</v>
      </c>
      <c r="D1604" s="421" t="s">
        <v>2962</v>
      </c>
      <c r="H1604" s="421"/>
      <c r="I1604" s="421"/>
      <c r="J1604" s="421"/>
      <c r="K1604" s="421"/>
      <c r="L1604" s="421"/>
      <c r="M1604" s="421"/>
      <c r="N1604" s="421"/>
      <c r="O1604" s="421"/>
    </row>
    <row r="1605" spans="3:15" ht="13.5" customHeight="1">
      <c r="C1605" s="421" t="s">
        <v>2963</v>
      </c>
      <c r="D1605" s="421" t="s">
        <v>2964</v>
      </c>
      <c r="H1605" s="421"/>
      <c r="I1605" s="421"/>
      <c r="J1605" s="421"/>
      <c r="K1605" s="421"/>
      <c r="L1605" s="421"/>
      <c r="M1605" s="421"/>
      <c r="N1605" s="421"/>
      <c r="O1605" s="421"/>
    </row>
    <row r="1606" spans="3:15" ht="13.5" customHeight="1">
      <c r="C1606" s="421" t="s">
        <v>2965</v>
      </c>
      <c r="D1606" s="421" t="s">
        <v>2966</v>
      </c>
      <c r="H1606" s="421"/>
      <c r="I1606" s="421"/>
      <c r="J1606" s="421"/>
      <c r="K1606" s="421"/>
      <c r="L1606" s="421"/>
      <c r="M1606" s="421"/>
      <c r="N1606" s="421"/>
      <c r="O1606" s="421"/>
    </row>
    <row r="1607" spans="3:15" ht="13.5" customHeight="1">
      <c r="C1607" s="421" t="s">
        <v>2967</v>
      </c>
      <c r="D1607" s="421" t="s">
        <v>2968</v>
      </c>
      <c r="H1607" s="421"/>
      <c r="I1607" s="421"/>
      <c r="J1607" s="421"/>
      <c r="K1607" s="421"/>
      <c r="L1607" s="421"/>
      <c r="M1607" s="421"/>
      <c r="N1607" s="421"/>
      <c r="O1607" s="421"/>
    </row>
    <row r="1608" spans="3:15" ht="13.5" customHeight="1">
      <c r="C1608" s="421" t="s">
        <v>2969</v>
      </c>
      <c r="D1608" s="421" t="s">
        <v>2970</v>
      </c>
      <c r="H1608" s="421"/>
      <c r="I1608" s="421"/>
      <c r="J1608" s="421"/>
      <c r="K1608" s="421"/>
      <c r="L1608" s="421"/>
      <c r="M1608" s="421"/>
      <c r="N1608" s="421"/>
      <c r="O1608" s="421"/>
    </row>
    <row r="1609" spans="3:15" ht="13.5" customHeight="1">
      <c r="C1609" s="421" t="s">
        <v>2971</v>
      </c>
      <c r="D1609" s="421" t="s">
        <v>2972</v>
      </c>
      <c r="H1609" s="421"/>
      <c r="I1609" s="421"/>
      <c r="J1609" s="421"/>
      <c r="K1609" s="421"/>
      <c r="L1609" s="421"/>
      <c r="M1609" s="421"/>
      <c r="N1609" s="421"/>
      <c r="O1609" s="421"/>
    </row>
    <row r="1610" spans="3:15" ht="13.5" customHeight="1">
      <c r="C1610" s="421" t="s">
        <v>2973</v>
      </c>
      <c r="D1610" s="421" t="s">
        <v>2974</v>
      </c>
      <c r="H1610" s="421"/>
      <c r="I1610" s="421"/>
      <c r="J1610" s="421"/>
      <c r="K1610" s="421"/>
      <c r="L1610" s="421"/>
      <c r="M1610" s="421"/>
      <c r="N1610" s="421"/>
      <c r="O1610" s="421"/>
    </row>
    <row r="1611" spans="3:15" ht="13.5" customHeight="1">
      <c r="C1611" s="421" t="s">
        <v>2975</v>
      </c>
      <c r="D1611" s="421" t="s">
        <v>2976</v>
      </c>
      <c r="H1611" s="421"/>
      <c r="I1611" s="421"/>
      <c r="J1611" s="421"/>
      <c r="K1611" s="421"/>
      <c r="L1611" s="421"/>
      <c r="M1611" s="421"/>
      <c r="N1611" s="421"/>
      <c r="O1611" s="421"/>
    </row>
    <row r="1612" spans="3:15" ht="13.5" customHeight="1">
      <c r="C1612" s="421" t="s">
        <v>2977</v>
      </c>
      <c r="D1612" s="421" t="s">
        <v>2978</v>
      </c>
      <c r="H1612" s="421"/>
      <c r="I1612" s="421"/>
      <c r="J1612" s="421"/>
      <c r="K1612" s="421"/>
      <c r="L1612" s="421"/>
      <c r="M1612" s="421"/>
      <c r="N1612" s="421"/>
      <c r="O1612" s="421"/>
    </row>
    <row r="1613" spans="3:15" ht="13.5" customHeight="1">
      <c r="C1613" s="421" t="s">
        <v>2979</v>
      </c>
      <c r="D1613" s="421" t="s">
        <v>2980</v>
      </c>
      <c r="H1613" s="421"/>
      <c r="I1613" s="421"/>
      <c r="J1613" s="421"/>
      <c r="K1613" s="421"/>
      <c r="L1613" s="421"/>
      <c r="M1613" s="421"/>
      <c r="N1613" s="421"/>
      <c r="O1613" s="421"/>
    </row>
    <row r="1614" spans="3:15" ht="13.5" customHeight="1">
      <c r="C1614" s="421" t="s">
        <v>2981</v>
      </c>
      <c r="D1614" s="421" t="s">
        <v>2982</v>
      </c>
      <c r="H1614" s="421"/>
      <c r="I1614" s="421"/>
      <c r="J1614" s="421"/>
      <c r="K1614" s="421"/>
      <c r="L1614" s="421"/>
      <c r="M1614" s="421"/>
      <c r="N1614" s="421"/>
      <c r="O1614" s="421"/>
    </row>
    <row r="1615" spans="3:15" ht="13.5" customHeight="1">
      <c r="C1615" s="421" t="s">
        <v>2983</v>
      </c>
      <c r="D1615" s="421" t="s">
        <v>2984</v>
      </c>
      <c r="H1615" s="421"/>
      <c r="I1615" s="421"/>
      <c r="J1615" s="421"/>
      <c r="K1615" s="421"/>
      <c r="L1615" s="421"/>
      <c r="M1615" s="421"/>
      <c r="N1615" s="421"/>
      <c r="O1615" s="421"/>
    </row>
    <row r="1616" spans="3:15" ht="13.5" customHeight="1">
      <c r="C1616" s="421" t="s">
        <v>2985</v>
      </c>
      <c r="D1616" s="421" t="s">
        <v>2986</v>
      </c>
      <c r="H1616" s="421"/>
      <c r="I1616" s="421"/>
      <c r="J1616" s="421"/>
      <c r="K1616" s="421"/>
      <c r="L1616" s="421"/>
      <c r="M1616" s="421"/>
      <c r="N1616" s="421"/>
      <c r="O1616" s="421"/>
    </row>
    <row r="1617" spans="3:15" ht="13.5" customHeight="1">
      <c r="C1617" s="421" t="s">
        <v>2987</v>
      </c>
      <c r="D1617" s="421" t="s">
        <v>2988</v>
      </c>
      <c r="H1617" s="421"/>
      <c r="I1617" s="421"/>
      <c r="J1617" s="421"/>
      <c r="K1617" s="421"/>
      <c r="L1617" s="421"/>
      <c r="M1617" s="421"/>
      <c r="N1617" s="421"/>
      <c r="O1617" s="421"/>
    </row>
    <row r="1618" spans="3:15" ht="13.5" customHeight="1">
      <c r="C1618" s="421" t="s">
        <v>2989</v>
      </c>
      <c r="D1618" s="421" t="s">
        <v>2990</v>
      </c>
      <c r="H1618" s="421"/>
      <c r="I1618" s="421"/>
      <c r="J1618" s="421"/>
      <c r="K1618" s="421"/>
      <c r="L1618" s="421"/>
      <c r="M1618" s="421"/>
      <c r="N1618" s="421"/>
      <c r="O1618" s="421"/>
    </row>
    <row r="1619" spans="3:15" ht="13.5" customHeight="1">
      <c r="C1619" s="421" t="s">
        <v>2991</v>
      </c>
      <c r="D1619" s="421" t="s">
        <v>2992</v>
      </c>
      <c r="H1619" s="421"/>
      <c r="I1619" s="421"/>
      <c r="J1619" s="421"/>
      <c r="K1619" s="421"/>
      <c r="L1619" s="421"/>
      <c r="M1619" s="421"/>
      <c r="N1619" s="421"/>
      <c r="O1619" s="421"/>
    </row>
    <row r="1620" spans="3:15" ht="13.5" customHeight="1">
      <c r="C1620" s="421" t="s">
        <v>2993</v>
      </c>
      <c r="D1620" s="421" t="s">
        <v>2994</v>
      </c>
      <c r="H1620" s="421"/>
      <c r="I1620" s="421"/>
      <c r="J1620" s="421"/>
      <c r="K1620" s="421"/>
      <c r="L1620" s="421"/>
      <c r="M1620" s="421"/>
      <c r="N1620" s="421"/>
      <c r="O1620" s="421"/>
    </row>
    <row r="1621" spans="3:15" ht="13.5" customHeight="1">
      <c r="C1621" s="421" t="s">
        <v>2995</v>
      </c>
      <c r="D1621" s="421" t="s">
        <v>2996</v>
      </c>
      <c r="H1621" s="421"/>
      <c r="I1621" s="421"/>
      <c r="J1621" s="421"/>
      <c r="K1621" s="421"/>
      <c r="L1621" s="421"/>
      <c r="M1621" s="421"/>
      <c r="N1621" s="421"/>
      <c r="O1621" s="421"/>
    </row>
    <row r="1622" spans="3:15" ht="13.5" customHeight="1">
      <c r="C1622" s="421" t="s">
        <v>2997</v>
      </c>
      <c r="D1622" s="421" t="s">
        <v>2998</v>
      </c>
      <c r="H1622" s="421"/>
      <c r="I1622" s="421"/>
      <c r="J1622" s="421"/>
      <c r="K1622" s="421"/>
      <c r="L1622" s="421"/>
      <c r="M1622" s="421"/>
      <c r="N1622" s="421"/>
      <c r="O1622" s="421"/>
    </row>
    <row r="1623" spans="3:15" ht="13.5" customHeight="1">
      <c r="C1623" s="421" t="s">
        <v>2999</v>
      </c>
      <c r="D1623" s="421" t="s">
        <v>3000</v>
      </c>
      <c r="H1623" s="421"/>
      <c r="I1623" s="421"/>
      <c r="J1623" s="421"/>
      <c r="K1623" s="421"/>
      <c r="L1623" s="421"/>
      <c r="M1623" s="421"/>
      <c r="N1623" s="421"/>
      <c r="O1623" s="421"/>
    </row>
    <row r="1624" spans="3:15" ht="13.5" customHeight="1">
      <c r="C1624" s="421" t="s">
        <v>3001</v>
      </c>
      <c r="D1624" s="421" t="s">
        <v>3002</v>
      </c>
      <c r="H1624" s="421"/>
      <c r="I1624" s="421"/>
      <c r="J1624" s="421"/>
      <c r="K1624" s="421"/>
      <c r="L1624" s="421"/>
      <c r="M1624" s="421"/>
      <c r="N1624" s="421"/>
      <c r="O1624" s="421"/>
    </row>
    <row r="1625" spans="3:15" ht="13.5" customHeight="1">
      <c r="C1625" s="421" t="s">
        <v>3003</v>
      </c>
      <c r="D1625" s="421" t="s">
        <v>3004</v>
      </c>
      <c r="H1625" s="421"/>
      <c r="I1625" s="421"/>
      <c r="J1625" s="421"/>
      <c r="K1625" s="421"/>
      <c r="L1625" s="421"/>
      <c r="M1625" s="421"/>
      <c r="N1625" s="421"/>
      <c r="O1625" s="421"/>
    </row>
    <row r="1626" spans="3:15" ht="13.5" customHeight="1">
      <c r="C1626" s="421" t="s">
        <v>3005</v>
      </c>
      <c r="D1626" s="421" t="s">
        <v>3006</v>
      </c>
      <c r="H1626" s="421"/>
      <c r="I1626" s="421"/>
      <c r="J1626" s="421"/>
      <c r="K1626" s="421"/>
      <c r="L1626" s="421"/>
      <c r="M1626" s="421"/>
      <c r="N1626" s="421"/>
      <c r="O1626" s="421"/>
    </row>
    <row r="1627" spans="3:15" ht="13.5" customHeight="1">
      <c r="C1627" s="421" t="s">
        <v>3007</v>
      </c>
      <c r="D1627" s="421" t="s">
        <v>3008</v>
      </c>
      <c r="H1627" s="421"/>
      <c r="I1627" s="421"/>
      <c r="J1627" s="421"/>
      <c r="K1627" s="421"/>
      <c r="L1627" s="421"/>
      <c r="M1627" s="421"/>
      <c r="N1627" s="421"/>
      <c r="O1627" s="421"/>
    </row>
    <row r="1628" spans="3:15" ht="13.5" customHeight="1">
      <c r="C1628" s="421" t="s">
        <v>3009</v>
      </c>
      <c r="D1628" s="421" t="s">
        <v>3010</v>
      </c>
      <c r="H1628" s="421"/>
      <c r="I1628" s="421"/>
      <c r="J1628" s="421"/>
      <c r="K1628" s="421"/>
      <c r="L1628" s="421"/>
      <c r="M1628" s="421"/>
      <c r="N1628" s="421"/>
      <c r="O1628" s="421"/>
    </row>
    <row r="1629" spans="3:15" ht="13.5" customHeight="1">
      <c r="C1629" s="421" t="s">
        <v>3011</v>
      </c>
      <c r="D1629" s="421" t="s">
        <v>3012</v>
      </c>
      <c r="H1629" s="421"/>
      <c r="I1629" s="421"/>
      <c r="J1629" s="421"/>
      <c r="K1629" s="421"/>
      <c r="L1629" s="421"/>
      <c r="M1629" s="421"/>
      <c r="N1629" s="421"/>
      <c r="O1629" s="421"/>
    </row>
    <row r="1630" spans="3:15" ht="13.5" customHeight="1">
      <c r="C1630" s="421" t="s">
        <v>3013</v>
      </c>
      <c r="D1630" s="421" t="s">
        <v>3014</v>
      </c>
      <c r="H1630" s="421"/>
      <c r="I1630" s="421"/>
      <c r="J1630" s="421"/>
      <c r="K1630" s="421"/>
      <c r="L1630" s="421"/>
      <c r="M1630" s="421"/>
      <c r="N1630" s="421"/>
      <c r="O1630" s="421"/>
    </row>
    <row r="1631" spans="3:15" ht="13.5" customHeight="1">
      <c r="C1631" s="421" t="s">
        <v>3015</v>
      </c>
      <c r="D1631" s="421" t="s">
        <v>3016</v>
      </c>
      <c r="H1631" s="421"/>
      <c r="I1631" s="421"/>
      <c r="J1631" s="421"/>
      <c r="K1631" s="421"/>
      <c r="L1631" s="421"/>
      <c r="M1631" s="421"/>
      <c r="N1631" s="421"/>
      <c r="O1631" s="421"/>
    </row>
    <row r="1632" spans="3:15" ht="13.5" customHeight="1">
      <c r="C1632" s="421" t="s">
        <v>3017</v>
      </c>
      <c r="D1632" s="421" t="s">
        <v>3018</v>
      </c>
      <c r="H1632" s="421"/>
      <c r="I1632" s="421"/>
      <c r="J1632" s="421"/>
      <c r="K1632" s="421"/>
      <c r="L1632" s="421"/>
      <c r="M1632" s="421"/>
      <c r="N1632" s="421"/>
      <c r="O1632" s="421"/>
    </row>
    <row r="1633" spans="3:15" ht="13.5" customHeight="1">
      <c r="C1633" s="421" t="s">
        <v>3019</v>
      </c>
      <c r="D1633" s="421" t="s">
        <v>3020</v>
      </c>
      <c r="H1633" s="421"/>
      <c r="I1633" s="421"/>
      <c r="J1633" s="421"/>
      <c r="K1633" s="421"/>
      <c r="L1633" s="421"/>
      <c r="M1633" s="421"/>
      <c r="N1633" s="421"/>
      <c r="O1633" s="421"/>
    </row>
    <row r="1634" spans="3:15" ht="13.5" customHeight="1">
      <c r="C1634" s="421" t="s">
        <v>3021</v>
      </c>
      <c r="D1634" s="421" t="s">
        <v>3022</v>
      </c>
      <c r="H1634" s="421"/>
      <c r="I1634" s="421"/>
      <c r="J1634" s="421"/>
      <c r="K1634" s="421"/>
      <c r="L1634" s="421"/>
      <c r="M1634" s="421"/>
      <c r="N1634" s="421"/>
      <c r="O1634" s="421"/>
    </row>
    <row r="1635" spans="3:15" ht="13.5" customHeight="1">
      <c r="C1635" s="421" t="s">
        <v>3023</v>
      </c>
      <c r="D1635" s="421" t="s">
        <v>3024</v>
      </c>
      <c r="H1635" s="421"/>
      <c r="I1635" s="421"/>
      <c r="J1635" s="421"/>
      <c r="K1635" s="421"/>
      <c r="L1635" s="421"/>
      <c r="M1635" s="421"/>
      <c r="N1635" s="421"/>
      <c r="O1635" s="421"/>
    </row>
    <row r="1636" spans="3:15" ht="13.5" customHeight="1">
      <c r="C1636" s="421" t="s">
        <v>3025</v>
      </c>
      <c r="D1636" s="421" t="s">
        <v>3026</v>
      </c>
      <c r="H1636" s="421"/>
      <c r="I1636" s="421"/>
      <c r="J1636" s="421"/>
      <c r="K1636" s="421"/>
      <c r="L1636" s="421"/>
      <c r="M1636" s="421"/>
      <c r="N1636" s="421"/>
      <c r="O1636" s="421"/>
    </row>
    <row r="1637" spans="3:15" ht="13.5" customHeight="1">
      <c r="C1637" s="421" t="s">
        <v>3027</v>
      </c>
      <c r="D1637" s="421" t="s">
        <v>3028</v>
      </c>
      <c r="H1637" s="421"/>
      <c r="I1637" s="421"/>
      <c r="J1637" s="421"/>
      <c r="K1637" s="421"/>
      <c r="L1637" s="421"/>
      <c r="M1637" s="421"/>
      <c r="N1637" s="421"/>
      <c r="O1637" s="421"/>
    </row>
    <row r="1638" spans="3:15" ht="13.5" customHeight="1">
      <c r="C1638" s="421" t="s">
        <v>3029</v>
      </c>
      <c r="D1638" s="421" t="s">
        <v>3030</v>
      </c>
      <c r="H1638" s="421"/>
      <c r="I1638" s="421"/>
      <c r="J1638" s="421"/>
      <c r="K1638" s="421"/>
      <c r="L1638" s="421"/>
      <c r="M1638" s="421"/>
      <c r="N1638" s="421"/>
      <c r="O1638" s="421"/>
    </row>
    <row r="1639" spans="3:15" ht="13.5" customHeight="1">
      <c r="C1639" s="421" t="s">
        <v>3031</v>
      </c>
      <c r="D1639" s="421" t="s">
        <v>3032</v>
      </c>
      <c r="H1639" s="421"/>
      <c r="I1639" s="421"/>
      <c r="J1639" s="421"/>
      <c r="K1639" s="421"/>
      <c r="L1639" s="421"/>
      <c r="M1639" s="421"/>
      <c r="N1639" s="421"/>
      <c r="O1639" s="421"/>
    </row>
    <row r="1640" spans="3:15" ht="13.5" customHeight="1">
      <c r="C1640" s="421" t="s">
        <v>3033</v>
      </c>
      <c r="D1640" s="421" t="s">
        <v>3034</v>
      </c>
      <c r="H1640" s="421"/>
      <c r="I1640" s="421"/>
      <c r="J1640" s="421"/>
      <c r="K1640" s="421"/>
      <c r="L1640" s="421"/>
      <c r="M1640" s="421"/>
      <c r="N1640" s="421"/>
      <c r="O1640" s="421"/>
    </row>
    <row r="1641" spans="3:15" ht="13.5" customHeight="1">
      <c r="C1641" s="421" t="s">
        <v>3035</v>
      </c>
      <c r="D1641" s="421" t="s">
        <v>3036</v>
      </c>
      <c r="H1641" s="421"/>
      <c r="I1641" s="421"/>
      <c r="J1641" s="421"/>
      <c r="K1641" s="421"/>
      <c r="L1641" s="421"/>
      <c r="M1641" s="421"/>
      <c r="N1641" s="421"/>
      <c r="O1641" s="421"/>
    </row>
    <row r="1642" spans="3:15" ht="13.5" customHeight="1">
      <c r="C1642" s="421" t="s">
        <v>3037</v>
      </c>
      <c r="D1642" s="421" t="s">
        <v>3038</v>
      </c>
      <c r="H1642" s="421"/>
      <c r="I1642" s="421"/>
      <c r="J1642" s="421"/>
      <c r="K1642" s="421"/>
      <c r="L1642" s="421"/>
      <c r="M1642" s="421"/>
      <c r="N1642" s="421"/>
      <c r="O1642" s="421"/>
    </row>
    <row r="1643" spans="3:15" ht="13.5" customHeight="1">
      <c r="C1643" s="421" t="s">
        <v>3039</v>
      </c>
      <c r="D1643" s="421" t="s">
        <v>3040</v>
      </c>
      <c r="H1643" s="421"/>
      <c r="I1643" s="421"/>
      <c r="J1643" s="421"/>
      <c r="K1643" s="421"/>
      <c r="L1643" s="421"/>
      <c r="M1643" s="421"/>
      <c r="N1643" s="421"/>
      <c r="O1643" s="421"/>
    </row>
    <row r="1644" spans="3:15" ht="13.5" customHeight="1">
      <c r="C1644" s="421" t="s">
        <v>3041</v>
      </c>
      <c r="D1644" s="421" t="s">
        <v>3042</v>
      </c>
      <c r="H1644" s="421"/>
      <c r="I1644" s="421"/>
      <c r="J1644" s="421"/>
      <c r="K1644" s="421"/>
      <c r="L1644" s="421"/>
      <c r="M1644" s="421"/>
      <c r="N1644" s="421"/>
      <c r="O1644" s="421"/>
    </row>
    <row r="1645" spans="3:15" ht="13.5" customHeight="1">
      <c r="C1645" s="421" t="s">
        <v>3043</v>
      </c>
      <c r="D1645" s="421" t="s">
        <v>3044</v>
      </c>
      <c r="H1645" s="421"/>
      <c r="I1645" s="421"/>
      <c r="J1645" s="421"/>
      <c r="K1645" s="421"/>
      <c r="L1645" s="421"/>
      <c r="M1645" s="421"/>
      <c r="N1645" s="421"/>
      <c r="O1645" s="421"/>
    </row>
    <row r="1646" spans="3:15" ht="13.5" customHeight="1">
      <c r="C1646" s="421" t="s">
        <v>3045</v>
      </c>
      <c r="D1646" s="421" t="s">
        <v>3046</v>
      </c>
      <c r="H1646" s="421"/>
      <c r="I1646" s="421"/>
      <c r="J1646" s="421"/>
      <c r="K1646" s="421"/>
      <c r="L1646" s="421"/>
      <c r="M1646" s="421"/>
      <c r="N1646" s="421"/>
      <c r="O1646" s="421"/>
    </row>
    <row r="1647" spans="3:15" ht="13.5" customHeight="1">
      <c r="C1647" s="421" t="s">
        <v>3047</v>
      </c>
      <c r="D1647" s="421" t="s">
        <v>3048</v>
      </c>
      <c r="H1647" s="421"/>
      <c r="I1647" s="421"/>
      <c r="J1647" s="421"/>
      <c r="K1647" s="421"/>
      <c r="L1647" s="421"/>
      <c r="M1647" s="421"/>
      <c r="N1647" s="421"/>
      <c r="O1647" s="421"/>
    </row>
    <row r="1648" spans="3:15" ht="13.5" customHeight="1">
      <c r="C1648" s="421" t="s">
        <v>3049</v>
      </c>
      <c r="D1648" s="421" t="s">
        <v>3050</v>
      </c>
      <c r="H1648" s="421"/>
      <c r="I1648" s="421"/>
      <c r="J1648" s="421"/>
      <c r="K1648" s="421"/>
      <c r="L1648" s="421"/>
      <c r="M1648" s="421"/>
      <c r="N1648" s="421"/>
      <c r="O1648" s="421"/>
    </row>
    <row r="1649" spans="3:15" ht="13.5" customHeight="1">
      <c r="C1649" s="421" t="s">
        <v>3051</v>
      </c>
      <c r="D1649" s="421" t="s">
        <v>3052</v>
      </c>
      <c r="H1649" s="421"/>
      <c r="I1649" s="421"/>
      <c r="J1649" s="421"/>
      <c r="K1649" s="421"/>
      <c r="L1649" s="421"/>
      <c r="M1649" s="421"/>
      <c r="N1649" s="421"/>
      <c r="O1649" s="421"/>
    </row>
    <row r="1650" spans="3:15" ht="13.5" customHeight="1">
      <c r="C1650" s="421" t="s">
        <v>3053</v>
      </c>
      <c r="D1650" s="421" t="s">
        <v>3054</v>
      </c>
      <c r="H1650" s="421"/>
      <c r="I1650" s="421"/>
      <c r="J1650" s="421"/>
      <c r="K1650" s="421"/>
      <c r="L1650" s="421"/>
      <c r="M1650" s="421"/>
      <c r="N1650" s="421"/>
      <c r="O1650" s="421"/>
    </row>
    <row r="1651" spans="3:15" ht="13.5" customHeight="1">
      <c r="C1651" s="421" t="s">
        <v>3055</v>
      </c>
      <c r="D1651" s="421" t="s">
        <v>3056</v>
      </c>
      <c r="H1651" s="421"/>
      <c r="I1651" s="421"/>
      <c r="J1651" s="421"/>
      <c r="K1651" s="421"/>
      <c r="L1651" s="421"/>
      <c r="M1651" s="421"/>
      <c r="N1651" s="421"/>
      <c r="O1651" s="421"/>
    </row>
    <row r="1652" spans="3:15" ht="13.5" customHeight="1">
      <c r="C1652" s="421" t="s">
        <v>3057</v>
      </c>
      <c r="D1652" s="421" t="s">
        <v>3058</v>
      </c>
      <c r="H1652" s="421"/>
      <c r="I1652" s="421"/>
      <c r="J1652" s="421"/>
      <c r="K1652" s="421"/>
      <c r="L1652" s="421"/>
      <c r="M1652" s="421"/>
      <c r="N1652" s="421"/>
      <c r="O1652" s="421"/>
    </row>
    <row r="1653" spans="3:15" ht="13.5" customHeight="1">
      <c r="C1653" s="421" t="s">
        <v>3059</v>
      </c>
      <c r="D1653" s="421" t="s">
        <v>3060</v>
      </c>
      <c r="H1653" s="421"/>
      <c r="I1653" s="421"/>
      <c r="J1653" s="421"/>
      <c r="K1653" s="421"/>
      <c r="L1653" s="421"/>
      <c r="M1653" s="421"/>
      <c r="N1653" s="421"/>
      <c r="O1653" s="421"/>
    </row>
    <row r="1654" spans="3:15" ht="13.5" customHeight="1">
      <c r="C1654" s="421" t="s">
        <v>3061</v>
      </c>
      <c r="D1654" s="421" t="s">
        <v>3062</v>
      </c>
      <c r="H1654" s="421"/>
      <c r="I1654" s="421"/>
      <c r="J1654" s="421"/>
      <c r="K1654" s="421"/>
      <c r="L1654" s="421"/>
      <c r="M1654" s="421"/>
      <c r="N1654" s="421"/>
      <c r="O1654" s="421"/>
    </row>
    <row r="1655" spans="3:15" ht="13.5" customHeight="1">
      <c r="C1655" s="421" t="s">
        <v>3063</v>
      </c>
      <c r="D1655" s="421" t="s">
        <v>3064</v>
      </c>
      <c r="H1655" s="421"/>
      <c r="I1655" s="421"/>
      <c r="J1655" s="421"/>
      <c r="K1655" s="421"/>
      <c r="L1655" s="421"/>
      <c r="M1655" s="421"/>
      <c r="N1655" s="421"/>
      <c r="O1655" s="421"/>
    </row>
    <row r="1656" spans="3:15" ht="13.5" customHeight="1">
      <c r="C1656" s="421" t="s">
        <v>3065</v>
      </c>
      <c r="D1656" s="421" t="s">
        <v>3066</v>
      </c>
      <c r="H1656" s="421"/>
      <c r="I1656" s="421"/>
      <c r="J1656" s="421"/>
      <c r="K1656" s="421"/>
      <c r="L1656" s="421"/>
      <c r="M1656" s="421"/>
      <c r="N1656" s="421"/>
      <c r="O1656" s="421"/>
    </row>
    <row r="1657" spans="3:15" ht="13.5" customHeight="1">
      <c r="C1657" s="421" t="s">
        <v>3067</v>
      </c>
      <c r="D1657" s="421" t="s">
        <v>3068</v>
      </c>
      <c r="H1657" s="421"/>
      <c r="I1657" s="421"/>
      <c r="J1657" s="421"/>
      <c r="K1657" s="421"/>
      <c r="L1657" s="421"/>
      <c r="M1657" s="421"/>
      <c r="N1657" s="421"/>
      <c r="O1657" s="421"/>
    </row>
    <row r="1658" spans="3:15" ht="13.5" customHeight="1">
      <c r="C1658" s="421" t="s">
        <v>3069</v>
      </c>
      <c r="D1658" s="421" t="s">
        <v>3070</v>
      </c>
      <c r="H1658" s="421"/>
      <c r="I1658" s="421"/>
      <c r="J1658" s="421"/>
      <c r="K1658" s="421"/>
      <c r="L1658" s="421"/>
      <c r="M1658" s="421"/>
      <c r="N1658" s="421"/>
      <c r="O1658" s="421"/>
    </row>
    <row r="1659" spans="3:15" ht="13.5" customHeight="1">
      <c r="C1659" s="421" t="s">
        <v>3071</v>
      </c>
      <c r="D1659" s="421" t="s">
        <v>3072</v>
      </c>
      <c r="H1659" s="421"/>
      <c r="I1659" s="421"/>
      <c r="J1659" s="421"/>
      <c r="K1659" s="421"/>
      <c r="L1659" s="421"/>
      <c r="M1659" s="421"/>
      <c r="N1659" s="421"/>
      <c r="O1659" s="421"/>
    </row>
    <row r="1660" spans="3:15" ht="13.5" customHeight="1">
      <c r="C1660" s="421" t="s">
        <v>3073</v>
      </c>
      <c r="D1660" s="421" t="s">
        <v>3074</v>
      </c>
      <c r="H1660" s="421"/>
      <c r="I1660" s="421"/>
      <c r="J1660" s="421"/>
      <c r="K1660" s="421"/>
      <c r="L1660" s="421"/>
      <c r="M1660" s="421"/>
      <c r="N1660" s="421"/>
      <c r="O1660" s="421"/>
    </row>
    <row r="1661" spans="3:15" ht="13.5" customHeight="1">
      <c r="C1661" s="421" t="s">
        <v>3075</v>
      </c>
      <c r="D1661" s="421" t="s">
        <v>3076</v>
      </c>
      <c r="H1661" s="421"/>
      <c r="I1661" s="421"/>
      <c r="J1661" s="421"/>
      <c r="K1661" s="421"/>
      <c r="L1661" s="421"/>
      <c r="M1661" s="421"/>
      <c r="N1661" s="421"/>
      <c r="O1661" s="421"/>
    </row>
    <row r="1662" spans="3:15" ht="13.5" customHeight="1">
      <c r="C1662" s="421" t="s">
        <v>3077</v>
      </c>
      <c r="D1662" s="421" t="s">
        <v>3078</v>
      </c>
      <c r="H1662" s="421"/>
      <c r="I1662" s="421"/>
      <c r="J1662" s="421"/>
      <c r="K1662" s="421"/>
      <c r="L1662" s="421"/>
      <c r="M1662" s="421"/>
      <c r="N1662" s="421"/>
      <c r="O1662" s="421"/>
    </row>
    <row r="1663" spans="3:15" ht="13.5" customHeight="1">
      <c r="C1663" s="421" t="s">
        <v>3079</v>
      </c>
      <c r="D1663" s="421" t="s">
        <v>3080</v>
      </c>
      <c r="H1663" s="421"/>
      <c r="I1663" s="421"/>
      <c r="J1663" s="421"/>
      <c r="K1663" s="421"/>
      <c r="L1663" s="421"/>
      <c r="M1663" s="421"/>
      <c r="N1663" s="421"/>
      <c r="O1663" s="421"/>
    </row>
    <row r="1664" spans="3:15" ht="13.5" customHeight="1">
      <c r="C1664" s="421" t="s">
        <v>3081</v>
      </c>
      <c r="D1664" s="421" t="s">
        <v>3082</v>
      </c>
      <c r="H1664" s="421"/>
      <c r="I1664" s="421"/>
      <c r="J1664" s="421"/>
      <c r="K1664" s="421"/>
      <c r="L1664" s="421"/>
      <c r="M1664" s="421"/>
      <c r="N1664" s="421"/>
      <c r="O1664" s="421"/>
    </row>
    <row r="1665" spans="3:15" ht="13.5" customHeight="1">
      <c r="C1665" s="421" t="s">
        <v>3083</v>
      </c>
      <c r="D1665" s="421" t="s">
        <v>3084</v>
      </c>
      <c r="H1665" s="421"/>
      <c r="I1665" s="421"/>
      <c r="J1665" s="421"/>
      <c r="K1665" s="421"/>
      <c r="L1665" s="421"/>
      <c r="M1665" s="421"/>
      <c r="N1665" s="421"/>
      <c r="O1665" s="421"/>
    </row>
    <row r="1666" spans="3:15" ht="13.5" customHeight="1">
      <c r="C1666" s="421" t="s">
        <v>3085</v>
      </c>
      <c r="D1666" s="421" t="s">
        <v>3086</v>
      </c>
      <c r="H1666" s="421"/>
      <c r="I1666" s="421"/>
      <c r="J1666" s="421"/>
      <c r="K1666" s="421"/>
      <c r="L1666" s="421"/>
      <c r="M1666" s="421"/>
      <c r="N1666" s="421"/>
      <c r="O1666" s="421"/>
    </row>
    <row r="1667" spans="3:15" ht="13.5" customHeight="1">
      <c r="C1667" s="421" t="s">
        <v>3087</v>
      </c>
      <c r="D1667" s="421" t="s">
        <v>3088</v>
      </c>
      <c r="H1667" s="421"/>
      <c r="I1667" s="421"/>
      <c r="J1667" s="421"/>
      <c r="K1667" s="421"/>
      <c r="L1667" s="421"/>
      <c r="M1667" s="421"/>
      <c r="N1667" s="421"/>
      <c r="O1667" s="421"/>
    </row>
    <row r="1668" spans="3:15" ht="13.5" customHeight="1">
      <c r="C1668" s="421" t="s">
        <v>3089</v>
      </c>
      <c r="D1668" s="421" t="s">
        <v>3090</v>
      </c>
      <c r="H1668" s="421"/>
      <c r="I1668" s="421"/>
      <c r="J1668" s="421"/>
      <c r="K1668" s="421"/>
      <c r="L1668" s="421"/>
      <c r="M1668" s="421"/>
      <c r="N1668" s="421"/>
      <c r="O1668" s="421"/>
    </row>
    <row r="1669" spans="3:15" ht="13.5" customHeight="1">
      <c r="C1669" s="421" t="s">
        <v>3091</v>
      </c>
      <c r="D1669" s="421" t="s">
        <v>3092</v>
      </c>
      <c r="H1669" s="421"/>
      <c r="I1669" s="421"/>
      <c r="J1669" s="421"/>
      <c r="K1669" s="421"/>
      <c r="L1669" s="421"/>
      <c r="M1669" s="421"/>
      <c r="N1669" s="421"/>
      <c r="O1669" s="421"/>
    </row>
    <row r="1670" spans="3:15" ht="13.5" customHeight="1">
      <c r="C1670" s="421" t="s">
        <v>3093</v>
      </c>
      <c r="D1670" s="421" t="s">
        <v>3094</v>
      </c>
      <c r="H1670" s="421"/>
      <c r="I1670" s="421"/>
      <c r="J1670" s="421"/>
      <c r="K1670" s="421"/>
      <c r="L1670" s="421"/>
      <c r="M1670" s="421"/>
      <c r="N1670" s="421"/>
      <c r="O1670" s="421"/>
    </row>
    <row r="1671" spans="3:15" ht="13.5" customHeight="1">
      <c r="C1671" s="421" t="s">
        <v>3095</v>
      </c>
      <c r="D1671" s="421" t="s">
        <v>3096</v>
      </c>
      <c r="H1671" s="421"/>
      <c r="I1671" s="421"/>
      <c r="J1671" s="421"/>
      <c r="K1671" s="421"/>
      <c r="L1671" s="421"/>
      <c r="M1671" s="421"/>
      <c r="N1671" s="421"/>
      <c r="O1671" s="421"/>
    </row>
    <row r="1672" spans="3:15" ht="13.5" customHeight="1">
      <c r="C1672" s="421" t="s">
        <v>3097</v>
      </c>
      <c r="D1672" s="421" t="s">
        <v>3098</v>
      </c>
      <c r="H1672" s="421"/>
      <c r="I1672" s="421"/>
      <c r="J1672" s="421"/>
      <c r="K1672" s="421"/>
      <c r="L1672" s="421"/>
      <c r="M1672" s="421"/>
      <c r="N1672" s="421"/>
      <c r="O1672" s="421"/>
    </row>
    <row r="1673" spans="3:15" ht="13.5" customHeight="1">
      <c r="C1673" s="421" t="s">
        <v>3099</v>
      </c>
      <c r="D1673" s="421" t="s">
        <v>3100</v>
      </c>
      <c r="H1673" s="421"/>
      <c r="I1673" s="421"/>
      <c r="J1673" s="421"/>
      <c r="K1673" s="421"/>
      <c r="L1673" s="421"/>
      <c r="M1673" s="421"/>
      <c r="N1673" s="421"/>
      <c r="O1673" s="421"/>
    </row>
    <row r="1674" spans="3:15" ht="13.5" customHeight="1">
      <c r="C1674" s="421" t="s">
        <v>3101</v>
      </c>
      <c r="D1674" s="421" t="s">
        <v>3102</v>
      </c>
      <c r="H1674" s="421"/>
      <c r="I1674" s="421"/>
      <c r="J1674" s="421"/>
      <c r="K1674" s="421"/>
      <c r="L1674" s="421"/>
      <c r="M1674" s="421"/>
      <c r="N1674" s="421"/>
      <c r="O1674" s="421"/>
    </row>
    <row r="1675" spans="3:15" ht="13.5" customHeight="1">
      <c r="C1675" s="421" t="s">
        <v>3103</v>
      </c>
      <c r="D1675" s="421" t="s">
        <v>3104</v>
      </c>
      <c r="H1675" s="421"/>
      <c r="I1675" s="421"/>
      <c r="J1675" s="421"/>
      <c r="K1675" s="421"/>
      <c r="L1675" s="421"/>
      <c r="M1675" s="421"/>
      <c r="N1675" s="421"/>
      <c r="O1675" s="421"/>
    </row>
    <row r="1676" spans="3:15" ht="13.5" customHeight="1">
      <c r="C1676" s="421" t="s">
        <v>3105</v>
      </c>
      <c r="D1676" s="421" t="s">
        <v>3106</v>
      </c>
      <c r="H1676" s="421"/>
      <c r="I1676" s="421"/>
      <c r="J1676" s="421"/>
      <c r="K1676" s="421"/>
      <c r="L1676" s="421"/>
      <c r="M1676" s="421"/>
      <c r="N1676" s="421"/>
      <c r="O1676" s="421"/>
    </row>
    <row r="1677" spans="3:15" ht="13.5" customHeight="1">
      <c r="C1677" s="421" t="s">
        <v>3107</v>
      </c>
      <c r="D1677" s="421" t="s">
        <v>3108</v>
      </c>
      <c r="H1677" s="421"/>
      <c r="I1677" s="421"/>
      <c r="J1677" s="421"/>
      <c r="K1677" s="421"/>
      <c r="L1677" s="421"/>
      <c r="M1677" s="421"/>
      <c r="N1677" s="421"/>
      <c r="O1677" s="421"/>
    </row>
    <row r="1678" spans="3:15" ht="13.5" customHeight="1">
      <c r="C1678" s="421" t="s">
        <v>3109</v>
      </c>
      <c r="D1678" s="421" t="s">
        <v>3110</v>
      </c>
      <c r="H1678" s="421"/>
      <c r="I1678" s="421"/>
      <c r="J1678" s="421"/>
      <c r="K1678" s="421"/>
      <c r="L1678" s="421"/>
      <c r="M1678" s="421"/>
      <c r="N1678" s="421"/>
      <c r="O1678" s="421"/>
    </row>
    <row r="1679" spans="3:15" ht="13.5" customHeight="1">
      <c r="C1679" s="421" t="s">
        <v>3111</v>
      </c>
      <c r="D1679" s="421" t="s">
        <v>3112</v>
      </c>
      <c r="H1679" s="421"/>
      <c r="I1679" s="421"/>
      <c r="J1679" s="421"/>
      <c r="K1679" s="421"/>
      <c r="L1679" s="421"/>
      <c r="M1679" s="421"/>
      <c r="N1679" s="421"/>
      <c r="O1679" s="421"/>
    </row>
    <row r="1680" spans="3:15" ht="13.5" customHeight="1">
      <c r="C1680" s="421" t="s">
        <v>3113</v>
      </c>
      <c r="D1680" s="421" t="s">
        <v>3114</v>
      </c>
      <c r="H1680" s="421"/>
      <c r="I1680" s="421"/>
      <c r="J1680" s="421"/>
      <c r="K1680" s="421"/>
      <c r="L1680" s="421"/>
      <c r="M1680" s="421"/>
      <c r="N1680" s="421"/>
      <c r="O1680" s="421"/>
    </row>
    <row r="1681" spans="3:15" ht="13.5" customHeight="1">
      <c r="C1681" s="421" t="s">
        <v>3115</v>
      </c>
      <c r="D1681" s="421" t="s">
        <v>3116</v>
      </c>
      <c r="H1681" s="421"/>
      <c r="I1681" s="421"/>
      <c r="J1681" s="421"/>
      <c r="K1681" s="421"/>
      <c r="L1681" s="421"/>
      <c r="M1681" s="421"/>
      <c r="N1681" s="421"/>
      <c r="O1681" s="421"/>
    </row>
    <row r="1682" spans="3:15" ht="13.5" customHeight="1">
      <c r="C1682" s="421" t="s">
        <v>3117</v>
      </c>
      <c r="D1682" s="421" t="s">
        <v>3118</v>
      </c>
      <c r="H1682" s="421"/>
      <c r="I1682" s="421"/>
      <c r="J1682" s="421"/>
      <c r="K1682" s="421"/>
      <c r="L1682" s="421"/>
      <c r="M1682" s="421"/>
      <c r="N1682" s="421"/>
      <c r="O1682" s="421"/>
    </row>
    <row r="1683" spans="3:15" ht="13.5" customHeight="1">
      <c r="C1683" s="421" t="s">
        <v>3119</v>
      </c>
      <c r="D1683" s="421" t="s">
        <v>3120</v>
      </c>
      <c r="H1683" s="421"/>
      <c r="I1683" s="421"/>
      <c r="J1683" s="421"/>
      <c r="K1683" s="421"/>
      <c r="L1683" s="421"/>
      <c r="M1683" s="421"/>
      <c r="N1683" s="421"/>
      <c r="O1683" s="421"/>
    </row>
    <row r="1684" spans="3:15" ht="13.5" customHeight="1">
      <c r="C1684" s="421" t="s">
        <v>3121</v>
      </c>
      <c r="D1684" s="421" t="s">
        <v>3122</v>
      </c>
      <c r="H1684" s="421"/>
      <c r="I1684" s="421"/>
      <c r="J1684" s="421"/>
      <c r="K1684" s="421"/>
      <c r="L1684" s="421"/>
      <c r="M1684" s="421"/>
      <c r="N1684" s="421"/>
      <c r="O1684" s="421"/>
    </row>
    <row r="1685" spans="3:15" ht="13.5" customHeight="1">
      <c r="C1685" s="421" t="s">
        <v>3123</v>
      </c>
      <c r="D1685" s="421" t="s">
        <v>3124</v>
      </c>
      <c r="H1685" s="421"/>
      <c r="I1685" s="421"/>
      <c r="J1685" s="421"/>
      <c r="K1685" s="421"/>
      <c r="L1685" s="421"/>
      <c r="M1685" s="421"/>
      <c r="N1685" s="421"/>
      <c r="O1685" s="421"/>
    </row>
    <row r="1686" spans="3:15" ht="13.5" customHeight="1">
      <c r="C1686" s="421" t="s">
        <v>3125</v>
      </c>
      <c r="D1686" s="421" t="s">
        <v>3126</v>
      </c>
      <c r="H1686" s="421"/>
      <c r="I1686" s="421"/>
      <c r="J1686" s="421"/>
      <c r="K1686" s="421"/>
      <c r="L1686" s="421"/>
      <c r="M1686" s="421"/>
      <c r="N1686" s="421"/>
      <c r="O1686" s="421"/>
    </row>
    <row r="1687" spans="3:15" ht="13.5" customHeight="1">
      <c r="C1687" s="421" t="s">
        <v>3127</v>
      </c>
      <c r="D1687" s="421" t="s">
        <v>3128</v>
      </c>
      <c r="H1687" s="421"/>
      <c r="I1687" s="421"/>
      <c r="J1687" s="421"/>
      <c r="K1687" s="421"/>
      <c r="L1687" s="421"/>
      <c r="M1687" s="421"/>
      <c r="N1687" s="421"/>
      <c r="O1687" s="421"/>
    </row>
    <row r="1688" spans="3:15" ht="13.5" customHeight="1">
      <c r="C1688" s="421" t="s">
        <v>3129</v>
      </c>
      <c r="D1688" s="421" t="s">
        <v>3130</v>
      </c>
      <c r="H1688" s="421"/>
      <c r="I1688" s="421"/>
      <c r="J1688" s="421"/>
      <c r="K1688" s="421"/>
      <c r="L1688" s="421"/>
      <c r="M1688" s="421"/>
      <c r="N1688" s="421"/>
      <c r="O1688" s="421"/>
    </row>
    <row r="1689" spans="3:15" ht="13.5" customHeight="1">
      <c r="C1689" s="421" t="s">
        <v>3131</v>
      </c>
      <c r="D1689" s="421" t="s">
        <v>3132</v>
      </c>
      <c r="H1689" s="421"/>
      <c r="I1689" s="421"/>
      <c r="J1689" s="421"/>
      <c r="K1689" s="421"/>
      <c r="L1689" s="421"/>
      <c r="M1689" s="421"/>
      <c r="N1689" s="421"/>
      <c r="O1689" s="421"/>
    </row>
    <row r="1690" spans="3:15" ht="13.5" customHeight="1">
      <c r="C1690" s="421" t="s">
        <v>3133</v>
      </c>
      <c r="D1690" s="421" t="s">
        <v>3134</v>
      </c>
      <c r="H1690" s="421"/>
      <c r="I1690" s="421"/>
      <c r="J1690" s="421"/>
      <c r="K1690" s="421"/>
      <c r="L1690" s="421"/>
      <c r="M1690" s="421"/>
      <c r="N1690" s="421"/>
      <c r="O1690" s="421"/>
    </row>
    <row r="1691" spans="3:15" ht="13.5" customHeight="1">
      <c r="C1691" s="421" t="s">
        <v>3135</v>
      </c>
      <c r="D1691" s="421" t="s">
        <v>3136</v>
      </c>
      <c r="H1691" s="421"/>
      <c r="I1691" s="421"/>
      <c r="J1691" s="421"/>
      <c r="K1691" s="421"/>
      <c r="L1691" s="421"/>
      <c r="M1691" s="421"/>
      <c r="N1691" s="421"/>
      <c r="O1691" s="421"/>
    </row>
    <row r="1692" spans="3:15" ht="13.5" customHeight="1">
      <c r="C1692" s="421" t="s">
        <v>3137</v>
      </c>
      <c r="D1692" s="421" t="s">
        <v>3138</v>
      </c>
      <c r="H1692" s="421"/>
      <c r="I1692" s="421"/>
      <c r="J1692" s="421"/>
      <c r="K1692" s="421"/>
      <c r="L1692" s="421"/>
      <c r="M1692" s="421"/>
      <c r="N1692" s="421"/>
      <c r="O1692" s="421"/>
    </row>
    <row r="1693" spans="3:15" ht="13.5" customHeight="1">
      <c r="C1693" s="421" t="s">
        <v>3139</v>
      </c>
      <c r="D1693" s="421" t="s">
        <v>3140</v>
      </c>
      <c r="H1693" s="421"/>
      <c r="I1693" s="421"/>
      <c r="J1693" s="421"/>
      <c r="K1693" s="421"/>
      <c r="L1693" s="421"/>
      <c r="M1693" s="421"/>
      <c r="N1693" s="421"/>
      <c r="O1693" s="421"/>
    </row>
    <row r="1694" spans="3:15" ht="13.5" customHeight="1">
      <c r="C1694" s="421" t="s">
        <v>3141</v>
      </c>
      <c r="D1694" s="421" t="s">
        <v>3142</v>
      </c>
      <c r="H1694" s="421"/>
      <c r="I1694" s="421"/>
      <c r="J1694" s="421"/>
      <c r="K1694" s="421"/>
      <c r="L1694" s="421"/>
      <c r="M1694" s="421"/>
      <c r="N1694" s="421"/>
      <c r="O1694" s="421"/>
    </row>
    <row r="1695" spans="3:15" ht="13.5" customHeight="1">
      <c r="C1695" s="421" t="s">
        <v>3143</v>
      </c>
      <c r="D1695" s="421" t="s">
        <v>3144</v>
      </c>
      <c r="H1695" s="421"/>
      <c r="I1695" s="421"/>
      <c r="J1695" s="421"/>
      <c r="K1695" s="421"/>
      <c r="L1695" s="421"/>
      <c r="M1695" s="421"/>
      <c r="N1695" s="421"/>
      <c r="O1695" s="421"/>
    </row>
    <row r="1696" spans="3:15" ht="13.5" customHeight="1">
      <c r="C1696" s="421" t="s">
        <v>3145</v>
      </c>
      <c r="D1696" s="421" t="s">
        <v>3146</v>
      </c>
      <c r="H1696" s="421"/>
      <c r="I1696" s="421"/>
      <c r="J1696" s="421"/>
      <c r="K1696" s="421"/>
      <c r="L1696" s="421"/>
      <c r="M1696" s="421"/>
      <c r="N1696" s="421"/>
      <c r="O1696" s="421"/>
    </row>
    <row r="1697" spans="3:15" ht="13.5" customHeight="1">
      <c r="C1697" s="421" t="s">
        <v>3147</v>
      </c>
      <c r="D1697" s="421" t="s">
        <v>3132</v>
      </c>
      <c r="H1697" s="421"/>
      <c r="I1697" s="421"/>
      <c r="J1697" s="421"/>
      <c r="K1697" s="421"/>
      <c r="L1697" s="421"/>
      <c r="M1697" s="421"/>
      <c r="N1697" s="421"/>
      <c r="O1697" s="421"/>
    </row>
    <row r="1698" spans="3:15" ht="13.5" customHeight="1">
      <c r="C1698" s="421" t="s">
        <v>3148</v>
      </c>
      <c r="D1698" s="421" t="s">
        <v>3149</v>
      </c>
      <c r="H1698" s="421"/>
      <c r="I1698" s="421"/>
      <c r="J1698" s="421"/>
      <c r="K1698" s="421"/>
      <c r="L1698" s="421"/>
      <c r="M1698" s="421"/>
      <c r="N1698" s="421"/>
      <c r="O1698" s="421"/>
    </row>
    <row r="1699" spans="3:15" ht="13.5" customHeight="1">
      <c r="C1699" s="421" t="s">
        <v>3150</v>
      </c>
      <c r="D1699" s="421" t="s">
        <v>3151</v>
      </c>
      <c r="H1699" s="421"/>
      <c r="I1699" s="421"/>
      <c r="J1699" s="421"/>
      <c r="K1699" s="421"/>
      <c r="L1699" s="421"/>
      <c r="M1699" s="421"/>
      <c r="N1699" s="421"/>
      <c r="O1699" s="421"/>
    </row>
    <row r="1700" spans="3:15" ht="13.5" customHeight="1">
      <c r="C1700" s="421" t="s">
        <v>3152</v>
      </c>
      <c r="D1700" s="421" t="s">
        <v>3134</v>
      </c>
      <c r="H1700" s="421"/>
      <c r="I1700" s="421"/>
      <c r="J1700" s="421"/>
      <c r="K1700" s="421"/>
      <c r="L1700" s="421"/>
      <c r="M1700" s="421"/>
      <c r="N1700" s="421"/>
      <c r="O1700" s="421"/>
    </row>
    <row r="1701" spans="3:15" ht="13.5" customHeight="1">
      <c r="C1701" s="421" t="s">
        <v>3153</v>
      </c>
      <c r="D1701" s="421" t="s">
        <v>3136</v>
      </c>
      <c r="H1701" s="421"/>
      <c r="I1701" s="421"/>
      <c r="J1701" s="421"/>
      <c r="K1701" s="421"/>
      <c r="L1701" s="421"/>
      <c r="M1701" s="421"/>
      <c r="N1701" s="421"/>
      <c r="O1701" s="421"/>
    </row>
    <row r="1702" spans="3:15" ht="13.5" customHeight="1">
      <c r="C1702" s="421" t="s">
        <v>3154</v>
      </c>
      <c r="D1702" s="421" t="s">
        <v>3138</v>
      </c>
      <c r="H1702" s="421"/>
      <c r="I1702" s="421"/>
      <c r="J1702" s="421"/>
      <c r="K1702" s="421"/>
      <c r="L1702" s="421"/>
      <c r="M1702" s="421"/>
      <c r="N1702" s="421"/>
      <c r="O1702" s="421"/>
    </row>
    <row r="1703" spans="3:15" ht="13.5" customHeight="1">
      <c r="C1703" s="421" t="s">
        <v>3155</v>
      </c>
      <c r="D1703" s="421" t="s">
        <v>3140</v>
      </c>
      <c r="H1703" s="421"/>
      <c r="I1703" s="421"/>
      <c r="J1703" s="421"/>
      <c r="K1703" s="421"/>
      <c r="L1703" s="421"/>
      <c r="M1703" s="421"/>
      <c r="N1703" s="421"/>
      <c r="O1703" s="421"/>
    </row>
    <row r="1704" spans="3:15" ht="13.5" customHeight="1">
      <c r="C1704" s="421" t="s">
        <v>3156</v>
      </c>
      <c r="D1704" s="421" t="s">
        <v>3157</v>
      </c>
      <c r="H1704" s="421"/>
      <c r="I1704" s="421"/>
      <c r="J1704" s="421"/>
      <c r="K1704" s="421"/>
      <c r="L1704" s="421"/>
      <c r="M1704" s="421"/>
      <c r="N1704" s="421"/>
      <c r="O1704" s="421"/>
    </row>
    <row r="1705" spans="3:15" ht="13.5" customHeight="1">
      <c r="C1705" s="421" t="s">
        <v>3158</v>
      </c>
      <c r="D1705" s="421" t="s">
        <v>3159</v>
      </c>
      <c r="H1705" s="421"/>
      <c r="I1705" s="421"/>
      <c r="J1705" s="421"/>
      <c r="K1705" s="421"/>
      <c r="L1705" s="421"/>
      <c r="M1705" s="421"/>
      <c r="N1705" s="421"/>
      <c r="O1705" s="421"/>
    </row>
    <row r="1706" spans="3:15" ht="13.5" customHeight="1">
      <c r="C1706" s="421" t="s">
        <v>3160</v>
      </c>
      <c r="D1706" s="421" t="s">
        <v>3161</v>
      </c>
      <c r="H1706" s="421"/>
      <c r="I1706" s="421"/>
      <c r="J1706" s="421"/>
      <c r="K1706" s="421"/>
      <c r="L1706" s="421"/>
      <c r="M1706" s="421"/>
      <c r="N1706" s="421"/>
      <c r="O1706" s="421"/>
    </row>
    <row r="1707" spans="3:15" ht="13.5" customHeight="1">
      <c r="C1707" s="421" t="s">
        <v>3162</v>
      </c>
      <c r="D1707" s="421" t="s">
        <v>3163</v>
      </c>
      <c r="H1707" s="421"/>
      <c r="I1707" s="421"/>
      <c r="J1707" s="421"/>
      <c r="K1707" s="421"/>
      <c r="L1707" s="421"/>
      <c r="M1707" s="421"/>
      <c r="N1707" s="421"/>
      <c r="O1707" s="421"/>
    </row>
    <row r="1708" spans="3:15" ht="13.5" customHeight="1">
      <c r="C1708" s="421" t="s">
        <v>3164</v>
      </c>
      <c r="D1708" s="421" t="s">
        <v>3165</v>
      </c>
      <c r="H1708" s="421"/>
      <c r="I1708" s="421"/>
      <c r="J1708" s="421"/>
      <c r="K1708" s="421"/>
      <c r="L1708" s="421"/>
      <c r="M1708" s="421"/>
      <c r="N1708" s="421"/>
      <c r="O1708" s="421"/>
    </row>
    <row r="1709" spans="3:15" ht="13.5" customHeight="1">
      <c r="C1709" s="421" t="s">
        <v>3166</v>
      </c>
      <c r="D1709" s="421" t="s">
        <v>3167</v>
      </c>
      <c r="H1709" s="421"/>
      <c r="I1709" s="421"/>
      <c r="J1709" s="421"/>
      <c r="K1709" s="421"/>
      <c r="L1709" s="421"/>
      <c r="M1709" s="421"/>
      <c r="N1709" s="421"/>
      <c r="O1709" s="421"/>
    </row>
    <row r="1710" spans="3:15" ht="13.5" customHeight="1">
      <c r="C1710" s="421" t="s">
        <v>3168</v>
      </c>
      <c r="D1710" s="421" t="s">
        <v>3169</v>
      </c>
      <c r="H1710" s="421"/>
      <c r="I1710" s="421"/>
      <c r="J1710" s="421"/>
      <c r="K1710" s="421"/>
      <c r="L1710" s="421"/>
      <c r="M1710" s="421"/>
      <c r="N1710" s="421"/>
      <c r="O1710" s="421"/>
    </row>
    <row r="1711" spans="3:15" ht="13.5" customHeight="1">
      <c r="C1711" s="421" t="s">
        <v>3170</v>
      </c>
      <c r="D1711" s="421" t="s">
        <v>3171</v>
      </c>
      <c r="H1711" s="421"/>
      <c r="I1711" s="421"/>
      <c r="J1711" s="421"/>
      <c r="K1711" s="421"/>
      <c r="L1711" s="421"/>
      <c r="M1711" s="421"/>
      <c r="N1711" s="421"/>
      <c r="O1711" s="421"/>
    </row>
    <row r="1712" spans="3:15" ht="13.5" customHeight="1">
      <c r="C1712" s="421" t="s">
        <v>3172</v>
      </c>
      <c r="D1712" s="421" t="s">
        <v>3173</v>
      </c>
      <c r="H1712" s="421"/>
      <c r="I1712" s="421"/>
      <c r="J1712" s="421"/>
      <c r="K1712" s="421"/>
      <c r="L1712" s="421"/>
      <c r="M1712" s="421"/>
      <c r="N1712" s="421"/>
      <c r="O1712" s="421"/>
    </row>
    <row r="1713" spans="3:15" ht="13.5" customHeight="1">
      <c r="C1713" s="421" t="s">
        <v>3174</v>
      </c>
      <c r="D1713" s="421" t="s">
        <v>3175</v>
      </c>
      <c r="H1713" s="421"/>
      <c r="I1713" s="421"/>
      <c r="J1713" s="421"/>
      <c r="K1713" s="421"/>
      <c r="L1713" s="421"/>
      <c r="M1713" s="421"/>
      <c r="N1713" s="421"/>
      <c r="O1713" s="421"/>
    </row>
    <row r="1714" spans="3:15" ht="13.5" customHeight="1">
      <c r="C1714" s="421" t="s">
        <v>3176</v>
      </c>
      <c r="D1714" s="421" t="s">
        <v>3177</v>
      </c>
      <c r="H1714" s="421"/>
      <c r="I1714" s="421"/>
      <c r="J1714" s="421"/>
      <c r="K1714" s="421"/>
      <c r="L1714" s="421"/>
      <c r="M1714" s="421"/>
      <c r="N1714" s="421"/>
      <c r="O1714" s="421"/>
    </row>
    <row r="1715" spans="3:15" ht="13.5" customHeight="1">
      <c r="C1715" s="421" t="s">
        <v>3178</v>
      </c>
      <c r="D1715" s="421" t="s">
        <v>3179</v>
      </c>
      <c r="H1715" s="421"/>
      <c r="I1715" s="421"/>
      <c r="J1715" s="421"/>
      <c r="K1715" s="421"/>
      <c r="L1715" s="421"/>
      <c r="M1715" s="421"/>
      <c r="N1715" s="421"/>
      <c r="O1715" s="421"/>
    </row>
    <row r="1716" spans="3:15" ht="13.5" customHeight="1">
      <c r="C1716" s="421" t="s">
        <v>3180</v>
      </c>
      <c r="D1716" s="421" t="s">
        <v>3181</v>
      </c>
      <c r="H1716" s="421"/>
      <c r="I1716" s="421"/>
      <c r="J1716" s="421"/>
      <c r="K1716" s="421"/>
      <c r="L1716" s="421"/>
      <c r="M1716" s="421"/>
      <c r="N1716" s="421"/>
      <c r="O1716" s="421"/>
    </row>
    <row r="1717" spans="3:15" ht="13.5" customHeight="1">
      <c r="C1717" s="421" t="s">
        <v>3182</v>
      </c>
      <c r="D1717" s="421" t="s">
        <v>3183</v>
      </c>
      <c r="H1717" s="421"/>
      <c r="I1717" s="421"/>
      <c r="J1717" s="421"/>
      <c r="K1717" s="421"/>
      <c r="L1717" s="421"/>
      <c r="M1717" s="421"/>
      <c r="N1717" s="421"/>
      <c r="O1717" s="421"/>
    </row>
    <row r="1718" spans="3:15" ht="13.5" customHeight="1">
      <c r="C1718" s="421" t="s">
        <v>3184</v>
      </c>
      <c r="D1718" s="421" t="s">
        <v>3185</v>
      </c>
      <c r="H1718" s="421"/>
      <c r="I1718" s="421"/>
      <c r="J1718" s="421"/>
      <c r="K1718" s="421"/>
      <c r="L1718" s="421"/>
      <c r="M1718" s="421"/>
      <c r="N1718" s="421"/>
      <c r="O1718" s="421"/>
    </row>
    <row r="1719" spans="3:15" ht="13.5" customHeight="1">
      <c r="C1719" s="421" t="s">
        <v>3186</v>
      </c>
      <c r="D1719" s="421" t="s">
        <v>3187</v>
      </c>
      <c r="H1719" s="421"/>
      <c r="I1719" s="421"/>
      <c r="J1719" s="421"/>
      <c r="K1719" s="421"/>
      <c r="L1719" s="421"/>
      <c r="M1719" s="421"/>
      <c r="N1719" s="421"/>
      <c r="O1719" s="421"/>
    </row>
    <row r="1720" spans="3:15" ht="13.5" customHeight="1">
      <c r="C1720" s="421" t="s">
        <v>3188</v>
      </c>
      <c r="D1720" s="421" t="s">
        <v>3189</v>
      </c>
      <c r="H1720" s="421"/>
      <c r="I1720" s="421"/>
      <c r="J1720" s="421"/>
      <c r="K1720" s="421"/>
      <c r="L1720" s="421"/>
      <c r="M1720" s="421"/>
      <c r="N1720" s="421"/>
      <c r="O1720" s="421"/>
    </row>
    <row r="1721" spans="3:15" ht="13.5" customHeight="1">
      <c r="C1721" s="421" t="s">
        <v>3190</v>
      </c>
      <c r="D1721" s="421" t="s">
        <v>3191</v>
      </c>
      <c r="H1721" s="421"/>
      <c r="I1721" s="421"/>
      <c r="J1721" s="421"/>
      <c r="K1721" s="421"/>
      <c r="L1721" s="421"/>
      <c r="M1721" s="421"/>
      <c r="N1721" s="421"/>
      <c r="O1721" s="421"/>
    </row>
    <row r="1722" spans="3:15" ht="13.5" customHeight="1">
      <c r="C1722" s="421" t="s">
        <v>3192</v>
      </c>
      <c r="D1722" s="421" t="s">
        <v>3193</v>
      </c>
      <c r="H1722" s="421"/>
      <c r="I1722" s="421"/>
      <c r="J1722" s="421"/>
      <c r="K1722" s="421"/>
      <c r="L1722" s="421"/>
      <c r="M1722" s="421"/>
      <c r="N1722" s="421"/>
      <c r="O1722" s="421"/>
    </row>
    <row r="1723" spans="3:15" ht="13.5" customHeight="1">
      <c r="C1723" s="421" t="s">
        <v>3194</v>
      </c>
      <c r="D1723" s="421" t="s">
        <v>3195</v>
      </c>
      <c r="H1723" s="421"/>
      <c r="I1723" s="421"/>
      <c r="J1723" s="421"/>
      <c r="K1723" s="421"/>
      <c r="L1723" s="421"/>
      <c r="M1723" s="421"/>
      <c r="N1723" s="421"/>
      <c r="O1723" s="421"/>
    </row>
    <row r="1724" spans="3:15" ht="13.5" customHeight="1">
      <c r="C1724" s="421" t="s">
        <v>3196</v>
      </c>
      <c r="D1724" s="421" t="s">
        <v>3197</v>
      </c>
      <c r="H1724" s="421"/>
      <c r="I1724" s="421"/>
      <c r="J1724" s="421"/>
      <c r="K1724" s="421"/>
      <c r="L1724" s="421"/>
      <c r="M1724" s="421"/>
      <c r="N1724" s="421"/>
      <c r="O1724" s="421"/>
    </row>
    <row r="1725" spans="3:15" ht="13.5" customHeight="1">
      <c r="C1725" s="421" t="s">
        <v>3198</v>
      </c>
      <c r="D1725" s="421" t="s">
        <v>3199</v>
      </c>
      <c r="H1725" s="421"/>
      <c r="I1725" s="421"/>
      <c r="J1725" s="421"/>
      <c r="K1725" s="421"/>
      <c r="L1725" s="421"/>
      <c r="M1725" s="421"/>
      <c r="N1725" s="421"/>
      <c r="O1725" s="421"/>
    </row>
    <row r="1726" spans="3:15" ht="13.5" customHeight="1">
      <c r="C1726" s="421" t="s">
        <v>3200</v>
      </c>
      <c r="D1726" s="421" t="s">
        <v>3201</v>
      </c>
      <c r="H1726" s="421"/>
      <c r="I1726" s="421"/>
      <c r="J1726" s="421"/>
      <c r="K1726" s="421"/>
      <c r="L1726" s="421"/>
      <c r="M1726" s="421"/>
      <c r="N1726" s="421"/>
      <c r="O1726" s="421"/>
    </row>
    <row r="1727" spans="3:15" ht="13.5" customHeight="1">
      <c r="C1727" s="421" t="s">
        <v>3202</v>
      </c>
      <c r="D1727" s="421" t="s">
        <v>3203</v>
      </c>
      <c r="H1727" s="421"/>
      <c r="I1727" s="421"/>
      <c r="J1727" s="421"/>
      <c r="K1727" s="421"/>
      <c r="L1727" s="421"/>
      <c r="M1727" s="421"/>
      <c r="N1727" s="421"/>
      <c r="O1727" s="421"/>
    </row>
    <row r="1728" spans="3:15" ht="13.5" customHeight="1">
      <c r="C1728" s="421" t="s">
        <v>3204</v>
      </c>
      <c r="D1728" s="421" t="s">
        <v>3205</v>
      </c>
      <c r="H1728" s="421"/>
      <c r="I1728" s="421"/>
      <c r="J1728" s="421"/>
      <c r="K1728" s="421"/>
      <c r="L1728" s="421"/>
      <c r="M1728" s="421"/>
      <c r="N1728" s="421"/>
      <c r="O1728" s="421"/>
    </row>
    <row r="1729" spans="3:15" ht="13.5" customHeight="1">
      <c r="C1729" s="421" t="s">
        <v>3206</v>
      </c>
      <c r="D1729" s="421" t="s">
        <v>3207</v>
      </c>
      <c r="H1729" s="421"/>
      <c r="I1729" s="421"/>
      <c r="J1729" s="421"/>
      <c r="K1729" s="421"/>
      <c r="L1729" s="421"/>
      <c r="M1729" s="421"/>
      <c r="N1729" s="421"/>
      <c r="O1729" s="421"/>
    </row>
    <row r="1730" spans="3:15" ht="13.5" customHeight="1">
      <c r="C1730" s="421" t="s">
        <v>3208</v>
      </c>
      <c r="D1730" s="421" t="s">
        <v>3209</v>
      </c>
      <c r="H1730" s="421"/>
      <c r="I1730" s="421"/>
      <c r="J1730" s="421"/>
      <c r="K1730" s="421"/>
      <c r="L1730" s="421"/>
      <c r="M1730" s="421"/>
      <c r="N1730" s="421"/>
      <c r="O1730" s="421"/>
    </row>
    <row r="1731" spans="3:15" ht="13.5" customHeight="1">
      <c r="C1731" s="421" t="s">
        <v>3210</v>
      </c>
      <c r="D1731" s="421" t="s">
        <v>3211</v>
      </c>
      <c r="H1731" s="421"/>
      <c r="I1731" s="421"/>
      <c r="J1731" s="421"/>
      <c r="K1731" s="421"/>
      <c r="L1731" s="421"/>
      <c r="M1731" s="421"/>
      <c r="N1731" s="421"/>
      <c r="O1731" s="421"/>
    </row>
    <row r="1732" spans="3:15" ht="13.5" customHeight="1">
      <c r="C1732" s="421" t="s">
        <v>3212</v>
      </c>
      <c r="D1732" s="421" t="s">
        <v>3213</v>
      </c>
      <c r="H1732" s="421"/>
      <c r="I1732" s="421"/>
      <c r="J1732" s="421"/>
      <c r="K1732" s="421"/>
      <c r="L1732" s="421"/>
      <c r="M1732" s="421"/>
      <c r="N1732" s="421"/>
      <c r="O1732" s="421"/>
    </row>
    <row r="1733" spans="3:15" ht="13.5" customHeight="1">
      <c r="C1733" s="421" t="s">
        <v>3214</v>
      </c>
      <c r="D1733" s="421" t="s">
        <v>3215</v>
      </c>
      <c r="H1733" s="421"/>
      <c r="I1733" s="421"/>
      <c r="J1733" s="421"/>
      <c r="K1733" s="421"/>
      <c r="L1733" s="421"/>
      <c r="M1733" s="421"/>
      <c r="N1733" s="421"/>
      <c r="O1733" s="421"/>
    </row>
    <row r="1734" spans="3:15" ht="13.5" customHeight="1">
      <c r="C1734" s="421" t="s">
        <v>3216</v>
      </c>
      <c r="D1734" s="421" t="s">
        <v>3217</v>
      </c>
      <c r="H1734" s="421"/>
      <c r="I1734" s="421"/>
      <c r="J1734" s="421"/>
      <c r="K1734" s="421"/>
      <c r="L1734" s="421"/>
      <c r="M1734" s="421"/>
      <c r="N1734" s="421"/>
      <c r="O1734" s="421"/>
    </row>
    <row r="1735" spans="3:15" ht="13.5" customHeight="1">
      <c r="C1735" s="421" t="s">
        <v>3218</v>
      </c>
      <c r="D1735" s="421" t="s">
        <v>3219</v>
      </c>
      <c r="H1735" s="421"/>
      <c r="I1735" s="421"/>
      <c r="J1735" s="421"/>
      <c r="K1735" s="421"/>
      <c r="L1735" s="421"/>
      <c r="M1735" s="421"/>
      <c r="N1735" s="421"/>
      <c r="O1735" s="421"/>
    </row>
    <row r="1736" spans="3:15" ht="13.5" customHeight="1">
      <c r="C1736" s="421" t="s">
        <v>3220</v>
      </c>
      <c r="D1736" s="421" t="s">
        <v>3221</v>
      </c>
      <c r="H1736" s="421"/>
      <c r="I1736" s="421"/>
      <c r="J1736" s="421"/>
      <c r="K1736" s="421"/>
      <c r="L1736" s="421"/>
      <c r="M1736" s="421"/>
      <c r="N1736" s="421"/>
      <c r="O1736" s="421"/>
    </row>
    <row r="1737" spans="3:15" ht="13.5" customHeight="1">
      <c r="C1737" s="421" t="s">
        <v>3222</v>
      </c>
      <c r="D1737" s="421" t="s">
        <v>3223</v>
      </c>
      <c r="H1737" s="421"/>
      <c r="I1737" s="421"/>
      <c r="J1737" s="421"/>
      <c r="K1737" s="421"/>
      <c r="L1737" s="421"/>
      <c r="M1737" s="421"/>
      <c r="N1737" s="421"/>
      <c r="O1737" s="421"/>
    </row>
    <row r="1738" spans="3:15" ht="13.5" customHeight="1">
      <c r="C1738" s="421" t="s">
        <v>3224</v>
      </c>
      <c r="D1738" s="421" t="s">
        <v>3225</v>
      </c>
      <c r="H1738" s="421"/>
      <c r="I1738" s="421"/>
      <c r="J1738" s="421"/>
      <c r="K1738" s="421"/>
      <c r="L1738" s="421"/>
      <c r="M1738" s="421"/>
      <c r="N1738" s="421"/>
      <c r="O1738" s="421"/>
    </row>
    <row r="1739" spans="3:15" ht="13.5" customHeight="1">
      <c r="C1739" s="421" t="s">
        <v>3226</v>
      </c>
      <c r="D1739" s="421" t="s">
        <v>3227</v>
      </c>
      <c r="H1739" s="421"/>
      <c r="I1739" s="421"/>
      <c r="J1739" s="421"/>
      <c r="K1739" s="421"/>
      <c r="L1739" s="421"/>
      <c r="M1739" s="421"/>
      <c r="N1739" s="421"/>
      <c r="O1739" s="421"/>
    </row>
    <row r="1740" spans="3:15" ht="13.5" customHeight="1">
      <c r="C1740" s="421" t="s">
        <v>3228</v>
      </c>
      <c r="D1740" s="421" t="s">
        <v>3229</v>
      </c>
      <c r="H1740" s="421"/>
      <c r="I1740" s="421"/>
      <c r="J1740" s="421"/>
      <c r="K1740" s="421"/>
      <c r="L1740" s="421"/>
      <c r="M1740" s="421"/>
      <c r="N1740" s="421"/>
      <c r="O1740" s="421"/>
    </row>
    <row r="1741" spans="3:15" ht="13.5" customHeight="1">
      <c r="C1741" s="421" t="s">
        <v>3230</v>
      </c>
      <c r="D1741" s="421" t="s">
        <v>3231</v>
      </c>
      <c r="H1741" s="421"/>
      <c r="I1741" s="421"/>
      <c r="J1741" s="421"/>
      <c r="K1741" s="421"/>
      <c r="L1741" s="421"/>
      <c r="M1741" s="421"/>
      <c r="N1741" s="421"/>
      <c r="O1741" s="421"/>
    </row>
    <row r="1742" spans="3:15" ht="13.5" customHeight="1">
      <c r="C1742" s="421" t="s">
        <v>3232</v>
      </c>
      <c r="D1742" s="421" t="s">
        <v>3233</v>
      </c>
      <c r="H1742" s="421"/>
      <c r="I1742" s="421"/>
      <c r="J1742" s="421"/>
      <c r="K1742" s="421"/>
      <c r="L1742" s="421"/>
      <c r="M1742" s="421"/>
      <c r="N1742" s="421"/>
      <c r="O1742" s="421"/>
    </row>
    <row r="1743" spans="3:15" ht="13.5" customHeight="1">
      <c r="C1743" s="421" t="s">
        <v>3234</v>
      </c>
      <c r="D1743" s="421" t="s">
        <v>3235</v>
      </c>
      <c r="H1743" s="421"/>
      <c r="I1743" s="421"/>
      <c r="J1743" s="421"/>
      <c r="K1743" s="421"/>
      <c r="L1743" s="421"/>
      <c r="M1743" s="421"/>
      <c r="N1743" s="421"/>
      <c r="O1743" s="421"/>
    </row>
    <row r="1744" spans="3:15" ht="13.5" customHeight="1">
      <c r="C1744" s="421" t="s">
        <v>3236</v>
      </c>
      <c r="D1744" s="421" t="s">
        <v>3237</v>
      </c>
      <c r="H1744" s="421"/>
      <c r="I1744" s="421"/>
      <c r="J1744" s="421"/>
      <c r="K1744" s="421"/>
      <c r="L1744" s="421"/>
      <c r="M1744" s="421"/>
      <c r="N1744" s="421"/>
      <c r="O1744" s="421"/>
    </row>
    <row r="1745" spans="3:15" ht="13.5" customHeight="1">
      <c r="C1745" s="421" t="s">
        <v>3238</v>
      </c>
      <c r="D1745" s="421" t="s">
        <v>3239</v>
      </c>
      <c r="H1745" s="421"/>
      <c r="I1745" s="421"/>
      <c r="J1745" s="421"/>
      <c r="K1745" s="421"/>
      <c r="L1745" s="421"/>
      <c r="M1745" s="421"/>
      <c r="N1745" s="421"/>
      <c r="O1745" s="421"/>
    </row>
    <row r="1746" spans="3:15" ht="13.5" customHeight="1">
      <c r="C1746" s="421" t="s">
        <v>3240</v>
      </c>
      <c r="D1746" s="421" t="s">
        <v>3241</v>
      </c>
      <c r="H1746" s="421"/>
      <c r="I1746" s="421"/>
      <c r="J1746" s="421"/>
      <c r="K1746" s="421"/>
      <c r="L1746" s="421"/>
      <c r="M1746" s="421"/>
      <c r="N1746" s="421"/>
      <c r="O1746" s="421"/>
    </row>
    <row r="1747" spans="3:15" ht="13.5" customHeight="1">
      <c r="C1747" s="421" t="s">
        <v>3242</v>
      </c>
      <c r="D1747" s="421" t="s">
        <v>3243</v>
      </c>
      <c r="H1747" s="421"/>
      <c r="I1747" s="421"/>
      <c r="J1747" s="421"/>
      <c r="K1747" s="421"/>
      <c r="L1747" s="421"/>
      <c r="M1747" s="421"/>
      <c r="N1747" s="421"/>
      <c r="O1747" s="421"/>
    </row>
    <row r="1748" spans="3:15" ht="13.5" customHeight="1">
      <c r="C1748" s="421" t="s">
        <v>3244</v>
      </c>
      <c r="D1748" s="421" t="s">
        <v>3245</v>
      </c>
      <c r="H1748" s="421"/>
      <c r="I1748" s="421"/>
      <c r="J1748" s="421"/>
      <c r="K1748" s="421"/>
      <c r="L1748" s="421"/>
      <c r="M1748" s="421"/>
      <c r="N1748" s="421"/>
      <c r="O1748" s="421"/>
    </row>
    <row r="1749" spans="3:15" ht="13.5" customHeight="1">
      <c r="C1749" s="421" t="s">
        <v>3246</v>
      </c>
      <c r="D1749" s="421" t="s">
        <v>3247</v>
      </c>
      <c r="H1749" s="421"/>
      <c r="I1749" s="421"/>
      <c r="J1749" s="421"/>
      <c r="K1749" s="421"/>
      <c r="L1749" s="421"/>
      <c r="M1749" s="421"/>
      <c r="N1749" s="421"/>
      <c r="O1749" s="421"/>
    </row>
    <row r="1750" spans="3:15" ht="13.5" customHeight="1">
      <c r="C1750" s="421" t="s">
        <v>3248</v>
      </c>
      <c r="D1750" s="421" t="s">
        <v>3249</v>
      </c>
      <c r="H1750" s="421"/>
      <c r="I1750" s="421"/>
      <c r="J1750" s="421"/>
      <c r="K1750" s="421"/>
      <c r="L1750" s="421"/>
      <c r="M1750" s="421"/>
      <c r="N1750" s="421"/>
      <c r="O1750" s="421"/>
    </row>
    <row r="1751" spans="3:15" ht="13.5" customHeight="1">
      <c r="C1751" s="421" t="s">
        <v>3250</v>
      </c>
      <c r="D1751" s="421" t="s">
        <v>3251</v>
      </c>
      <c r="H1751" s="421"/>
      <c r="I1751" s="421"/>
      <c r="J1751" s="421"/>
      <c r="K1751" s="421"/>
      <c r="L1751" s="421"/>
      <c r="M1751" s="421"/>
      <c r="N1751" s="421"/>
      <c r="O1751" s="421"/>
    </row>
    <row r="1752" spans="3:15" ht="13.5" customHeight="1">
      <c r="C1752" s="421" t="s">
        <v>3252</v>
      </c>
      <c r="D1752" s="421" t="s">
        <v>3253</v>
      </c>
      <c r="H1752" s="421"/>
      <c r="I1752" s="421"/>
      <c r="J1752" s="421"/>
      <c r="K1752" s="421"/>
      <c r="L1752" s="421"/>
      <c r="M1752" s="421"/>
      <c r="N1752" s="421"/>
      <c r="O1752" s="421"/>
    </row>
    <row r="1753" spans="3:15" ht="13.5" customHeight="1">
      <c r="C1753" s="421" t="s">
        <v>3254</v>
      </c>
      <c r="D1753" s="421" t="s">
        <v>3255</v>
      </c>
      <c r="H1753" s="421"/>
      <c r="I1753" s="421"/>
      <c r="J1753" s="421"/>
      <c r="K1753" s="421"/>
      <c r="L1753" s="421"/>
      <c r="M1753" s="421"/>
      <c r="N1753" s="421"/>
      <c r="O1753" s="421"/>
    </row>
    <row r="1754" spans="3:15" ht="13.5" customHeight="1">
      <c r="C1754" s="421" t="s">
        <v>3256</v>
      </c>
      <c r="D1754" s="421" t="s">
        <v>3257</v>
      </c>
      <c r="H1754" s="421"/>
      <c r="I1754" s="421"/>
      <c r="J1754" s="421"/>
      <c r="K1754" s="421"/>
      <c r="L1754" s="421"/>
      <c r="M1754" s="421"/>
      <c r="N1754" s="421"/>
      <c r="O1754" s="421"/>
    </row>
    <row r="1755" spans="3:15" ht="13.5" customHeight="1">
      <c r="C1755" s="421" t="s">
        <v>3258</v>
      </c>
      <c r="D1755" s="421" t="s">
        <v>3259</v>
      </c>
      <c r="H1755" s="421"/>
      <c r="I1755" s="421"/>
      <c r="J1755" s="421"/>
      <c r="K1755" s="421"/>
      <c r="L1755" s="421"/>
      <c r="M1755" s="421"/>
      <c r="N1755" s="421"/>
      <c r="O1755" s="421"/>
    </row>
    <row r="1756" spans="3:15" ht="13.5" customHeight="1">
      <c r="C1756" s="421" t="s">
        <v>3260</v>
      </c>
      <c r="D1756" s="421" t="s">
        <v>3261</v>
      </c>
      <c r="H1756" s="421"/>
      <c r="I1756" s="421"/>
      <c r="J1756" s="421"/>
      <c r="K1756" s="421"/>
      <c r="L1756" s="421"/>
      <c r="M1756" s="421"/>
      <c r="N1756" s="421"/>
      <c r="O1756" s="421"/>
    </row>
    <row r="1757" spans="3:15" ht="13.5" customHeight="1">
      <c r="C1757" s="421" t="s">
        <v>3262</v>
      </c>
      <c r="D1757" s="421" t="s">
        <v>3263</v>
      </c>
      <c r="H1757" s="421"/>
      <c r="I1757" s="421"/>
      <c r="J1757" s="421"/>
      <c r="K1757" s="421"/>
      <c r="L1757" s="421"/>
      <c r="M1757" s="421"/>
      <c r="N1757" s="421"/>
      <c r="O1757" s="421"/>
    </row>
    <row r="1758" spans="3:15" ht="13.5" customHeight="1">
      <c r="C1758" s="421" t="s">
        <v>3264</v>
      </c>
      <c r="D1758" s="421" t="s">
        <v>3265</v>
      </c>
      <c r="H1758" s="421"/>
      <c r="I1758" s="421"/>
      <c r="J1758" s="421"/>
      <c r="K1758" s="421"/>
      <c r="L1758" s="421"/>
      <c r="M1758" s="421"/>
      <c r="N1758" s="421"/>
      <c r="O1758" s="421"/>
    </row>
    <row r="1759" spans="3:15" ht="13.5" customHeight="1">
      <c r="C1759" s="421" t="s">
        <v>3266</v>
      </c>
      <c r="D1759" s="421" t="s">
        <v>3267</v>
      </c>
      <c r="H1759" s="421"/>
      <c r="I1759" s="421"/>
      <c r="J1759" s="421"/>
      <c r="K1759" s="421"/>
      <c r="L1759" s="421"/>
      <c r="M1759" s="421"/>
      <c r="N1759" s="421"/>
      <c r="O1759" s="421"/>
    </row>
    <row r="1760" spans="3:15" ht="13.5" customHeight="1">
      <c r="C1760" s="421" t="s">
        <v>3268</v>
      </c>
      <c r="D1760" s="421" t="s">
        <v>3269</v>
      </c>
      <c r="H1760" s="421"/>
      <c r="I1760" s="421"/>
      <c r="J1760" s="421"/>
      <c r="K1760" s="421"/>
      <c r="L1760" s="421"/>
      <c r="M1760" s="421"/>
      <c r="N1760" s="421"/>
      <c r="O1760" s="421"/>
    </row>
    <row r="1761" spans="3:15" ht="13.5" customHeight="1">
      <c r="C1761" s="421" t="s">
        <v>3270</v>
      </c>
      <c r="D1761" s="421" t="s">
        <v>3271</v>
      </c>
      <c r="H1761" s="421"/>
      <c r="I1761" s="421"/>
      <c r="J1761" s="421"/>
      <c r="K1761" s="421"/>
      <c r="L1761" s="421"/>
      <c r="M1761" s="421"/>
      <c r="N1761" s="421"/>
      <c r="O1761" s="421"/>
    </row>
    <row r="1762" spans="3:15" ht="13.5" customHeight="1">
      <c r="C1762" s="421" t="s">
        <v>3272</v>
      </c>
      <c r="D1762" s="421" t="s">
        <v>3273</v>
      </c>
      <c r="H1762" s="421"/>
      <c r="I1762" s="421"/>
      <c r="J1762" s="421"/>
      <c r="K1762" s="421"/>
      <c r="L1762" s="421"/>
      <c r="M1762" s="421"/>
      <c r="N1762" s="421"/>
      <c r="O1762" s="421"/>
    </row>
    <row r="1763" spans="3:15" ht="13.5" customHeight="1">
      <c r="C1763" s="421" t="s">
        <v>3274</v>
      </c>
      <c r="D1763" s="421" t="s">
        <v>3275</v>
      </c>
      <c r="H1763" s="421"/>
      <c r="I1763" s="421"/>
      <c r="J1763" s="421"/>
      <c r="K1763" s="421"/>
      <c r="L1763" s="421"/>
      <c r="M1763" s="421"/>
      <c r="N1763" s="421"/>
      <c r="O1763" s="421"/>
    </row>
    <row r="1764" spans="3:15" ht="13.5" customHeight="1">
      <c r="C1764" s="421" t="s">
        <v>3276</v>
      </c>
      <c r="D1764" s="421" t="s">
        <v>3277</v>
      </c>
      <c r="H1764" s="421"/>
      <c r="I1764" s="421"/>
      <c r="J1764" s="421"/>
      <c r="K1764" s="421"/>
      <c r="L1764" s="421"/>
      <c r="M1764" s="421"/>
      <c r="N1764" s="421"/>
      <c r="O1764" s="421"/>
    </row>
    <row r="1765" spans="3:15" ht="13.5" customHeight="1">
      <c r="C1765" s="421" t="s">
        <v>3278</v>
      </c>
      <c r="D1765" s="421" t="s">
        <v>3279</v>
      </c>
      <c r="H1765" s="421"/>
      <c r="I1765" s="421"/>
      <c r="J1765" s="421"/>
      <c r="K1765" s="421"/>
      <c r="L1765" s="421"/>
      <c r="M1765" s="421"/>
      <c r="N1765" s="421"/>
      <c r="O1765" s="421"/>
    </row>
    <row r="1766" spans="3:15" ht="13.5" customHeight="1">
      <c r="C1766" s="421" t="s">
        <v>3280</v>
      </c>
      <c r="D1766" s="421" t="s">
        <v>3281</v>
      </c>
      <c r="H1766" s="421"/>
      <c r="I1766" s="421"/>
      <c r="J1766" s="421"/>
      <c r="K1766" s="421"/>
      <c r="L1766" s="421"/>
      <c r="M1766" s="421"/>
      <c r="N1766" s="421"/>
      <c r="O1766" s="421"/>
    </row>
    <row r="1767" spans="3:15" ht="13.5" customHeight="1">
      <c r="C1767" s="421" t="s">
        <v>3282</v>
      </c>
      <c r="D1767" s="421" t="s">
        <v>3283</v>
      </c>
      <c r="H1767" s="421"/>
      <c r="I1767" s="421"/>
      <c r="J1767" s="421"/>
      <c r="K1767" s="421"/>
      <c r="L1767" s="421"/>
      <c r="M1767" s="421"/>
      <c r="N1767" s="421"/>
      <c r="O1767" s="421"/>
    </row>
    <row r="1768" spans="3:15" ht="13.5" customHeight="1">
      <c r="C1768" s="421" t="s">
        <v>3284</v>
      </c>
      <c r="D1768" s="421" t="s">
        <v>3285</v>
      </c>
      <c r="H1768" s="421"/>
      <c r="I1768" s="421"/>
      <c r="J1768" s="421"/>
      <c r="K1768" s="421"/>
      <c r="L1768" s="421"/>
      <c r="M1768" s="421"/>
      <c r="N1768" s="421"/>
      <c r="O1768" s="421"/>
    </row>
    <row r="1769" spans="3:15" ht="13.5" customHeight="1">
      <c r="C1769" s="421" t="s">
        <v>3286</v>
      </c>
      <c r="D1769" s="421" t="s">
        <v>3287</v>
      </c>
      <c r="H1769" s="421"/>
      <c r="I1769" s="421"/>
      <c r="J1769" s="421"/>
      <c r="K1769" s="421"/>
      <c r="L1769" s="421"/>
      <c r="M1769" s="421"/>
      <c r="N1769" s="421"/>
      <c r="O1769" s="421"/>
    </row>
    <row r="1770" spans="3:15" ht="13.5" customHeight="1">
      <c r="C1770" s="421" t="s">
        <v>3288</v>
      </c>
      <c r="D1770" s="421" t="s">
        <v>3289</v>
      </c>
      <c r="H1770" s="421"/>
      <c r="I1770" s="421"/>
      <c r="J1770" s="421"/>
      <c r="K1770" s="421"/>
      <c r="L1770" s="421"/>
      <c r="M1770" s="421"/>
      <c r="N1770" s="421"/>
      <c r="O1770" s="421"/>
    </row>
    <row r="1771" spans="3:15" ht="13.5" customHeight="1">
      <c r="C1771" s="421" t="s">
        <v>3290</v>
      </c>
      <c r="D1771" s="421" t="s">
        <v>3291</v>
      </c>
      <c r="H1771" s="421"/>
      <c r="I1771" s="421"/>
      <c r="J1771" s="421"/>
      <c r="K1771" s="421"/>
      <c r="L1771" s="421"/>
      <c r="M1771" s="421"/>
      <c r="N1771" s="421"/>
      <c r="O1771" s="421"/>
    </row>
    <row r="1772" spans="3:15" ht="13.5" customHeight="1">
      <c r="C1772" s="421" t="s">
        <v>3292</v>
      </c>
      <c r="D1772" s="421" t="s">
        <v>3293</v>
      </c>
      <c r="H1772" s="421"/>
      <c r="I1772" s="421"/>
      <c r="J1772" s="421"/>
      <c r="K1772" s="421"/>
      <c r="L1772" s="421"/>
      <c r="M1772" s="421"/>
      <c r="N1772" s="421"/>
      <c r="O1772" s="421"/>
    </row>
    <row r="1773" spans="3:15" ht="13.5" customHeight="1">
      <c r="C1773" s="421" t="s">
        <v>3294</v>
      </c>
      <c r="D1773" s="421" t="s">
        <v>3295</v>
      </c>
      <c r="H1773" s="421"/>
      <c r="I1773" s="421"/>
      <c r="J1773" s="421"/>
      <c r="K1773" s="421"/>
      <c r="L1773" s="421"/>
      <c r="M1773" s="421"/>
      <c r="N1773" s="421"/>
      <c r="O1773" s="421"/>
    </row>
    <row r="1774" spans="3:15" ht="13.5" customHeight="1">
      <c r="C1774" s="421" t="s">
        <v>3296</v>
      </c>
      <c r="D1774" s="421" t="s">
        <v>3247</v>
      </c>
      <c r="H1774" s="421"/>
      <c r="I1774" s="421"/>
      <c r="J1774" s="421"/>
      <c r="K1774" s="421"/>
      <c r="L1774" s="421"/>
      <c r="M1774" s="421"/>
      <c r="N1774" s="421"/>
      <c r="O1774" s="421"/>
    </row>
    <row r="1775" spans="3:15" ht="13.5" customHeight="1">
      <c r="C1775" s="421" t="s">
        <v>3297</v>
      </c>
      <c r="D1775" s="421" t="s">
        <v>3249</v>
      </c>
      <c r="H1775" s="421"/>
      <c r="I1775" s="421"/>
      <c r="J1775" s="421"/>
      <c r="K1775" s="421"/>
      <c r="L1775" s="421"/>
      <c r="M1775" s="421"/>
      <c r="N1775" s="421"/>
      <c r="O1775" s="421"/>
    </row>
    <row r="1776" spans="3:15" ht="13.5" customHeight="1">
      <c r="C1776" s="421" t="s">
        <v>3298</v>
      </c>
      <c r="D1776" s="421" t="s">
        <v>3251</v>
      </c>
      <c r="H1776" s="421"/>
      <c r="I1776" s="421"/>
      <c r="J1776" s="421"/>
      <c r="K1776" s="421"/>
      <c r="L1776" s="421"/>
      <c r="M1776" s="421"/>
      <c r="N1776" s="421"/>
      <c r="O1776" s="421"/>
    </row>
    <row r="1777" spans="3:15" ht="13.5" customHeight="1">
      <c r="C1777" s="421" t="s">
        <v>3299</v>
      </c>
      <c r="D1777" s="421" t="s">
        <v>3300</v>
      </c>
      <c r="H1777" s="421"/>
      <c r="I1777" s="421"/>
      <c r="J1777" s="421"/>
      <c r="K1777" s="421"/>
      <c r="L1777" s="421"/>
      <c r="M1777" s="421"/>
      <c r="N1777" s="421"/>
      <c r="O1777" s="421"/>
    </row>
    <row r="1778" spans="3:15" ht="13.5" customHeight="1">
      <c r="C1778" s="421" t="s">
        <v>3301</v>
      </c>
      <c r="D1778" s="421" t="s">
        <v>3255</v>
      </c>
      <c r="H1778" s="421"/>
      <c r="I1778" s="421"/>
      <c r="J1778" s="421"/>
      <c r="K1778" s="421"/>
      <c r="L1778" s="421"/>
      <c r="M1778" s="421"/>
      <c r="N1778" s="421"/>
      <c r="O1778" s="421"/>
    </row>
    <row r="1779" spans="3:15" ht="13.5" customHeight="1">
      <c r="C1779" s="421" t="s">
        <v>3302</v>
      </c>
      <c r="D1779" s="421" t="s">
        <v>3257</v>
      </c>
      <c r="H1779" s="421"/>
      <c r="I1779" s="421"/>
      <c r="J1779" s="421"/>
      <c r="K1779" s="421"/>
      <c r="L1779" s="421"/>
      <c r="M1779" s="421"/>
      <c r="N1779" s="421"/>
      <c r="O1779" s="421"/>
    </row>
    <row r="1780" spans="3:15" ht="13.5" customHeight="1">
      <c r="C1780" s="421" t="s">
        <v>3303</v>
      </c>
      <c r="D1780" s="421" t="s">
        <v>3259</v>
      </c>
      <c r="H1780" s="421"/>
      <c r="I1780" s="421"/>
      <c r="J1780" s="421"/>
      <c r="K1780" s="421"/>
      <c r="L1780" s="421"/>
      <c r="M1780" s="421"/>
      <c r="N1780" s="421"/>
      <c r="O1780" s="421"/>
    </row>
    <row r="1781" spans="3:15" ht="13.5" customHeight="1">
      <c r="C1781" s="421" t="s">
        <v>3304</v>
      </c>
      <c r="D1781" s="421" t="s">
        <v>3261</v>
      </c>
      <c r="H1781" s="421"/>
      <c r="I1781" s="421"/>
      <c r="J1781" s="421"/>
      <c r="K1781" s="421"/>
      <c r="L1781" s="421"/>
      <c r="M1781" s="421"/>
      <c r="N1781" s="421"/>
      <c r="O1781" s="421"/>
    </row>
    <row r="1782" spans="3:15" ht="13.5" customHeight="1">
      <c r="C1782" s="421" t="s">
        <v>3305</v>
      </c>
      <c r="D1782" s="421" t="s">
        <v>3263</v>
      </c>
      <c r="H1782" s="421"/>
      <c r="I1782" s="421"/>
      <c r="J1782" s="421"/>
      <c r="K1782" s="421"/>
      <c r="L1782" s="421"/>
      <c r="M1782" s="421"/>
      <c r="N1782" s="421"/>
      <c r="O1782" s="421"/>
    </row>
    <row r="1783" spans="3:15" ht="13.5" customHeight="1">
      <c r="C1783" s="421" t="s">
        <v>3306</v>
      </c>
      <c r="D1783" s="421" t="s">
        <v>3265</v>
      </c>
      <c r="H1783" s="421"/>
      <c r="I1783" s="421"/>
      <c r="J1783" s="421"/>
      <c r="K1783" s="421"/>
      <c r="L1783" s="421"/>
      <c r="M1783" s="421"/>
      <c r="N1783" s="421"/>
      <c r="O1783" s="421"/>
    </row>
    <row r="1784" spans="3:15" ht="13.5" customHeight="1">
      <c r="C1784" s="421" t="s">
        <v>3307</v>
      </c>
      <c r="D1784" s="421" t="s">
        <v>3267</v>
      </c>
      <c r="H1784" s="421"/>
      <c r="I1784" s="421"/>
      <c r="J1784" s="421"/>
      <c r="K1784" s="421"/>
      <c r="L1784" s="421"/>
      <c r="M1784" s="421"/>
      <c r="N1784" s="421"/>
      <c r="O1784" s="421"/>
    </row>
    <row r="1785" spans="3:15" ht="13.5" customHeight="1">
      <c r="C1785" s="421" t="s">
        <v>3308</v>
      </c>
      <c r="D1785" s="421" t="s">
        <v>3269</v>
      </c>
      <c r="H1785" s="421"/>
      <c r="I1785" s="421"/>
      <c r="J1785" s="421"/>
      <c r="K1785" s="421"/>
      <c r="L1785" s="421"/>
      <c r="M1785" s="421"/>
      <c r="N1785" s="421"/>
      <c r="O1785" s="421"/>
    </row>
    <row r="1786" spans="3:15" ht="13.5" customHeight="1">
      <c r="C1786" s="421" t="s">
        <v>3309</v>
      </c>
      <c r="D1786" s="421" t="s">
        <v>3271</v>
      </c>
      <c r="H1786" s="421"/>
      <c r="I1786" s="421"/>
      <c r="J1786" s="421"/>
      <c r="K1786" s="421"/>
      <c r="L1786" s="421"/>
      <c r="M1786" s="421"/>
      <c r="N1786" s="421"/>
      <c r="O1786" s="421"/>
    </row>
    <row r="1787" spans="3:15" ht="13.5" customHeight="1">
      <c r="C1787" s="421" t="s">
        <v>3310</v>
      </c>
      <c r="D1787" s="421" t="s">
        <v>3273</v>
      </c>
      <c r="H1787" s="421"/>
      <c r="I1787" s="421"/>
      <c r="J1787" s="421"/>
      <c r="K1787" s="421"/>
      <c r="L1787" s="421"/>
      <c r="M1787" s="421"/>
      <c r="N1787" s="421"/>
      <c r="O1787" s="421"/>
    </row>
    <row r="1788" spans="3:15" ht="13.5" customHeight="1">
      <c r="C1788" s="421" t="s">
        <v>3311</v>
      </c>
      <c r="D1788" s="421" t="s">
        <v>3275</v>
      </c>
      <c r="H1788" s="421"/>
      <c r="I1788" s="421"/>
      <c r="J1788" s="421"/>
      <c r="K1788" s="421"/>
      <c r="L1788" s="421"/>
      <c r="M1788" s="421"/>
      <c r="N1788" s="421"/>
      <c r="O1788" s="421"/>
    </row>
    <row r="1789" spans="3:15" ht="13.5" customHeight="1">
      <c r="C1789" s="421" t="s">
        <v>3312</v>
      </c>
      <c r="D1789" s="421" t="s">
        <v>3277</v>
      </c>
      <c r="H1789" s="421"/>
      <c r="I1789" s="421"/>
      <c r="J1789" s="421"/>
      <c r="K1789" s="421"/>
      <c r="L1789" s="421"/>
      <c r="M1789" s="421"/>
      <c r="N1789" s="421"/>
      <c r="O1789" s="421"/>
    </row>
    <row r="1790" spans="3:15" ht="13.5" customHeight="1">
      <c r="C1790" s="421" t="s">
        <v>3313</v>
      </c>
      <c r="D1790" s="421" t="s">
        <v>3314</v>
      </c>
      <c r="H1790" s="421"/>
      <c r="I1790" s="421"/>
      <c r="J1790" s="421"/>
      <c r="K1790" s="421"/>
      <c r="L1790" s="421"/>
      <c r="M1790" s="421"/>
      <c r="N1790" s="421"/>
      <c r="O1790" s="421"/>
    </row>
    <row r="1791" spans="3:15" ht="13.5" customHeight="1">
      <c r="C1791" s="421" t="s">
        <v>3315</v>
      </c>
      <c r="D1791" s="421" t="s">
        <v>3316</v>
      </c>
      <c r="H1791" s="421"/>
      <c r="I1791" s="421"/>
      <c r="J1791" s="421"/>
      <c r="K1791" s="421"/>
      <c r="L1791" s="421"/>
      <c r="M1791" s="421"/>
      <c r="N1791" s="421"/>
      <c r="O1791" s="421"/>
    </row>
    <row r="1792" spans="3:15" ht="13.5" customHeight="1">
      <c r="C1792" s="421" t="s">
        <v>3317</v>
      </c>
      <c r="D1792" s="421" t="s">
        <v>3318</v>
      </c>
      <c r="H1792" s="421"/>
      <c r="I1792" s="421"/>
      <c r="J1792" s="421"/>
      <c r="K1792" s="421"/>
      <c r="L1792" s="421"/>
      <c r="M1792" s="421"/>
      <c r="N1792" s="421"/>
      <c r="O1792" s="421"/>
    </row>
    <row r="1793" spans="3:15" ht="13.5" customHeight="1">
      <c r="C1793" s="421" t="s">
        <v>3319</v>
      </c>
      <c r="D1793" s="421" t="s">
        <v>3320</v>
      </c>
      <c r="H1793" s="421"/>
      <c r="I1793" s="421"/>
      <c r="J1793" s="421"/>
      <c r="K1793" s="421"/>
      <c r="L1793" s="421"/>
      <c r="M1793" s="421"/>
      <c r="N1793" s="421"/>
      <c r="O1793" s="421"/>
    </row>
    <row r="1794" spans="3:15" ht="13.5" customHeight="1">
      <c r="C1794" s="421" t="s">
        <v>3321</v>
      </c>
      <c r="D1794" s="421" t="s">
        <v>3322</v>
      </c>
      <c r="H1794" s="421"/>
      <c r="I1794" s="421"/>
      <c r="J1794" s="421"/>
      <c r="K1794" s="421"/>
      <c r="L1794" s="421"/>
      <c r="M1794" s="421"/>
      <c r="N1794" s="421"/>
      <c r="O1794" s="421"/>
    </row>
    <row r="1795" spans="3:15" ht="13.5" customHeight="1">
      <c r="C1795" s="421" t="s">
        <v>3323</v>
      </c>
      <c r="D1795" s="421" t="s">
        <v>3324</v>
      </c>
      <c r="H1795" s="421"/>
      <c r="I1795" s="421"/>
      <c r="J1795" s="421"/>
      <c r="K1795" s="421"/>
      <c r="L1795" s="421"/>
      <c r="M1795" s="421"/>
      <c r="N1795" s="421"/>
      <c r="O1795" s="421"/>
    </row>
    <row r="1796" spans="3:15" ht="13.5" customHeight="1">
      <c r="C1796" s="421" t="s">
        <v>3325</v>
      </c>
      <c r="D1796" s="421" t="s">
        <v>3326</v>
      </c>
      <c r="H1796" s="421"/>
      <c r="I1796" s="421"/>
      <c r="J1796" s="421"/>
      <c r="K1796" s="421"/>
      <c r="L1796" s="421"/>
      <c r="M1796" s="421"/>
      <c r="N1796" s="421"/>
      <c r="O1796" s="421"/>
    </row>
    <row r="1797" spans="3:15" ht="13.5" customHeight="1">
      <c r="C1797" s="421" t="s">
        <v>3327</v>
      </c>
      <c r="D1797" s="421" t="s">
        <v>3328</v>
      </c>
      <c r="H1797" s="421"/>
      <c r="I1797" s="421"/>
      <c r="J1797" s="421"/>
      <c r="K1797" s="421"/>
      <c r="L1797" s="421"/>
      <c r="M1797" s="421"/>
      <c r="N1797" s="421"/>
      <c r="O1797" s="421"/>
    </row>
    <row r="1798" spans="3:15" ht="13.5" customHeight="1">
      <c r="C1798" s="421" t="s">
        <v>3329</v>
      </c>
      <c r="D1798" s="421" t="s">
        <v>3330</v>
      </c>
      <c r="H1798" s="421"/>
      <c r="I1798" s="421"/>
      <c r="J1798" s="421"/>
      <c r="K1798" s="421"/>
      <c r="L1798" s="421"/>
      <c r="M1798" s="421"/>
      <c r="N1798" s="421"/>
      <c r="O1798" s="421"/>
    </row>
    <row r="1799" spans="3:15" ht="13.5" customHeight="1">
      <c r="C1799" s="421" t="s">
        <v>3331</v>
      </c>
      <c r="D1799" s="421" t="s">
        <v>3247</v>
      </c>
      <c r="H1799" s="421"/>
      <c r="I1799" s="421"/>
      <c r="J1799" s="421"/>
      <c r="K1799" s="421"/>
      <c r="L1799" s="421"/>
      <c r="M1799" s="421"/>
      <c r="N1799" s="421"/>
      <c r="O1799" s="421"/>
    </row>
    <row r="1800" spans="3:15" ht="13.5" customHeight="1">
      <c r="C1800" s="421" t="s">
        <v>3332</v>
      </c>
      <c r="D1800" s="421" t="s">
        <v>3249</v>
      </c>
      <c r="H1800" s="421"/>
      <c r="I1800" s="421"/>
      <c r="J1800" s="421"/>
      <c r="K1800" s="421"/>
      <c r="L1800" s="421"/>
      <c r="M1800" s="421"/>
      <c r="N1800" s="421"/>
      <c r="O1800" s="421"/>
    </row>
    <row r="1801" spans="3:15" ht="13.5" customHeight="1">
      <c r="C1801" s="421" t="s">
        <v>3333</v>
      </c>
      <c r="D1801" s="421" t="s">
        <v>3251</v>
      </c>
      <c r="H1801" s="421"/>
      <c r="I1801" s="421"/>
      <c r="J1801" s="421"/>
      <c r="K1801" s="421"/>
      <c r="L1801" s="421"/>
      <c r="M1801" s="421"/>
      <c r="N1801" s="421"/>
      <c r="O1801" s="421"/>
    </row>
    <row r="1802" spans="3:15" ht="13.5" customHeight="1">
      <c r="C1802" s="421" t="s">
        <v>3334</v>
      </c>
      <c r="D1802" s="421" t="s">
        <v>3300</v>
      </c>
      <c r="H1802" s="421"/>
      <c r="I1802" s="421"/>
      <c r="J1802" s="421"/>
      <c r="K1802" s="421"/>
      <c r="L1802" s="421"/>
      <c r="M1802" s="421"/>
      <c r="N1802" s="421"/>
      <c r="O1802" s="421"/>
    </row>
    <row r="1803" spans="3:15" ht="13.5" customHeight="1">
      <c r="C1803" s="421" t="s">
        <v>3335</v>
      </c>
      <c r="D1803" s="421" t="s">
        <v>3255</v>
      </c>
      <c r="H1803" s="421"/>
      <c r="I1803" s="421"/>
      <c r="J1803" s="421"/>
      <c r="K1803" s="421"/>
      <c r="L1803" s="421"/>
      <c r="M1803" s="421"/>
      <c r="N1803" s="421"/>
      <c r="O1803" s="421"/>
    </row>
    <row r="1804" spans="3:15" ht="13.5" customHeight="1">
      <c r="C1804" s="421" t="s">
        <v>3336</v>
      </c>
      <c r="D1804" s="421" t="s">
        <v>3257</v>
      </c>
      <c r="H1804" s="421"/>
      <c r="I1804" s="421"/>
      <c r="J1804" s="421"/>
      <c r="K1804" s="421"/>
      <c r="L1804" s="421"/>
      <c r="M1804" s="421"/>
      <c r="N1804" s="421"/>
      <c r="O1804" s="421"/>
    </row>
    <row r="1805" spans="3:15" ht="13.5" customHeight="1">
      <c r="C1805" s="421" t="s">
        <v>3337</v>
      </c>
      <c r="D1805" s="421" t="s">
        <v>3259</v>
      </c>
      <c r="H1805" s="421"/>
      <c r="I1805" s="421"/>
      <c r="J1805" s="421"/>
      <c r="K1805" s="421"/>
      <c r="L1805" s="421"/>
      <c r="M1805" s="421"/>
      <c r="N1805" s="421"/>
      <c r="O1805" s="421"/>
    </row>
    <row r="1806" spans="3:15" ht="13.5" customHeight="1">
      <c r="C1806" s="421" t="s">
        <v>3338</v>
      </c>
      <c r="D1806" s="421" t="s">
        <v>3261</v>
      </c>
      <c r="H1806" s="421"/>
      <c r="I1806" s="421"/>
      <c r="J1806" s="421"/>
      <c r="K1806" s="421"/>
      <c r="L1806" s="421"/>
      <c r="M1806" s="421"/>
      <c r="N1806" s="421"/>
      <c r="O1806" s="421"/>
    </row>
    <row r="1807" spans="3:15" ht="13.5" customHeight="1">
      <c r="C1807" s="421" t="s">
        <v>3339</v>
      </c>
      <c r="D1807" s="421" t="s">
        <v>3263</v>
      </c>
      <c r="H1807" s="421"/>
      <c r="I1807" s="421"/>
      <c r="J1807" s="421"/>
      <c r="K1807" s="421"/>
      <c r="L1807" s="421"/>
      <c r="M1807" s="421"/>
      <c r="N1807" s="421"/>
      <c r="O1807" s="421"/>
    </row>
    <row r="1808" spans="3:15" ht="13.5" customHeight="1">
      <c r="C1808" s="421" t="s">
        <v>3340</v>
      </c>
      <c r="D1808" s="421" t="s">
        <v>3265</v>
      </c>
      <c r="H1808" s="421"/>
      <c r="I1808" s="421"/>
      <c r="J1808" s="421"/>
      <c r="K1808" s="421"/>
      <c r="L1808" s="421"/>
      <c r="M1808" s="421"/>
      <c r="N1808" s="421"/>
      <c r="O1808" s="421"/>
    </row>
    <row r="1809" spans="3:15" ht="13.5" customHeight="1">
      <c r="C1809" s="421" t="s">
        <v>3341</v>
      </c>
      <c r="D1809" s="421" t="s">
        <v>3267</v>
      </c>
      <c r="H1809" s="421"/>
      <c r="I1809" s="421"/>
      <c r="J1809" s="421"/>
      <c r="K1809" s="421"/>
      <c r="L1809" s="421"/>
      <c r="M1809" s="421"/>
      <c r="N1809" s="421"/>
      <c r="O1809" s="421"/>
    </row>
    <row r="1810" spans="3:15" ht="13.5" customHeight="1">
      <c r="C1810" s="421" t="s">
        <v>3342</v>
      </c>
      <c r="D1810" s="421" t="s">
        <v>3269</v>
      </c>
      <c r="H1810" s="421"/>
      <c r="I1810" s="421"/>
      <c r="J1810" s="421"/>
      <c r="K1810" s="421"/>
      <c r="L1810" s="421"/>
      <c r="M1810" s="421"/>
      <c r="N1810" s="421"/>
      <c r="O1810" s="421"/>
    </row>
    <row r="1811" spans="3:15" ht="13.5" customHeight="1">
      <c r="C1811" s="421" t="s">
        <v>3343</v>
      </c>
      <c r="D1811" s="421" t="s">
        <v>3271</v>
      </c>
      <c r="H1811" s="421"/>
      <c r="I1811" s="421"/>
      <c r="J1811" s="421"/>
      <c r="K1811" s="421"/>
      <c r="L1811" s="421"/>
      <c r="M1811" s="421"/>
      <c r="N1811" s="421"/>
      <c r="O1811" s="421"/>
    </row>
    <row r="1812" spans="3:15" ht="13.5" customHeight="1">
      <c r="C1812" s="421" t="s">
        <v>3344</v>
      </c>
      <c r="D1812" s="421" t="s">
        <v>3273</v>
      </c>
      <c r="H1812" s="421"/>
      <c r="I1812" s="421"/>
      <c r="J1812" s="421"/>
      <c r="K1812" s="421"/>
      <c r="L1812" s="421"/>
      <c r="M1812" s="421"/>
      <c r="N1812" s="421"/>
      <c r="O1812" s="421"/>
    </row>
    <row r="1813" spans="3:15" ht="13.5" customHeight="1">
      <c r="C1813" s="421" t="s">
        <v>3345</v>
      </c>
      <c r="D1813" s="421" t="s">
        <v>3275</v>
      </c>
      <c r="H1813" s="421"/>
      <c r="I1813" s="421"/>
      <c r="J1813" s="421"/>
      <c r="K1813" s="421"/>
      <c r="L1813" s="421"/>
      <c r="M1813" s="421"/>
      <c r="N1813" s="421"/>
      <c r="O1813" s="421"/>
    </row>
    <row r="1814" spans="3:15" ht="13.5" customHeight="1">
      <c r="C1814" s="421" t="s">
        <v>3346</v>
      </c>
      <c r="D1814" s="421" t="s">
        <v>3277</v>
      </c>
      <c r="H1814" s="421"/>
      <c r="I1814" s="421"/>
      <c r="J1814" s="421"/>
      <c r="K1814" s="421"/>
      <c r="L1814" s="421"/>
      <c r="M1814" s="421"/>
      <c r="N1814" s="421"/>
      <c r="O1814" s="421"/>
    </row>
    <row r="1815" spans="3:15" ht="13.5" customHeight="1">
      <c r="C1815" s="421" t="s">
        <v>3347</v>
      </c>
      <c r="D1815" s="421" t="s">
        <v>3348</v>
      </c>
      <c r="H1815" s="421"/>
      <c r="I1815" s="421"/>
      <c r="J1815" s="421"/>
      <c r="K1815" s="421"/>
      <c r="L1815" s="421"/>
      <c r="M1815" s="421"/>
      <c r="N1815" s="421"/>
      <c r="O1815" s="421"/>
    </row>
    <row r="1816" spans="3:15" ht="13.5" customHeight="1">
      <c r="C1816" s="421" t="s">
        <v>3349</v>
      </c>
      <c r="D1816" s="421" t="s">
        <v>3350</v>
      </c>
      <c r="H1816" s="421"/>
      <c r="I1816" s="421"/>
      <c r="J1816" s="421"/>
      <c r="K1816" s="421"/>
      <c r="L1816" s="421"/>
      <c r="M1816" s="421"/>
      <c r="N1816" s="421"/>
      <c r="O1816" s="421"/>
    </row>
    <row r="1817" spans="3:15" ht="13.5" customHeight="1">
      <c r="C1817" s="421" t="s">
        <v>3351</v>
      </c>
      <c r="D1817" s="421" t="s">
        <v>3352</v>
      </c>
      <c r="H1817" s="421"/>
      <c r="I1817" s="421"/>
      <c r="J1817" s="421"/>
      <c r="K1817" s="421"/>
      <c r="L1817" s="421"/>
      <c r="M1817" s="421"/>
      <c r="N1817" s="421"/>
      <c r="O1817" s="421"/>
    </row>
    <row r="1818" spans="3:15" ht="13.5" customHeight="1">
      <c r="C1818" s="421" t="s">
        <v>3353</v>
      </c>
      <c r="D1818" s="421" t="s">
        <v>3354</v>
      </c>
      <c r="H1818" s="421"/>
      <c r="I1818" s="421"/>
      <c r="J1818" s="421"/>
      <c r="K1818" s="421"/>
      <c r="L1818" s="421"/>
      <c r="M1818" s="421"/>
      <c r="N1818" s="421"/>
      <c r="O1818" s="421"/>
    </row>
    <row r="1819" spans="3:15" ht="13.5" customHeight="1">
      <c r="C1819" s="421" t="s">
        <v>3355</v>
      </c>
      <c r="D1819" s="421" t="s">
        <v>3356</v>
      </c>
      <c r="H1819" s="421"/>
      <c r="I1819" s="421"/>
      <c r="J1819" s="421"/>
      <c r="K1819" s="421"/>
      <c r="L1819" s="421"/>
      <c r="M1819" s="421"/>
      <c r="N1819" s="421"/>
      <c r="O1819" s="421"/>
    </row>
    <row r="1820" spans="3:15" ht="13.5" customHeight="1">
      <c r="C1820" s="421" t="s">
        <v>3357</v>
      </c>
      <c r="D1820" s="421" t="s">
        <v>3358</v>
      </c>
      <c r="H1820" s="421"/>
      <c r="I1820" s="421"/>
      <c r="J1820" s="421"/>
      <c r="K1820" s="421"/>
      <c r="L1820" s="421"/>
      <c r="M1820" s="421"/>
      <c r="N1820" s="421"/>
      <c r="O1820" s="421"/>
    </row>
    <row r="1821" spans="3:15" ht="13.5" customHeight="1">
      <c r="C1821" s="421" t="s">
        <v>3359</v>
      </c>
      <c r="D1821" s="421" t="s">
        <v>3360</v>
      </c>
      <c r="H1821" s="421"/>
      <c r="I1821" s="421"/>
      <c r="J1821" s="421"/>
      <c r="K1821" s="421"/>
      <c r="L1821" s="421"/>
      <c r="M1821" s="421"/>
      <c r="N1821" s="421"/>
      <c r="O1821" s="421"/>
    </row>
    <row r="1822" spans="3:15" ht="13.5" customHeight="1">
      <c r="C1822" s="421" t="s">
        <v>3361</v>
      </c>
      <c r="D1822" s="421" t="s">
        <v>3362</v>
      </c>
      <c r="H1822" s="421"/>
      <c r="I1822" s="421"/>
      <c r="J1822" s="421"/>
      <c r="K1822" s="421"/>
      <c r="L1822" s="421"/>
      <c r="M1822" s="421"/>
      <c r="N1822" s="421"/>
      <c r="O1822" s="421"/>
    </row>
    <row r="1823" spans="3:15" ht="13.5" customHeight="1">
      <c r="C1823" s="421" t="s">
        <v>3363</v>
      </c>
      <c r="D1823" s="421" t="s">
        <v>3364</v>
      </c>
      <c r="H1823" s="421"/>
      <c r="I1823" s="421"/>
      <c r="J1823" s="421"/>
      <c r="K1823" s="421"/>
      <c r="L1823" s="421"/>
      <c r="M1823" s="421"/>
      <c r="N1823" s="421"/>
      <c r="O1823" s="421"/>
    </row>
    <row r="1824" spans="3:15" ht="13.5" customHeight="1">
      <c r="C1824" s="421" t="s">
        <v>3365</v>
      </c>
      <c r="D1824" s="421" t="s">
        <v>3247</v>
      </c>
      <c r="H1824" s="421"/>
      <c r="I1824" s="421"/>
      <c r="J1824" s="421"/>
      <c r="K1824" s="421"/>
      <c r="L1824" s="421"/>
      <c r="M1824" s="421"/>
      <c r="N1824" s="421"/>
      <c r="O1824" s="421"/>
    </row>
    <row r="1825" spans="3:15" ht="13.5" customHeight="1">
      <c r="C1825" s="421" t="s">
        <v>3366</v>
      </c>
      <c r="D1825" s="421" t="s">
        <v>3249</v>
      </c>
      <c r="H1825" s="421"/>
      <c r="I1825" s="421"/>
      <c r="J1825" s="421"/>
      <c r="K1825" s="421"/>
      <c r="L1825" s="421"/>
      <c r="M1825" s="421"/>
      <c r="N1825" s="421"/>
      <c r="O1825" s="421"/>
    </row>
    <row r="1826" spans="3:15" ht="13.5" customHeight="1">
      <c r="C1826" s="421" t="s">
        <v>3367</v>
      </c>
      <c r="D1826" s="421" t="s">
        <v>3251</v>
      </c>
      <c r="H1826" s="421"/>
      <c r="I1826" s="421"/>
      <c r="J1826" s="421"/>
      <c r="K1826" s="421"/>
      <c r="L1826" s="421"/>
      <c r="M1826" s="421"/>
      <c r="N1826" s="421"/>
      <c r="O1826" s="421"/>
    </row>
    <row r="1827" spans="3:15" ht="13.5" customHeight="1">
      <c r="C1827" s="421" t="s">
        <v>3368</v>
      </c>
      <c r="D1827" s="421" t="s">
        <v>3369</v>
      </c>
      <c r="H1827" s="421"/>
      <c r="I1827" s="421"/>
      <c r="J1827" s="421"/>
      <c r="K1827" s="421"/>
      <c r="L1827" s="421"/>
      <c r="M1827" s="421"/>
      <c r="N1827" s="421"/>
      <c r="O1827" s="421"/>
    </row>
    <row r="1828" spans="3:15" ht="13.5" customHeight="1">
      <c r="C1828" s="421" t="s">
        <v>3370</v>
      </c>
      <c r="D1828" s="421" t="s">
        <v>3255</v>
      </c>
      <c r="H1828" s="421"/>
      <c r="I1828" s="421"/>
      <c r="J1828" s="421"/>
      <c r="K1828" s="421"/>
      <c r="L1828" s="421"/>
      <c r="M1828" s="421"/>
      <c r="N1828" s="421"/>
      <c r="O1828" s="421"/>
    </row>
    <row r="1829" spans="3:15" ht="13.5" customHeight="1">
      <c r="C1829" s="421" t="s">
        <v>3371</v>
      </c>
      <c r="D1829" s="421" t="s">
        <v>3257</v>
      </c>
      <c r="H1829" s="421"/>
      <c r="I1829" s="421"/>
      <c r="J1829" s="421"/>
      <c r="K1829" s="421"/>
      <c r="L1829" s="421"/>
      <c r="M1829" s="421"/>
      <c r="N1829" s="421"/>
      <c r="O1829" s="421"/>
    </row>
    <row r="1830" spans="3:15" ht="13.5" customHeight="1">
      <c r="C1830" s="421" t="s">
        <v>3372</v>
      </c>
      <c r="D1830" s="421" t="s">
        <v>3259</v>
      </c>
      <c r="H1830" s="421"/>
      <c r="I1830" s="421"/>
      <c r="J1830" s="421"/>
      <c r="K1830" s="421"/>
      <c r="L1830" s="421"/>
      <c r="M1830" s="421"/>
      <c r="N1830" s="421"/>
      <c r="O1830" s="421"/>
    </row>
    <row r="1831" spans="3:15" ht="13.5" customHeight="1">
      <c r="C1831" s="421" t="s">
        <v>3373</v>
      </c>
      <c r="D1831" s="421" t="s">
        <v>3261</v>
      </c>
      <c r="H1831" s="421"/>
      <c r="I1831" s="421"/>
      <c r="J1831" s="421"/>
      <c r="K1831" s="421"/>
      <c r="L1831" s="421"/>
      <c r="M1831" s="421"/>
      <c r="N1831" s="421"/>
      <c r="O1831" s="421"/>
    </row>
    <row r="1832" spans="3:15" ht="13.5" customHeight="1">
      <c r="C1832" s="421" t="s">
        <v>3374</v>
      </c>
      <c r="D1832" s="421" t="s">
        <v>3263</v>
      </c>
      <c r="H1832" s="421"/>
      <c r="I1832" s="421"/>
      <c r="J1832" s="421"/>
      <c r="K1832" s="421"/>
      <c r="L1832" s="421"/>
      <c r="M1832" s="421"/>
      <c r="N1832" s="421"/>
      <c r="O1832" s="421"/>
    </row>
    <row r="1833" spans="3:15" ht="13.5" customHeight="1">
      <c r="C1833" s="421" t="s">
        <v>3375</v>
      </c>
      <c r="D1833" s="421" t="s">
        <v>3265</v>
      </c>
      <c r="H1833" s="421"/>
      <c r="I1833" s="421"/>
      <c r="J1833" s="421"/>
      <c r="K1833" s="421"/>
      <c r="L1833" s="421"/>
      <c r="M1833" s="421"/>
      <c r="N1833" s="421"/>
      <c r="O1833" s="421"/>
    </row>
    <row r="1834" spans="3:15" ht="13.5" customHeight="1">
      <c r="C1834" s="421" t="s">
        <v>3376</v>
      </c>
      <c r="D1834" s="421" t="s">
        <v>3267</v>
      </c>
      <c r="H1834" s="421"/>
      <c r="I1834" s="421"/>
      <c r="J1834" s="421"/>
      <c r="K1834" s="421"/>
      <c r="L1834" s="421"/>
      <c r="M1834" s="421"/>
      <c r="N1834" s="421"/>
      <c r="O1834" s="421"/>
    </row>
    <row r="1835" spans="3:15" ht="13.5" customHeight="1">
      <c r="C1835" s="421" t="s">
        <v>3377</v>
      </c>
      <c r="D1835" s="421" t="s">
        <v>3269</v>
      </c>
      <c r="H1835" s="421"/>
      <c r="I1835" s="421"/>
      <c r="J1835" s="421"/>
      <c r="K1835" s="421"/>
      <c r="L1835" s="421"/>
      <c r="M1835" s="421"/>
      <c r="N1835" s="421"/>
      <c r="O1835" s="421"/>
    </row>
    <row r="1836" spans="3:15" ht="13.5" customHeight="1">
      <c r="C1836" s="421" t="s">
        <v>3378</v>
      </c>
      <c r="D1836" s="421" t="s">
        <v>3271</v>
      </c>
      <c r="H1836" s="421"/>
      <c r="I1836" s="421"/>
      <c r="J1836" s="421"/>
      <c r="K1836" s="421"/>
      <c r="L1836" s="421"/>
      <c r="M1836" s="421"/>
      <c r="N1836" s="421"/>
      <c r="O1836" s="421"/>
    </row>
    <row r="1837" spans="3:15" ht="13.5" customHeight="1">
      <c r="C1837" s="421" t="s">
        <v>3379</v>
      </c>
      <c r="D1837" s="421" t="s">
        <v>3273</v>
      </c>
      <c r="H1837" s="421"/>
      <c r="I1837" s="421"/>
      <c r="J1837" s="421"/>
      <c r="K1837" s="421"/>
      <c r="L1837" s="421"/>
      <c r="M1837" s="421"/>
      <c r="N1837" s="421"/>
      <c r="O1837" s="421"/>
    </row>
    <row r="1838" spans="3:15" ht="13.5" customHeight="1">
      <c r="C1838" s="421" t="s">
        <v>3380</v>
      </c>
      <c r="D1838" s="421" t="s">
        <v>3275</v>
      </c>
      <c r="H1838" s="421"/>
      <c r="I1838" s="421"/>
      <c r="J1838" s="421"/>
      <c r="K1838" s="421"/>
      <c r="L1838" s="421"/>
      <c r="M1838" s="421"/>
      <c r="N1838" s="421"/>
      <c r="O1838" s="421"/>
    </row>
    <row r="1839" spans="3:15" ht="13.5" customHeight="1">
      <c r="C1839" s="421" t="s">
        <v>3381</v>
      </c>
      <c r="D1839" s="421" t="s">
        <v>3277</v>
      </c>
      <c r="H1839" s="421"/>
      <c r="I1839" s="421"/>
      <c r="J1839" s="421"/>
      <c r="K1839" s="421"/>
      <c r="L1839" s="421"/>
      <c r="M1839" s="421"/>
      <c r="N1839" s="421"/>
      <c r="O1839" s="421"/>
    </row>
    <row r="1840" spans="3:15" ht="13.5" customHeight="1">
      <c r="C1840" s="421" t="s">
        <v>3382</v>
      </c>
      <c r="D1840" s="421" t="s">
        <v>3383</v>
      </c>
      <c r="H1840" s="421"/>
      <c r="I1840" s="421"/>
      <c r="J1840" s="421"/>
      <c r="K1840" s="421"/>
      <c r="L1840" s="421"/>
      <c r="M1840" s="421"/>
      <c r="N1840" s="421"/>
      <c r="O1840" s="421"/>
    </row>
    <row r="1841" spans="3:15" ht="13.5" customHeight="1">
      <c r="C1841" s="421" t="s">
        <v>3384</v>
      </c>
      <c r="D1841" s="421" t="s">
        <v>3385</v>
      </c>
      <c r="H1841" s="421"/>
      <c r="I1841" s="421"/>
      <c r="J1841" s="421"/>
      <c r="K1841" s="421"/>
      <c r="L1841" s="421"/>
      <c r="M1841" s="421"/>
      <c r="N1841" s="421"/>
      <c r="O1841" s="421"/>
    </row>
    <row r="1842" spans="3:15" ht="13.5" customHeight="1">
      <c r="C1842" s="421" t="s">
        <v>3386</v>
      </c>
      <c r="D1842" s="421" t="s">
        <v>3387</v>
      </c>
      <c r="H1842" s="421"/>
      <c r="I1842" s="421"/>
      <c r="J1842" s="421"/>
      <c r="K1842" s="421"/>
      <c r="L1842" s="421"/>
      <c r="M1842" s="421"/>
      <c r="N1842" s="421"/>
      <c r="O1842" s="421"/>
    </row>
    <row r="1843" spans="3:15" ht="13.5" customHeight="1">
      <c r="C1843" s="421" t="s">
        <v>3388</v>
      </c>
      <c r="D1843" s="421" t="s">
        <v>3389</v>
      </c>
      <c r="H1843" s="421"/>
      <c r="I1843" s="421"/>
      <c r="J1843" s="421"/>
      <c r="K1843" s="421"/>
      <c r="L1843" s="421"/>
      <c r="M1843" s="421"/>
      <c r="N1843" s="421"/>
      <c r="O1843" s="421"/>
    </row>
    <row r="1844" spans="3:15" ht="13.5" customHeight="1">
      <c r="C1844" s="421" t="s">
        <v>3390</v>
      </c>
      <c r="D1844" s="421" t="s">
        <v>3391</v>
      </c>
      <c r="H1844" s="421"/>
      <c r="I1844" s="421"/>
      <c r="J1844" s="421"/>
      <c r="K1844" s="421"/>
      <c r="L1844" s="421"/>
      <c r="M1844" s="421"/>
      <c r="N1844" s="421"/>
      <c r="O1844" s="421"/>
    </row>
    <row r="1845" spans="3:15" ht="13.5" customHeight="1">
      <c r="C1845" s="421" t="s">
        <v>3392</v>
      </c>
      <c r="D1845" s="421" t="s">
        <v>3393</v>
      </c>
      <c r="H1845" s="421"/>
      <c r="I1845" s="421"/>
      <c r="J1845" s="421"/>
      <c r="K1845" s="421"/>
      <c r="L1845" s="421"/>
      <c r="M1845" s="421"/>
      <c r="N1845" s="421"/>
      <c r="O1845" s="421"/>
    </row>
    <row r="1846" spans="3:15" ht="13.5" customHeight="1">
      <c r="C1846" s="421" t="s">
        <v>3394</v>
      </c>
      <c r="D1846" s="421" t="s">
        <v>3395</v>
      </c>
      <c r="H1846" s="421"/>
      <c r="I1846" s="421"/>
      <c r="J1846" s="421"/>
      <c r="K1846" s="421"/>
      <c r="L1846" s="421"/>
      <c r="M1846" s="421"/>
      <c r="N1846" s="421"/>
      <c r="O1846" s="421"/>
    </row>
    <row r="1847" spans="3:15" ht="13.5" customHeight="1">
      <c r="C1847" s="421" t="s">
        <v>3396</v>
      </c>
      <c r="D1847" s="421" t="s">
        <v>3397</v>
      </c>
      <c r="H1847" s="421"/>
      <c r="I1847" s="421"/>
      <c r="J1847" s="421"/>
      <c r="K1847" s="421"/>
      <c r="L1847" s="421"/>
      <c r="M1847" s="421"/>
      <c r="N1847" s="421"/>
      <c r="O1847" s="421"/>
    </row>
    <row r="1848" spans="3:15" ht="13.5" customHeight="1">
      <c r="C1848" s="421" t="s">
        <v>3398</v>
      </c>
      <c r="D1848" s="421" t="s">
        <v>3399</v>
      </c>
      <c r="H1848" s="421"/>
      <c r="I1848" s="421"/>
      <c r="J1848" s="421"/>
      <c r="K1848" s="421"/>
      <c r="L1848" s="421"/>
      <c r="M1848" s="421"/>
      <c r="N1848" s="421"/>
      <c r="O1848" s="421"/>
    </row>
    <row r="1849" spans="3:15" ht="13.5" customHeight="1">
      <c r="C1849" s="421" t="s">
        <v>3400</v>
      </c>
      <c r="D1849" s="421" t="s">
        <v>3401</v>
      </c>
      <c r="H1849" s="421"/>
      <c r="I1849" s="421"/>
      <c r="J1849" s="421"/>
      <c r="K1849" s="421"/>
      <c r="L1849" s="421"/>
      <c r="M1849" s="421"/>
      <c r="N1849" s="421"/>
      <c r="O1849" s="421"/>
    </row>
    <row r="1850" spans="3:15" ht="13.5" customHeight="1">
      <c r="C1850" s="421" t="s">
        <v>3402</v>
      </c>
      <c r="D1850" s="421" t="s">
        <v>3403</v>
      </c>
      <c r="H1850" s="421"/>
      <c r="I1850" s="421"/>
      <c r="J1850" s="421"/>
      <c r="K1850" s="421"/>
      <c r="L1850" s="421"/>
      <c r="M1850" s="421"/>
      <c r="N1850" s="421"/>
      <c r="O1850" s="421"/>
    </row>
    <row r="1851" spans="3:15" ht="13.5" customHeight="1">
      <c r="C1851" s="421" t="s">
        <v>3404</v>
      </c>
      <c r="D1851" s="421" t="s">
        <v>3405</v>
      </c>
      <c r="H1851" s="421"/>
      <c r="I1851" s="421"/>
      <c r="J1851" s="421"/>
      <c r="K1851" s="421"/>
      <c r="L1851" s="421"/>
      <c r="M1851" s="421"/>
      <c r="N1851" s="421"/>
      <c r="O1851" s="421"/>
    </row>
    <row r="1852" spans="3:15" ht="13.5" customHeight="1">
      <c r="C1852" s="421" t="s">
        <v>3406</v>
      </c>
      <c r="D1852" s="421" t="s">
        <v>3407</v>
      </c>
      <c r="H1852" s="421"/>
      <c r="I1852" s="421"/>
      <c r="J1852" s="421"/>
      <c r="K1852" s="421"/>
      <c r="L1852" s="421"/>
      <c r="M1852" s="421"/>
      <c r="N1852" s="421"/>
      <c r="O1852" s="421"/>
    </row>
    <row r="1853" spans="3:15" ht="13.5" customHeight="1">
      <c r="C1853" s="421" t="s">
        <v>3408</v>
      </c>
      <c r="D1853" s="421" t="s">
        <v>3409</v>
      </c>
      <c r="H1853" s="421"/>
      <c r="I1853" s="421"/>
      <c r="J1853" s="421"/>
      <c r="K1853" s="421"/>
      <c r="L1853" s="421"/>
      <c r="M1853" s="421"/>
      <c r="N1853" s="421"/>
      <c r="O1853" s="421"/>
    </row>
    <row r="1854" spans="3:15" ht="13.5" customHeight="1">
      <c r="C1854" s="421" t="s">
        <v>3410</v>
      </c>
      <c r="D1854" s="421" t="s">
        <v>3411</v>
      </c>
      <c r="H1854" s="421"/>
      <c r="I1854" s="421"/>
      <c r="J1854" s="421"/>
      <c r="K1854" s="421"/>
      <c r="L1854" s="421"/>
      <c r="M1854" s="421"/>
      <c r="N1854" s="421"/>
      <c r="O1854" s="421"/>
    </row>
    <row r="1855" spans="3:15" ht="13.5" customHeight="1">
      <c r="C1855" s="421" t="s">
        <v>3412</v>
      </c>
      <c r="D1855" s="421" t="s">
        <v>3413</v>
      </c>
      <c r="H1855" s="421"/>
      <c r="I1855" s="421"/>
      <c r="J1855" s="421"/>
      <c r="K1855" s="421"/>
      <c r="L1855" s="421"/>
      <c r="M1855" s="421"/>
      <c r="N1855" s="421"/>
      <c r="O1855" s="421"/>
    </row>
    <row r="1856" spans="3:15" ht="13.5" customHeight="1">
      <c r="C1856" s="421" t="s">
        <v>3414</v>
      </c>
      <c r="D1856" s="421" t="s">
        <v>3415</v>
      </c>
      <c r="H1856" s="421"/>
      <c r="I1856" s="421"/>
      <c r="J1856" s="421"/>
      <c r="K1856" s="421"/>
      <c r="L1856" s="421"/>
      <c r="M1856" s="421"/>
      <c r="N1856" s="421"/>
      <c r="O1856" s="421"/>
    </row>
    <row r="1857" spans="3:15" ht="13.5" customHeight="1">
      <c r="C1857" s="421" t="s">
        <v>3416</v>
      </c>
      <c r="D1857" s="421" t="s">
        <v>3417</v>
      </c>
      <c r="H1857" s="421"/>
      <c r="I1857" s="421"/>
      <c r="J1857" s="421"/>
      <c r="K1857" s="421"/>
      <c r="L1857" s="421"/>
      <c r="M1857" s="421"/>
      <c r="N1857" s="421"/>
      <c r="O1857" s="421"/>
    </row>
    <row r="1858" spans="3:15" ht="13.5" customHeight="1">
      <c r="C1858" s="421" t="s">
        <v>3418</v>
      </c>
      <c r="D1858" s="421" t="s">
        <v>3419</v>
      </c>
      <c r="H1858" s="421"/>
      <c r="I1858" s="421"/>
      <c r="J1858" s="421"/>
      <c r="K1858" s="421"/>
      <c r="L1858" s="421"/>
      <c r="M1858" s="421"/>
      <c r="N1858" s="421"/>
      <c r="O1858" s="421"/>
    </row>
    <row r="1859" spans="3:15" ht="13.5" customHeight="1">
      <c r="C1859" s="421" t="s">
        <v>3420</v>
      </c>
      <c r="D1859" s="421" t="s">
        <v>3421</v>
      </c>
      <c r="H1859" s="421"/>
      <c r="I1859" s="421"/>
      <c r="J1859" s="421"/>
      <c r="K1859" s="421"/>
      <c r="L1859" s="421"/>
      <c r="M1859" s="421"/>
      <c r="N1859" s="421"/>
      <c r="O1859" s="421"/>
    </row>
    <row r="1860" spans="3:15" ht="13.5" customHeight="1">
      <c r="C1860" s="421" t="s">
        <v>3422</v>
      </c>
      <c r="D1860" s="421" t="s">
        <v>3423</v>
      </c>
      <c r="H1860" s="421"/>
      <c r="I1860" s="421"/>
      <c r="J1860" s="421"/>
      <c r="K1860" s="421"/>
      <c r="L1860" s="421"/>
      <c r="M1860" s="421"/>
      <c r="N1860" s="421"/>
      <c r="O1860" s="421"/>
    </row>
    <row r="1861" spans="3:15" ht="13.5" customHeight="1">
      <c r="C1861" s="421" t="s">
        <v>3424</v>
      </c>
      <c r="D1861" s="421" t="s">
        <v>3425</v>
      </c>
      <c r="H1861" s="421"/>
      <c r="I1861" s="421"/>
      <c r="J1861" s="421"/>
      <c r="K1861" s="421"/>
      <c r="L1861" s="421"/>
      <c r="M1861" s="421"/>
      <c r="N1861" s="421"/>
      <c r="O1861" s="421"/>
    </row>
    <row r="1862" spans="3:15" ht="13.5" customHeight="1">
      <c r="C1862" s="421" t="s">
        <v>3426</v>
      </c>
      <c r="D1862" s="421" t="s">
        <v>3427</v>
      </c>
      <c r="H1862" s="421"/>
      <c r="I1862" s="421"/>
      <c r="J1862" s="421"/>
      <c r="K1862" s="421"/>
      <c r="L1862" s="421"/>
      <c r="M1862" s="421"/>
      <c r="N1862" s="421"/>
      <c r="O1862" s="421"/>
    </row>
    <row r="1863" spans="3:15" ht="13.5" customHeight="1">
      <c r="C1863" s="421" t="s">
        <v>3428</v>
      </c>
      <c r="D1863" s="421" t="s">
        <v>3429</v>
      </c>
      <c r="H1863" s="421"/>
      <c r="I1863" s="421"/>
      <c r="J1863" s="421"/>
      <c r="K1863" s="421"/>
      <c r="L1863" s="421"/>
      <c r="M1863" s="421"/>
      <c r="N1863" s="421"/>
      <c r="O1863" s="421"/>
    </row>
    <row r="1864" spans="3:15" ht="13.5" customHeight="1">
      <c r="C1864" s="421" t="s">
        <v>3430</v>
      </c>
      <c r="D1864" s="421" t="s">
        <v>3431</v>
      </c>
      <c r="H1864" s="421"/>
      <c r="I1864" s="421"/>
      <c r="J1864" s="421"/>
      <c r="K1864" s="421"/>
      <c r="L1864" s="421"/>
      <c r="M1864" s="421"/>
      <c r="N1864" s="421"/>
      <c r="O1864" s="421"/>
    </row>
    <row r="1865" spans="3:15" ht="13.5" customHeight="1">
      <c r="C1865" s="421" t="s">
        <v>3432</v>
      </c>
      <c r="D1865" s="421" t="s">
        <v>3433</v>
      </c>
      <c r="H1865" s="421"/>
      <c r="I1865" s="421"/>
      <c r="J1865" s="421"/>
      <c r="K1865" s="421"/>
      <c r="L1865" s="421"/>
      <c r="M1865" s="421"/>
      <c r="N1865" s="421"/>
      <c r="O1865" s="421"/>
    </row>
    <row r="1866" spans="3:15" ht="13.5" customHeight="1">
      <c r="C1866" s="421" t="s">
        <v>3434</v>
      </c>
      <c r="D1866" s="421" t="s">
        <v>3435</v>
      </c>
      <c r="H1866" s="421"/>
      <c r="I1866" s="421"/>
      <c r="J1866" s="421"/>
      <c r="K1866" s="421"/>
      <c r="L1866" s="421"/>
      <c r="M1866" s="421"/>
      <c r="N1866" s="421"/>
      <c r="O1866" s="421"/>
    </row>
    <row r="1867" spans="3:15" ht="13.5" customHeight="1">
      <c r="C1867" s="421" t="s">
        <v>3436</v>
      </c>
      <c r="D1867" s="421" t="s">
        <v>3437</v>
      </c>
      <c r="H1867" s="421"/>
      <c r="I1867" s="421"/>
      <c r="J1867" s="421"/>
      <c r="K1867" s="421"/>
      <c r="L1867" s="421"/>
      <c r="M1867" s="421"/>
      <c r="N1867" s="421"/>
      <c r="O1867" s="421"/>
    </row>
    <row r="1868" spans="3:15" ht="13.5" customHeight="1">
      <c r="C1868" s="421" t="s">
        <v>3438</v>
      </c>
      <c r="D1868" s="421" t="s">
        <v>3439</v>
      </c>
      <c r="H1868" s="421"/>
      <c r="I1868" s="421"/>
      <c r="J1868" s="421"/>
      <c r="K1868" s="421"/>
      <c r="L1868" s="421"/>
      <c r="M1868" s="421"/>
      <c r="N1868" s="421"/>
      <c r="O1868" s="421"/>
    </row>
    <row r="1869" spans="3:15" ht="13.5" customHeight="1">
      <c r="C1869" s="421" t="s">
        <v>3440</v>
      </c>
      <c r="D1869" s="421" t="s">
        <v>3441</v>
      </c>
      <c r="H1869" s="421"/>
      <c r="I1869" s="421"/>
      <c r="J1869" s="421"/>
      <c r="K1869" s="421"/>
      <c r="L1869" s="421"/>
      <c r="M1869" s="421"/>
      <c r="N1869" s="421"/>
      <c r="O1869" s="421"/>
    </row>
    <row r="1870" spans="3:15" ht="13.5" customHeight="1">
      <c r="C1870" s="421" t="s">
        <v>3442</v>
      </c>
      <c r="D1870" s="421" t="s">
        <v>3443</v>
      </c>
      <c r="H1870" s="421"/>
      <c r="I1870" s="421"/>
      <c r="J1870" s="421"/>
      <c r="K1870" s="421"/>
      <c r="L1870" s="421"/>
      <c r="M1870" s="421"/>
      <c r="N1870" s="421"/>
      <c r="O1870" s="421"/>
    </row>
    <row r="1871" spans="3:15" ht="13.5" customHeight="1">
      <c r="C1871" s="421" t="s">
        <v>3444</v>
      </c>
      <c r="D1871" s="421" t="s">
        <v>3445</v>
      </c>
      <c r="H1871" s="421"/>
      <c r="I1871" s="421"/>
      <c r="J1871" s="421"/>
      <c r="K1871" s="421"/>
      <c r="L1871" s="421"/>
      <c r="M1871" s="421"/>
      <c r="N1871" s="421"/>
      <c r="O1871" s="421"/>
    </row>
    <row r="1872" spans="3:15" ht="13.5" customHeight="1">
      <c r="C1872" s="421" t="s">
        <v>3446</v>
      </c>
      <c r="D1872" s="421" t="s">
        <v>3447</v>
      </c>
      <c r="H1872" s="421"/>
      <c r="I1872" s="421"/>
      <c r="J1872" s="421"/>
      <c r="K1872" s="421"/>
      <c r="L1872" s="421"/>
      <c r="M1872" s="421"/>
      <c r="N1872" s="421"/>
      <c r="O1872" s="421"/>
    </row>
    <row r="1873" spans="3:15" ht="13.5" customHeight="1">
      <c r="C1873" s="421" t="s">
        <v>3448</v>
      </c>
      <c r="D1873" s="421" t="s">
        <v>3449</v>
      </c>
      <c r="H1873" s="421"/>
      <c r="I1873" s="421"/>
      <c r="J1873" s="421"/>
      <c r="K1873" s="421"/>
      <c r="L1873" s="421"/>
      <c r="M1873" s="421"/>
      <c r="N1873" s="421"/>
      <c r="O1873" s="421"/>
    </row>
    <row r="1874" spans="3:15" ht="13.5" customHeight="1">
      <c r="C1874" s="421" t="s">
        <v>3450</v>
      </c>
      <c r="D1874" s="421" t="s">
        <v>3451</v>
      </c>
      <c r="H1874" s="421"/>
      <c r="I1874" s="421"/>
      <c r="J1874" s="421"/>
      <c r="K1874" s="421"/>
      <c r="L1874" s="421"/>
      <c r="M1874" s="421"/>
      <c r="N1874" s="421"/>
      <c r="O1874" s="421"/>
    </row>
    <row r="1875" spans="3:15" ht="13.5" customHeight="1">
      <c r="C1875" s="421" t="s">
        <v>3452</v>
      </c>
      <c r="D1875" s="421" t="s">
        <v>3453</v>
      </c>
      <c r="H1875" s="421"/>
      <c r="I1875" s="421"/>
      <c r="J1875" s="421"/>
      <c r="K1875" s="421"/>
      <c r="L1875" s="421"/>
      <c r="M1875" s="421"/>
      <c r="N1875" s="421"/>
      <c r="O1875" s="421"/>
    </row>
    <row r="1876" spans="3:15" ht="13.5" customHeight="1">
      <c r="C1876" s="421" t="s">
        <v>3454</v>
      </c>
      <c r="D1876" s="421" t="s">
        <v>3455</v>
      </c>
      <c r="H1876" s="421"/>
      <c r="I1876" s="421"/>
      <c r="J1876" s="421"/>
      <c r="K1876" s="421"/>
      <c r="L1876" s="421"/>
      <c r="M1876" s="421"/>
      <c r="N1876" s="421"/>
      <c r="O1876" s="421"/>
    </row>
    <row r="1877" spans="3:15" ht="13.5" customHeight="1">
      <c r="C1877" s="421" t="s">
        <v>3456</v>
      </c>
      <c r="D1877" s="421" t="s">
        <v>3457</v>
      </c>
      <c r="H1877" s="421"/>
      <c r="I1877" s="421"/>
      <c r="J1877" s="421"/>
      <c r="K1877" s="421"/>
      <c r="L1877" s="421"/>
      <c r="M1877" s="421"/>
      <c r="N1877" s="421"/>
      <c r="O1877" s="421"/>
    </row>
    <row r="1878" spans="3:15" ht="13.5" customHeight="1">
      <c r="C1878" s="421" t="s">
        <v>3458</v>
      </c>
      <c r="D1878" s="421" t="s">
        <v>3459</v>
      </c>
      <c r="H1878" s="421"/>
      <c r="I1878" s="421"/>
      <c r="J1878" s="421"/>
      <c r="K1878" s="421"/>
      <c r="L1878" s="421"/>
      <c r="M1878" s="421"/>
      <c r="N1878" s="421"/>
      <c r="O1878" s="421"/>
    </row>
    <row r="1879" spans="3:15" ht="13.5" customHeight="1">
      <c r="C1879" s="421" t="s">
        <v>3460</v>
      </c>
      <c r="D1879" s="421" t="s">
        <v>3461</v>
      </c>
      <c r="H1879" s="421"/>
      <c r="I1879" s="421"/>
      <c r="J1879" s="421"/>
      <c r="K1879" s="421"/>
      <c r="L1879" s="421"/>
      <c r="M1879" s="421"/>
      <c r="N1879" s="421"/>
      <c r="O1879" s="421"/>
    </row>
    <row r="1880" spans="3:15" ht="13.5" customHeight="1">
      <c r="C1880" s="421" t="s">
        <v>3462</v>
      </c>
      <c r="D1880" s="421" t="s">
        <v>3463</v>
      </c>
      <c r="H1880" s="421"/>
      <c r="I1880" s="421"/>
      <c r="J1880" s="421"/>
      <c r="K1880" s="421"/>
      <c r="L1880" s="421"/>
      <c r="M1880" s="421"/>
      <c r="N1880" s="421"/>
      <c r="O1880" s="421"/>
    </row>
    <row r="1881" spans="3:15" ht="13.5" customHeight="1">
      <c r="C1881" s="421" t="s">
        <v>3464</v>
      </c>
      <c r="D1881" s="421" t="s">
        <v>3465</v>
      </c>
      <c r="H1881" s="421"/>
      <c r="I1881" s="421"/>
      <c r="J1881" s="421"/>
      <c r="K1881" s="421"/>
      <c r="L1881" s="421"/>
      <c r="M1881" s="421"/>
      <c r="N1881" s="421"/>
      <c r="O1881" s="421"/>
    </row>
    <row r="1882" spans="3:15" ht="13.5" customHeight="1">
      <c r="C1882" s="421" t="s">
        <v>3466</v>
      </c>
      <c r="D1882" s="421" t="s">
        <v>3467</v>
      </c>
      <c r="H1882" s="421"/>
      <c r="I1882" s="421"/>
      <c r="J1882" s="421"/>
      <c r="K1882" s="421"/>
      <c r="L1882" s="421"/>
      <c r="M1882" s="421"/>
      <c r="N1882" s="421"/>
      <c r="O1882" s="421"/>
    </row>
    <row r="1883" spans="3:15" ht="13.5" customHeight="1">
      <c r="C1883" s="421" t="s">
        <v>3468</v>
      </c>
      <c r="D1883" s="421" t="s">
        <v>3469</v>
      </c>
      <c r="H1883" s="421"/>
      <c r="I1883" s="421"/>
      <c r="J1883" s="421"/>
      <c r="K1883" s="421"/>
      <c r="L1883" s="421"/>
      <c r="M1883" s="421"/>
      <c r="N1883" s="421"/>
      <c r="O1883" s="421"/>
    </row>
    <row r="1884" spans="3:15" ht="13.5" customHeight="1">
      <c r="C1884" s="421" t="s">
        <v>3470</v>
      </c>
      <c r="D1884" s="421" t="s">
        <v>3471</v>
      </c>
      <c r="H1884" s="421"/>
      <c r="I1884" s="421"/>
      <c r="J1884" s="421"/>
      <c r="K1884" s="421"/>
      <c r="L1884" s="421"/>
      <c r="M1884" s="421"/>
      <c r="N1884" s="421"/>
      <c r="O1884" s="421"/>
    </row>
    <row r="1885" spans="3:15" ht="13.5" customHeight="1">
      <c r="C1885" s="421" t="s">
        <v>3472</v>
      </c>
      <c r="D1885" s="421" t="s">
        <v>3473</v>
      </c>
      <c r="H1885" s="421"/>
      <c r="I1885" s="421"/>
      <c r="J1885" s="421"/>
      <c r="K1885" s="421"/>
      <c r="L1885" s="421"/>
      <c r="M1885" s="421"/>
      <c r="N1885" s="421"/>
      <c r="O1885" s="421"/>
    </row>
    <row r="1886" spans="3:15" ht="13.5" customHeight="1">
      <c r="C1886" s="421" t="s">
        <v>3474</v>
      </c>
      <c r="D1886" s="421" t="s">
        <v>3475</v>
      </c>
      <c r="H1886" s="421"/>
      <c r="I1886" s="421"/>
      <c r="J1886" s="421"/>
      <c r="K1886" s="421"/>
      <c r="L1886" s="421"/>
      <c r="M1886" s="421"/>
      <c r="N1886" s="421"/>
      <c r="O1886" s="421"/>
    </row>
    <row r="1887" spans="3:15" ht="13.5" customHeight="1">
      <c r="C1887" s="421" t="s">
        <v>3476</v>
      </c>
      <c r="D1887" s="421" t="s">
        <v>3477</v>
      </c>
      <c r="H1887" s="421"/>
      <c r="I1887" s="421"/>
      <c r="J1887" s="421"/>
      <c r="K1887" s="421"/>
      <c r="L1887" s="421"/>
      <c r="M1887" s="421"/>
      <c r="N1887" s="421"/>
      <c r="O1887" s="421"/>
    </row>
    <row r="1888" spans="3:15" ht="13.5" customHeight="1">
      <c r="C1888" s="421" t="s">
        <v>3478</v>
      </c>
      <c r="D1888" s="421" t="s">
        <v>3479</v>
      </c>
      <c r="H1888" s="421"/>
      <c r="I1888" s="421"/>
      <c r="J1888" s="421"/>
      <c r="K1888" s="421"/>
      <c r="L1888" s="421"/>
      <c r="M1888" s="421"/>
      <c r="N1888" s="421"/>
      <c r="O1888" s="421"/>
    </row>
    <row r="1889" spans="3:15" ht="13.5" customHeight="1">
      <c r="C1889" s="421" t="s">
        <v>3480</v>
      </c>
      <c r="D1889" s="421" t="s">
        <v>3481</v>
      </c>
      <c r="H1889" s="421"/>
      <c r="I1889" s="421"/>
      <c r="J1889" s="421"/>
      <c r="K1889" s="421"/>
      <c r="L1889" s="421"/>
      <c r="M1889" s="421"/>
      <c r="N1889" s="421"/>
      <c r="O1889" s="421"/>
    </row>
    <row r="1890" spans="3:15" ht="13.5" customHeight="1">
      <c r="C1890" s="421" t="s">
        <v>3482</v>
      </c>
      <c r="D1890" s="421" t="s">
        <v>3483</v>
      </c>
      <c r="H1890" s="421"/>
      <c r="I1890" s="421"/>
      <c r="J1890" s="421"/>
      <c r="K1890" s="421"/>
      <c r="L1890" s="421"/>
      <c r="M1890" s="421"/>
      <c r="N1890" s="421"/>
      <c r="O1890" s="421"/>
    </row>
    <row r="1891" spans="3:15" ht="13.5" customHeight="1">
      <c r="C1891" s="421" t="s">
        <v>3484</v>
      </c>
      <c r="D1891" s="421" t="s">
        <v>3485</v>
      </c>
      <c r="H1891" s="421"/>
      <c r="I1891" s="421"/>
      <c r="J1891" s="421"/>
      <c r="K1891" s="421"/>
      <c r="L1891" s="421"/>
      <c r="M1891" s="421"/>
      <c r="N1891" s="421"/>
      <c r="O1891" s="421"/>
    </row>
    <row r="1892" spans="3:15" ht="13.5" customHeight="1">
      <c r="C1892" s="421" t="s">
        <v>3486</v>
      </c>
      <c r="D1892" s="421" t="s">
        <v>3487</v>
      </c>
      <c r="H1892" s="421"/>
      <c r="I1892" s="421"/>
      <c r="J1892" s="421"/>
      <c r="K1892" s="421"/>
      <c r="L1892" s="421"/>
      <c r="M1892" s="421"/>
      <c r="N1892" s="421"/>
      <c r="O1892" s="421"/>
    </row>
    <row r="1893" spans="3:15" ht="13.5" customHeight="1">
      <c r="C1893" s="421" t="s">
        <v>3488</v>
      </c>
      <c r="D1893" s="421" t="s">
        <v>3489</v>
      </c>
      <c r="H1893" s="421"/>
      <c r="I1893" s="421"/>
      <c r="J1893" s="421"/>
      <c r="K1893" s="421"/>
      <c r="L1893" s="421"/>
      <c r="M1893" s="421"/>
      <c r="N1893" s="421"/>
      <c r="O1893" s="421"/>
    </row>
    <row r="1894" spans="3:15" ht="13.5" customHeight="1">
      <c r="C1894" s="421" t="s">
        <v>3490</v>
      </c>
      <c r="D1894" s="421" t="s">
        <v>3491</v>
      </c>
      <c r="H1894" s="421"/>
      <c r="I1894" s="421"/>
      <c r="J1894" s="421"/>
      <c r="K1894" s="421"/>
      <c r="L1894" s="421"/>
      <c r="M1894" s="421"/>
      <c r="N1894" s="421"/>
      <c r="O1894" s="421"/>
    </row>
    <row r="1895" spans="3:15" ht="13.5" customHeight="1">
      <c r="C1895" s="421" t="s">
        <v>3492</v>
      </c>
      <c r="D1895" s="421" t="s">
        <v>3493</v>
      </c>
      <c r="H1895" s="421"/>
      <c r="I1895" s="421"/>
      <c r="J1895" s="421"/>
      <c r="K1895" s="421"/>
      <c r="L1895" s="421"/>
      <c r="M1895" s="421"/>
      <c r="N1895" s="421"/>
      <c r="O1895" s="421"/>
    </row>
    <row r="1896" spans="3:15" ht="13.5" customHeight="1">
      <c r="C1896" s="421" t="s">
        <v>3494</v>
      </c>
      <c r="D1896" s="421" t="s">
        <v>3495</v>
      </c>
      <c r="H1896" s="421"/>
      <c r="I1896" s="421"/>
      <c r="J1896" s="421"/>
      <c r="K1896" s="421"/>
      <c r="L1896" s="421"/>
      <c r="M1896" s="421"/>
      <c r="N1896" s="421"/>
      <c r="O1896" s="421"/>
    </row>
    <row r="1897" spans="3:15" ht="13.5" customHeight="1">
      <c r="C1897" s="421" t="s">
        <v>3496</v>
      </c>
      <c r="D1897" s="421" t="s">
        <v>3497</v>
      </c>
      <c r="H1897" s="421"/>
      <c r="I1897" s="421"/>
      <c r="J1897" s="421"/>
      <c r="K1897" s="421"/>
      <c r="L1897" s="421"/>
      <c r="M1897" s="421"/>
      <c r="N1897" s="421"/>
      <c r="O1897" s="421"/>
    </row>
    <row r="1898" spans="3:15" ht="13.5" customHeight="1">
      <c r="C1898" s="421" t="s">
        <v>3498</v>
      </c>
      <c r="D1898" s="421" t="s">
        <v>3499</v>
      </c>
      <c r="H1898" s="421"/>
      <c r="I1898" s="421"/>
      <c r="J1898" s="421"/>
      <c r="K1898" s="421"/>
      <c r="L1898" s="421"/>
      <c r="M1898" s="421"/>
      <c r="N1898" s="421"/>
      <c r="O1898" s="421"/>
    </row>
    <row r="1899" spans="3:15" ht="13.5" customHeight="1">
      <c r="C1899" s="421" t="s">
        <v>3500</v>
      </c>
      <c r="D1899" s="421" t="s">
        <v>3501</v>
      </c>
      <c r="H1899" s="421"/>
      <c r="I1899" s="421"/>
      <c r="J1899" s="421"/>
      <c r="K1899" s="421"/>
      <c r="L1899" s="421"/>
      <c r="M1899" s="421"/>
      <c r="N1899" s="421"/>
      <c r="O1899" s="421"/>
    </row>
    <row r="1900" spans="3:15" ht="13.5" customHeight="1">
      <c r="C1900" s="421" t="s">
        <v>3502</v>
      </c>
      <c r="D1900" s="421" t="s">
        <v>3503</v>
      </c>
      <c r="H1900" s="421"/>
      <c r="I1900" s="421"/>
      <c r="J1900" s="421"/>
      <c r="K1900" s="421"/>
      <c r="L1900" s="421"/>
      <c r="M1900" s="421"/>
      <c r="N1900" s="421"/>
      <c r="O1900" s="421"/>
    </row>
    <row r="1901" spans="3:15" ht="13.5" customHeight="1">
      <c r="C1901" s="421" t="s">
        <v>3504</v>
      </c>
      <c r="D1901" s="421" t="s">
        <v>3505</v>
      </c>
      <c r="H1901" s="421"/>
      <c r="I1901" s="421"/>
      <c r="J1901" s="421"/>
      <c r="K1901" s="421"/>
      <c r="L1901" s="421"/>
      <c r="M1901" s="421"/>
      <c r="N1901" s="421"/>
      <c r="O1901" s="421"/>
    </row>
    <row r="1902" spans="3:15" ht="13.5" customHeight="1">
      <c r="C1902" s="421" t="s">
        <v>3506</v>
      </c>
      <c r="D1902" s="421" t="s">
        <v>3507</v>
      </c>
      <c r="H1902" s="421"/>
      <c r="I1902" s="421"/>
      <c r="J1902" s="421"/>
      <c r="K1902" s="421"/>
      <c r="L1902" s="421"/>
      <c r="M1902" s="421"/>
      <c r="N1902" s="421"/>
      <c r="O1902" s="421"/>
    </row>
    <row r="1903" spans="3:15" ht="13.5" customHeight="1">
      <c r="C1903" s="421" t="s">
        <v>3508</v>
      </c>
      <c r="D1903" s="421" t="s">
        <v>3509</v>
      </c>
      <c r="H1903" s="421"/>
      <c r="I1903" s="421"/>
      <c r="J1903" s="421"/>
      <c r="K1903" s="421"/>
      <c r="L1903" s="421"/>
      <c r="M1903" s="421"/>
      <c r="N1903" s="421"/>
      <c r="O1903" s="421"/>
    </row>
    <row r="1904" spans="3:15" ht="13.5" customHeight="1">
      <c r="C1904" s="421" t="s">
        <v>3510</v>
      </c>
      <c r="D1904" s="421" t="s">
        <v>3511</v>
      </c>
      <c r="H1904" s="421"/>
      <c r="I1904" s="421"/>
      <c r="J1904" s="421"/>
      <c r="K1904" s="421"/>
      <c r="L1904" s="421"/>
      <c r="M1904" s="421"/>
      <c r="N1904" s="421"/>
      <c r="O1904" s="421"/>
    </row>
    <row r="1905" spans="3:15" ht="13.5" customHeight="1">
      <c r="C1905" s="421" t="s">
        <v>3512</v>
      </c>
      <c r="D1905" s="421" t="s">
        <v>3513</v>
      </c>
      <c r="H1905" s="421"/>
      <c r="I1905" s="421"/>
      <c r="J1905" s="421"/>
      <c r="K1905" s="421"/>
      <c r="L1905" s="421"/>
      <c r="M1905" s="421"/>
      <c r="N1905" s="421"/>
      <c r="O1905" s="421"/>
    </row>
    <row r="1906" spans="3:15" ht="13.5" customHeight="1">
      <c r="C1906" s="421" t="s">
        <v>3514</v>
      </c>
      <c r="D1906" s="421" t="s">
        <v>3515</v>
      </c>
      <c r="H1906" s="421"/>
      <c r="I1906" s="421"/>
      <c r="J1906" s="421"/>
      <c r="K1906" s="421"/>
      <c r="L1906" s="421"/>
      <c r="M1906" s="421"/>
      <c r="N1906" s="421"/>
      <c r="O1906" s="421"/>
    </row>
    <row r="1907" spans="3:15" ht="13.5" customHeight="1">
      <c r="C1907" s="421" t="s">
        <v>3516</v>
      </c>
      <c r="D1907" s="421" t="s">
        <v>3517</v>
      </c>
      <c r="H1907" s="421"/>
      <c r="I1907" s="421"/>
      <c r="J1907" s="421"/>
      <c r="K1907" s="421"/>
      <c r="L1907" s="421"/>
      <c r="M1907" s="421"/>
      <c r="N1907" s="421"/>
      <c r="O1907" s="421"/>
    </row>
    <row r="1908" spans="3:15" ht="13.5" customHeight="1">
      <c r="C1908" s="421" t="s">
        <v>3518</v>
      </c>
      <c r="D1908" s="421" t="s">
        <v>3519</v>
      </c>
      <c r="H1908" s="421"/>
      <c r="I1908" s="421"/>
      <c r="J1908" s="421"/>
      <c r="K1908" s="421"/>
      <c r="L1908" s="421"/>
      <c r="M1908" s="421"/>
      <c r="N1908" s="421"/>
      <c r="O1908" s="421"/>
    </row>
    <row r="1909" spans="3:15" ht="13.5" customHeight="1">
      <c r="C1909" s="421" t="s">
        <v>3520</v>
      </c>
      <c r="D1909" s="421" t="s">
        <v>3521</v>
      </c>
      <c r="H1909" s="421"/>
      <c r="I1909" s="421"/>
      <c r="J1909" s="421"/>
      <c r="K1909" s="421"/>
      <c r="L1909" s="421"/>
      <c r="M1909" s="421"/>
      <c r="N1909" s="421"/>
      <c r="O1909" s="421"/>
    </row>
    <row r="1910" spans="3:15" ht="13.5" customHeight="1">
      <c r="C1910" s="421" t="s">
        <v>3522</v>
      </c>
      <c r="D1910" s="421" t="s">
        <v>3523</v>
      </c>
      <c r="H1910" s="421"/>
      <c r="I1910" s="421"/>
      <c r="J1910" s="421"/>
      <c r="K1910" s="421"/>
      <c r="L1910" s="421"/>
      <c r="M1910" s="421"/>
      <c r="N1910" s="421"/>
      <c r="O1910" s="421"/>
    </row>
    <row r="1911" spans="3:15" ht="13.5" customHeight="1">
      <c r="C1911" s="421" t="s">
        <v>3524</v>
      </c>
      <c r="D1911" s="421" t="s">
        <v>3525</v>
      </c>
      <c r="H1911" s="421"/>
      <c r="I1911" s="421"/>
      <c r="J1911" s="421"/>
      <c r="K1911" s="421"/>
      <c r="L1911" s="421"/>
      <c r="M1911" s="421"/>
      <c r="N1911" s="421"/>
      <c r="O1911" s="421"/>
    </row>
    <row r="1912" spans="3:15" ht="13.5" customHeight="1">
      <c r="C1912" s="421" t="s">
        <v>3526</v>
      </c>
      <c r="D1912" s="421" t="s">
        <v>3527</v>
      </c>
      <c r="H1912" s="421"/>
      <c r="I1912" s="421"/>
      <c r="J1912" s="421"/>
      <c r="K1912" s="421"/>
      <c r="L1912" s="421"/>
      <c r="M1912" s="421"/>
      <c r="N1912" s="421"/>
      <c r="O1912" s="421"/>
    </row>
    <row r="1913" spans="3:15" ht="13.5" customHeight="1">
      <c r="C1913" s="421" t="s">
        <v>3528</v>
      </c>
      <c r="D1913" s="421" t="s">
        <v>3529</v>
      </c>
      <c r="H1913" s="421"/>
      <c r="I1913" s="421"/>
      <c r="J1913" s="421"/>
      <c r="K1913" s="421"/>
      <c r="L1913" s="421"/>
      <c r="M1913" s="421"/>
      <c r="N1913" s="421"/>
      <c r="O1913" s="421"/>
    </row>
    <row r="1914" spans="3:15" ht="13.5" customHeight="1">
      <c r="C1914" s="421" t="s">
        <v>3530</v>
      </c>
      <c r="D1914" s="421" t="s">
        <v>3531</v>
      </c>
      <c r="H1914" s="421"/>
      <c r="I1914" s="421"/>
      <c r="J1914" s="421"/>
      <c r="K1914" s="421"/>
      <c r="L1914" s="421"/>
      <c r="M1914" s="421"/>
      <c r="N1914" s="421"/>
      <c r="O1914" s="421"/>
    </row>
    <row r="1915" spans="3:15" ht="13.5" customHeight="1">
      <c r="C1915" s="421" t="s">
        <v>3532</v>
      </c>
      <c r="D1915" s="421" t="s">
        <v>3533</v>
      </c>
      <c r="H1915" s="421"/>
      <c r="I1915" s="421"/>
      <c r="J1915" s="421"/>
      <c r="K1915" s="421"/>
      <c r="L1915" s="421"/>
      <c r="M1915" s="421"/>
      <c r="N1915" s="421"/>
      <c r="O1915" s="421"/>
    </row>
    <row r="1916" spans="3:15" ht="13.5" customHeight="1">
      <c r="C1916" s="421" t="s">
        <v>3534</v>
      </c>
      <c r="D1916" s="421" t="s">
        <v>3535</v>
      </c>
      <c r="H1916" s="421"/>
      <c r="I1916" s="421"/>
      <c r="J1916" s="421"/>
      <c r="K1916" s="421"/>
      <c r="L1916" s="421"/>
      <c r="M1916" s="421"/>
      <c r="N1916" s="421"/>
      <c r="O1916" s="421"/>
    </row>
    <row r="1917" spans="3:15" ht="13.5" customHeight="1">
      <c r="C1917" s="421" t="s">
        <v>3536</v>
      </c>
      <c r="D1917" s="421" t="s">
        <v>3537</v>
      </c>
      <c r="H1917" s="421"/>
      <c r="I1917" s="421"/>
      <c r="J1917" s="421"/>
      <c r="K1917" s="421"/>
      <c r="L1917" s="421"/>
      <c r="M1917" s="421"/>
      <c r="N1917" s="421"/>
      <c r="O1917" s="421"/>
    </row>
    <row r="1918" spans="3:15" ht="13.5" customHeight="1">
      <c r="C1918" s="421" t="s">
        <v>3538</v>
      </c>
      <c r="D1918" s="421" t="s">
        <v>3539</v>
      </c>
      <c r="H1918" s="421"/>
      <c r="I1918" s="421"/>
      <c r="J1918" s="421"/>
      <c r="K1918" s="421"/>
      <c r="L1918" s="421"/>
      <c r="M1918" s="421"/>
      <c r="N1918" s="421"/>
      <c r="O1918" s="421"/>
    </row>
    <row r="1919" spans="3:15" ht="13.5" customHeight="1">
      <c r="C1919" s="421" t="s">
        <v>3540</v>
      </c>
      <c r="D1919" s="421" t="s">
        <v>3541</v>
      </c>
      <c r="H1919" s="421"/>
      <c r="I1919" s="421"/>
      <c r="J1919" s="421"/>
      <c r="K1919" s="421"/>
      <c r="L1919" s="421"/>
      <c r="M1919" s="421"/>
      <c r="N1919" s="421"/>
      <c r="O1919" s="421"/>
    </row>
    <row r="1920" spans="3:15" ht="13.5" customHeight="1">
      <c r="C1920" s="421" t="s">
        <v>3542</v>
      </c>
      <c r="D1920" s="421" t="s">
        <v>3543</v>
      </c>
      <c r="H1920" s="421"/>
      <c r="I1920" s="421"/>
      <c r="J1920" s="421"/>
      <c r="K1920" s="421"/>
      <c r="L1920" s="421"/>
      <c r="M1920" s="421"/>
      <c r="N1920" s="421"/>
      <c r="O1920" s="421"/>
    </row>
    <row r="1921" spans="3:15" ht="13.5" customHeight="1">
      <c r="C1921" s="421" t="s">
        <v>3544</v>
      </c>
      <c r="D1921" s="421" t="s">
        <v>3545</v>
      </c>
      <c r="H1921" s="421"/>
      <c r="I1921" s="421"/>
      <c r="J1921" s="421"/>
      <c r="K1921" s="421"/>
      <c r="L1921" s="421"/>
      <c r="M1921" s="421"/>
      <c r="N1921" s="421"/>
      <c r="O1921" s="421"/>
    </row>
    <row r="1922" spans="3:15" ht="13.5" customHeight="1">
      <c r="C1922" s="421" t="s">
        <v>3546</v>
      </c>
      <c r="D1922" s="421" t="s">
        <v>3547</v>
      </c>
      <c r="H1922" s="421"/>
      <c r="I1922" s="421"/>
      <c r="J1922" s="421"/>
      <c r="K1922" s="421"/>
      <c r="L1922" s="421"/>
      <c r="M1922" s="421"/>
      <c r="N1922" s="421"/>
      <c r="O1922" s="421"/>
    </row>
    <row r="1923" spans="3:15" ht="13.5" customHeight="1">
      <c r="C1923" s="421" t="s">
        <v>3548</v>
      </c>
      <c r="D1923" s="421" t="s">
        <v>3549</v>
      </c>
      <c r="H1923" s="421"/>
      <c r="I1923" s="421"/>
      <c r="J1923" s="421"/>
      <c r="K1923" s="421"/>
      <c r="L1923" s="421"/>
      <c r="M1923" s="421"/>
      <c r="N1923" s="421"/>
      <c r="O1923" s="421"/>
    </row>
    <row r="1924" spans="3:15" ht="13.5" customHeight="1">
      <c r="C1924" s="421" t="s">
        <v>3550</v>
      </c>
      <c r="D1924" s="421" t="s">
        <v>3551</v>
      </c>
      <c r="H1924" s="421"/>
      <c r="I1924" s="421"/>
      <c r="J1924" s="421"/>
      <c r="K1924" s="421"/>
      <c r="L1924" s="421"/>
      <c r="M1924" s="421"/>
      <c r="N1924" s="421"/>
      <c r="O1924" s="421"/>
    </row>
    <row r="1925" spans="3:15" ht="13.5" customHeight="1">
      <c r="C1925" s="421" t="s">
        <v>3552</v>
      </c>
      <c r="D1925" s="421" t="s">
        <v>3553</v>
      </c>
      <c r="H1925" s="421"/>
      <c r="I1925" s="421"/>
      <c r="J1925" s="421"/>
      <c r="K1925" s="421"/>
      <c r="L1925" s="421"/>
      <c r="M1925" s="421"/>
      <c r="N1925" s="421"/>
      <c r="O1925" s="421"/>
    </row>
    <row r="1926" spans="3:15" ht="13.5" customHeight="1">
      <c r="C1926" s="421" t="s">
        <v>3554</v>
      </c>
      <c r="D1926" s="421" t="s">
        <v>3555</v>
      </c>
      <c r="H1926" s="421"/>
      <c r="I1926" s="421"/>
      <c r="J1926" s="421"/>
      <c r="K1926" s="421"/>
      <c r="L1926" s="421"/>
      <c r="M1926" s="421"/>
      <c r="N1926" s="421"/>
      <c r="O1926" s="421"/>
    </row>
    <row r="1927" spans="3:15" ht="13.5" customHeight="1">
      <c r="C1927" s="421" t="s">
        <v>3556</v>
      </c>
      <c r="D1927" s="421" t="s">
        <v>3557</v>
      </c>
      <c r="H1927" s="421"/>
      <c r="I1927" s="421"/>
      <c r="J1927" s="421"/>
      <c r="K1927" s="421"/>
      <c r="L1927" s="421"/>
      <c r="M1927" s="421"/>
      <c r="N1927" s="421"/>
      <c r="O1927" s="421"/>
    </row>
    <row r="1928" spans="3:15" ht="13.5" customHeight="1">
      <c r="C1928" s="421" t="s">
        <v>3558</v>
      </c>
      <c r="D1928" s="421" t="s">
        <v>3559</v>
      </c>
      <c r="H1928" s="421"/>
      <c r="I1928" s="421"/>
      <c r="J1928" s="421"/>
      <c r="K1928" s="421"/>
      <c r="L1928" s="421"/>
      <c r="M1928" s="421"/>
      <c r="N1928" s="421"/>
      <c r="O1928" s="421"/>
    </row>
    <row r="1929" spans="3:15" ht="13.5" customHeight="1">
      <c r="C1929" s="421" t="s">
        <v>3560</v>
      </c>
      <c r="D1929" s="421" t="s">
        <v>3561</v>
      </c>
      <c r="H1929" s="421"/>
      <c r="I1929" s="421"/>
      <c r="J1929" s="421"/>
      <c r="K1929" s="421"/>
      <c r="L1929" s="421"/>
      <c r="M1929" s="421"/>
      <c r="N1929" s="421"/>
      <c r="O1929" s="421"/>
    </row>
    <row r="1930" spans="3:15" ht="13.5" customHeight="1">
      <c r="C1930" s="421" t="s">
        <v>3562</v>
      </c>
      <c r="D1930" s="421" t="s">
        <v>3563</v>
      </c>
      <c r="H1930" s="421"/>
      <c r="I1930" s="421"/>
      <c r="J1930" s="421"/>
      <c r="K1930" s="421"/>
      <c r="L1930" s="421"/>
      <c r="M1930" s="421"/>
      <c r="N1930" s="421"/>
      <c r="O1930" s="421"/>
    </row>
    <row r="1931" spans="3:15" ht="13.5" customHeight="1">
      <c r="C1931" s="421" t="s">
        <v>3564</v>
      </c>
      <c r="D1931" s="421" t="s">
        <v>3565</v>
      </c>
      <c r="H1931" s="421"/>
      <c r="I1931" s="421"/>
      <c r="J1931" s="421"/>
      <c r="K1931" s="421"/>
      <c r="L1931" s="421"/>
      <c r="M1931" s="421"/>
      <c r="N1931" s="421"/>
      <c r="O1931" s="421"/>
    </row>
    <row r="1932" spans="3:15" ht="13.5" customHeight="1">
      <c r="C1932" s="421" t="s">
        <v>3566</v>
      </c>
      <c r="D1932" s="421" t="s">
        <v>3567</v>
      </c>
      <c r="H1932" s="421"/>
      <c r="I1932" s="421"/>
      <c r="J1932" s="421"/>
      <c r="K1932" s="421"/>
      <c r="L1932" s="421"/>
      <c r="M1932" s="421"/>
      <c r="N1932" s="421"/>
      <c r="O1932" s="421"/>
    </row>
    <row r="1933" spans="3:15" ht="13.5" customHeight="1">
      <c r="C1933" s="421" t="s">
        <v>3568</v>
      </c>
      <c r="D1933" s="421" t="s">
        <v>3569</v>
      </c>
      <c r="H1933" s="421"/>
      <c r="I1933" s="421"/>
      <c r="J1933" s="421"/>
      <c r="K1933" s="421"/>
      <c r="L1933" s="421"/>
      <c r="M1933" s="421"/>
      <c r="N1933" s="421"/>
      <c r="O1933" s="421"/>
    </row>
    <row r="1934" spans="3:15" ht="13.5" customHeight="1">
      <c r="C1934" s="421" t="s">
        <v>3570</v>
      </c>
      <c r="D1934" s="421" t="s">
        <v>3571</v>
      </c>
      <c r="H1934" s="421"/>
      <c r="I1934" s="421"/>
      <c r="J1934" s="421"/>
      <c r="K1934" s="421"/>
      <c r="L1934" s="421"/>
      <c r="M1934" s="421"/>
      <c r="N1934" s="421"/>
      <c r="O1934" s="421"/>
    </row>
    <row r="1935" spans="3:15" ht="13.5" customHeight="1">
      <c r="C1935" s="421" t="s">
        <v>3572</v>
      </c>
      <c r="D1935" s="421" t="s">
        <v>3573</v>
      </c>
      <c r="H1935" s="421"/>
      <c r="I1935" s="421"/>
      <c r="J1935" s="421"/>
      <c r="K1935" s="421"/>
      <c r="L1935" s="421"/>
      <c r="M1935" s="421"/>
      <c r="N1935" s="421"/>
      <c r="O1935" s="421"/>
    </row>
    <row r="1936" spans="3:15" ht="13.5" customHeight="1">
      <c r="C1936" s="421" t="s">
        <v>3574</v>
      </c>
      <c r="D1936" s="421" t="s">
        <v>3575</v>
      </c>
      <c r="H1936" s="421"/>
      <c r="I1936" s="421"/>
      <c r="J1936" s="421"/>
      <c r="K1936" s="421"/>
      <c r="L1936" s="421"/>
      <c r="M1936" s="421"/>
      <c r="N1936" s="421"/>
      <c r="O1936" s="421"/>
    </row>
    <row r="1937" spans="3:15" ht="13.5" customHeight="1">
      <c r="C1937" s="421" t="s">
        <v>3576</v>
      </c>
      <c r="D1937" s="421" t="s">
        <v>3577</v>
      </c>
      <c r="H1937" s="421"/>
      <c r="I1937" s="421"/>
      <c r="J1937" s="421"/>
      <c r="K1937" s="421"/>
      <c r="L1937" s="421"/>
      <c r="M1937" s="421"/>
      <c r="N1937" s="421"/>
      <c r="O1937" s="421"/>
    </row>
    <row r="1938" spans="3:15" ht="13.5" customHeight="1">
      <c r="C1938" s="421" t="s">
        <v>3578</v>
      </c>
      <c r="D1938" s="421" t="s">
        <v>3579</v>
      </c>
      <c r="H1938" s="421"/>
      <c r="I1938" s="421"/>
      <c r="J1938" s="421"/>
      <c r="K1938" s="421"/>
      <c r="L1938" s="421"/>
      <c r="M1938" s="421"/>
      <c r="N1938" s="421"/>
      <c r="O1938" s="421"/>
    </row>
    <row r="1939" spans="3:15" ht="13.5" customHeight="1">
      <c r="C1939" s="421" t="s">
        <v>3580</v>
      </c>
      <c r="D1939" s="421" t="s">
        <v>3581</v>
      </c>
      <c r="H1939" s="421"/>
      <c r="I1939" s="421"/>
      <c r="J1939" s="421"/>
      <c r="K1939" s="421"/>
      <c r="L1939" s="421"/>
      <c r="M1939" s="421"/>
      <c r="N1939" s="421"/>
      <c r="O1939" s="421"/>
    </row>
    <row r="1940" spans="3:15" ht="13.5" customHeight="1">
      <c r="C1940" s="421" t="s">
        <v>3582</v>
      </c>
      <c r="D1940" s="421" t="s">
        <v>3583</v>
      </c>
      <c r="H1940" s="421"/>
      <c r="I1940" s="421"/>
      <c r="J1940" s="421"/>
      <c r="K1940" s="421"/>
      <c r="L1940" s="421"/>
      <c r="M1940" s="421"/>
      <c r="N1940" s="421"/>
      <c r="O1940" s="421"/>
    </row>
    <row r="1941" spans="3:15" ht="13.5" customHeight="1">
      <c r="C1941" s="421" t="s">
        <v>3584</v>
      </c>
      <c r="D1941" s="421" t="s">
        <v>3585</v>
      </c>
      <c r="H1941" s="421"/>
      <c r="I1941" s="421"/>
      <c r="J1941" s="421"/>
      <c r="K1941" s="421"/>
      <c r="L1941" s="421"/>
      <c r="M1941" s="421"/>
      <c r="N1941" s="421"/>
      <c r="O1941" s="421"/>
    </row>
    <row r="1942" spans="3:15" ht="13.5" customHeight="1">
      <c r="C1942" s="421" t="s">
        <v>3586</v>
      </c>
      <c r="D1942" s="421" t="s">
        <v>3587</v>
      </c>
      <c r="H1942" s="421"/>
      <c r="I1942" s="421"/>
      <c r="J1942" s="421"/>
      <c r="K1942" s="421"/>
      <c r="L1942" s="421"/>
      <c r="M1942" s="421"/>
      <c r="N1942" s="421"/>
      <c r="O1942" s="421"/>
    </row>
    <row r="1943" spans="3:15" ht="13.5" customHeight="1">
      <c r="C1943" s="421" t="s">
        <v>3588</v>
      </c>
      <c r="D1943" s="421" t="s">
        <v>3589</v>
      </c>
      <c r="H1943" s="421"/>
      <c r="I1943" s="421"/>
      <c r="J1943" s="421"/>
      <c r="K1943" s="421"/>
      <c r="L1943" s="421"/>
      <c r="M1943" s="421"/>
      <c r="N1943" s="421"/>
      <c r="O1943" s="421"/>
    </row>
    <row r="1944" spans="3:15" ht="13.5" customHeight="1">
      <c r="C1944" s="421" t="s">
        <v>3590</v>
      </c>
      <c r="D1944" s="421" t="s">
        <v>3591</v>
      </c>
      <c r="H1944" s="421"/>
      <c r="I1944" s="421"/>
      <c r="J1944" s="421"/>
      <c r="K1944" s="421"/>
      <c r="L1944" s="421"/>
      <c r="M1944" s="421"/>
      <c r="N1944" s="421"/>
      <c r="O1944" s="421"/>
    </row>
    <row r="1945" spans="3:15" ht="13.5" customHeight="1">
      <c r="C1945" s="421" t="s">
        <v>3592</v>
      </c>
      <c r="D1945" s="421" t="s">
        <v>3593</v>
      </c>
      <c r="H1945" s="421"/>
      <c r="I1945" s="421"/>
      <c r="J1945" s="421"/>
      <c r="K1945" s="421"/>
      <c r="L1945" s="421"/>
      <c r="M1945" s="421"/>
      <c r="N1945" s="421"/>
      <c r="O1945" s="421"/>
    </row>
    <row r="1946" spans="3:15" ht="13.5" customHeight="1">
      <c r="C1946" s="421" t="s">
        <v>3594</v>
      </c>
      <c r="D1946" s="421" t="s">
        <v>3595</v>
      </c>
      <c r="H1946" s="421"/>
      <c r="I1946" s="421"/>
      <c r="J1946" s="421"/>
      <c r="K1946" s="421"/>
      <c r="L1946" s="421"/>
      <c r="M1946" s="421"/>
      <c r="N1946" s="421"/>
      <c r="O1946" s="421"/>
    </row>
    <row r="1947" spans="3:15" ht="13.5" customHeight="1">
      <c r="C1947" s="421" t="s">
        <v>3596</v>
      </c>
      <c r="D1947" s="421" t="s">
        <v>3597</v>
      </c>
      <c r="H1947" s="421"/>
      <c r="I1947" s="421"/>
      <c r="J1947" s="421"/>
      <c r="K1947" s="421"/>
      <c r="L1947" s="421"/>
      <c r="M1947" s="421"/>
      <c r="N1947" s="421"/>
      <c r="O1947" s="421"/>
    </row>
    <row r="1948" spans="3:15" ht="13.5" customHeight="1">
      <c r="C1948" s="421" t="s">
        <v>3598</v>
      </c>
      <c r="D1948" s="421" t="s">
        <v>3599</v>
      </c>
      <c r="H1948" s="421"/>
      <c r="I1948" s="421"/>
      <c r="J1948" s="421"/>
      <c r="K1948" s="421"/>
      <c r="L1948" s="421"/>
      <c r="M1948" s="421"/>
      <c r="N1948" s="421"/>
      <c r="O1948" s="421"/>
    </row>
    <row r="1949" spans="3:15" ht="13.5" customHeight="1">
      <c r="C1949" s="421" t="s">
        <v>3600</v>
      </c>
      <c r="D1949" s="421" t="s">
        <v>3601</v>
      </c>
      <c r="H1949" s="421"/>
      <c r="I1949" s="421"/>
      <c r="J1949" s="421"/>
      <c r="K1949" s="421"/>
      <c r="L1949" s="421"/>
      <c r="M1949" s="421"/>
      <c r="N1949" s="421"/>
      <c r="O1949" s="421"/>
    </row>
    <row r="1950" spans="3:15" ht="13.5" customHeight="1">
      <c r="C1950" s="421" t="s">
        <v>3602</v>
      </c>
      <c r="D1950" s="421" t="s">
        <v>3603</v>
      </c>
      <c r="H1950" s="421"/>
      <c r="I1950" s="421"/>
      <c r="J1950" s="421"/>
      <c r="K1950" s="421"/>
      <c r="L1950" s="421"/>
      <c r="M1950" s="421"/>
      <c r="N1950" s="421"/>
      <c r="O1950" s="421"/>
    </row>
    <row r="1951" spans="3:15" ht="13.5" customHeight="1">
      <c r="C1951" s="421" t="s">
        <v>3604</v>
      </c>
      <c r="D1951" s="421" t="s">
        <v>3605</v>
      </c>
      <c r="H1951" s="421"/>
      <c r="I1951" s="421"/>
      <c r="J1951" s="421"/>
      <c r="K1951" s="421"/>
      <c r="L1951" s="421"/>
      <c r="M1951" s="421"/>
      <c r="N1951" s="421"/>
      <c r="O1951" s="421"/>
    </row>
    <row r="1952" spans="3:15" ht="13.5" customHeight="1">
      <c r="C1952" s="421" t="s">
        <v>3606</v>
      </c>
      <c r="D1952" s="421" t="s">
        <v>3607</v>
      </c>
      <c r="H1952" s="421"/>
      <c r="I1952" s="421"/>
      <c r="J1952" s="421"/>
      <c r="K1952" s="421"/>
      <c r="L1952" s="421"/>
      <c r="M1952" s="421"/>
      <c r="N1952" s="421"/>
      <c r="O1952" s="421"/>
    </row>
    <row r="1953" spans="3:15" ht="13.5" customHeight="1">
      <c r="C1953" s="421" t="s">
        <v>3608</v>
      </c>
      <c r="D1953" s="421" t="s">
        <v>3609</v>
      </c>
      <c r="H1953" s="421"/>
      <c r="I1953" s="421"/>
      <c r="J1953" s="421"/>
      <c r="K1953" s="421"/>
      <c r="L1953" s="421"/>
      <c r="M1953" s="421"/>
      <c r="N1953" s="421"/>
      <c r="O1953" s="421"/>
    </row>
    <row r="1954" spans="3:15" ht="13.5" customHeight="1">
      <c r="C1954" s="421" t="s">
        <v>3610</v>
      </c>
      <c r="D1954" s="421" t="s">
        <v>3611</v>
      </c>
      <c r="H1954" s="421"/>
      <c r="I1954" s="421"/>
      <c r="J1954" s="421"/>
      <c r="K1954" s="421"/>
      <c r="L1954" s="421"/>
      <c r="M1954" s="421"/>
      <c r="N1954" s="421"/>
      <c r="O1954" s="421"/>
    </row>
    <row r="1955" spans="3:15" ht="13.5" customHeight="1">
      <c r="C1955" s="421" t="s">
        <v>3612</v>
      </c>
      <c r="D1955" s="421" t="s">
        <v>3613</v>
      </c>
      <c r="H1955" s="421"/>
      <c r="I1955" s="421"/>
      <c r="J1955" s="421"/>
      <c r="K1955" s="421"/>
      <c r="L1955" s="421"/>
      <c r="M1955" s="421"/>
      <c r="N1955" s="421"/>
      <c r="O1955" s="421"/>
    </row>
    <row r="1956" spans="3:15" ht="13.5" customHeight="1">
      <c r="C1956" s="421" t="s">
        <v>3614</v>
      </c>
      <c r="D1956" s="421" t="s">
        <v>3615</v>
      </c>
      <c r="H1956" s="421"/>
      <c r="I1956" s="421"/>
      <c r="J1956" s="421"/>
      <c r="K1956" s="421"/>
      <c r="L1956" s="421"/>
      <c r="M1956" s="421"/>
      <c r="N1956" s="421"/>
      <c r="O1956" s="421"/>
    </row>
    <row r="1957" spans="3:15" ht="13.5" customHeight="1">
      <c r="C1957" s="421" t="s">
        <v>3616</v>
      </c>
      <c r="D1957" s="421" t="s">
        <v>3617</v>
      </c>
      <c r="H1957" s="421"/>
      <c r="I1957" s="421"/>
      <c r="J1957" s="421"/>
      <c r="K1957" s="421"/>
      <c r="L1957" s="421"/>
      <c r="M1957" s="421"/>
      <c r="N1957" s="421"/>
      <c r="O1957" s="421"/>
    </row>
    <row r="1958" spans="3:15" ht="13.5" customHeight="1">
      <c r="C1958" s="421" t="s">
        <v>3618</v>
      </c>
      <c r="D1958" s="421" t="s">
        <v>3619</v>
      </c>
      <c r="H1958" s="421"/>
      <c r="I1958" s="421"/>
      <c r="J1958" s="421"/>
      <c r="K1958" s="421"/>
      <c r="L1958" s="421"/>
      <c r="M1958" s="421"/>
      <c r="N1958" s="421"/>
      <c r="O1958" s="421"/>
    </row>
    <row r="1959" spans="3:15" ht="13.5" customHeight="1">
      <c r="C1959" s="421" t="s">
        <v>3620</v>
      </c>
      <c r="D1959" s="421" t="s">
        <v>3621</v>
      </c>
      <c r="H1959" s="421"/>
      <c r="I1959" s="421"/>
      <c r="J1959" s="421"/>
      <c r="K1959" s="421"/>
      <c r="L1959" s="421"/>
      <c r="M1959" s="421"/>
      <c r="N1959" s="421"/>
      <c r="O1959" s="421"/>
    </row>
    <row r="1960" spans="3:15" ht="13.5" customHeight="1">
      <c r="C1960" s="421" t="s">
        <v>3622</v>
      </c>
      <c r="D1960" s="421" t="s">
        <v>3623</v>
      </c>
      <c r="H1960" s="421"/>
      <c r="I1960" s="421"/>
      <c r="J1960" s="421"/>
      <c r="K1960" s="421"/>
      <c r="L1960" s="421"/>
      <c r="M1960" s="421"/>
      <c r="N1960" s="421"/>
      <c r="O1960" s="421"/>
    </row>
    <row r="1961" spans="3:15" ht="13.5" customHeight="1">
      <c r="C1961" s="421" t="s">
        <v>3624</v>
      </c>
      <c r="D1961" s="421" t="s">
        <v>3625</v>
      </c>
      <c r="H1961" s="421"/>
      <c r="I1961" s="421"/>
      <c r="J1961" s="421"/>
      <c r="K1961" s="421"/>
      <c r="L1961" s="421"/>
      <c r="M1961" s="421"/>
      <c r="N1961" s="421"/>
      <c r="O1961" s="421"/>
    </row>
    <row r="1962" spans="3:15" ht="13.5" customHeight="1">
      <c r="C1962" s="421" t="s">
        <v>3626</v>
      </c>
      <c r="D1962" s="421" t="s">
        <v>3627</v>
      </c>
      <c r="H1962" s="421"/>
      <c r="I1962" s="421"/>
      <c r="J1962" s="421"/>
      <c r="K1962" s="421"/>
      <c r="L1962" s="421"/>
      <c r="M1962" s="421"/>
      <c r="N1962" s="421"/>
      <c r="O1962" s="421"/>
    </row>
    <row r="1963" spans="3:15" ht="13.5" customHeight="1">
      <c r="C1963" s="421" t="s">
        <v>3628</v>
      </c>
      <c r="D1963" s="421" t="s">
        <v>3629</v>
      </c>
      <c r="H1963" s="421"/>
      <c r="I1963" s="421"/>
      <c r="J1963" s="421"/>
      <c r="K1963" s="421"/>
      <c r="L1963" s="421"/>
      <c r="M1963" s="421"/>
      <c r="N1963" s="421"/>
      <c r="O1963" s="421"/>
    </row>
    <row r="1964" spans="3:15" ht="13.5" customHeight="1">
      <c r="C1964" s="421" t="s">
        <v>3630</v>
      </c>
      <c r="D1964" s="421" t="s">
        <v>3631</v>
      </c>
      <c r="H1964" s="421"/>
      <c r="I1964" s="421"/>
      <c r="J1964" s="421"/>
      <c r="K1964" s="421"/>
      <c r="L1964" s="421"/>
      <c r="M1964" s="421"/>
      <c r="N1964" s="421"/>
      <c r="O1964" s="421"/>
    </row>
    <row r="1965" spans="3:15" ht="13.5" customHeight="1">
      <c r="C1965" s="421" t="s">
        <v>3632</v>
      </c>
      <c r="D1965" s="421" t="s">
        <v>3633</v>
      </c>
      <c r="H1965" s="421"/>
      <c r="I1965" s="421"/>
      <c r="J1965" s="421"/>
      <c r="K1965" s="421"/>
      <c r="L1965" s="421"/>
      <c r="M1965" s="421"/>
      <c r="N1965" s="421"/>
      <c r="O1965" s="421"/>
    </row>
    <row r="1966" spans="3:15" ht="13.5" customHeight="1">
      <c r="C1966" s="421" t="s">
        <v>3634</v>
      </c>
      <c r="D1966" s="421" t="s">
        <v>3635</v>
      </c>
      <c r="H1966" s="421"/>
      <c r="I1966" s="421"/>
      <c r="J1966" s="421"/>
      <c r="K1966" s="421"/>
      <c r="L1966" s="421"/>
      <c r="M1966" s="421"/>
      <c r="N1966" s="421"/>
      <c r="O1966" s="421"/>
    </row>
    <row r="1967" spans="3:15" ht="13.5" customHeight="1">
      <c r="C1967" s="421" t="s">
        <v>3636</v>
      </c>
      <c r="D1967" s="421" t="s">
        <v>3637</v>
      </c>
      <c r="H1967" s="421"/>
      <c r="I1967" s="421"/>
      <c r="J1967" s="421"/>
      <c r="K1967" s="421"/>
      <c r="L1967" s="421"/>
      <c r="M1967" s="421"/>
      <c r="N1967" s="421"/>
      <c r="O1967" s="421"/>
    </row>
    <row r="1968" spans="3:15" ht="13.5" customHeight="1">
      <c r="C1968" s="421" t="s">
        <v>3638</v>
      </c>
      <c r="D1968" s="421" t="s">
        <v>3639</v>
      </c>
      <c r="H1968" s="421"/>
      <c r="I1968" s="421"/>
      <c r="J1968" s="421"/>
      <c r="K1968" s="421"/>
      <c r="L1968" s="421"/>
      <c r="M1968" s="421"/>
      <c r="N1968" s="421"/>
      <c r="O1968" s="421"/>
    </row>
    <row r="1969" spans="3:15" ht="13.5" customHeight="1">
      <c r="C1969" s="421" t="s">
        <v>3640</v>
      </c>
      <c r="D1969" s="421" t="s">
        <v>3641</v>
      </c>
      <c r="H1969" s="421"/>
      <c r="I1969" s="421"/>
      <c r="J1969" s="421"/>
      <c r="K1969" s="421"/>
      <c r="L1969" s="421"/>
      <c r="M1969" s="421"/>
      <c r="N1969" s="421"/>
      <c r="O1969" s="421"/>
    </row>
    <row r="1970" spans="3:15" ht="13.5" customHeight="1">
      <c r="C1970" s="421" t="s">
        <v>3642</v>
      </c>
      <c r="D1970" s="421" t="s">
        <v>3643</v>
      </c>
      <c r="H1970" s="421"/>
      <c r="I1970" s="421"/>
      <c r="J1970" s="421"/>
      <c r="K1970" s="421"/>
      <c r="L1970" s="421"/>
      <c r="M1970" s="421"/>
      <c r="N1970" s="421"/>
      <c r="O1970" s="421"/>
    </row>
    <row r="1971" spans="3:15" ht="13.5" customHeight="1">
      <c r="C1971" s="421" t="s">
        <v>3644</v>
      </c>
      <c r="D1971" s="421" t="s">
        <v>3645</v>
      </c>
      <c r="H1971" s="421"/>
      <c r="I1971" s="421"/>
      <c r="J1971" s="421"/>
      <c r="K1971" s="421"/>
      <c r="L1971" s="421"/>
      <c r="M1971" s="421"/>
      <c r="N1971" s="421"/>
      <c r="O1971" s="421"/>
    </row>
    <row r="1972" spans="3:15" ht="13.5" customHeight="1">
      <c r="C1972" s="421" t="s">
        <v>3646</v>
      </c>
      <c r="D1972" s="421" t="s">
        <v>3647</v>
      </c>
      <c r="H1972" s="421"/>
      <c r="I1972" s="421"/>
      <c r="J1972" s="421"/>
      <c r="K1972" s="421"/>
      <c r="L1972" s="421"/>
      <c r="M1972" s="421"/>
      <c r="N1972" s="421"/>
      <c r="O1972" s="421"/>
    </row>
    <row r="1973" spans="3:15" ht="13.5" customHeight="1">
      <c r="C1973" s="421" t="s">
        <v>3648</v>
      </c>
      <c r="D1973" s="421" t="s">
        <v>3649</v>
      </c>
      <c r="H1973" s="421"/>
      <c r="I1973" s="421"/>
      <c r="J1973" s="421"/>
      <c r="K1973" s="421"/>
      <c r="L1973" s="421"/>
      <c r="M1973" s="421"/>
      <c r="N1973" s="421"/>
      <c r="O1973" s="421"/>
    </row>
    <row r="1974" spans="3:15" ht="13.5" customHeight="1">
      <c r="C1974" s="421" t="s">
        <v>3650</v>
      </c>
      <c r="D1974" s="421" t="s">
        <v>3651</v>
      </c>
      <c r="H1974" s="421"/>
      <c r="I1974" s="421"/>
      <c r="J1974" s="421"/>
      <c r="K1974" s="421"/>
      <c r="L1974" s="421"/>
      <c r="M1974" s="421"/>
      <c r="N1974" s="421"/>
      <c r="O1974" s="421"/>
    </row>
    <row r="1975" spans="3:15" ht="13.5" customHeight="1">
      <c r="C1975" s="421" t="s">
        <v>3652</v>
      </c>
      <c r="D1975" s="421" t="s">
        <v>3653</v>
      </c>
      <c r="H1975" s="421"/>
      <c r="I1975" s="421"/>
      <c r="J1975" s="421"/>
      <c r="K1975" s="421"/>
      <c r="L1975" s="421"/>
      <c r="M1975" s="421"/>
      <c r="N1975" s="421"/>
      <c r="O1975" s="421"/>
    </row>
    <row r="1976" spans="3:15" ht="13.5" customHeight="1">
      <c r="C1976" s="421" t="s">
        <v>3654</v>
      </c>
      <c r="D1976" s="421" t="s">
        <v>3655</v>
      </c>
      <c r="H1976" s="421"/>
      <c r="I1976" s="421"/>
      <c r="J1976" s="421"/>
      <c r="K1976" s="421"/>
      <c r="L1976" s="421"/>
      <c r="M1976" s="421"/>
      <c r="N1976" s="421"/>
      <c r="O1976" s="421"/>
    </row>
    <row r="1977" spans="3:15" ht="13.5" customHeight="1">
      <c r="C1977" s="421" t="s">
        <v>3656</v>
      </c>
      <c r="D1977" s="421" t="s">
        <v>3657</v>
      </c>
      <c r="H1977" s="421"/>
      <c r="I1977" s="421"/>
      <c r="J1977" s="421"/>
      <c r="K1977" s="421"/>
      <c r="L1977" s="421"/>
      <c r="M1977" s="421"/>
      <c r="N1977" s="421"/>
      <c r="O1977" s="421"/>
    </row>
    <row r="1978" spans="3:15" ht="13.5" customHeight="1">
      <c r="C1978" s="421" t="s">
        <v>3658</v>
      </c>
      <c r="D1978" s="421" t="s">
        <v>3659</v>
      </c>
      <c r="H1978" s="421"/>
      <c r="I1978" s="421"/>
      <c r="J1978" s="421"/>
      <c r="K1978" s="421"/>
      <c r="L1978" s="421"/>
      <c r="M1978" s="421"/>
      <c r="N1978" s="421"/>
      <c r="O1978" s="421"/>
    </row>
    <row r="1979" spans="3:15" ht="13.5" customHeight="1">
      <c r="C1979" s="421" t="s">
        <v>3660</v>
      </c>
      <c r="D1979" s="421" t="s">
        <v>3661</v>
      </c>
      <c r="H1979" s="421"/>
      <c r="I1979" s="421"/>
      <c r="J1979" s="421"/>
      <c r="K1979" s="421"/>
      <c r="L1979" s="421"/>
      <c r="M1979" s="421"/>
      <c r="N1979" s="421"/>
      <c r="O1979" s="421"/>
    </row>
    <row r="1980" spans="3:15" ht="13.5" customHeight="1">
      <c r="C1980" s="421" t="s">
        <v>3662</v>
      </c>
      <c r="D1980" s="421" t="s">
        <v>3663</v>
      </c>
      <c r="H1980" s="421"/>
      <c r="I1980" s="421"/>
      <c r="J1980" s="421"/>
      <c r="K1980" s="421"/>
      <c r="L1980" s="421"/>
      <c r="M1980" s="421"/>
      <c r="N1980" s="421"/>
      <c r="O1980" s="421"/>
    </row>
    <row r="1981" spans="3:15" ht="13.5" customHeight="1">
      <c r="C1981" s="421" t="s">
        <v>3664</v>
      </c>
      <c r="D1981" s="421" t="s">
        <v>3665</v>
      </c>
      <c r="H1981" s="421"/>
      <c r="I1981" s="421"/>
      <c r="J1981" s="421"/>
      <c r="K1981" s="421"/>
      <c r="L1981" s="421"/>
      <c r="M1981" s="421"/>
      <c r="N1981" s="421"/>
      <c r="O1981" s="421"/>
    </row>
    <row r="1982" spans="3:15" ht="13.5" customHeight="1">
      <c r="C1982" s="421" t="s">
        <v>3666</v>
      </c>
      <c r="D1982" s="421" t="s">
        <v>3667</v>
      </c>
      <c r="H1982" s="421"/>
      <c r="I1982" s="421"/>
      <c r="J1982" s="421"/>
      <c r="K1982" s="421"/>
      <c r="L1982" s="421"/>
      <c r="M1982" s="421"/>
      <c r="N1982" s="421"/>
      <c r="O1982" s="421"/>
    </row>
    <row r="1983" spans="3:15" ht="13.5" customHeight="1">
      <c r="C1983" s="421" t="s">
        <v>3668</v>
      </c>
      <c r="D1983" s="421" t="s">
        <v>3669</v>
      </c>
      <c r="H1983" s="421"/>
      <c r="I1983" s="421"/>
      <c r="J1983" s="421"/>
      <c r="K1983" s="421"/>
      <c r="L1983" s="421"/>
      <c r="M1983" s="421"/>
      <c r="N1983" s="421"/>
      <c r="O1983" s="421"/>
    </row>
    <row r="1984" spans="3:15" ht="13.5" customHeight="1">
      <c r="C1984" s="421" t="s">
        <v>3670</v>
      </c>
      <c r="D1984" s="421" t="s">
        <v>3671</v>
      </c>
      <c r="H1984" s="421"/>
      <c r="I1984" s="421"/>
      <c r="J1984" s="421"/>
      <c r="K1984" s="421"/>
      <c r="L1984" s="421"/>
      <c r="M1984" s="421"/>
      <c r="N1984" s="421"/>
      <c r="O1984" s="421"/>
    </row>
    <row r="1985" spans="3:15" ht="13.5" customHeight="1">
      <c r="C1985" s="421" t="s">
        <v>3672</v>
      </c>
      <c r="D1985" s="421" t="s">
        <v>3673</v>
      </c>
      <c r="H1985" s="421"/>
      <c r="I1985" s="421"/>
      <c r="J1985" s="421"/>
      <c r="K1985" s="421"/>
      <c r="L1985" s="421"/>
      <c r="M1985" s="421"/>
      <c r="N1985" s="421"/>
      <c r="O1985" s="421"/>
    </row>
    <row r="1986" spans="3:15" ht="13.5" customHeight="1">
      <c r="C1986" s="421" t="s">
        <v>3674</v>
      </c>
      <c r="D1986" s="421" t="s">
        <v>3675</v>
      </c>
      <c r="H1986" s="421"/>
      <c r="I1986" s="421"/>
      <c r="J1986" s="421"/>
      <c r="K1986" s="421"/>
      <c r="L1986" s="421"/>
      <c r="M1986" s="421"/>
      <c r="N1986" s="421"/>
      <c r="O1986" s="421"/>
    </row>
    <row r="1987" spans="3:15" ht="13.5" customHeight="1">
      <c r="C1987" s="421" t="s">
        <v>3676</v>
      </c>
      <c r="D1987" s="421" t="s">
        <v>3677</v>
      </c>
      <c r="H1987" s="421"/>
      <c r="I1987" s="421"/>
      <c r="J1987" s="421"/>
      <c r="K1987" s="421"/>
      <c r="L1987" s="421"/>
      <c r="M1987" s="421"/>
      <c r="N1987" s="421"/>
      <c r="O1987" s="421"/>
    </row>
    <row r="1988" spans="3:15" ht="13.5" customHeight="1">
      <c r="C1988" s="421" t="s">
        <v>3678</v>
      </c>
      <c r="D1988" s="421" t="s">
        <v>3679</v>
      </c>
      <c r="H1988" s="421"/>
      <c r="I1988" s="421"/>
      <c r="J1988" s="421"/>
      <c r="K1988" s="421"/>
      <c r="L1988" s="421"/>
      <c r="M1988" s="421"/>
      <c r="N1988" s="421"/>
      <c r="O1988" s="421"/>
    </row>
    <row r="1989" spans="3:15" ht="13.5" customHeight="1">
      <c r="C1989" s="421" t="s">
        <v>3680</v>
      </c>
      <c r="D1989" s="421" t="s">
        <v>3681</v>
      </c>
      <c r="H1989" s="421"/>
      <c r="I1989" s="421"/>
      <c r="J1989" s="421"/>
      <c r="K1989" s="421"/>
      <c r="L1989" s="421"/>
      <c r="M1989" s="421"/>
      <c r="N1989" s="421"/>
      <c r="O1989" s="421"/>
    </row>
    <row r="1990" spans="3:15" ht="13.5" customHeight="1">
      <c r="C1990" s="421" t="s">
        <v>3682</v>
      </c>
      <c r="D1990" s="421" t="s">
        <v>3683</v>
      </c>
      <c r="H1990" s="421"/>
      <c r="I1990" s="421"/>
      <c r="J1990" s="421"/>
      <c r="K1990" s="421"/>
      <c r="L1990" s="421"/>
      <c r="M1990" s="421"/>
      <c r="N1990" s="421"/>
      <c r="O1990" s="421"/>
    </row>
    <row r="1991" spans="3:15" ht="13.5" customHeight="1">
      <c r="C1991" s="421" t="s">
        <v>3684</v>
      </c>
      <c r="D1991" s="421" t="s">
        <v>3685</v>
      </c>
      <c r="H1991" s="421"/>
      <c r="I1991" s="421"/>
      <c r="J1991" s="421"/>
      <c r="K1991" s="421"/>
      <c r="L1991" s="421"/>
      <c r="M1991" s="421"/>
      <c r="N1991" s="421"/>
      <c r="O1991" s="421"/>
    </row>
    <row r="1992" spans="3:15" ht="13.5" customHeight="1">
      <c r="C1992" s="421" t="s">
        <v>3686</v>
      </c>
      <c r="D1992" s="421" t="s">
        <v>3687</v>
      </c>
      <c r="H1992" s="421"/>
      <c r="I1992" s="421"/>
      <c r="J1992" s="421"/>
      <c r="K1992" s="421"/>
      <c r="L1992" s="421"/>
      <c r="M1992" s="421"/>
      <c r="N1992" s="421"/>
      <c r="O1992" s="421"/>
    </row>
    <row r="1993" spans="3:15" ht="13.5" customHeight="1">
      <c r="C1993" s="421" t="s">
        <v>3688</v>
      </c>
      <c r="D1993" s="421" t="s">
        <v>3689</v>
      </c>
      <c r="H1993" s="421"/>
      <c r="I1993" s="421"/>
      <c r="J1993" s="421"/>
      <c r="K1993" s="421"/>
      <c r="L1993" s="421"/>
      <c r="M1993" s="421"/>
      <c r="N1993" s="421"/>
      <c r="O1993" s="421"/>
    </row>
    <row r="1994" spans="3:15" ht="13.5" customHeight="1">
      <c r="C1994" s="421" t="s">
        <v>3690</v>
      </c>
      <c r="D1994" s="421" t="s">
        <v>3691</v>
      </c>
      <c r="H1994" s="421"/>
      <c r="I1994" s="421"/>
      <c r="J1994" s="421"/>
      <c r="K1994" s="421"/>
      <c r="L1994" s="421"/>
      <c r="M1994" s="421"/>
      <c r="N1994" s="421"/>
      <c r="O1994" s="421"/>
    </row>
    <row r="1995" spans="3:15" ht="13.5" customHeight="1">
      <c r="C1995" s="421" t="s">
        <v>3692</v>
      </c>
      <c r="D1995" s="421" t="s">
        <v>3693</v>
      </c>
      <c r="H1995" s="421"/>
      <c r="I1995" s="421"/>
      <c r="J1995" s="421"/>
      <c r="K1995" s="421"/>
      <c r="L1995" s="421"/>
      <c r="M1995" s="421"/>
      <c r="N1995" s="421"/>
      <c r="O1995" s="421"/>
    </row>
    <row r="1996" spans="3:15" ht="13.5" customHeight="1">
      <c r="C1996" s="421" t="s">
        <v>3694</v>
      </c>
      <c r="D1996" s="421" t="s">
        <v>3695</v>
      </c>
      <c r="H1996" s="421"/>
      <c r="I1996" s="421"/>
      <c r="J1996" s="421"/>
      <c r="K1996" s="421"/>
      <c r="L1996" s="421"/>
      <c r="M1996" s="421"/>
      <c r="N1996" s="421"/>
      <c r="O1996" s="421"/>
    </row>
    <row r="1997" spans="3:15" ht="13.5" customHeight="1">
      <c r="C1997" s="421" t="s">
        <v>3696</v>
      </c>
      <c r="D1997" s="421" t="s">
        <v>3697</v>
      </c>
      <c r="H1997" s="421"/>
      <c r="I1997" s="421"/>
      <c r="J1997" s="421"/>
      <c r="K1997" s="421"/>
      <c r="L1997" s="421"/>
      <c r="M1997" s="421"/>
      <c r="N1997" s="421"/>
      <c r="O1997" s="421"/>
    </row>
    <row r="1998" spans="3:15" ht="13.5" customHeight="1">
      <c r="C1998" s="421" t="s">
        <v>3698</v>
      </c>
      <c r="D1998" s="421" t="s">
        <v>3699</v>
      </c>
      <c r="H1998" s="421"/>
      <c r="I1998" s="421"/>
      <c r="J1998" s="421"/>
      <c r="K1998" s="421"/>
      <c r="L1998" s="421"/>
      <c r="M1998" s="421"/>
      <c r="N1998" s="421"/>
      <c r="O1998" s="421"/>
    </row>
    <row r="1999" spans="3:15" ht="13.5" customHeight="1">
      <c r="C1999" s="421" t="s">
        <v>3700</v>
      </c>
      <c r="D1999" s="421" t="s">
        <v>3701</v>
      </c>
      <c r="H1999" s="421"/>
      <c r="I1999" s="421"/>
      <c r="J1999" s="421"/>
      <c r="K1999" s="421"/>
      <c r="L1999" s="421"/>
      <c r="M1999" s="421"/>
      <c r="N1999" s="421"/>
      <c r="O1999" s="421"/>
    </row>
    <row r="2000" spans="3:15" ht="13.5" customHeight="1">
      <c r="C2000" s="421" t="s">
        <v>3702</v>
      </c>
      <c r="D2000" s="421" t="s">
        <v>3703</v>
      </c>
      <c r="H2000" s="421"/>
      <c r="I2000" s="421"/>
      <c r="J2000" s="421"/>
      <c r="K2000" s="421"/>
      <c r="L2000" s="421"/>
      <c r="M2000" s="421"/>
      <c r="N2000" s="421"/>
      <c r="O2000" s="421"/>
    </row>
    <row r="2001" spans="3:15" ht="13.5" customHeight="1">
      <c r="C2001" s="421" t="s">
        <v>3704</v>
      </c>
      <c r="D2001" s="421" t="s">
        <v>3705</v>
      </c>
      <c r="H2001" s="421"/>
      <c r="I2001" s="421"/>
      <c r="J2001" s="421"/>
      <c r="K2001" s="421"/>
      <c r="L2001" s="421"/>
      <c r="M2001" s="421"/>
      <c r="N2001" s="421"/>
      <c r="O2001" s="421"/>
    </row>
    <row r="2002" spans="3:15" ht="13.5" customHeight="1">
      <c r="C2002" s="421" t="s">
        <v>3706</v>
      </c>
      <c r="D2002" s="421" t="s">
        <v>3707</v>
      </c>
      <c r="H2002" s="421"/>
      <c r="I2002" s="421"/>
      <c r="J2002" s="421"/>
      <c r="K2002" s="421"/>
      <c r="L2002" s="421"/>
      <c r="M2002" s="421"/>
      <c r="N2002" s="421"/>
      <c r="O2002" s="421"/>
    </row>
    <row r="2003" spans="3:15" ht="13.5" customHeight="1">
      <c r="C2003" s="421" t="s">
        <v>3708</v>
      </c>
      <c r="D2003" s="421" t="s">
        <v>3709</v>
      </c>
      <c r="H2003" s="421"/>
      <c r="I2003" s="421"/>
      <c r="J2003" s="421"/>
      <c r="K2003" s="421"/>
      <c r="L2003" s="421"/>
      <c r="M2003" s="421"/>
      <c r="N2003" s="421"/>
      <c r="O2003" s="421"/>
    </row>
    <row r="2004" spans="3:15" ht="13.5" customHeight="1">
      <c r="C2004" s="421" t="s">
        <v>3710</v>
      </c>
      <c r="D2004" s="421" t="s">
        <v>3711</v>
      </c>
      <c r="H2004" s="421"/>
      <c r="I2004" s="421"/>
      <c r="J2004" s="421"/>
      <c r="K2004" s="421"/>
      <c r="L2004" s="421"/>
      <c r="M2004" s="421"/>
      <c r="N2004" s="421"/>
      <c r="O2004" s="421"/>
    </row>
    <row r="2005" spans="3:15" ht="13.5" customHeight="1">
      <c r="C2005" s="421" t="s">
        <v>3712</v>
      </c>
      <c r="D2005" s="421" t="s">
        <v>3713</v>
      </c>
      <c r="H2005" s="421"/>
      <c r="I2005" s="421"/>
      <c r="J2005" s="421"/>
      <c r="K2005" s="421"/>
      <c r="L2005" s="421"/>
      <c r="M2005" s="421"/>
      <c r="N2005" s="421"/>
      <c r="O2005" s="421"/>
    </row>
    <row r="2006" spans="3:15" ht="13.5" customHeight="1">
      <c r="C2006" s="421" t="s">
        <v>3714</v>
      </c>
      <c r="D2006" s="421" t="s">
        <v>3715</v>
      </c>
      <c r="H2006" s="421"/>
      <c r="I2006" s="421"/>
      <c r="J2006" s="421"/>
      <c r="K2006" s="421"/>
      <c r="L2006" s="421"/>
      <c r="M2006" s="421"/>
      <c r="N2006" s="421"/>
      <c r="O2006" s="421"/>
    </row>
    <row r="2007" spans="3:15" ht="13.5" customHeight="1">
      <c r="C2007" s="421" t="s">
        <v>3716</v>
      </c>
      <c r="D2007" s="421" t="s">
        <v>3717</v>
      </c>
      <c r="H2007" s="421"/>
      <c r="I2007" s="421"/>
      <c r="J2007" s="421"/>
      <c r="K2007" s="421"/>
      <c r="L2007" s="421"/>
      <c r="M2007" s="421"/>
      <c r="N2007" s="421"/>
      <c r="O2007" s="421"/>
    </row>
    <row r="2008" spans="3:15" ht="13.5" customHeight="1">
      <c r="C2008" s="421" t="s">
        <v>3718</v>
      </c>
      <c r="D2008" s="421" t="s">
        <v>3719</v>
      </c>
      <c r="H2008" s="421"/>
      <c r="I2008" s="421"/>
      <c r="J2008" s="421"/>
      <c r="K2008" s="421"/>
      <c r="L2008" s="421"/>
      <c r="M2008" s="421"/>
      <c r="N2008" s="421"/>
      <c r="O2008" s="421"/>
    </row>
    <row r="2009" spans="3:15" ht="13.5" customHeight="1">
      <c r="C2009" s="421" t="s">
        <v>3720</v>
      </c>
      <c r="D2009" s="421" t="s">
        <v>3721</v>
      </c>
      <c r="H2009" s="421"/>
      <c r="I2009" s="421"/>
      <c r="J2009" s="421"/>
      <c r="K2009" s="421"/>
      <c r="L2009" s="421"/>
      <c r="M2009" s="421"/>
      <c r="N2009" s="421"/>
      <c r="O2009" s="421"/>
    </row>
    <row r="2010" spans="3:15" ht="13.5" customHeight="1">
      <c r="C2010" s="421" t="s">
        <v>3722</v>
      </c>
      <c r="D2010" s="421" t="s">
        <v>3723</v>
      </c>
      <c r="H2010" s="421"/>
      <c r="I2010" s="421"/>
      <c r="J2010" s="421"/>
      <c r="K2010" s="421"/>
      <c r="L2010" s="421"/>
      <c r="M2010" s="421"/>
      <c r="N2010" s="421"/>
      <c r="O2010" s="421"/>
    </row>
    <row r="2011" spans="3:15" ht="13.5" customHeight="1">
      <c r="C2011" s="421" t="s">
        <v>3724</v>
      </c>
      <c r="D2011" s="421" t="s">
        <v>3725</v>
      </c>
      <c r="H2011" s="421"/>
      <c r="I2011" s="421"/>
      <c r="J2011" s="421"/>
      <c r="K2011" s="421"/>
      <c r="L2011" s="421"/>
      <c r="M2011" s="421"/>
      <c r="N2011" s="421"/>
      <c r="O2011" s="421"/>
    </row>
    <row r="2012" spans="3:15" ht="13.5" customHeight="1">
      <c r="C2012" s="421" t="s">
        <v>3726</v>
      </c>
      <c r="D2012" s="421" t="s">
        <v>3727</v>
      </c>
      <c r="H2012" s="421"/>
      <c r="I2012" s="421"/>
      <c r="J2012" s="421"/>
      <c r="K2012" s="421"/>
      <c r="L2012" s="421"/>
      <c r="M2012" s="421"/>
      <c r="N2012" s="421"/>
      <c r="O2012" s="421"/>
    </row>
    <row r="2013" spans="3:15" ht="13.5" customHeight="1">
      <c r="C2013" s="421" t="s">
        <v>3728</v>
      </c>
      <c r="D2013" s="421" t="s">
        <v>3729</v>
      </c>
      <c r="H2013" s="421"/>
      <c r="I2013" s="421"/>
      <c r="J2013" s="421"/>
      <c r="K2013" s="421"/>
      <c r="L2013" s="421"/>
      <c r="M2013" s="421"/>
      <c r="N2013" s="421"/>
      <c r="O2013" s="421"/>
    </row>
    <row r="2014" spans="3:15" ht="13.5" customHeight="1">
      <c r="C2014" s="421" t="s">
        <v>3730</v>
      </c>
      <c r="D2014" s="421" t="s">
        <v>3731</v>
      </c>
      <c r="H2014" s="421"/>
      <c r="I2014" s="421"/>
      <c r="J2014" s="421"/>
      <c r="K2014" s="421"/>
      <c r="L2014" s="421"/>
      <c r="M2014" s="421"/>
      <c r="N2014" s="421"/>
      <c r="O2014" s="421"/>
    </row>
    <row r="2015" spans="3:15" ht="13.5" customHeight="1">
      <c r="C2015" s="421" t="s">
        <v>3732</v>
      </c>
      <c r="D2015" s="421" t="s">
        <v>3733</v>
      </c>
      <c r="H2015" s="421"/>
      <c r="I2015" s="421"/>
      <c r="J2015" s="421"/>
      <c r="K2015" s="421"/>
      <c r="L2015" s="421"/>
      <c r="M2015" s="421"/>
      <c r="N2015" s="421"/>
      <c r="O2015" s="421"/>
    </row>
    <row r="2016" spans="3:15" ht="13.5" customHeight="1">
      <c r="C2016" s="421" t="s">
        <v>3734</v>
      </c>
      <c r="D2016" s="421" t="s">
        <v>3735</v>
      </c>
      <c r="H2016" s="421"/>
      <c r="I2016" s="421"/>
      <c r="J2016" s="421"/>
      <c r="K2016" s="421"/>
      <c r="L2016" s="421"/>
      <c r="M2016" s="421"/>
      <c r="N2016" s="421"/>
      <c r="O2016" s="421"/>
    </row>
    <row r="2017" spans="3:15" ht="13.5" customHeight="1">
      <c r="C2017" s="421" t="s">
        <v>3736</v>
      </c>
      <c r="D2017" s="421" t="s">
        <v>3737</v>
      </c>
      <c r="H2017" s="421"/>
      <c r="I2017" s="421"/>
      <c r="J2017" s="421"/>
      <c r="K2017" s="421"/>
      <c r="L2017" s="421"/>
      <c r="M2017" s="421"/>
      <c r="N2017" s="421"/>
      <c r="O2017" s="421"/>
    </row>
    <row r="2018" spans="3:15" ht="13.5" customHeight="1">
      <c r="C2018" s="421" t="s">
        <v>3738</v>
      </c>
      <c r="D2018" s="421" t="s">
        <v>3739</v>
      </c>
      <c r="H2018" s="421"/>
      <c r="I2018" s="421"/>
      <c r="J2018" s="421"/>
      <c r="K2018" s="421"/>
      <c r="L2018" s="421"/>
      <c r="M2018" s="421"/>
      <c r="N2018" s="421"/>
      <c r="O2018" s="421"/>
    </row>
    <row r="2019" spans="3:15" ht="13.5" customHeight="1">
      <c r="C2019" s="421" t="s">
        <v>3740</v>
      </c>
      <c r="D2019" s="421" t="s">
        <v>3741</v>
      </c>
      <c r="H2019" s="421"/>
      <c r="I2019" s="421"/>
      <c r="J2019" s="421"/>
      <c r="K2019" s="421"/>
      <c r="L2019" s="421"/>
      <c r="M2019" s="421"/>
      <c r="N2019" s="421"/>
      <c r="O2019" s="421"/>
    </row>
    <row r="2020" spans="3:15" ht="13.5" customHeight="1">
      <c r="C2020" s="421" t="s">
        <v>3742</v>
      </c>
      <c r="D2020" s="421" t="s">
        <v>3743</v>
      </c>
      <c r="H2020" s="421"/>
      <c r="I2020" s="421"/>
      <c r="J2020" s="421"/>
      <c r="K2020" s="421"/>
      <c r="L2020" s="421"/>
      <c r="M2020" s="421"/>
      <c r="N2020" s="421"/>
      <c r="O2020" s="421"/>
    </row>
    <row r="2021" spans="3:15" ht="13.5" customHeight="1">
      <c r="C2021" s="421" t="s">
        <v>3744</v>
      </c>
      <c r="D2021" s="421" t="s">
        <v>3745</v>
      </c>
      <c r="H2021" s="421"/>
      <c r="I2021" s="421"/>
      <c r="J2021" s="421"/>
      <c r="K2021" s="421"/>
      <c r="L2021" s="421"/>
      <c r="M2021" s="421"/>
      <c r="N2021" s="421"/>
      <c r="O2021" s="421"/>
    </row>
    <row r="2022" spans="3:15" ht="13.5" customHeight="1">
      <c r="C2022" s="421" t="s">
        <v>3746</v>
      </c>
      <c r="D2022" s="421" t="s">
        <v>3747</v>
      </c>
      <c r="H2022" s="421"/>
      <c r="I2022" s="421"/>
      <c r="J2022" s="421"/>
      <c r="K2022" s="421"/>
      <c r="L2022" s="421"/>
      <c r="M2022" s="421"/>
      <c r="N2022" s="421"/>
      <c r="O2022" s="421"/>
    </row>
    <row r="2023" spans="3:15" ht="13.5" customHeight="1">
      <c r="C2023" s="421" t="s">
        <v>3748</v>
      </c>
      <c r="D2023" s="421" t="s">
        <v>3749</v>
      </c>
      <c r="H2023" s="421"/>
      <c r="I2023" s="421"/>
      <c r="J2023" s="421"/>
      <c r="K2023" s="421"/>
      <c r="L2023" s="421"/>
      <c r="M2023" s="421"/>
      <c r="N2023" s="421"/>
      <c r="O2023" s="421"/>
    </row>
    <row r="2024" spans="3:15" ht="13.5" customHeight="1">
      <c r="C2024" s="421" t="s">
        <v>3750</v>
      </c>
      <c r="D2024" s="421" t="s">
        <v>3751</v>
      </c>
      <c r="H2024" s="421"/>
      <c r="I2024" s="421"/>
      <c r="J2024" s="421"/>
      <c r="K2024" s="421"/>
      <c r="L2024" s="421"/>
      <c r="M2024" s="421"/>
      <c r="N2024" s="421"/>
      <c r="O2024" s="421"/>
    </row>
    <row r="2025" spans="3:15" ht="13.5" customHeight="1">
      <c r="C2025" s="421" t="s">
        <v>3752</v>
      </c>
      <c r="D2025" s="421" t="s">
        <v>3753</v>
      </c>
      <c r="H2025" s="421"/>
      <c r="I2025" s="421"/>
      <c r="J2025" s="421"/>
      <c r="K2025" s="421"/>
      <c r="L2025" s="421"/>
      <c r="M2025" s="421"/>
      <c r="N2025" s="421"/>
      <c r="O2025" s="421"/>
    </row>
    <row r="2026" spans="3:15" ht="13.5" customHeight="1">
      <c r="C2026" s="421" t="s">
        <v>3754</v>
      </c>
      <c r="D2026" s="421" t="s">
        <v>3755</v>
      </c>
      <c r="H2026" s="421"/>
      <c r="I2026" s="421"/>
      <c r="J2026" s="421"/>
      <c r="K2026" s="421"/>
      <c r="L2026" s="421"/>
      <c r="M2026" s="421"/>
      <c r="N2026" s="421"/>
      <c r="O2026" s="421"/>
    </row>
    <row r="2027" spans="3:15" ht="13.5" customHeight="1">
      <c r="C2027" s="421" t="s">
        <v>3756</v>
      </c>
      <c r="D2027" s="421" t="s">
        <v>3757</v>
      </c>
      <c r="H2027" s="421"/>
      <c r="I2027" s="421"/>
      <c r="J2027" s="421"/>
      <c r="K2027" s="421"/>
      <c r="L2027" s="421"/>
      <c r="M2027" s="421"/>
      <c r="N2027" s="421"/>
      <c r="O2027" s="421"/>
    </row>
    <row r="2028" spans="3:15" ht="13.5" customHeight="1">
      <c r="C2028" s="421" t="s">
        <v>3758</v>
      </c>
      <c r="D2028" s="421" t="s">
        <v>3759</v>
      </c>
      <c r="H2028" s="421"/>
      <c r="I2028" s="421"/>
      <c r="J2028" s="421"/>
      <c r="K2028" s="421"/>
      <c r="L2028" s="421"/>
      <c r="M2028" s="421"/>
      <c r="N2028" s="421"/>
      <c r="O2028" s="421"/>
    </row>
    <row r="2029" spans="3:15" ht="13.5" customHeight="1">
      <c r="C2029" s="421" t="s">
        <v>3760</v>
      </c>
      <c r="D2029" s="421" t="s">
        <v>3761</v>
      </c>
      <c r="H2029" s="421"/>
      <c r="I2029" s="421"/>
      <c r="J2029" s="421"/>
      <c r="K2029" s="421"/>
      <c r="L2029" s="421"/>
      <c r="M2029" s="421"/>
      <c r="N2029" s="421"/>
      <c r="O2029" s="421"/>
    </row>
    <row r="2030" spans="3:15" ht="13.5" customHeight="1">
      <c r="C2030" s="421" t="s">
        <v>3762</v>
      </c>
      <c r="D2030" s="421" t="s">
        <v>3763</v>
      </c>
      <c r="H2030" s="421"/>
      <c r="I2030" s="421"/>
      <c r="J2030" s="421"/>
      <c r="K2030" s="421"/>
      <c r="L2030" s="421"/>
      <c r="M2030" s="421"/>
      <c r="N2030" s="421"/>
      <c r="O2030" s="421"/>
    </row>
    <row r="2031" spans="3:15" ht="13.5" customHeight="1">
      <c r="C2031" s="421" t="s">
        <v>3764</v>
      </c>
      <c r="D2031" s="421" t="s">
        <v>3765</v>
      </c>
      <c r="H2031" s="421"/>
      <c r="I2031" s="421"/>
      <c r="J2031" s="421"/>
      <c r="K2031" s="421"/>
      <c r="L2031" s="421"/>
      <c r="M2031" s="421"/>
      <c r="N2031" s="421"/>
      <c r="O2031" s="421"/>
    </row>
    <row r="2032" spans="3:15" ht="13.5" customHeight="1">
      <c r="C2032" s="421" t="s">
        <v>3766</v>
      </c>
      <c r="D2032" s="421" t="s">
        <v>3767</v>
      </c>
      <c r="H2032" s="421"/>
      <c r="I2032" s="421"/>
      <c r="J2032" s="421"/>
      <c r="K2032" s="421"/>
      <c r="L2032" s="421"/>
      <c r="M2032" s="421"/>
      <c r="N2032" s="421"/>
      <c r="O2032" s="421"/>
    </row>
    <row r="2033" spans="3:15" ht="13.5" customHeight="1">
      <c r="C2033" s="421" t="s">
        <v>3768</v>
      </c>
      <c r="D2033" s="421" t="s">
        <v>3769</v>
      </c>
      <c r="H2033" s="421"/>
      <c r="I2033" s="421"/>
      <c r="J2033" s="421"/>
      <c r="K2033" s="421"/>
      <c r="L2033" s="421"/>
      <c r="M2033" s="421"/>
      <c r="N2033" s="421"/>
      <c r="O2033" s="421"/>
    </row>
    <row r="2034" spans="3:15" ht="13.5" customHeight="1">
      <c r="C2034" s="421" t="s">
        <v>3770</v>
      </c>
      <c r="D2034" s="421" t="s">
        <v>3771</v>
      </c>
      <c r="H2034" s="421"/>
      <c r="I2034" s="421"/>
      <c r="J2034" s="421"/>
      <c r="K2034" s="421"/>
      <c r="L2034" s="421"/>
      <c r="M2034" s="421"/>
      <c r="N2034" s="421"/>
      <c r="O2034" s="421"/>
    </row>
    <row r="2035" spans="3:15" ht="13.5" customHeight="1">
      <c r="C2035" s="421" t="s">
        <v>3772</v>
      </c>
      <c r="D2035" s="421" t="s">
        <v>3773</v>
      </c>
      <c r="H2035" s="421"/>
      <c r="I2035" s="421"/>
      <c r="J2035" s="421"/>
      <c r="K2035" s="421"/>
      <c r="L2035" s="421"/>
      <c r="M2035" s="421"/>
      <c r="N2035" s="421"/>
      <c r="O2035" s="421"/>
    </row>
    <row r="2036" spans="3:15" ht="13.5" customHeight="1">
      <c r="C2036" s="421" t="s">
        <v>3774</v>
      </c>
      <c r="D2036" s="421" t="s">
        <v>3775</v>
      </c>
      <c r="H2036" s="421"/>
      <c r="I2036" s="421"/>
      <c r="J2036" s="421"/>
      <c r="K2036" s="421"/>
      <c r="L2036" s="421"/>
      <c r="M2036" s="421"/>
      <c r="N2036" s="421"/>
      <c r="O2036" s="421"/>
    </row>
    <row r="2037" spans="3:15" ht="13.5" customHeight="1">
      <c r="C2037" s="421" t="s">
        <v>3776</v>
      </c>
      <c r="D2037" s="421" t="s">
        <v>3777</v>
      </c>
      <c r="H2037" s="421"/>
      <c r="I2037" s="421"/>
      <c r="J2037" s="421"/>
      <c r="K2037" s="421"/>
      <c r="L2037" s="421"/>
      <c r="M2037" s="421"/>
      <c r="N2037" s="421"/>
      <c r="O2037" s="421"/>
    </row>
    <row r="2038" spans="3:15" ht="13.5" customHeight="1">
      <c r="C2038" s="421" t="s">
        <v>3778</v>
      </c>
      <c r="D2038" s="421" t="s">
        <v>3779</v>
      </c>
      <c r="H2038" s="421"/>
      <c r="I2038" s="421"/>
      <c r="J2038" s="421"/>
      <c r="K2038" s="421"/>
      <c r="L2038" s="421"/>
      <c r="M2038" s="421"/>
      <c r="N2038" s="421"/>
      <c r="O2038" s="421"/>
    </row>
    <row r="2039" spans="3:15" ht="13.5" customHeight="1">
      <c r="C2039" s="421" t="s">
        <v>3780</v>
      </c>
      <c r="D2039" s="421" t="s">
        <v>3781</v>
      </c>
      <c r="H2039" s="421"/>
      <c r="I2039" s="421"/>
      <c r="J2039" s="421"/>
      <c r="K2039" s="421"/>
      <c r="L2039" s="421"/>
      <c r="M2039" s="421"/>
      <c r="N2039" s="421"/>
      <c r="O2039" s="421"/>
    </row>
    <row r="2040" spans="3:15" ht="13.5" customHeight="1">
      <c r="C2040" s="421" t="s">
        <v>3782</v>
      </c>
      <c r="D2040" s="421" t="s">
        <v>3783</v>
      </c>
      <c r="H2040" s="421"/>
      <c r="I2040" s="421"/>
      <c r="J2040" s="421"/>
      <c r="K2040" s="421"/>
      <c r="L2040" s="421"/>
      <c r="M2040" s="421"/>
      <c r="N2040" s="421"/>
      <c r="O2040" s="421"/>
    </row>
    <row r="2041" spans="3:15" ht="13.5" customHeight="1">
      <c r="C2041" s="421" t="s">
        <v>3784</v>
      </c>
      <c r="D2041" s="421" t="s">
        <v>3785</v>
      </c>
      <c r="H2041" s="421"/>
      <c r="I2041" s="421"/>
      <c r="J2041" s="421"/>
      <c r="K2041" s="421"/>
      <c r="L2041" s="421"/>
      <c r="M2041" s="421"/>
      <c r="N2041" s="421"/>
      <c r="O2041" s="421"/>
    </row>
    <row r="2042" spans="3:15" ht="13.5" customHeight="1">
      <c r="C2042" s="421" t="s">
        <v>3786</v>
      </c>
      <c r="D2042" s="421" t="s">
        <v>3787</v>
      </c>
      <c r="H2042" s="421"/>
      <c r="I2042" s="421"/>
      <c r="J2042" s="421"/>
      <c r="K2042" s="421"/>
      <c r="L2042" s="421"/>
      <c r="M2042" s="421"/>
      <c r="N2042" s="421"/>
      <c r="O2042" s="421"/>
    </row>
    <row r="2043" spans="3:15" ht="13.5" customHeight="1">
      <c r="C2043" s="421" t="s">
        <v>3788</v>
      </c>
      <c r="D2043" s="421" t="s">
        <v>3789</v>
      </c>
      <c r="H2043" s="421"/>
      <c r="I2043" s="421"/>
      <c r="J2043" s="421"/>
      <c r="K2043" s="421"/>
      <c r="L2043" s="421"/>
      <c r="M2043" s="421"/>
      <c r="N2043" s="421"/>
      <c r="O2043" s="421"/>
    </row>
    <row r="2044" spans="3:15" ht="13.5" customHeight="1">
      <c r="C2044" s="421" t="s">
        <v>3790</v>
      </c>
      <c r="D2044" s="421" t="s">
        <v>3791</v>
      </c>
      <c r="H2044" s="421"/>
      <c r="I2044" s="421"/>
      <c r="J2044" s="421"/>
      <c r="K2044" s="421"/>
      <c r="L2044" s="421"/>
      <c r="M2044" s="421"/>
      <c r="N2044" s="421"/>
      <c r="O2044" s="421"/>
    </row>
    <row r="2045" spans="3:15" ht="13.5" customHeight="1">
      <c r="C2045" s="421" t="s">
        <v>3792</v>
      </c>
      <c r="D2045" s="421" t="s">
        <v>3793</v>
      </c>
      <c r="H2045" s="421"/>
      <c r="I2045" s="421"/>
      <c r="J2045" s="421"/>
      <c r="K2045" s="421"/>
      <c r="L2045" s="421"/>
      <c r="M2045" s="421"/>
      <c r="N2045" s="421"/>
      <c r="O2045" s="421"/>
    </row>
    <row r="2046" spans="3:15" ht="13.5" customHeight="1">
      <c r="C2046" s="421" t="s">
        <v>3794</v>
      </c>
      <c r="D2046" s="421" t="s">
        <v>3795</v>
      </c>
      <c r="H2046" s="421"/>
      <c r="I2046" s="421"/>
      <c r="J2046" s="421"/>
      <c r="K2046" s="421"/>
      <c r="L2046" s="421"/>
      <c r="M2046" s="421"/>
      <c r="N2046" s="421"/>
      <c r="O2046" s="421"/>
    </row>
    <row r="2047" spans="3:15" ht="13.5" customHeight="1">
      <c r="C2047" s="421" t="s">
        <v>3796</v>
      </c>
      <c r="D2047" s="421" t="s">
        <v>3797</v>
      </c>
      <c r="H2047" s="421"/>
      <c r="I2047" s="421"/>
      <c r="J2047" s="421"/>
      <c r="K2047" s="421"/>
      <c r="L2047" s="421"/>
      <c r="M2047" s="421"/>
      <c r="N2047" s="421"/>
      <c r="O2047" s="421"/>
    </row>
    <row r="2048" spans="3:15" ht="13.5" customHeight="1">
      <c r="C2048" s="421" t="s">
        <v>3798</v>
      </c>
      <c r="D2048" s="421" t="s">
        <v>3799</v>
      </c>
      <c r="H2048" s="421"/>
      <c r="I2048" s="421"/>
      <c r="J2048" s="421"/>
      <c r="K2048" s="421"/>
      <c r="L2048" s="421"/>
      <c r="M2048" s="421"/>
      <c r="N2048" s="421"/>
      <c r="O2048" s="421"/>
    </row>
    <row r="2049" spans="3:15" ht="13.5" customHeight="1">
      <c r="C2049" s="421" t="s">
        <v>3800</v>
      </c>
      <c r="D2049" s="421" t="s">
        <v>3801</v>
      </c>
      <c r="H2049" s="421"/>
      <c r="I2049" s="421"/>
      <c r="J2049" s="421"/>
      <c r="K2049" s="421"/>
      <c r="L2049" s="421"/>
      <c r="M2049" s="421"/>
      <c r="N2049" s="421"/>
      <c r="O2049" s="421"/>
    </row>
    <row r="2050" spans="3:15" ht="13.5" customHeight="1">
      <c r="C2050" s="421" t="s">
        <v>3802</v>
      </c>
      <c r="D2050" s="421" t="s">
        <v>3803</v>
      </c>
      <c r="H2050" s="421"/>
      <c r="I2050" s="421"/>
      <c r="J2050" s="421"/>
      <c r="K2050" s="421"/>
      <c r="L2050" s="421"/>
      <c r="M2050" s="421"/>
      <c r="N2050" s="421"/>
      <c r="O2050" s="421"/>
    </row>
    <row r="2051" spans="3:15" ht="13.5" customHeight="1">
      <c r="C2051" s="421" t="s">
        <v>3804</v>
      </c>
      <c r="D2051" s="421" t="s">
        <v>3805</v>
      </c>
      <c r="H2051" s="421"/>
      <c r="I2051" s="421"/>
      <c r="J2051" s="421"/>
      <c r="K2051" s="421"/>
      <c r="L2051" s="421"/>
      <c r="M2051" s="421"/>
      <c r="N2051" s="421"/>
      <c r="O2051" s="421"/>
    </row>
    <row r="2052" spans="3:15" ht="13.5" customHeight="1">
      <c r="C2052" s="421" t="s">
        <v>3806</v>
      </c>
      <c r="D2052" s="421" t="s">
        <v>3807</v>
      </c>
      <c r="H2052" s="421"/>
      <c r="I2052" s="421"/>
      <c r="J2052" s="421"/>
      <c r="K2052" s="421"/>
      <c r="L2052" s="421"/>
      <c r="M2052" s="421"/>
      <c r="N2052" s="421"/>
      <c r="O2052" s="421"/>
    </row>
    <row r="2053" spans="3:15" ht="13.5" customHeight="1">
      <c r="C2053" s="421" t="s">
        <v>3808</v>
      </c>
      <c r="D2053" s="421" t="s">
        <v>3809</v>
      </c>
      <c r="H2053" s="421"/>
      <c r="I2053" s="421"/>
      <c r="J2053" s="421"/>
      <c r="K2053" s="421"/>
      <c r="L2053" s="421"/>
      <c r="M2053" s="421"/>
      <c r="N2053" s="421"/>
      <c r="O2053" s="421"/>
    </row>
    <row r="2054" spans="3:15" ht="13.5" customHeight="1">
      <c r="C2054" s="421" t="s">
        <v>3810</v>
      </c>
      <c r="D2054" s="421" t="s">
        <v>3811</v>
      </c>
      <c r="H2054" s="421"/>
      <c r="I2054" s="421"/>
      <c r="J2054" s="421"/>
      <c r="K2054" s="421"/>
      <c r="L2054" s="421"/>
      <c r="M2054" s="421"/>
      <c r="N2054" s="421"/>
      <c r="O2054" s="421"/>
    </row>
    <row r="2055" spans="3:15" ht="13.5" customHeight="1">
      <c r="C2055" s="421" t="s">
        <v>3812</v>
      </c>
      <c r="D2055" s="421" t="s">
        <v>3813</v>
      </c>
      <c r="H2055" s="421"/>
      <c r="I2055" s="421"/>
      <c r="J2055" s="421"/>
      <c r="K2055" s="421"/>
      <c r="L2055" s="421"/>
      <c r="M2055" s="421"/>
      <c r="N2055" s="421"/>
      <c r="O2055" s="421"/>
    </row>
    <row r="2056" spans="3:15" ht="13.5" customHeight="1">
      <c r="C2056" s="421" t="s">
        <v>3814</v>
      </c>
      <c r="D2056" s="421" t="s">
        <v>3815</v>
      </c>
      <c r="H2056" s="421"/>
      <c r="I2056" s="421"/>
      <c r="J2056" s="421"/>
      <c r="K2056" s="421"/>
      <c r="L2056" s="421"/>
      <c r="M2056" s="421"/>
      <c r="N2056" s="421"/>
      <c r="O2056" s="421"/>
    </row>
    <row r="2057" spans="3:15" ht="13.5" customHeight="1">
      <c r="C2057" s="421" t="s">
        <v>3816</v>
      </c>
      <c r="D2057" s="421" t="s">
        <v>3817</v>
      </c>
      <c r="H2057" s="421"/>
      <c r="I2057" s="421"/>
      <c r="J2057" s="421"/>
      <c r="K2057" s="421"/>
      <c r="L2057" s="421"/>
      <c r="M2057" s="421"/>
      <c r="N2057" s="421"/>
      <c r="O2057" s="421"/>
    </row>
    <row r="2058" spans="3:15" ht="13.5" customHeight="1">
      <c r="C2058" s="421" t="s">
        <v>3818</v>
      </c>
      <c r="D2058" s="421" t="s">
        <v>3819</v>
      </c>
      <c r="H2058" s="421"/>
      <c r="I2058" s="421"/>
      <c r="J2058" s="421"/>
      <c r="K2058" s="421"/>
      <c r="L2058" s="421"/>
      <c r="M2058" s="421"/>
      <c r="N2058" s="421"/>
      <c r="O2058" s="421"/>
    </row>
    <row r="2059" spans="3:15" ht="13.5" customHeight="1">
      <c r="C2059" s="421" t="s">
        <v>3820</v>
      </c>
      <c r="D2059" s="421" t="s">
        <v>3821</v>
      </c>
      <c r="H2059" s="421"/>
      <c r="I2059" s="421"/>
      <c r="J2059" s="421"/>
      <c r="K2059" s="421"/>
      <c r="L2059" s="421"/>
      <c r="M2059" s="421"/>
      <c r="N2059" s="421"/>
      <c r="O2059" s="421"/>
    </row>
    <row r="2060" spans="3:15" ht="13.5" customHeight="1">
      <c r="C2060" s="421" t="s">
        <v>3822</v>
      </c>
      <c r="D2060" s="421" t="s">
        <v>3823</v>
      </c>
      <c r="H2060" s="421"/>
      <c r="I2060" s="421"/>
      <c r="J2060" s="421"/>
      <c r="K2060" s="421"/>
      <c r="L2060" s="421"/>
      <c r="M2060" s="421"/>
      <c r="N2060" s="421"/>
      <c r="O2060" s="421"/>
    </row>
    <row r="2061" spans="3:15" ht="13.5" customHeight="1">
      <c r="C2061" s="421" t="s">
        <v>3824</v>
      </c>
      <c r="D2061" s="421" t="s">
        <v>3825</v>
      </c>
      <c r="H2061" s="421"/>
      <c r="I2061" s="421"/>
      <c r="J2061" s="421"/>
      <c r="K2061" s="421"/>
      <c r="L2061" s="421"/>
      <c r="M2061" s="421"/>
      <c r="N2061" s="421"/>
      <c r="O2061" s="421"/>
    </row>
    <row r="2062" spans="3:15" ht="13.5" customHeight="1">
      <c r="C2062" s="421" t="s">
        <v>3826</v>
      </c>
      <c r="D2062" s="421" t="s">
        <v>3827</v>
      </c>
      <c r="H2062" s="421"/>
      <c r="I2062" s="421"/>
      <c r="J2062" s="421"/>
      <c r="K2062" s="421"/>
      <c r="L2062" s="421"/>
      <c r="M2062" s="421"/>
      <c r="N2062" s="421"/>
      <c r="O2062" s="421"/>
    </row>
    <row r="2063" spans="3:15" ht="13.5" customHeight="1">
      <c r="C2063" s="421" t="s">
        <v>3828</v>
      </c>
      <c r="D2063" s="421" t="s">
        <v>3829</v>
      </c>
      <c r="H2063" s="421"/>
      <c r="I2063" s="421"/>
      <c r="J2063" s="421"/>
      <c r="K2063" s="421"/>
      <c r="L2063" s="421"/>
      <c r="M2063" s="421"/>
      <c r="N2063" s="421"/>
      <c r="O2063" s="421"/>
    </row>
    <row r="2064" spans="3:15" ht="13.5" customHeight="1">
      <c r="C2064" s="421" t="s">
        <v>3830</v>
      </c>
      <c r="D2064" s="421" t="s">
        <v>3831</v>
      </c>
      <c r="H2064" s="421"/>
      <c r="I2064" s="421"/>
      <c r="J2064" s="421"/>
      <c r="K2064" s="421"/>
      <c r="L2064" s="421"/>
      <c r="M2064" s="421"/>
      <c r="N2064" s="421"/>
      <c r="O2064" s="421"/>
    </row>
    <row r="2065" spans="3:15" ht="13.5" customHeight="1">
      <c r="C2065" s="421" t="s">
        <v>3832</v>
      </c>
      <c r="D2065" s="421" t="s">
        <v>3833</v>
      </c>
      <c r="H2065" s="421"/>
      <c r="I2065" s="421"/>
      <c r="J2065" s="421"/>
      <c r="K2065" s="421"/>
      <c r="L2065" s="421"/>
      <c r="M2065" s="421"/>
      <c r="N2065" s="421"/>
      <c r="O2065" s="421"/>
    </row>
    <row r="2066" spans="3:15" ht="13.5" customHeight="1">
      <c r="C2066" s="421" t="s">
        <v>3834</v>
      </c>
      <c r="D2066" s="421" t="s">
        <v>3835</v>
      </c>
      <c r="H2066" s="421"/>
      <c r="I2066" s="421"/>
      <c r="J2066" s="421"/>
      <c r="K2066" s="421"/>
      <c r="L2066" s="421"/>
      <c r="M2066" s="421"/>
      <c r="N2066" s="421"/>
      <c r="O2066" s="421"/>
    </row>
    <row r="2067" spans="3:15" ht="13.5" customHeight="1">
      <c r="C2067" s="421" t="s">
        <v>3836</v>
      </c>
      <c r="D2067" s="421" t="s">
        <v>3837</v>
      </c>
      <c r="H2067" s="421"/>
      <c r="I2067" s="421"/>
      <c r="J2067" s="421"/>
      <c r="K2067" s="421"/>
      <c r="L2067" s="421"/>
      <c r="M2067" s="421"/>
      <c r="N2067" s="421"/>
      <c r="O2067" s="421"/>
    </row>
    <row r="2068" spans="3:15" ht="13.5" customHeight="1">
      <c r="C2068" s="421" t="s">
        <v>3838</v>
      </c>
      <c r="D2068" s="421" t="s">
        <v>3839</v>
      </c>
      <c r="H2068" s="421"/>
      <c r="I2068" s="421"/>
      <c r="J2068" s="421"/>
      <c r="K2068" s="421"/>
      <c r="L2068" s="421"/>
      <c r="M2068" s="421"/>
      <c r="N2068" s="421"/>
      <c r="O2068" s="421"/>
    </row>
    <row r="2069" spans="3:15" ht="13.5" customHeight="1">
      <c r="C2069" s="421" t="s">
        <v>3840</v>
      </c>
      <c r="D2069" s="421" t="s">
        <v>3841</v>
      </c>
      <c r="H2069" s="421"/>
      <c r="I2069" s="421"/>
      <c r="J2069" s="421"/>
      <c r="K2069" s="421"/>
      <c r="L2069" s="421"/>
      <c r="M2069" s="421"/>
      <c r="N2069" s="421"/>
      <c r="O2069" s="421"/>
    </row>
    <row r="2070" spans="3:15" ht="13.5" customHeight="1">
      <c r="C2070" s="421" t="s">
        <v>3842</v>
      </c>
      <c r="D2070" s="421" t="s">
        <v>3843</v>
      </c>
      <c r="H2070" s="421"/>
      <c r="I2070" s="421"/>
      <c r="J2070" s="421"/>
      <c r="K2070" s="421"/>
      <c r="L2070" s="421"/>
      <c r="M2070" s="421"/>
      <c r="N2070" s="421"/>
      <c r="O2070" s="421"/>
    </row>
    <row r="2071" spans="3:15" ht="13.5" customHeight="1">
      <c r="C2071" s="421" t="s">
        <v>3844</v>
      </c>
      <c r="D2071" s="421" t="s">
        <v>3845</v>
      </c>
      <c r="H2071" s="421"/>
      <c r="I2071" s="421"/>
      <c r="J2071" s="421"/>
      <c r="K2071" s="421"/>
      <c r="L2071" s="421"/>
      <c r="M2071" s="421"/>
      <c r="N2071" s="421"/>
      <c r="O2071" s="421"/>
    </row>
    <row r="2072" spans="3:15" ht="13.5" customHeight="1">
      <c r="C2072" s="421" t="s">
        <v>3846</v>
      </c>
      <c r="D2072" s="421" t="s">
        <v>3847</v>
      </c>
      <c r="H2072" s="421"/>
      <c r="I2072" s="421"/>
      <c r="J2072" s="421"/>
      <c r="K2072" s="421"/>
      <c r="L2072" s="421"/>
      <c r="M2072" s="421"/>
      <c r="N2072" s="421"/>
      <c r="O2072" s="421"/>
    </row>
    <row r="2073" spans="3:15" ht="13.5" customHeight="1">
      <c r="C2073" s="421" t="s">
        <v>3848</v>
      </c>
      <c r="D2073" s="421" t="s">
        <v>3849</v>
      </c>
      <c r="H2073" s="421"/>
      <c r="I2073" s="421"/>
      <c r="J2073" s="421"/>
      <c r="K2073" s="421"/>
      <c r="L2073" s="421"/>
      <c r="M2073" s="421"/>
      <c r="N2073" s="421"/>
      <c r="O2073" s="421"/>
    </row>
    <row r="2074" spans="3:15" ht="13.5" customHeight="1">
      <c r="C2074" s="421" t="s">
        <v>3850</v>
      </c>
      <c r="D2074" s="421" t="s">
        <v>3851</v>
      </c>
      <c r="H2074" s="421"/>
      <c r="I2074" s="421"/>
      <c r="J2074" s="421"/>
      <c r="K2074" s="421"/>
      <c r="L2074" s="421"/>
      <c r="M2074" s="421"/>
      <c r="N2074" s="421"/>
      <c r="O2074" s="421"/>
    </row>
    <row r="2075" spans="3:15" ht="13.5" customHeight="1">
      <c r="C2075" s="421" t="s">
        <v>3852</v>
      </c>
      <c r="D2075" s="421" t="s">
        <v>3853</v>
      </c>
      <c r="H2075" s="421"/>
      <c r="I2075" s="421"/>
      <c r="J2075" s="421"/>
      <c r="K2075" s="421"/>
      <c r="L2075" s="421"/>
      <c r="M2075" s="421"/>
      <c r="N2075" s="421"/>
      <c r="O2075" s="421"/>
    </row>
    <row r="2076" spans="3:15" ht="13.5" customHeight="1">
      <c r="C2076" s="421" t="s">
        <v>3854</v>
      </c>
      <c r="D2076" s="421" t="s">
        <v>3855</v>
      </c>
      <c r="H2076" s="421"/>
      <c r="I2076" s="421"/>
      <c r="J2076" s="421"/>
      <c r="K2076" s="421"/>
      <c r="L2076" s="421"/>
      <c r="M2076" s="421"/>
      <c r="N2076" s="421"/>
      <c r="O2076" s="421"/>
    </row>
    <row r="2077" spans="3:15" ht="13.5" customHeight="1">
      <c r="C2077" s="421" t="s">
        <v>3856</v>
      </c>
      <c r="D2077" s="421" t="s">
        <v>3857</v>
      </c>
      <c r="H2077" s="421"/>
      <c r="I2077" s="421"/>
      <c r="J2077" s="421"/>
      <c r="K2077" s="421"/>
      <c r="L2077" s="421"/>
      <c r="M2077" s="421"/>
      <c r="N2077" s="421"/>
      <c r="O2077" s="421"/>
    </row>
    <row r="2078" spans="3:15" ht="13.5" customHeight="1">
      <c r="C2078" s="421" t="s">
        <v>3858</v>
      </c>
      <c r="D2078" s="421" t="s">
        <v>3859</v>
      </c>
      <c r="H2078" s="421"/>
      <c r="I2078" s="421"/>
      <c r="J2078" s="421"/>
      <c r="K2078" s="421"/>
      <c r="L2078" s="421"/>
      <c r="M2078" s="421"/>
      <c r="N2078" s="421"/>
      <c r="O2078" s="421"/>
    </row>
    <row r="2079" spans="3:15" ht="13.5" customHeight="1">
      <c r="C2079" s="421" t="s">
        <v>3860</v>
      </c>
      <c r="D2079" s="421" t="s">
        <v>3861</v>
      </c>
      <c r="H2079" s="421"/>
      <c r="I2079" s="421"/>
      <c r="J2079" s="421"/>
      <c r="K2079" s="421"/>
      <c r="L2079" s="421"/>
      <c r="M2079" s="421"/>
      <c r="N2079" s="421"/>
      <c r="O2079" s="421"/>
    </row>
    <row r="2080" spans="3:15" ht="13.5" customHeight="1">
      <c r="C2080" s="421" t="s">
        <v>3862</v>
      </c>
      <c r="D2080" s="421" t="s">
        <v>3863</v>
      </c>
      <c r="H2080" s="421"/>
      <c r="I2080" s="421"/>
      <c r="J2080" s="421"/>
      <c r="K2080" s="421"/>
      <c r="L2080" s="421"/>
      <c r="M2080" s="421"/>
      <c r="N2080" s="421"/>
      <c r="O2080" s="421"/>
    </row>
    <row r="2081" spans="3:15" ht="13.5" customHeight="1">
      <c r="C2081" s="421" t="s">
        <v>3864</v>
      </c>
      <c r="D2081" s="421" t="s">
        <v>3865</v>
      </c>
      <c r="H2081" s="421"/>
      <c r="I2081" s="421"/>
      <c r="J2081" s="421"/>
      <c r="K2081" s="421"/>
      <c r="L2081" s="421"/>
      <c r="M2081" s="421"/>
      <c r="N2081" s="421"/>
      <c r="O2081" s="421"/>
    </row>
    <row r="2082" spans="3:15" ht="13.5" customHeight="1">
      <c r="C2082" s="421" t="s">
        <v>3866</v>
      </c>
      <c r="D2082" s="421" t="s">
        <v>3867</v>
      </c>
      <c r="H2082" s="421"/>
      <c r="I2082" s="421"/>
      <c r="J2082" s="421"/>
      <c r="K2082" s="421"/>
      <c r="L2082" s="421"/>
      <c r="M2082" s="421"/>
      <c r="N2082" s="421"/>
      <c r="O2082" s="421"/>
    </row>
    <row r="2083" spans="3:15" ht="13.5" customHeight="1">
      <c r="C2083" s="421" t="s">
        <v>3868</v>
      </c>
      <c r="D2083" s="421" t="s">
        <v>3869</v>
      </c>
      <c r="H2083" s="421"/>
      <c r="I2083" s="421"/>
      <c r="J2083" s="421"/>
      <c r="K2083" s="421"/>
      <c r="L2083" s="421"/>
      <c r="M2083" s="421"/>
      <c r="N2083" s="421"/>
      <c r="O2083" s="421"/>
    </row>
    <row r="2084" spans="3:15" ht="13.5" customHeight="1">
      <c r="C2084" s="421" t="s">
        <v>3870</v>
      </c>
      <c r="D2084" s="421" t="s">
        <v>3871</v>
      </c>
      <c r="H2084" s="421"/>
      <c r="I2084" s="421"/>
      <c r="J2084" s="421"/>
      <c r="K2084" s="421"/>
      <c r="L2084" s="421"/>
      <c r="M2084" s="421"/>
      <c r="N2084" s="421"/>
      <c r="O2084" s="421"/>
    </row>
    <row r="2085" spans="3:15" ht="13.5" customHeight="1">
      <c r="C2085" s="421" t="s">
        <v>3872</v>
      </c>
      <c r="D2085" s="421" t="s">
        <v>3873</v>
      </c>
      <c r="H2085" s="421"/>
      <c r="I2085" s="421"/>
      <c r="J2085" s="421"/>
      <c r="K2085" s="421"/>
      <c r="L2085" s="421"/>
      <c r="M2085" s="421"/>
      <c r="N2085" s="421"/>
      <c r="O2085" s="421"/>
    </row>
    <row r="2086" spans="3:15" ht="13.5" customHeight="1">
      <c r="C2086" s="421" t="s">
        <v>3874</v>
      </c>
      <c r="D2086" s="421" t="s">
        <v>3875</v>
      </c>
      <c r="H2086" s="421"/>
      <c r="I2086" s="421"/>
      <c r="J2086" s="421"/>
      <c r="K2086" s="421"/>
      <c r="L2086" s="421"/>
      <c r="M2086" s="421"/>
      <c r="N2086" s="421"/>
      <c r="O2086" s="421"/>
    </row>
    <row r="2087" spans="3:15" ht="13.5" customHeight="1">
      <c r="C2087" s="421" t="s">
        <v>3876</v>
      </c>
      <c r="D2087" s="421" t="s">
        <v>3877</v>
      </c>
      <c r="H2087" s="421"/>
      <c r="I2087" s="421"/>
      <c r="J2087" s="421"/>
      <c r="K2087" s="421"/>
      <c r="L2087" s="421"/>
      <c r="M2087" s="421"/>
      <c r="N2087" s="421"/>
      <c r="O2087" s="421"/>
    </row>
    <row r="2088" spans="3:15" ht="13.5" customHeight="1">
      <c r="C2088" s="421" t="s">
        <v>3878</v>
      </c>
      <c r="D2088" s="421" t="s">
        <v>3879</v>
      </c>
      <c r="H2088" s="421"/>
      <c r="I2088" s="421"/>
      <c r="J2088" s="421"/>
      <c r="K2088" s="421"/>
      <c r="L2088" s="421"/>
      <c r="M2088" s="421"/>
      <c r="N2088" s="421"/>
      <c r="O2088" s="421"/>
    </row>
    <row r="2089" spans="3:15" ht="13.5" customHeight="1">
      <c r="C2089" s="421" t="s">
        <v>3880</v>
      </c>
      <c r="D2089" s="421" t="s">
        <v>3881</v>
      </c>
      <c r="H2089" s="421"/>
      <c r="I2089" s="421"/>
      <c r="J2089" s="421"/>
      <c r="K2089" s="421"/>
      <c r="L2089" s="421"/>
      <c r="M2089" s="421"/>
      <c r="N2089" s="421"/>
      <c r="O2089" s="421"/>
    </row>
    <row r="2090" spans="3:15" ht="13.5" customHeight="1">
      <c r="C2090" s="421" t="s">
        <v>3882</v>
      </c>
      <c r="D2090" s="421" t="s">
        <v>3883</v>
      </c>
      <c r="H2090" s="421"/>
      <c r="I2090" s="421"/>
      <c r="J2090" s="421"/>
      <c r="K2090" s="421"/>
      <c r="L2090" s="421"/>
      <c r="M2090" s="421"/>
      <c r="N2090" s="421"/>
      <c r="O2090" s="421"/>
    </row>
    <row r="2091" spans="3:15" ht="13.5" customHeight="1">
      <c r="C2091" s="421" t="s">
        <v>3884</v>
      </c>
      <c r="D2091" s="421" t="s">
        <v>3885</v>
      </c>
      <c r="H2091" s="421"/>
      <c r="I2091" s="421"/>
      <c r="J2091" s="421"/>
      <c r="K2091" s="421"/>
      <c r="L2091" s="421"/>
      <c r="M2091" s="421"/>
      <c r="N2091" s="421"/>
      <c r="O2091" s="421"/>
    </row>
    <row r="2092" spans="3:15" ht="13.5" customHeight="1">
      <c r="C2092" s="421" t="s">
        <v>3886</v>
      </c>
      <c r="D2092" s="421" t="s">
        <v>3887</v>
      </c>
      <c r="H2092" s="421"/>
      <c r="I2092" s="421"/>
      <c r="J2092" s="421"/>
      <c r="K2092" s="421"/>
      <c r="L2092" s="421"/>
      <c r="M2092" s="421"/>
      <c r="N2092" s="421"/>
      <c r="O2092" s="421"/>
    </row>
    <row r="2093" spans="3:15" ht="13.5" customHeight="1">
      <c r="C2093" s="421" t="s">
        <v>3888</v>
      </c>
      <c r="D2093" s="421" t="s">
        <v>3889</v>
      </c>
      <c r="H2093" s="421"/>
      <c r="I2093" s="421"/>
      <c r="J2093" s="421"/>
      <c r="K2093" s="421"/>
      <c r="L2093" s="421"/>
      <c r="M2093" s="421"/>
      <c r="N2093" s="421"/>
      <c r="O2093" s="421"/>
    </row>
    <row r="2094" spans="3:15" ht="13.5" customHeight="1">
      <c r="C2094" s="421" t="s">
        <v>3890</v>
      </c>
      <c r="D2094" s="421" t="s">
        <v>3891</v>
      </c>
      <c r="H2094" s="421"/>
      <c r="I2094" s="421"/>
      <c r="J2094" s="421"/>
      <c r="K2094" s="421"/>
      <c r="L2094" s="421"/>
      <c r="M2094" s="421"/>
      <c r="N2094" s="421"/>
      <c r="O2094" s="421"/>
    </row>
    <row r="2095" spans="3:15" ht="13.5" customHeight="1">
      <c r="C2095" s="421" t="s">
        <v>3892</v>
      </c>
      <c r="D2095" s="421" t="s">
        <v>3893</v>
      </c>
      <c r="H2095" s="421"/>
      <c r="I2095" s="421"/>
      <c r="J2095" s="421"/>
      <c r="K2095" s="421"/>
      <c r="L2095" s="421"/>
      <c r="M2095" s="421"/>
      <c r="N2095" s="421"/>
      <c r="O2095" s="421"/>
    </row>
    <row r="2096" spans="3:15" ht="13.5" customHeight="1">
      <c r="C2096" s="421" t="s">
        <v>3894</v>
      </c>
      <c r="D2096" s="421" t="s">
        <v>3895</v>
      </c>
      <c r="H2096" s="421"/>
      <c r="I2096" s="421"/>
      <c r="J2096" s="421"/>
      <c r="K2096" s="421"/>
      <c r="L2096" s="421"/>
      <c r="M2096" s="421"/>
      <c r="N2096" s="421"/>
      <c r="O2096" s="421"/>
    </row>
    <row r="2097" spans="3:15" ht="13.5" customHeight="1">
      <c r="C2097" s="421" t="s">
        <v>3896</v>
      </c>
      <c r="D2097" s="421" t="s">
        <v>3897</v>
      </c>
      <c r="H2097" s="421"/>
      <c r="I2097" s="421"/>
      <c r="J2097" s="421"/>
      <c r="K2097" s="421"/>
      <c r="L2097" s="421"/>
      <c r="M2097" s="421"/>
      <c r="N2097" s="421"/>
      <c r="O2097" s="421"/>
    </row>
    <row r="2098" spans="3:15" ht="13.5" customHeight="1">
      <c r="C2098" s="421" t="s">
        <v>3898</v>
      </c>
      <c r="D2098" s="421" t="s">
        <v>3899</v>
      </c>
      <c r="H2098" s="421"/>
      <c r="I2098" s="421"/>
      <c r="J2098" s="421"/>
      <c r="K2098" s="421"/>
      <c r="L2098" s="421"/>
      <c r="M2098" s="421"/>
      <c r="N2098" s="421"/>
      <c r="O2098" s="421"/>
    </row>
    <row r="2099" spans="3:15" ht="13.5" customHeight="1">
      <c r="C2099" s="421" t="s">
        <v>3900</v>
      </c>
      <c r="D2099" s="421" t="s">
        <v>3901</v>
      </c>
      <c r="H2099" s="421"/>
      <c r="I2099" s="421"/>
      <c r="J2099" s="421"/>
      <c r="K2099" s="421"/>
      <c r="L2099" s="421"/>
      <c r="M2099" s="421"/>
      <c r="N2099" s="421"/>
      <c r="O2099" s="421"/>
    </row>
    <row r="2100" spans="3:15" ht="13.5" customHeight="1">
      <c r="C2100" s="421" t="s">
        <v>3902</v>
      </c>
      <c r="D2100" s="421" t="s">
        <v>3903</v>
      </c>
      <c r="H2100" s="421"/>
      <c r="I2100" s="421"/>
      <c r="J2100" s="421"/>
      <c r="K2100" s="421"/>
      <c r="L2100" s="421"/>
      <c r="M2100" s="421"/>
      <c r="N2100" s="421"/>
      <c r="O2100" s="421"/>
    </row>
    <row r="2101" spans="3:15" ht="13.5" customHeight="1">
      <c r="C2101" s="421" t="s">
        <v>3904</v>
      </c>
      <c r="D2101" s="421" t="s">
        <v>3905</v>
      </c>
      <c r="H2101" s="421"/>
      <c r="I2101" s="421"/>
      <c r="J2101" s="421"/>
      <c r="K2101" s="421"/>
      <c r="L2101" s="421"/>
      <c r="M2101" s="421"/>
      <c r="N2101" s="421"/>
      <c r="O2101" s="421"/>
    </row>
    <row r="2102" spans="3:15" ht="13.5" customHeight="1">
      <c r="C2102" s="421" t="s">
        <v>3906</v>
      </c>
      <c r="D2102" s="421" t="s">
        <v>3907</v>
      </c>
      <c r="H2102" s="421"/>
      <c r="I2102" s="421"/>
      <c r="J2102" s="421"/>
      <c r="K2102" s="421"/>
      <c r="L2102" s="421"/>
      <c r="M2102" s="421"/>
      <c r="N2102" s="421"/>
      <c r="O2102" s="421"/>
    </row>
    <row r="2103" spans="3:15" ht="13.5" customHeight="1">
      <c r="C2103" s="421" t="s">
        <v>3908</v>
      </c>
      <c r="D2103" s="421" t="s">
        <v>3909</v>
      </c>
      <c r="H2103" s="421"/>
      <c r="I2103" s="421"/>
      <c r="J2103" s="421"/>
      <c r="K2103" s="421"/>
      <c r="L2103" s="421"/>
      <c r="M2103" s="421"/>
      <c r="N2103" s="421"/>
      <c r="O2103" s="421"/>
    </row>
    <row r="2104" spans="3:15" ht="13.5" customHeight="1">
      <c r="C2104" s="421" t="s">
        <v>3910</v>
      </c>
      <c r="D2104" s="421" t="s">
        <v>3911</v>
      </c>
      <c r="H2104" s="421"/>
      <c r="I2104" s="421"/>
      <c r="J2104" s="421"/>
      <c r="K2104" s="421"/>
      <c r="L2104" s="421"/>
      <c r="M2104" s="421"/>
      <c r="N2104" s="421"/>
      <c r="O2104" s="421"/>
    </row>
    <row r="2105" spans="3:15" ht="13.5" customHeight="1">
      <c r="C2105" s="421" t="s">
        <v>3912</v>
      </c>
      <c r="D2105" s="421" t="s">
        <v>3913</v>
      </c>
      <c r="H2105" s="421"/>
      <c r="I2105" s="421"/>
      <c r="J2105" s="421"/>
      <c r="K2105" s="421"/>
      <c r="L2105" s="421"/>
      <c r="M2105" s="421"/>
      <c r="N2105" s="421"/>
      <c r="O2105" s="421"/>
    </row>
    <row r="2106" spans="3:15" ht="13.5" customHeight="1">
      <c r="C2106" s="421" t="s">
        <v>3914</v>
      </c>
      <c r="D2106" s="421" t="s">
        <v>3915</v>
      </c>
      <c r="H2106" s="421"/>
      <c r="I2106" s="421"/>
      <c r="J2106" s="421"/>
      <c r="K2106" s="421"/>
      <c r="L2106" s="421"/>
      <c r="M2106" s="421"/>
      <c r="N2106" s="421"/>
      <c r="O2106" s="421"/>
    </row>
    <row r="2107" spans="3:15" ht="13.5" customHeight="1">
      <c r="C2107" s="421" t="s">
        <v>3916</v>
      </c>
      <c r="D2107" s="421" t="s">
        <v>3917</v>
      </c>
      <c r="H2107" s="421"/>
      <c r="I2107" s="421"/>
      <c r="J2107" s="421"/>
      <c r="K2107" s="421"/>
      <c r="L2107" s="421"/>
      <c r="M2107" s="421"/>
      <c r="N2107" s="421"/>
      <c r="O2107" s="421"/>
    </row>
    <row r="2108" spans="3:15" ht="13.5" customHeight="1">
      <c r="C2108" s="421" t="s">
        <v>3918</v>
      </c>
      <c r="D2108" s="421" t="s">
        <v>3919</v>
      </c>
      <c r="H2108" s="421"/>
      <c r="I2108" s="421"/>
      <c r="J2108" s="421"/>
      <c r="K2108" s="421"/>
      <c r="L2108" s="421"/>
      <c r="M2108" s="421"/>
      <c r="N2108" s="421"/>
      <c r="O2108" s="421"/>
    </row>
    <row r="2109" spans="3:15" ht="13.5" customHeight="1">
      <c r="C2109" s="421" t="s">
        <v>3920</v>
      </c>
      <c r="D2109" s="421" t="s">
        <v>3921</v>
      </c>
      <c r="H2109" s="421"/>
      <c r="I2109" s="421"/>
      <c r="J2109" s="421"/>
      <c r="K2109" s="421"/>
      <c r="L2109" s="421"/>
      <c r="M2109" s="421"/>
      <c r="N2109" s="421"/>
      <c r="O2109" s="421"/>
    </row>
    <row r="2110" spans="3:15" ht="13.5" customHeight="1">
      <c r="C2110" s="421" t="s">
        <v>3922</v>
      </c>
      <c r="D2110" s="421" t="s">
        <v>3923</v>
      </c>
      <c r="H2110" s="421"/>
      <c r="I2110" s="421"/>
      <c r="J2110" s="421"/>
      <c r="K2110" s="421"/>
      <c r="L2110" s="421"/>
      <c r="M2110" s="421"/>
      <c r="N2110" s="421"/>
      <c r="O2110" s="421"/>
    </row>
    <row r="2111" spans="3:15" ht="13.5" customHeight="1">
      <c r="C2111" s="421" t="s">
        <v>3924</v>
      </c>
      <c r="D2111" s="421" t="s">
        <v>3925</v>
      </c>
      <c r="H2111" s="421"/>
      <c r="I2111" s="421"/>
      <c r="J2111" s="421"/>
      <c r="K2111" s="421"/>
      <c r="L2111" s="421"/>
      <c r="M2111" s="421"/>
      <c r="N2111" s="421"/>
      <c r="O2111" s="421"/>
    </row>
    <row r="2112" spans="3:15" ht="13.5" customHeight="1">
      <c r="C2112" s="421" t="s">
        <v>3926</v>
      </c>
      <c r="D2112" s="421" t="s">
        <v>3927</v>
      </c>
      <c r="H2112" s="421"/>
      <c r="I2112" s="421"/>
      <c r="J2112" s="421"/>
      <c r="K2112" s="421"/>
      <c r="L2112" s="421"/>
      <c r="M2112" s="421"/>
      <c r="N2112" s="421"/>
      <c r="O2112" s="421"/>
    </row>
    <row r="2113" spans="3:15" ht="13.5" customHeight="1">
      <c r="C2113" s="421" t="s">
        <v>3928</v>
      </c>
      <c r="D2113" s="421" t="s">
        <v>3929</v>
      </c>
      <c r="H2113" s="421"/>
      <c r="I2113" s="421"/>
      <c r="J2113" s="421"/>
      <c r="K2113" s="421"/>
      <c r="L2113" s="421"/>
      <c r="M2113" s="421"/>
      <c r="N2113" s="421"/>
      <c r="O2113" s="421"/>
    </row>
    <row r="2114" spans="3:15" ht="13.5" customHeight="1">
      <c r="C2114" s="421" t="s">
        <v>3930</v>
      </c>
      <c r="D2114" s="421" t="s">
        <v>3931</v>
      </c>
      <c r="H2114" s="421"/>
      <c r="I2114" s="421"/>
      <c r="J2114" s="421"/>
      <c r="K2114" s="421"/>
      <c r="L2114" s="421"/>
      <c r="M2114" s="421"/>
      <c r="N2114" s="421"/>
      <c r="O2114" s="421"/>
    </row>
    <row r="2115" spans="3:15" ht="13.5" customHeight="1">
      <c r="C2115" s="421" t="s">
        <v>3932</v>
      </c>
      <c r="D2115" s="421" t="s">
        <v>3933</v>
      </c>
      <c r="H2115" s="421"/>
      <c r="I2115" s="421"/>
      <c r="J2115" s="421"/>
      <c r="K2115" s="421"/>
      <c r="L2115" s="421"/>
      <c r="M2115" s="421"/>
      <c r="N2115" s="421"/>
      <c r="O2115" s="421"/>
    </row>
    <row r="2116" spans="3:15" ht="13.5" customHeight="1">
      <c r="C2116" s="421" t="s">
        <v>3934</v>
      </c>
      <c r="D2116" s="421" t="s">
        <v>3935</v>
      </c>
      <c r="H2116" s="421"/>
      <c r="I2116" s="421"/>
      <c r="J2116" s="421"/>
      <c r="K2116" s="421"/>
      <c r="L2116" s="421"/>
      <c r="M2116" s="421"/>
      <c r="N2116" s="421"/>
      <c r="O2116" s="421"/>
    </row>
    <row r="2117" spans="3:15" ht="13.5" customHeight="1">
      <c r="C2117" s="421" t="s">
        <v>3936</v>
      </c>
      <c r="D2117" s="421" t="s">
        <v>3937</v>
      </c>
      <c r="H2117" s="421"/>
      <c r="I2117" s="421"/>
      <c r="J2117" s="421"/>
      <c r="K2117" s="421"/>
      <c r="L2117" s="421"/>
      <c r="M2117" s="421"/>
      <c r="N2117" s="421"/>
      <c r="O2117" s="421"/>
    </row>
  </sheetData>
  <sheetProtection selectLockedCells="1" selectUnlockedCells="1"/>
  <mergeCells count="8">
    <mergeCell ref="B22:D22"/>
    <mergeCell ref="B51:D51"/>
    <mergeCell ref="B73:D73"/>
    <mergeCell ref="E72:E73"/>
    <mergeCell ref="E9:E11"/>
    <mergeCell ref="E12:E14"/>
    <mergeCell ref="E21:E22"/>
    <mergeCell ref="E50:E51"/>
  </mergeCells>
  <phoneticPr fontId="2"/>
  <conditionalFormatting sqref="G72:G73 G20:G22 H20">
    <cfRule type="expression" dxfId="16" priority="57" stopIfTrue="1">
      <formula>AND($G$49&gt;5000000,OR($F$18="無し",$F$18="なし"))</formula>
    </cfRule>
  </conditionalFormatting>
  <conditionalFormatting sqref="G50">
    <cfRule type="expression" dxfId="15" priority="56" stopIfTrue="1">
      <formula>AND($G$49&gt;5000000,OR($F$18="無し",$F$18="なし"))</formula>
    </cfRule>
  </conditionalFormatting>
  <conditionalFormatting sqref="G51">
    <cfRule type="expression" dxfId="14" priority="55" stopIfTrue="1">
      <formula>AND($G$49&gt;5000000,OR($F$18="無し",$F$18="なし"))</formula>
    </cfRule>
  </conditionalFormatting>
  <conditionalFormatting sqref="G56">
    <cfRule type="expression" dxfId="13" priority="54" stopIfTrue="1">
      <formula>AND($G$49&gt;5000000,OR($F$18="無し",$F$18="なし"))</formula>
    </cfRule>
  </conditionalFormatting>
  <conditionalFormatting sqref="I20">
    <cfRule type="expression" dxfId="12" priority="7" stopIfTrue="1">
      <formula>AND($G$49&gt;5000000,OR($F$18="無し",$F$18="なし"))</formula>
    </cfRule>
  </conditionalFormatting>
  <conditionalFormatting sqref="J20">
    <cfRule type="expression" dxfId="11" priority="6" stopIfTrue="1">
      <formula>AND($G$49&gt;5000000,OR($F$18="無し",$F$18="なし"))</formula>
    </cfRule>
  </conditionalFormatting>
  <conditionalFormatting sqref="K20">
    <cfRule type="expression" dxfId="10" priority="5" stopIfTrue="1">
      <formula>AND($G$49&gt;5000000,OR($F$18="無し",$F$18="なし"))</formula>
    </cfRule>
  </conditionalFormatting>
  <conditionalFormatting sqref="L20">
    <cfRule type="expression" dxfId="9" priority="4" stopIfTrue="1">
      <formula>AND($G$49&gt;5000000,OR($F$18="無し",$F$18="なし"))</formula>
    </cfRule>
  </conditionalFormatting>
  <conditionalFormatting sqref="M20">
    <cfRule type="expression" dxfId="8" priority="3" stopIfTrue="1">
      <formula>AND($G$49&gt;5000000,OR($F$18="無し",$F$18="なし"))</formula>
    </cfRule>
  </conditionalFormatting>
  <conditionalFormatting sqref="N20">
    <cfRule type="expression" dxfId="7" priority="2" stopIfTrue="1">
      <formula>AND($G$49&gt;5000000,OR($F$18="無し",$F$18="なし"))</formula>
    </cfRule>
  </conditionalFormatting>
  <conditionalFormatting sqref="O20">
    <cfRule type="expression" dxfId="6" priority="1" stopIfTrue="1">
      <formula>AND($G$49&gt;5000000,OR($F$18="無し",$F$18="なし"))</formula>
    </cfRule>
  </conditionalFormatting>
  <dataValidations count="8">
    <dataValidation type="list" allowBlank="1" showInputMessage="1" showErrorMessage="1" sqref="WUQ983240:WUQ983241 IE17:IE18 SA17:SA18 ABW17:ABW18 ALS17:ALS18 AVO17:AVO18 BFK17:BFK18 BPG17:BPG18 BZC17:BZC18 CIY17:CIY18 CSU17:CSU18 DCQ17:DCQ18 DMM17:DMM18 DWI17:DWI18 EGE17:EGE18 EQA17:EQA18 EZW17:EZW18 FJS17:FJS18 FTO17:FTO18 GDK17:GDK18 GNG17:GNG18 GXC17:GXC18 HGY17:HGY18 HQU17:HQU18 IAQ17:IAQ18 IKM17:IKM18 IUI17:IUI18 JEE17:JEE18 JOA17:JOA18 JXW17:JXW18 KHS17:KHS18 KRO17:KRO18 LBK17:LBK18 LLG17:LLG18 LVC17:LVC18 MEY17:MEY18 MOU17:MOU18 MYQ17:MYQ18 NIM17:NIM18 NSI17:NSI18 OCE17:OCE18 OMA17:OMA18 OVW17:OVW18 PFS17:PFS18 PPO17:PPO18 PZK17:PZK18 QJG17:QJG18 QTC17:QTC18 RCY17:RCY18 RMU17:RMU18 RWQ17:RWQ18 SGM17:SGM18 SQI17:SQI18 TAE17:TAE18 TKA17:TKA18 TTW17:TTW18 UDS17:UDS18 UNO17:UNO18 UXK17:UXK18 VHG17:VHG18 VRC17:VRC18 WAY17:WAY18 WKU17:WKU18 WUQ17:WUQ18 F65736:F65737 IE65736:IE65737 SA65736:SA65737 ABW65736:ABW65737 ALS65736:ALS65737 AVO65736:AVO65737 BFK65736:BFK65737 BPG65736:BPG65737 BZC65736:BZC65737 CIY65736:CIY65737 CSU65736:CSU65737 DCQ65736:DCQ65737 DMM65736:DMM65737 DWI65736:DWI65737 EGE65736:EGE65737 EQA65736:EQA65737 EZW65736:EZW65737 FJS65736:FJS65737 FTO65736:FTO65737 GDK65736:GDK65737 GNG65736:GNG65737 GXC65736:GXC65737 HGY65736:HGY65737 HQU65736:HQU65737 IAQ65736:IAQ65737 IKM65736:IKM65737 IUI65736:IUI65737 JEE65736:JEE65737 JOA65736:JOA65737 JXW65736:JXW65737 KHS65736:KHS65737 KRO65736:KRO65737 LBK65736:LBK65737 LLG65736:LLG65737 LVC65736:LVC65737 MEY65736:MEY65737 MOU65736:MOU65737 MYQ65736:MYQ65737 NIM65736:NIM65737 NSI65736:NSI65737 OCE65736:OCE65737 OMA65736:OMA65737 OVW65736:OVW65737 PFS65736:PFS65737 PPO65736:PPO65737 PZK65736:PZK65737 QJG65736:QJG65737 QTC65736:QTC65737 RCY65736:RCY65737 RMU65736:RMU65737 RWQ65736:RWQ65737 SGM65736:SGM65737 SQI65736:SQI65737 TAE65736:TAE65737 TKA65736:TKA65737 TTW65736:TTW65737 UDS65736:UDS65737 UNO65736:UNO65737 UXK65736:UXK65737 VHG65736:VHG65737 VRC65736:VRC65737 WAY65736:WAY65737 WKU65736:WKU65737 WUQ65736:WUQ65737 F131272:F131273 IE131272:IE131273 SA131272:SA131273 ABW131272:ABW131273 ALS131272:ALS131273 AVO131272:AVO131273 BFK131272:BFK131273 BPG131272:BPG131273 BZC131272:BZC131273 CIY131272:CIY131273 CSU131272:CSU131273 DCQ131272:DCQ131273 DMM131272:DMM131273 DWI131272:DWI131273 EGE131272:EGE131273 EQA131272:EQA131273 EZW131272:EZW131273 FJS131272:FJS131273 FTO131272:FTO131273 GDK131272:GDK131273 GNG131272:GNG131273 GXC131272:GXC131273 HGY131272:HGY131273 HQU131272:HQU131273 IAQ131272:IAQ131273 IKM131272:IKM131273 IUI131272:IUI131273 JEE131272:JEE131273 JOA131272:JOA131273 JXW131272:JXW131273 KHS131272:KHS131273 KRO131272:KRO131273 LBK131272:LBK131273 LLG131272:LLG131273 LVC131272:LVC131273 MEY131272:MEY131273 MOU131272:MOU131273 MYQ131272:MYQ131273 NIM131272:NIM131273 NSI131272:NSI131273 OCE131272:OCE131273 OMA131272:OMA131273 OVW131272:OVW131273 PFS131272:PFS131273 PPO131272:PPO131273 PZK131272:PZK131273 QJG131272:QJG131273 QTC131272:QTC131273 RCY131272:RCY131273 RMU131272:RMU131273 RWQ131272:RWQ131273 SGM131272:SGM131273 SQI131272:SQI131273 TAE131272:TAE131273 TKA131272:TKA131273 TTW131272:TTW131273 UDS131272:UDS131273 UNO131272:UNO131273 UXK131272:UXK131273 VHG131272:VHG131273 VRC131272:VRC131273 WAY131272:WAY131273 WKU131272:WKU131273 WUQ131272:WUQ131273 F196808:F196809 IE196808:IE196809 SA196808:SA196809 ABW196808:ABW196809 ALS196808:ALS196809 AVO196808:AVO196809 BFK196808:BFK196809 BPG196808:BPG196809 BZC196808:BZC196809 CIY196808:CIY196809 CSU196808:CSU196809 DCQ196808:DCQ196809 DMM196808:DMM196809 DWI196808:DWI196809 EGE196808:EGE196809 EQA196808:EQA196809 EZW196808:EZW196809 FJS196808:FJS196809 FTO196808:FTO196809 GDK196808:GDK196809 GNG196808:GNG196809 GXC196808:GXC196809 HGY196808:HGY196809 HQU196808:HQU196809 IAQ196808:IAQ196809 IKM196808:IKM196809 IUI196808:IUI196809 JEE196808:JEE196809 JOA196808:JOA196809 JXW196808:JXW196809 KHS196808:KHS196809 KRO196808:KRO196809 LBK196808:LBK196809 LLG196808:LLG196809 LVC196808:LVC196809 MEY196808:MEY196809 MOU196808:MOU196809 MYQ196808:MYQ196809 NIM196808:NIM196809 NSI196808:NSI196809 OCE196808:OCE196809 OMA196808:OMA196809 OVW196808:OVW196809 PFS196808:PFS196809 PPO196808:PPO196809 PZK196808:PZK196809 QJG196808:QJG196809 QTC196808:QTC196809 RCY196808:RCY196809 RMU196808:RMU196809 RWQ196808:RWQ196809 SGM196808:SGM196809 SQI196808:SQI196809 TAE196808:TAE196809 TKA196808:TKA196809 TTW196808:TTW196809 UDS196808:UDS196809 UNO196808:UNO196809 UXK196808:UXK196809 VHG196808:VHG196809 VRC196808:VRC196809 WAY196808:WAY196809 WKU196808:WKU196809 WUQ196808:WUQ196809 F262344:F262345 IE262344:IE262345 SA262344:SA262345 ABW262344:ABW262345 ALS262344:ALS262345 AVO262344:AVO262345 BFK262344:BFK262345 BPG262344:BPG262345 BZC262344:BZC262345 CIY262344:CIY262345 CSU262344:CSU262345 DCQ262344:DCQ262345 DMM262344:DMM262345 DWI262344:DWI262345 EGE262344:EGE262345 EQA262344:EQA262345 EZW262344:EZW262345 FJS262344:FJS262345 FTO262344:FTO262345 GDK262344:GDK262345 GNG262344:GNG262345 GXC262344:GXC262345 HGY262344:HGY262345 HQU262344:HQU262345 IAQ262344:IAQ262345 IKM262344:IKM262345 IUI262344:IUI262345 JEE262344:JEE262345 JOA262344:JOA262345 JXW262344:JXW262345 KHS262344:KHS262345 KRO262344:KRO262345 LBK262344:LBK262345 LLG262344:LLG262345 LVC262344:LVC262345 MEY262344:MEY262345 MOU262344:MOU262345 MYQ262344:MYQ262345 NIM262344:NIM262345 NSI262344:NSI262345 OCE262344:OCE262345 OMA262344:OMA262345 OVW262344:OVW262345 PFS262344:PFS262345 PPO262344:PPO262345 PZK262344:PZK262345 QJG262344:QJG262345 QTC262344:QTC262345 RCY262344:RCY262345 RMU262344:RMU262345 RWQ262344:RWQ262345 SGM262344:SGM262345 SQI262344:SQI262345 TAE262344:TAE262345 TKA262344:TKA262345 TTW262344:TTW262345 UDS262344:UDS262345 UNO262344:UNO262345 UXK262344:UXK262345 VHG262344:VHG262345 VRC262344:VRC262345 WAY262344:WAY262345 WKU262344:WKU262345 WUQ262344:WUQ262345 F327880:F327881 IE327880:IE327881 SA327880:SA327881 ABW327880:ABW327881 ALS327880:ALS327881 AVO327880:AVO327881 BFK327880:BFK327881 BPG327880:BPG327881 BZC327880:BZC327881 CIY327880:CIY327881 CSU327880:CSU327881 DCQ327880:DCQ327881 DMM327880:DMM327881 DWI327880:DWI327881 EGE327880:EGE327881 EQA327880:EQA327881 EZW327880:EZW327881 FJS327880:FJS327881 FTO327880:FTO327881 GDK327880:GDK327881 GNG327880:GNG327881 GXC327880:GXC327881 HGY327880:HGY327881 HQU327880:HQU327881 IAQ327880:IAQ327881 IKM327880:IKM327881 IUI327880:IUI327881 JEE327880:JEE327881 JOA327880:JOA327881 JXW327880:JXW327881 KHS327880:KHS327881 KRO327880:KRO327881 LBK327880:LBK327881 LLG327880:LLG327881 LVC327880:LVC327881 MEY327880:MEY327881 MOU327880:MOU327881 MYQ327880:MYQ327881 NIM327880:NIM327881 NSI327880:NSI327881 OCE327880:OCE327881 OMA327880:OMA327881 OVW327880:OVW327881 PFS327880:PFS327881 PPO327880:PPO327881 PZK327880:PZK327881 QJG327880:QJG327881 QTC327880:QTC327881 RCY327880:RCY327881 RMU327880:RMU327881 RWQ327880:RWQ327881 SGM327880:SGM327881 SQI327880:SQI327881 TAE327880:TAE327881 TKA327880:TKA327881 TTW327880:TTW327881 UDS327880:UDS327881 UNO327880:UNO327881 UXK327880:UXK327881 VHG327880:VHG327881 VRC327880:VRC327881 WAY327880:WAY327881 WKU327880:WKU327881 WUQ327880:WUQ327881 F393416:F393417 IE393416:IE393417 SA393416:SA393417 ABW393416:ABW393417 ALS393416:ALS393417 AVO393416:AVO393417 BFK393416:BFK393417 BPG393416:BPG393417 BZC393416:BZC393417 CIY393416:CIY393417 CSU393416:CSU393417 DCQ393416:DCQ393417 DMM393416:DMM393417 DWI393416:DWI393417 EGE393416:EGE393417 EQA393416:EQA393417 EZW393416:EZW393417 FJS393416:FJS393417 FTO393416:FTO393417 GDK393416:GDK393417 GNG393416:GNG393417 GXC393416:GXC393417 HGY393416:HGY393417 HQU393416:HQU393417 IAQ393416:IAQ393417 IKM393416:IKM393417 IUI393416:IUI393417 JEE393416:JEE393417 JOA393416:JOA393417 JXW393416:JXW393417 KHS393416:KHS393417 KRO393416:KRO393417 LBK393416:LBK393417 LLG393416:LLG393417 LVC393416:LVC393417 MEY393416:MEY393417 MOU393416:MOU393417 MYQ393416:MYQ393417 NIM393416:NIM393417 NSI393416:NSI393417 OCE393416:OCE393417 OMA393416:OMA393417 OVW393416:OVW393417 PFS393416:PFS393417 PPO393416:PPO393417 PZK393416:PZK393417 QJG393416:QJG393417 QTC393416:QTC393417 RCY393416:RCY393417 RMU393416:RMU393417 RWQ393416:RWQ393417 SGM393416:SGM393417 SQI393416:SQI393417 TAE393416:TAE393417 TKA393416:TKA393417 TTW393416:TTW393417 UDS393416:UDS393417 UNO393416:UNO393417 UXK393416:UXK393417 VHG393416:VHG393417 VRC393416:VRC393417 WAY393416:WAY393417 WKU393416:WKU393417 WUQ393416:WUQ393417 F458952:F458953 IE458952:IE458953 SA458952:SA458953 ABW458952:ABW458953 ALS458952:ALS458953 AVO458952:AVO458953 BFK458952:BFK458953 BPG458952:BPG458953 BZC458952:BZC458953 CIY458952:CIY458953 CSU458952:CSU458953 DCQ458952:DCQ458953 DMM458952:DMM458953 DWI458952:DWI458953 EGE458952:EGE458953 EQA458952:EQA458953 EZW458952:EZW458953 FJS458952:FJS458953 FTO458952:FTO458953 GDK458952:GDK458953 GNG458952:GNG458953 GXC458952:GXC458953 HGY458952:HGY458953 HQU458952:HQU458953 IAQ458952:IAQ458953 IKM458952:IKM458953 IUI458952:IUI458953 JEE458952:JEE458953 JOA458952:JOA458953 JXW458952:JXW458953 KHS458952:KHS458953 KRO458952:KRO458953 LBK458952:LBK458953 LLG458952:LLG458953 LVC458952:LVC458953 MEY458952:MEY458953 MOU458952:MOU458953 MYQ458952:MYQ458953 NIM458952:NIM458953 NSI458952:NSI458953 OCE458952:OCE458953 OMA458952:OMA458953 OVW458952:OVW458953 PFS458952:PFS458953 PPO458952:PPO458953 PZK458952:PZK458953 QJG458952:QJG458953 QTC458952:QTC458953 RCY458952:RCY458953 RMU458952:RMU458953 RWQ458952:RWQ458953 SGM458952:SGM458953 SQI458952:SQI458953 TAE458952:TAE458953 TKA458952:TKA458953 TTW458952:TTW458953 UDS458952:UDS458953 UNO458952:UNO458953 UXK458952:UXK458953 VHG458952:VHG458953 VRC458952:VRC458953 WAY458952:WAY458953 WKU458952:WKU458953 WUQ458952:WUQ458953 F524488:F524489 IE524488:IE524489 SA524488:SA524489 ABW524488:ABW524489 ALS524488:ALS524489 AVO524488:AVO524489 BFK524488:BFK524489 BPG524488:BPG524489 BZC524488:BZC524489 CIY524488:CIY524489 CSU524488:CSU524489 DCQ524488:DCQ524489 DMM524488:DMM524489 DWI524488:DWI524489 EGE524488:EGE524489 EQA524488:EQA524489 EZW524488:EZW524489 FJS524488:FJS524489 FTO524488:FTO524489 GDK524488:GDK524489 GNG524488:GNG524489 GXC524488:GXC524489 HGY524488:HGY524489 HQU524488:HQU524489 IAQ524488:IAQ524489 IKM524488:IKM524489 IUI524488:IUI524489 JEE524488:JEE524489 JOA524488:JOA524489 JXW524488:JXW524489 KHS524488:KHS524489 KRO524488:KRO524489 LBK524488:LBK524489 LLG524488:LLG524489 LVC524488:LVC524489 MEY524488:MEY524489 MOU524488:MOU524489 MYQ524488:MYQ524489 NIM524488:NIM524489 NSI524488:NSI524489 OCE524488:OCE524489 OMA524488:OMA524489 OVW524488:OVW524489 PFS524488:PFS524489 PPO524488:PPO524489 PZK524488:PZK524489 QJG524488:QJG524489 QTC524488:QTC524489 RCY524488:RCY524489 RMU524488:RMU524489 RWQ524488:RWQ524489 SGM524488:SGM524489 SQI524488:SQI524489 TAE524488:TAE524489 TKA524488:TKA524489 TTW524488:TTW524489 UDS524488:UDS524489 UNO524488:UNO524489 UXK524488:UXK524489 VHG524488:VHG524489 VRC524488:VRC524489 WAY524488:WAY524489 WKU524488:WKU524489 WUQ524488:WUQ524489 F590024:F590025 IE590024:IE590025 SA590024:SA590025 ABW590024:ABW590025 ALS590024:ALS590025 AVO590024:AVO590025 BFK590024:BFK590025 BPG590024:BPG590025 BZC590024:BZC590025 CIY590024:CIY590025 CSU590024:CSU590025 DCQ590024:DCQ590025 DMM590024:DMM590025 DWI590024:DWI590025 EGE590024:EGE590025 EQA590024:EQA590025 EZW590024:EZW590025 FJS590024:FJS590025 FTO590024:FTO590025 GDK590024:GDK590025 GNG590024:GNG590025 GXC590024:GXC590025 HGY590024:HGY590025 HQU590024:HQU590025 IAQ590024:IAQ590025 IKM590024:IKM590025 IUI590024:IUI590025 JEE590024:JEE590025 JOA590024:JOA590025 JXW590024:JXW590025 KHS590024:KHS590025 KRO590024:KRO590025 LBK590024:LBK590025 LLG590024:LLG590025 LVC590024:LVC590025 MEY590024:MEY590025 MOU590024:MOU590025 MYQ590024:MYQ590025 NIM590024:NIM590025 NSI590024:NSI590025 OCE590024:OCE590025 OMA590024:OMA590025 OVW590024:OVW590025 PFS590024:PFS590025 PPO590024:PPO590025 PZK590024:PZK590025 QJG590024:QJG590025 QTC590024:QTC590025 RCY590024:RCY590025 RMU590024:RMU590025 RWQ590024:RWQ590025 SGM590024:SGM590025 SQI590024:SQI590025 TAE590024:TAE590025 TKA590024:TKA590025 TTW590024:TTW590025 UDS590024:UDS590025 UNO590024:UNO590025 UXK590024:UXK590025 VHG590024:VHG590025 VRC590024:VRC590025 WAY590024:WAY590025 WKU590024:WKU590025 WUQ590024:WUQ590025 F655560:F655561 IE655560:IE655561 SA655560:SA655561 ABW655560:ABW655561 ALS655560:ALS655561 AVO655560:AVO655561 BFK655560:BFK655561 BPG655560:BPG655561 BZC655560:BZC655561 CIY655560:CIY655561 CSU655560:CSU655561 DCQ655560:DCQ655561 DMM655560:DMM655561 DWI655560:DWI655561 EGE655560:EGE655561 EQA655560:EQA655561 EZW655560:EZW655561 FJS655560:FJS655561 FTO655560:FTO655561 GDK655560:GDK655561 GNG655560:GNG655561 GXC655560:GXC655561 HGY655560:HGY655561 HQU655560:HQU655561 IAQ655560:IAQ655561 IKM655560:IKM655561 IUI655560:IUI655561 JEE655560:JEE655561 JOA655560:JOA655561 JXW655560:JXW655561 KHS655560:KHS655561 KRO655560:KRO655561 LBK655560:LBK655561 LLG655560:LLG655561 LVC655560:LVC655561 MEY655560:MEY655561 MOU655560:MOU655561 MYQ655560:MYQ655561 NIM655560:NIM655561 NSI655560:NSI655561 OCE655560:OCE655561 OMA655560:OMA655561 OVW655560:OVW655561 PFS655560:PFS655561 PPO655560:PPO655561 PZK655560:PZK655561 QJG655560:QJG655561 QTC655560:QTC655561 RCY655560:RCY655561 RMU655560:RMU655561 RWQ655560:RWQ655561 SGM655560:SGM655561 SQI655560:SQI655561 TAE655560:TAE655561 TKA655560:TKA655561 TTW655560:TTW655561 UDS655560:UDS655561 UNO655560:UNO655561 UXK655560:UXK655561 VHG655560:VHG655561 VRC655560:VRC655561 WAY655560:WAY655561 WKU655560:WKU655561 WUQ655560:WUQ655561 F721096:F721097 IE721096:IE721097 SA721096:SA721097 ABW721096:ABW721097 ALS721096:ALS721097 AVO721096:AVO721097 BFK721096:BFK721097 BPG721096:BPG721097 BZC721096:BZC721097 CIY721096:CIY721097 CSU721096:CSU721097 DCQ721096:DCQ721097 DMM721096:DMM721097 DWI721096:DWI721097 EGE721096:EGE721097 EQA721096:EQA721097 EZW721096:EZW721097 FJS721096:FJS721097 FTO721096:FTO721097 GDK721096:GDK721097 GNG721096:GNG721097 GXC721096:GXC721097 HGY721096:HGY721097 HQU721096:HQU721097 IAQ721096:IAQ721097 IKM721096:IKM721097 IUI721096:IUI721097 JEE721096:JEE721097 JOA721096:JOA721097 JXW721096:JXW721097 KHS721096:KHS721097 KRO721096:KRO721097 LBK721096:LBK721097 LLG721096:LLG721097 LVC721096:LVC721097 MEY721096:MEY721097 MOU721096:MOU721097 MYQ721096:MYQ721097 NIM721096:NIM721097 NSI721096:NSI721097 OCE721096:OCE721097 OMA721096:OMA721097 OVW721096:OVW721097 PFS721096:PFS721097 PPO721096:PPO721097 PZK721096:PZK721097 QJG721096:QJG721097 QTC721096:QTC721097 RCY721096:RCY721097 RMU721096:RMU721097 RWQ721096:RWQ721097 SGM721096:SGM721097 SQI721096:SQI721097 TAE721096:TAE721097 TKA721096:TKA721097 TTW721096:TTW721097 UDS721096:UDS721097 UNO721096:UNO721097 UXK721096:UXK721097 VHG721096:VHG721097 VRC721096:VRC721097 WAY721096:WAY721097 WKU721096:WKU721097 WUQ721096:WUQ721097 F786632:F786633 IE786632:IE786633 SA786632:SA786633 ABW786632:ABW786633 ALS786632:ALS786633 AVO786632:AVO786633 BFK786632:BFK786633 BPG786632:BPG786633 BZC786632:BZC786633 CIY786632:CIY786633 CSU786632:CSU786633 DCQ786632:DCQ786633 DMM786632:DMM786633 DWI786632:DWI786633 EGE786632:EGE786633 EQA786632:EQA786633 EZW786632:EZW786633 FJS786632:FJS786633 FTO786632:FTO786633 GDK786632:GDK786633 GNG786632:GNG786633 GXC786632:GXC786633 HGY786632:HGY786633 HQU786632:HQU786633 IAQ786632:IAQ786633 IKM786632:IKM786633 IUI786632:IUI786633 JEE786632:JEE786633 JOA786632:JOA786633 JXW786632:JXW786633 KHS786632:KHS786633 KRO786632:KRO786633 LBK786632:LBK786633 LLG786632:LLG786633 LVC786632:LVC786633 MEY786632:MEY786633 MOU786632:MOU786633 MYQ786632:MYQ786633 NIM786632:NIM786633 NSI786632:NSI786633 OCE786632:OCE786633 OMA786632:OMA786633 OVW786632:OVW786633 PFS786632:PFS786633 PPO786632:PPO786633 PZK786632:PZK786633 QJG786632:QJG786633 QTC786632:QTC786633 RCY786632:RCY786633 RMU786632:RMU786633 RWQ786632:RWQ786633 SGM786632:SGM786633 SQI786632:SQI786633 TAE786632:TAE786633 TKA786632:TKA786633 TTW786632:TTW786633 UDS786632:UDS786633 UNO786632:UNO786633 UXK786632:UXK786633 VHG786632:VHG786633 VRC786632:VRC786633 WAY786632:WAY786633 WKU786632:WKU786633 WUQ786632:WUQ786633 F852168:F852169 IE852168:IE852169 SA852168:SA852169 ABW852168:ABW852169 ALS852168:ALS852169 AVO852168:AVO852169 BFK852168:BFK852169 BPG852168:BPG852169 BZC852168:BZC852169 CIY852168:CIY852169 CSU852168:CSU852169 DCQ852168:DCQ852169 DMM852168:DMM852169 DWI852168:DWI852169 EGE852168:EGE852169 EQA852168:EQA852169 EZW852168:EZW852169 FJS852168:FJS852169 FTO852168:FTO852169 GDK852168:GDK852169 GNG852168:GNG852169 GXC852168:GXC852169 HGY852168:HGY852169 HQU852168:HQU852169 IAQ852168:IAQ852169 IKM852168:IKM852169 IUI852168:IUI852169 JEE852168:JEE852169 JOA852168:JOA852169 JXW852168:JXW852169 KHS852168:KHS852169 KRO852168:KRO852169 LBK852168:LBK852169 LLG852168:LLG852169 LVC852168:LVC852169 MEY852168:MEY852169 MOU852168:MOU852169 MYQ852168:MYQ852169 NIM852168:NIM852169 NSI852168:NSI852169 OCE852168:OCE852169 OMA852168:OMA852169 OVW852168:OVW852169 PFS852168:PFS852169 PPO852168:PPO852169 PZK852168:PZK852169 QJG852168:QJG852169 QTC852168:QTC852169 RCY852168:RCY852169 RMU852168:RMU852169 RWQ852168:RWQ852169 SGM852168:SGM852169 SQI852168:SQI852169 TAE852168:TAE852169 TKA852168:TKA852169 TTW852168:TTW852169 UDS852168:UDS852169 UNO852168:UNO852169 UXK852168:UXK852169 VHG852168:VHG852169 VRC852168:VRC852169 WAY852168:WAY852169 WKU852168:WKU852169 WUQ852168:WUQ852169 F917704:F917705 IE917704:IE917705 SA917704:SA917705 ABW917704:ABW917705 ALS917704:ALS917705 AVO917704:AVO917705 BFK917704:BFK917705 BPG917704:BPG917705 BZC917704:BZC917705 CIY917704:CIY917705 CSU917704:CSU917705 DCQ917704:DCQ917705 DMM917704:DMM917705 DWI917704:DWI917705 EGE917704:EGE917705 EQA917704:EQA917705 EZW917704:EZW917705 FJS917704:FJS917705 FTO917704:FTO917705 GDK917704:GDK917705 GNG917704:GNG917705 GXC917704:GXC917705 HGY917704:HGY917705 HQU917704:HQU917705 IAQ917704:IAQ917705 IKM917704:IKM917705 IUI917704:IUI917705 JEE917704:JEE917705 JOA917704:JOA917705 JXW917704:JXW917705 KHS917704:KHS917705 KRO917704:KRO917705 LBK917704:LBK917705 LLG917704:LLG917705 LVC917704:LVC917705 MEY917704:MEY917705 MOU917704:MOU917705 MYQ917704:MYQ917705 NIM917704:NIM917705 NSI917704:NSI917705 OCE917704:OCE917705 OMA917704:OMA917705 OVW917704:OVW917705 PFS917704:PFS917705 PPO917704:PPO917705 PZK917704:PZK917705 QJG917704:QJG917705 QTC917704:QTC917705 RCY917704:RCY917705 RMU917704:RMU917705 RWQ917704:RWQ917705 SGM917704:SGM917705 SQI917704:SQI917705 TAE917704:TAE917705 TKA917704:TKA917705 TTW917704:TTW917705 UDS917704:UDS917705 UNO917704:UNO917705 UXK917704:UXK917705 VHG917704:VHG917705 VRC917704:VRC917705 WAY917704:WAY917705 WKU917704:WKU917705 WUQ917704:WUQ917705 F983240:F983241 IE983240:IE983241 SA983240:SA983241 ABW983240:ABW983241 ALS983240:ALS983241 AVO983240:AVO983241 BFK983240:BFK983241 BPG983240:BPG983241 BZC983240:BZC983241 CIY983240:CIY983241 CSU983240:CSU983241 DCQ983240:DCQ983241 DMM983240:DMM983241 DWI983240:DWI983241 EGE983240:EGE983241 EQA983240:EQA983241 EZW983240:EZW983241 FJS983240:FJS983241 FTO983240:FTO983241 GDK983240:GDK983241 GNG983240:GNG983241 GXC983240:GXC983241 HGY983240:HGY983241 HQU983240:HQU983241 IAQ983240:IAQ983241 IKM983240:IKM983241 IUI983240:IUI983241 JEE983240:JEE983241 JOA983240:JOA983241 JXW983240:JXW983241 KHS983240:KHS983241 KRO983240:KRO983241 LBK983240:LBK983241 LLG983240:LLG983241 LVC983240:LVC983241 MEY983240:MEY983241 MOU983240:MOU983241 MYQ983240:MYQ983241 NIM983240:NIM983241 NSI983240:NSI983241 OCE983240:OCE983241 OMA983240:OMA983241 OVW983240:OVW983241 PFS983240:PFS983241 PPO983240:PPO983241 PZK983240:PZK983241 QJG983240:QJG983241 QTC983240:QTC983241 RCY983240:RCY983241 RMU983240:RMU983241 RWQ983240:RWQ983241 SGM983240:SGM983241 SQI983240:SQI983241 TAE983240:TAE983241 TKA983240:TKA983241 TTW983240:TTW983241 UDS983240:UDS983241 UNO983240:UNO983241 UXK983240:UXK983241 VHG983240:VHG983241 VRC983240:VRC983241 WAY983240:WAY983241 WKU983240:WKU983241" xr:uid="{00000000-0002-0000-0300-000000000000}">
      <formula1>"有り,無し"</formula1>
    </dataValidation>
    <dataValidation type="list" allowBlank="1" showInputMessage="1" showErrorMessage="1" sqref="WUQ983242:WUQ983243 SA19:SA22 ABW19:ABW22 ALS19:ALS22 AVO19:AVO22 BFK19:BFK22 BPG19:BPG22 BZC19:BZC22 CIY19:CIY22 CSU19:CSU22 DCQ19:DCQ22 DMM19:DMM22 DWI19:DWI22 EGE19:EGE22 EQA19:EQA22 EZW19:EZW22 FJS19:FJS22 FTO19:FTO22 GDK19:GDK22 GNG19:GNG22 GXC19:GXC22 HGY19:HGY22 HQU19:HQU22 IAQ19:IAQ22 IKM19:IKM22 IUI19:IUI22 JEE19:JEE22 JOA19:JOA22 JXW19:JXW22 KHS19:KHS22 KRO19:KRO22 LBK19:LBK22 LLG19:LLG22 LVC19:LVC22 MEY19:MEY22 MOU19:MOU22 MYQ19:MYQ22 NIM19:NIM22 NSI19:NSI22 OCE19:OCE22 OMA19:OMA22 OVW19:OVW22 PFS19:PFS22 PPO19:PPO22 PZK19:PZK22 QJG19:QJG22 QTC19:QTC22 RCY19:RCY22 RMU19:RMU22 RWQ19:RWQ22 SGM19:SGM22 SQI19:SQI22 TAE19:TAE22 TKA19:TKA22 TTW19:TTW22 UDS19:UDS22 UNO19:UNO22 UXK19:UXK22 VHG19:VHG22 VRC19:VRC22 WAY19:WAY22 WKU19:WKU22 WUQ19:WUQ22 WKU983242:WKU983243 F65738:F65739 IE65738:IE65739 SA65738:SA65739 ABW65738:ABW65739 ALS65738:ALS65739 AVO65738:AVO65739 BFK65738:BFK65739 BPG65738:BPG65739 BZC65738:BZC65739 CIY65738:CIY65739 CSU65738:CSU65739 DCQ65738:DCQ65739 DMM65738:DMM65739 DWI65738:DWI65739 EGE65738:EGE65739 EQA65738:EQA65739 EZW65738:EZW65739 FJS65738:FJS65739 FTO65738:FTO65739 GDK65738:GDK65739 GNG65738:GNG65739 GXC65738:GXC65739 HGY65738:HGY65739 HQU65738:HQU65739 IAQ65738:IAQ65739 IKM65738:IKM65739 IUI65738:IUI65739 JEE65738:JEE65739 JOA65738:JOA65739 JXW65738:JXW65739 KHS65738:KHS65739 KRO65738:KRO65739 LBK65738:LBK65739 LLG65738:LLG65739 LVC65738:LVC65739 MEY65738:MEY65739 MOU65738:MOU65739 MYQ65738:MYQ65739 NIM65738:NIM65739 NSI65738:NSI65739 OCE65738:OCE65739 OMA65738:OMA65739 OVW65738:OVW65739 PFS65738:PFS65739 PPO65738:PPO65739 PZK65738:PZK65739 QJG65738:QJG65739 QTC65738:QTC65739 RCY65738:RCY65739 RMU65738:RMU65739 RWQ65738:RWQ65739 SGM65738:SGM65739 SQI65738:SQI65739 TAE65738:TAE65739 TKA65738:TKA65739 TTW65738:TTW65739 UDS65738:UDS65739 UNO65738:UNO65739 UXK65738:UXK65739 VHG65738:VHG65739 VRC65738:VRC65739 WAY65738:WAY65739 WKU65738:WKU65739 WUQ65738:WUQ65739 F131274:F131275 IE131274:IE131275 SA131274:SA131275 ABW131274:ABW131275 ALS131274:ALS131275 AVO131274:AVO131275 BFK131274:BFK131275 BPG131274:BPG131275 BZC131274:BZC131275 CIY131274:CIY131275 CSU131274:CSU131275 DCQ131274:DCQ131275 DMM131274:DMM131275 DWI131274:DWI131275 EGE131274:EGE131275 EQA131274:EQA131275 EZW131274:EZW131275 FJS131274:FJS131275 FTO131274:FTO131275 GDK131274:GDK131275 GNG131274:GNG131275 GXC131274:GXC131275 HGY131274:HGY131275 HQU131274:HQU131275 IAQ131274:IAQ131275 IKM131274:IKM131275 IUI131274:IUI131275 JEE131274:JEE131275 JOA131274:JOA131275 JXW131274:JXW131275 KHS131274:KHS131275 KRO131274:KRO131275 LBK131274:LBK131275 LLG131274:LLG131275 LVC131274:LVC131275 MEY131274:MEY131275 MOU131274:MOU131275 MYQ131274:MYQ131275 NIM131274:NIM131275 NSI131274:NSI131275 OCE131274:OCE131275 OMA131274:OMA131275 OVW131274:OVW131275 PFS131274:PFS131275 PPO131274:PPO131275 PZK131274:PZK131275 QJG131274:QJG131275 QTC131274:QTC131275 RCY131274:RCY131275 RMU131274:RMU131275 RWQ131274:RWQ131275 SGM131274:SGM131275 SQI131274:SQI131275 TAE131274:TAE131275 TKA131274:TKA131275 TTW131274:TTW131275 UDS131274:UDS131275 UNO131274:UNO131275 UXK131274:UXK131275 VHG131274:VHG131275 VRC131274:VRC131275 WAY131274:WAY131275 WKU131274:WKU131275 WUQ131274:WUQ131275 F196810:F196811 IE196810:IE196811 SA196810:SA196811 ABW196810:ABW196811 ALS196810:ALS196811 AVO196810:AVO196811 BFK196810:BFK196811 BPG196810:BPG196811 BZC196810:BZC196811 CIY196810:CIY196811 CSU196810:CSU196811 DCQ196810:DCQ196811 DMM196810:DMM196811 DWI196810:DWI196811 EGE196810:EGE196811 EQA196810:EQA196811 EZW196810:EZW196811 FJS196810:FJS196811 FTO196810:FTO196811 GDK196810:GDK196811 GNG196810:GNG196811 GXC196810:GXC196811 HGY196810:HGY196811 HQU196810:HQU196811 IAQ196810:IAQ196811 IKM196810:IKM196811 IUI196810:IUI196811 JEE196810:JEE196811 JOA196810:JOA196811 JXW196810:JXW196811 KHS196810:KHS196811 KRO196810:KRO196811 LBK196810:LBK196811 LLG196810:LLG196811 LVC196810:LVC196811 MEY196810:MEY196811 MOU196810:MOU196811 MYQ196810:MYQ196811 NIM196810:NIM196811 NSI196810:NSI196811 OCE196810:OCE196811 OMA196810:OMA196811 OVW196810:OVW196811 PFS196810:PFS196811 PPO196810:PPO196811 PZK196810:PZK196811 QJG196810:QJG196811 QTC196810:QTC196811 RCY196810:RCY196811 RMU196810:RMU196811 RWQ196810:RWQ196811 SGM196810:SGM196811 SQI196810:SQI196811 TAE196810:TAE196811 TKA196810:TKA196811 TTW196810:TTW196811 UDS196810:UDS196811 UNO196810:UNO196811 UXK196810:UXK196811 VHG196810:VHG196811 VRC196810:VRC196811 WAY196810:WAY196811 WKU196810:WKU196811 WUQ196810:WUQ196811 F262346:F262347 IE262346:IE262347 SA262346:SA262347 ABW262346:ABW262347 ALS262346:ALS262347 AVO262346:AVO262347 BFK262346:BFK262347 BPG262346:BPG262347 BZC262346:BZC262347 CIY262346:CIY262347 CSU262346:CSU262347 DCQ262346:DCQ262347 DMM262346:DMM262347 DWI262346:DWI262347 EGE262346:EGE262347 EQA262346:EQA262347 EZW262346:EZW262347 FJS262346:FJS262347 FTO262346:FTO262347 GDK262346:GDK262347 GNG262346:GNG262347 GXC262346:GXC262347 HGY262346:HGY262347 HQU262346:HQU262347 IAQ262346:IAQ262347 IKM262346:IKM262347 IUI262346:IUI262347 JEE262346:JEE262347 JOA262346:JOA262347 JXW262346:JXW262347 KHS262346:KHS262347 KRO262346:KRO262347 LBK262346:LBK262347 LLG262346:LLG262347 LVC262346:LVC262347 MEY262346:MEY262347 MOU262346:MOU262347 MYQ262346:MYQ262347 NIM262346:NIM262347 NSI262346:NSI262347 OCE262346:OCE262347 OMA262346:OMA262347 OVW262346:OVW262347 PFS262346:PFS262347 PPO262346:PPO262347 PZK262346:PZK262347 QJG262346:QJG262347 QTC262346:QTC262347 RCY262346:RCY262347 RMU262346:RMU262347 RWQ262346:RWQ262347 SGM262346:SGM262347 SQI262346:SQI262347 TAE262346:TAE262347 TKA262346:TKA262347 TTW262346:TTW262347 UDS262346:UDS262347 UNO262346:UNO262347 UXK262346:UXK262347 VHG262346:VHG262347 VRC262346:VRC262347 WAY262346:WAY262347 WKU262346:WKU262347 WUQ262346:WUQ262347 F327882:F327883 IE327882:IE327883 SA327882:SA327883 ABW327882:ABW327883 ALS327882:ALS327883 AVO327882:AVO327883 BFK327882:BFK327883 BPG327882:BPG327883 BZC327882:BZC327883 CIY327882:CIY327883 CSU327882:CSU327883 DCQ327882:DCQ327883 DMM327882:DMM327883 DWI327882:DWI327883 EGE327882:EGE327883 EQA327882:EQA327883 EZW327882:EZW327883 FJS327882:FJS327883 FTO327882:FTO327883 GDK327882:GDK327883 GNG327882:GNG327883 GXC327882:GXC327883 HGY327882:HGY327883 HQU327882:HQU327883 IAQ327882:IAQ327883 IKM327882:IKM327883 IUI327882:IUI327883 JEE327882:JEE327883 JOA327882:JOA327883 JXW327882:JXW327883 KHS327882:KHS327883 KRO327882:KRO327883 LBK327882:LBK327883 LLG327882:LLG327883 LVC327882:LVC327883 MEY327882:MEY327883 MOU327882:MOU327883 MYQ327882:MYQ327883 NIM327882:NIM327883 NSI327882:NSI327883 OCE327882:OCE327883 OMA327882:OMA327883 OVW327882:OVW327883 PFS327882:PFS327883 PPO327882:PPO327883 PZK327882:PZK327883 QJG327882:QJG327883 QTC327882:QTC327883 RCY327882:RCY327883 RMU327882:RMU327883 RWQ327882:RWQ327883 SGM327882:SGM327883 SQI327882:SQI327883 TAE327882:TAE327883 TKA327882:TKA327883 TTW327882:TTW327883 UDS327882:UDS327883 UNO327882:UNO327883 UXK327882:UXK327883 VHG327882:VHG327883 VRC327882:VRC327883 WAY327882:WAY327883 WKU327882:WKU327883 WUQ327882:WUQ327883 F393418:F393419 IE393418:IE393419 SA393418:SA393419 ABW393418:ABW393419 ALS393418:ALS393419 AVO393418:AVO393419 BFK393418:BFK393419 BPG393418:BPG393419 BZC393418:BZC393419 CIY393418:CIY393419 CSU393418:CSU393419 DCQ393418:DCQ393419 DMM393418:DMM393419 DWI393418:DWI393419 EGE393418:EGE393419 EQA393418:EQA393419 EZW393418:EZW393419 FJS393418:FJS393419 FTO393418:FTO393419 GDK393418:GDK393419 GNG393418:GNG393419 GXC393418:GXC393419 HGY393418:HGY393419 HQU393418:HQU393419 IAQ393418:IAQ393419 IKM393418:IKM393419 IUI393418:IUI393419 JEE393418:JEE393419 JOA393418:JOA393419 JXW393418:JXW393419 KHS393418:KHS393419 KRO393418:KRO393419 LBK393418:LBK393419 LLG393418:LLG393419 LVC393418:LVC393419 MEY393418:MEY393419 MOU393418:MOU393419 MYQ393418:MYQ393419 NIM393418:NIM393419 NSI393418:NSI393419 OCE393418:OCE393419 OMA393418:OMA393419 OVW393418:OVW393419 PFS393418:PFS393419 PPO393418:PPO393419 PZK393418:PZK393419 QJG393418:QJG393419 QTC393418:QTC393419 RCY393418:RCY393419 RMU393418:RMU393419 RWQ393418:RWQ393419 SGM393418:SGM393419 SQI393418:SQI393419 TAE393418:TAE393419 TKA393418:TKA393419 TTW393418:TTW393419 UDS393418:UDS393419 UNO393418:UNO393419 UXK393418:UXK393419 VHG393418:VHG393419 VRC393418:VRC393419 WAY393418:WAY393419 WKU393418:WKU393419 WUQ393418:WUQ393419 F458954:F458955 IE458954:IE458955 SA458954:SA458955 ABW458954:ABW458955 ALS458954:ALS458955 AVO458954:AVO458955 BFK458954:BFK458955 BPG458954:BPG458955 BZC458954:BZC458955 CIY458954:CIY458955 CSU458954:CSU458955 DCQ458954:DCQ458955 DMM458954:DMM458955 DWI458954:DWI458955 EGE458954:EGE458955 EQA458954:EQA458955 EZW458954:EZW458955 FJS458954:FJS458955 FTO458954:FTO458955 GDK458954:GDK458955 GNG458954:GNG458955 GXC458954:GXC458955 HGY458954:HGY458955 HQU458954:HQU458955 IAQ458954:IAQ458955 IKM458954:IKM458955 IUI458954:IUI458955 JEE458954:JEE458955 JOA458954:JOA458955 JXW458954:JXW458955 KHS458954:KHS458955 KRO458954:KRO458955 LBK458954:LBK458955 LLG458954:LLG458955 LVC458954:LVC458955 MEY458954:MEY458955 MOU458954:MOU458955 MYQ458954:MYQ458955 NIM458954:NIM458955 NSI458954:NSI458955 OCE458954:OCE458955 OMA458954:OMA458955 OVW458954:OVW458955 PFS458954:PFS458955 PPO458954:PPO458955 PZK458954:PZK458955 QJG458954:QJG458955 QTC458954:QTC458955 RCY458954:RCY458955 RMU458954:RMU458955 RWQ458954:RWQ458955 SGM458954:SGM458955 SQI458954:SQI458955 TAE458954:TAE458955 TKA458954:TKA458955 TTW458954:TTW458955 UDS458954:UDS458955 UNO458954:UNO458955 UXK458954:UXK458955 VHG458954:VHG458955 VRC458954:VRC458955 WAY458954:WAY458955 WKU458954:WKU458955 WUQ458954:WUQ458955 F524490:F524491 IE524490:IE524491 SA524490:SA524491 ABW524490:ABW524491 ALS524490:ALS524491 AVO524490:AVO524491 BFK524490:BFK524491 BPG524490:BPG524491 BZC524490:BZC524491 CIY524490:CIY524491 CSU524490:CSU524491 DCQ524490:DCQ524491 DMM524490:DMM524491 DWI524490:DWI524491 EGE524490:EGE524491 EQA524490:EQA524491 EZW524490:EZW524491 FJS524490:FJS524491 FTO524490:FTO524491 GDK524490:GDK524491 GNG524490:GNG524491 GXC524490:GXC524491 HGY524490:HGY524491 HQU524490:HQU524491 IAQ524490:IAQ524491 IKM524490:IKM524491 IUI524490:IUI524491 JEE524490:JEE524491 JOA524490:JOA524491 JXW524490:JXW524491 KHS524490:KHS524491 KRO524490:KRO524491 LBK524490:LBK524491 LLG524490:LLG524491 LVC524490:LVC524491 MEY524490:MEY524491 MOU524490:MOU524491 MYQ524490:MYQ524491 NIM524490:NIM524491 NSI524490:NSI524491 OCE524490:OCE524491 OMA524490:OMA524491 OVW524490:OVW524491 PFS524490:PFS524491 PPO524490:PPO524491 PZK524490:PZK524491 QJG524490:QJG524491 QTC524490:QTC524491 RCY524490:RCY524491 RMU524490:RMU524491 RWQ524490:RWQ524491 SGM524490:SGM524491 SQI524490:SQI524491 TAE524490:TAE524491 TKA524490:TKA524491 TTW524490:TTW524491 UDS524490:UDS524491 UNO524490:UNO524491 UXK524490:UXK524491 VHG524490:VHG524491 VRC524490:VRC524491 WAY524490:WAY524491 WKU524490:WKU524491 WUQ524490:WUQ524491 F590026:F590027 IE590026:IE590027 SA590026:SA590027 ABW590026:ABW590027 ALS590026:ALS590027 AVO590026:AVO590027 BFK590026:BFK590027 BPG590026:BPG590027 BZC590026:BZC590027 CIY590026:CIY590027 CSU590026:CSU590027 DCQ590026:DCQ590027 DMM590026:DMM590027 DWI590026:DWI590027 EGE590026:EGE590027 EQA590026:EQA590027 EZW590026:EZW590027 FJS590026:FJS590027 FTO590026:FTO590027 GDK590026:GDK590027 GNG590026:GNG590027 GXC590026:GXC590027 HGY590026:HGY590027 HQU590026:HQU590027 IAQ590026:IAQ590027 IKM590026:IKM590027 IUI590026:IUI590027 JEE590026:JEE590027 JOA590026:JOA590027 JXW590026:JXW590027 KHS590026:KHS590027 KRO590026:KRO590027 LBK590026:LBK590027 LLG590026:LLG590027 LVC590026:LVC590027 MEY590026:MEY590027 MOU590026:MOU590027 MYQ590026:MYQ590027 NIM590026:NIM590027 NSI590026:NSI590027 OCE590026:OCE590027 OMA590026:OMA590027 OVW590026:OVW590027 PFS590026:PFS590027 PPO590026:PPO590027 PZK590026:PZK590027 QJG590026:QJG590027 QTC590026:QTC590027 RCY590026:RCY590027 RMU590026:RMU590027 RWQ590026:RWQ590027 SGM590026:SGM590027 SQI590026:SQI590027 TAE590026:TAE590027 TKA590026:TKA590027 TTW590026:TTW590027 UDS590026:UDS590027 UNO590026:UNO590027 UXK590026:UXK590027 VHG590026:VHG590027 VRC590026:VRC590027 WAY590026:WAY590027 WKU590026:WKU590027 WUQ590026:WUQ590027 F655562:F655563 IE655562:IE655563 SA655562:SA655563 ABW655562:ABW655563 ALS655562:ALS655563 AVO655562:AVO655563 BFK655562:BFK655563 BPG655562:BPG655563 BZC655562:BZC655563 CIY655562:CIY655563 CSU655562:CSU655563 DCQ655562:DCQ655563 DMM655562:DMM655563 DWI655562:DWI655563 EGE655562:EGE655563 EQA655562:EQA655563 EZW655562:EZW655563 FJS655562:FJS655563 FTO655562:FTO655563 GDK655562:GDK655563 GNG655562:GNG655563 GXC655562:GXC655563 HGY655562:HGY655563 HQU655562:HQU655563 IAQ655562:IAQ655563 IKM655562:IKM655563 IUI655562:IUI655563 JEE655562:JEE655563 JOA655562:JOA655563 JXW655562:JXW655563 KHS655562:KHS655563 KRO655562:KRO655563 LBK655562:LBK655563 LLG655562:LLG655563 LVC655562:LVC655563 MEY655562:MEY655563 MOU655562:MOU655563 MYQ655562:MYQ655563 NIM655562:NIM655563 NSI655562:NSI655563 OCE655562:OCE655563 OMA655562:OMA655563 OVW655562:OVW655563 PFS655562:PFS655563 PPO655562:PPO655563 PZK655562:PZK655563 QJG655562:QJG655563 QTC655562:QTC655563 RCY655562:RCY655563 RMU655562:RMU655563 RWQ655562:RWQ655563 SGM655562:SGM655563 SQI655562:SQI655563 TAE655562:TAE655563 TKA655562:TKA655563 TTW655562:TTW655563 UDS655562:UDS655563 UNO655562:UNO655563 UXK655562:UXK655563 VHG655562:VHG655563 VRC655562:VRC655563 WAY655562:WAY655563 WKU655562:WKU655563 WUQ655562:WUQ655563 F721098:F721099 IE721098:IE721099 SA721098:SA721099 ABW721098:ABW721099 ALS721098:ALS721099 AVO721098:AVO721099 BFK721098:BFK721099 BPG721098:BPG721099 BZC721098:BZC721099 CIY721098:CIY721099 CSU721098:CSU721099 DCQ721098:DCQ721099 DMM721098:DMM721099 DWI721098:DWI721099 EGE721098:EGE721099 EQA721098:EQA721099 EZW721098:EZW721099 FJS721098:FJS721099 FTO721098:FTO721099 GDK721098:GDK721099 GNG721098:GNG721099 GXC721098:GXC721099 HGY721098:HGY721099 HQU721098:HQU721099 IAQ721098:IAQ721099 IKM721098:IKM721099 IUI721098:IUI721099 JEE721098:JEE721099 JOA721098:JOA721099 JXW721098:JXW721099 KHS721098:KHS721099 KRO721098:KRO721099 LBK721098:LBK721099 LLG721098:LLG721099 LVC721098:LVC721099 MEY721098:MEY721099 MOU721098:MOU721099 MYQ721098:MYQ721099 NIM721098:NIM721099 NSI721098:NSI721099 OCE721098:OCE721099 OMA721098:OMA721099 OVW721098:OVW721099 PFS721098:PFS721099 PPO721098:PPO721099 PZK721098:PZK721099 QJG721098:QJG721099 QTC721098:QTC721099 RCY721098:RCY721099 RMU721098:RMU721099 RWQ721098:RWQ721099 SGM721098:SGM721099 SQI721098:SQI721099 TAE721098:TAE721099 TKA721098:TKA721099 TTW721098:TTW721099 UDS721098:UDS721099 UNO721098:UNO721099 UXK721098:UXK721099 VHG721098:VHG721099 VRC721098:VRC721099 WAY721098:WAY721099 WKU721098:WKU721099 WUQ721098:WUQ721099 F786634:F786635 IE786634:IE786635 SA786634:SA786635 ABW786634:ABW786635 ALS786634:ALS786635 AVO786634:AVO786635 BFK786634:BFK786635 BPG786634:BPG786635 BZC786634:BZC786635 CIY786634:CIY786635 CSU786634:CSU786635 DCQ786634:DCQ786635 DMM786634:DMM786635 DWI786634:DWI786635 EGE786634:EGE786635 EQA786634:EQA786635 EZW786634:EZW786635 FJS786634:FJS786635 FTO786634:FTO786635 GDK786634:GDK786635 GNG786634:GNG786635 GXC786634:GXC786635 HGY786634:HGY786635 HQU786634:HQU786635 IAQ786634:IAQ786635 IKM786634:IKM786635 IUI786634:IUI786635 JEE786634:JEE786635 JOA786634:JOA786635 JXW786634:JXW786635 KHS786634:KHS786635 KRO786634:KRO786635 LBK786634:LBK786635 LLG786634:LLG786635 LVC786634:LVC786635 MEY786634:MEY786635 MOU786634:MOU786635 MYQ786634:MYQ786635 NIM786634:NIM786635 NSI786634:NSI786635 OCE786634:OCE786635 OMA786634:OMA786635 OVW786634:OVW786635 PFS786634:PFS786635 PPO786634:PPO786635 PZK786634:PZK786635 QJG786634:QJG786635 QTC786634:QTC786635 RCY786634:RCY786635 RMU786634:RMU786635 RWQ786634:RWQ786635 SGM786634:SGM786635 SQI786634:SQI786635 TAE786634:TAE786635 TKA786634:TKA786635 TTW786634:TTW786635 UDS786634:UDS786635 UNO786634:UNO786635 UXK786634:UXK786635 VHG786634:VHG786635 VRC786634:VRC786635 WAY786634:WAY786635 WKU786634:WKU786635 WUQ786634:WUQ786635 F852170:F852171 IE852170:IE852171 SA852170:SA852171 ABW852170:ABW852171 ALS852170:ALS852171 AVO852170:AVO852171 BFK852170:BFK852171 BPG852170:BPG852171 BZC852170:BZC852171 CIY852170:CIY852171 CSU852170:CSU852171 DCQ852170:DCQ852171 DMM852170:DMM852171 DWI852170:DWI852171 EGE852170:EGE852171 EQA852170:EQA852171 EZW852170:EZW852171 FJS852170:FJS852171 FTO852170:FTO852171 GDK852170:GDK852171 GNG852170:GNG852171 GXC852170:GXC852171 HGY852170:HGY852171 HQU852170:HQU852171 IAQ852170:IAQ852171 IKM852170:IKM852171 IUI852170:IUI852171 JEE852170:JEE852171 JOA852170:JOA852171 JXW852170:JXW852171 KHS852170:KHS852171 KRO852170:KRO852171 LBK852170:LBK852171 LLG852170:LLG852171 LVC852170:LVC852171 MEY852170:MEY852171 MOU852170:MOU852171 MYQ852170:MYQ852171 NIM852170:NIM852171 NSI852170:NSI852171 OCE852170:OCE852171 OMA852170:OMA852171 OVW852170:OVW852171 PFS852170:PFS852171 PPO852170:PPO852171 PZK852170:PZK852171 QJG852170:QJG852171 QTC852170:QTC852171 RCY852170:RCY852171 RMU852170:RMU852171 RWQ852170:RWQ852171 SGM852170:SGM852171 SQI852170:SQI852171 TAE852170:TAE852171 TKA852170:TKA852171 TTW852170:TTW852171 UDS852170:UDS852171 UNO852170:UNO852171 UXK852170:UXK852171 VHG852170:VHG852171 VRC852170:VRC852171 WAY852170:WAY852171 WKU852170:WKU852171 WUQ852170:WUQ852171 F917706:F917707 IE917706:IE917707 SA917706:SA917707 ABW917706:ABW917707 ALS917706:ALS917707 AVO917706:AVO917707 BFK917706:BFK917707 BPG917706:BPG917707 BZC917706:BZC917707 CIY917706:CIY917707 CSU917706:CSU917707 DCQ917706:DCQ917707 DMM917706:DMM917707 DWI917706:DWI917707 EGE917706:EGE917707 EQA917706:EQA917707 EZW917706:EZW917707 FJS917706:FJS917707 FTO917706:FTO917707 GDK917706:GDK917707 GNG917706:GNG917707 GXC917706:GXC917707 HGY917706:HGY917707 HQU917706:HQU917707 IAQ917706:IAQ917707 IKM917706:IKM917707 IUI917706:IUI917707 JEE917706:JEE917707 JOA917706:JOA917707 JXW917706:JXW917707 KHS917706:KHS917707 KRO917706:KRO917707 LBK917706:LBK917707 LLG917706:LLG917707 LVC917706:LVC917707 MEY917706:MEY917707 MOU917706:MOU917707 MYQ917706:MYQ917707 NIM917706:NIM917707 NSI917706:NSI917707 OCE917706:OCE917707 OMA917706:OMA917707 OVW917706:OVW917707 PFS917706:PFS917707 PPO917706:PPO917707 PZK917706:PZK917707 QJG917706:QJG917707 QTC917706:QTC917707 RCY917706:RCY917707 RMU917706:RMU917707 RWQ917706:RWQ917707 SGM917706:SGM917707 SQI917706:SQI917707 TAE917706:TAE917707 TKA917706:TKA917707 TTW917706:TTW917707 UDS917706:UDS917707 UNO917706:UNO917707 UXK917706:UXK917707 VHG917706:VHG917707 VRC917706:VRC917707 WAY917706:WAY917707 WKU917706:WKU917707 WUQ917706:WUQ917707 F983242:F983243 IE983242:IE983243 SA983242:SA983243 ABW983242:ABW983243 ALS983242:ALS983243 AVO983242:AVO983243 BFK983242:BFK983243 BPG983242:BPG983243 BZC983242:BZC983243 CIY983242:CIY983243 CSU983242:CSU983243 DCQ983242:DCQ983243 DMM983242:DMM983243 DWI983242:DWI983243 EGE983242:EGE983243 EQA983242:EQA983243 EZW983242:EZW983243 FJS983242:FJS983243 FTO983242:FTO983243 GDK983242:GDK983243 GNG983242:GNG983243 GXC983242:GXC983243 HGY983242:HGY983243 HQU983242:HQU983243 IAQ983242:IAQ983243 IKM983242:IKM983243 IUI983242:IUI983243 JEE983242:JEE983243 JOA983242:JOA983243 JXW983242:JXW983243 KHS983242:KHS983243 KRO983242:KRO983243 LBK983242:LBK983243 LLG983242:LLG983243 LVC983242:LVC983243 MEY983242:MEY983243 MOU983242:MOU983243 MYQ983242:MYQ983243 NIM983242:NIM983243 NSI983242:NSI983243 OCE983242:OCE983243 OMA983242:OMA983243 OVW983242:OVW983243 PFS983242:PFS983243 PPO983242:PPO983243 PZK983242:PZK983243 QJG983242:QJG983243 QTC983242:QTC983243 RCY983242:RCY983243 RMU983242:RMU983243 RWQ983242:RWQ983243 SGM983242:SGM983243 SQI983242:SQI983243 TAE983242:TAE983243 TKA983242:TKA983243 TTW983242:TTW983243 UDS983242:UDS983243 UNO983242:UNO983243 UXK983242:UXK983243 VHG983242:VHG983243 VRC983242:VRC983243 WAY983242:WAY983243 IE19:IE22 SA72:SA73 ABW72:ABW73 ALS72:ALS73 AVO72:AVO73 BFK72:BFK73 BPG72:BPG73 BZC72:BZC73 CIY72:CIY73 CSU72:CSU73 DCQ72:DCQ73 DMM72:DMM73 DWI72:DWI73 EGE72:EGE73 EQA72:EQA73 EZW72:EZW73 FJS72:FJS73 FTO72:FTO73 GDK72:GDK73 GNG72:GNG73 GXC72:GXC73 HGY72:HGY73 HQU72:HQU73 IAQ72:IAQ73 IKM72:IKM73 IUI72:IUI73 JEE72:JEE73 JOA72:JOA73 JXW72:JXW73 KHS72:KHS73 KRO72:KRO73 LBK72:LBK73 LLG72:LLG73 LVC72:LVC73 MEY72:MEY73 MOU72:MOU73 MYQ72:MYQ73 NIM72:NIM73 NSI72:NSI73 OCE72:OCE73 OMA72:OMA73 OVW72:OVW73 PFS72:PFS73 PPO72:PPO73 PZK72:PZK73 QJG72:QJG73 QTC72:QTC73 RCY72:RCY73 RMU72:RMU73 RWQ72:RWQ73 SGM72:SGM73 SQI72:SQI73 TAE72:TAE73 TKA72:TKA73 TTW72:TTW73 UDS72:UDS73 UNO72:UNO73 UXK72:UXK73 VHG72:VHG73 VRC72:VRC73 WAY72:WAY73 WKU72:WKU73 WUQ72:WUQ73 IE72:IE73 SA50:SA51 ABW50:ABW51 ALS50:ALS51 AVO50:AVO51 BFK50:BFK51 BPG50:BPG51 BZC50:BZC51 CIY50:CIY51 CSU50:CSU51 DCQ50:DCQ51 DMM50:DMM51 DWI50:DWI51 EGE50:EGE51 EQA50:EQA51 EZW50:EZW51 FJS50:FJS51 FTO50:FTO51 GDK50:GDK51 GNG50:GNG51 GXC50:GXC51 HGY50:HGY51 HQU50:HQU51 IAQ50:IAQ51 IKM50:IKM51 IUI50:IUI51 JEE50:JEE51 JOA50:JOA51 JXW50:JXW51 KHS50:KHS51 KRO50:KRO51 LBK50:LBK51 LLG50:LLG51 LVC50:LVC51 MEY50:MEY51 MOU50:MOU51 MYQ50:MYQ51 NIM50:NIM51 NSI50:NSI51 OCE50:OCE51 OMA50:OMA51 OVW50:OVW51 PFS50:PFS51 PPO50:PPO51 PZK50:PZK51 QJG50:QJG51 QTC50:QTC51 RCY50:RCY51 RMU50:RMU51 RWQ50:RWQ51 SGM50:SGM51 SQI50:SQI51 TAE50:TAE51 TKA50:TKA51 TTW50:TTW51 UDS50:UDS51 UNO50:UNO51 UXK50:UXK51 VHG50:VHG51 VRC50:VRC51 WAY50:WAY51 WKU50:WKU51 WUQ50:WUQ51 IE50:IE51" xr:uid="{00000000-0002-0000-0300-000001000000}">
      <formula1>"○,×"</formula1>
    </dataValidation>
    <dataValidation type="list" allowBlank="1" showInputMessage="1" showErrorMessage="1" sqref="WUS983242:WUZ983242 IG19:IN21 SC19:SJ21 ABY19:ACF21 ALU19:AMB21 AVQ19:AVX21 BFM19:BFT21 BPI19:BPP21 BZE19:BZL21 CJA19:CJH21 CSW19:CTD21 DCS19:DCZ21 DMO19:DMV21 DWK19:DWR21 EGG19:EGN21 EQC19:EQJ21 EZY19:FAF21 FJU19:FKB21 FTQ19:FTX21 GDM19:GDT21 GNI19:GNP21 GXE19:GXL21 HHA19:HHH21 HQW19:HRD21 IAS19:IAZ21 IKO19:IKV21 IUK19:IUR21 JEG19:JEN21 JOC19:JOJ21 JXY19:JYF21 KHU19:KIB21 KRQ19:KRX21 LBM19:LBT21 LLI19:LLP21 LVE19:LVL21 MFA19:MFH21 MOW19:MPD21 MYS19:MYZ21 NIO19:NIV21 NSK19:NSR21 OCG19:OCN21 OMC19:OMJ21 OVY19:OWF21 PFU19:PGB21 PPQ19:PPX21 PZM19:PZT21 QJI19:QJP21 QTE19:QTL21 RDA19:RDH21 RMW19:RND21 RWS19:RWZ21 SGO19:SGV21 SQK19:SQR21 TAG19:TAN21 TKC19:TKJ21 TTY19:TUF21 UDU19:UEB21 UNQ19:UNX21 UXM19:UXT21 VHI19:VHP21 VRE19:VRL21 WBA19:WBH21 WKW19:WLD21 WUS19:WUZ21 RMW50:RND50 IG65738:IN65738 SC65738:SJ65738 ABY65738:ACF65738 ALU65738:AMB65738 AVQ65738:AVX65738 BFM65738:BFT65738 BPI65738:BPP65738 BZE65738:BZL65738 CJA65738:CJH65738 CSW65738:CTD65738 DCS65738:DCZ65738 DMO65738:DMV65738 DWK65738:DWR65738 EGG65738:EGN65738 EQC65738:EQJ65738 EZY65738:FAF65738 FJU65738:FKB65738 FTQ65738:FTX65738 GDM65738:GDT65738 GNI65738:GNP65738 GXE65738:GXL65738 HHA65738:HHH65738 HQW65738:HRD65738 IAS65738:IAZ65738 IKO65738:IKV65738 IUK65738:IUR65738 JEG65738:JEN65738 JOC65738:JOJ65738 JXY65738:JYF65738 KHU65738:KIB65738 KRQ65738:KRX65738 LBM65738:LBT65738 LLI65738:LLP65738 LVE65738:LVL65738 MFA65738:MFH65738 MOW65738:MPD65738 MYS65738:MYZ65738 NIO65738:NIV65738 NSK65738:NSR65738 OCG65738:OCN65738 OMC65738:OMJ65738 OVY65738:OWF65738 PFU65738:PGB65738 PPQ65738:PPX65738 PZM65738:PZT65738 QJI65738:QJP65738 QTE65738:QTL65738 RDA65738:RDH65738 RMW65738:RND65738 RWS65738:RWZ65738 SGO65738:SGV65738 SQK65738:SQR65738 TAG65738:TAN65738 TKC65738:TKJ65738 TTY65738:TUF65738 UDU65738:UEB65738 UNQ65738:UNX65738 UXM65738:UXT65738 VHI65738:VHP65738 VRE65738:VRL65738 WBA65738:WBH65738 WKW65738:WLD65738 WUS65738:WUZ65738 RWS50:RWZ50 IG131274:IN131274 SC131274:SJ131274 ABY131274:ACF131274 ALU131274:AMB131274 AVQ131274:AVX131274 BFM131274:BFT131274 BPI131274:BPP131274 BZE131274:BZL131274 CJA131274:CJH131274 CSW131274:CTD131274 DCS131274:DCZ131274 DMO131274:DMV131274 DWK131274:DWR131274 EGG131274:EGN131274 EQC131274:EQJ131274 EZY131274:FAF131274 FJU131274:FKB131274 FTQ131274:FTX131274 GDM131274:GDT131274 GNI131274:GNP131274 GXE131274:GXL131274 HHA131274:HHH131274 HQW131274:HRD131274 IAS131274:IAZ131274 IKO131274:IKV131274 IUK131274:IUR131274 JEG131274:JEN131274 JOC131274:JOJ131274 JXY131274:JYF131274 KHU131274:KIB131274 KRQ131274:KRX131274 LBM131274:LBT131274 LLI131274:LLP131274 LVE131274:LVL131274 MFA131274:MFH131274 MOW131274:MPD131274 MYS131274:MYZ131274 NIO131274:NIV131274 NSK131274:NSR131274 OCG131274:OCN131274 OMC131274:OMJ131274 OVY131274:OWF131274 PFU131274:PGB131274 PPQ131274:PPX131274 PZM131274:PZT131274 QJI131274:QJP131274 QTE131274:QTL131274 RDA131274:RDH131274 RMW131274:RND131274 RWS131274:RWZ131274 SGO131274:SGV131274 SQK131274:SQR131274 TAG131274:TAN131274 TKC131274:TKJ131274 TTY131274:TUF131274 UDU131274:UEB131274 UNQ131274:UNX131274 UXM131274:UXT131274 VHI131274:VHP131274 VRE131274:VRL131274 WBA131274:WBH131274 WKW131274:WLD131274 WUS131274:WUZ131274 SGO50:SGV50 IG196810:IN196810 SC196810:SJ196810 ABY196810:ACF196810 ALU196810:AMB196810 AVQ196810:AVX196810 BFM196810:BFT196810 BPI196810:BPP196810 BZE196810:BZL196810 CJA196810:CJH196810 CSW196810:CTD196810 DCS196810:DCZ196810 DMO196810:DMV196810 DWK196810:DWR196810 EGG196810:EGN196810 EQC196810:EQJ196810 EZY196810:FAF196810 FJU196810:FKB196810 FTQ196810:FTX196810 GDM196810:GDT196810 GNI196810:GNP196810 GXE196810:GXL196810 HHA196810:HHH196810 HQW196810:HRD196810 IAS196810:IAZ196810 IKO196810:IKV196810 IUK196810:IUR196810 JEG196810:JEN196810 JOC196810:JOJ196810 JXY196810:JYF196810 KHU196810:KIB196810 KRQ196810:KRX196810 LBM196810:LBT196810 LLI196810:LLP196810 LVE196810:LVL196810 MFA196810:MFH196810 MOW196810:MPD196810 MYS196810:MYZ196810 NIO196810:NIV196810 NSK196810:NSR196810 OCG196810:OCN196810 OMC196810:OMJ196810 OVY196810:OWF196810 PFU196810:PGB196810 PPQ196810:PPX196810 PZM196810:PZT196810 QJI196810:QJP196810 QTE196810:QTL196810 RDA196810:RDH196810 RMW196810:RND196810 RWS196810:RWZ196810 SGO196810:SGV196810 SQK196810:SQR196810 TAG196810:TAN196810 TKC196810:TKJ196810 TTY196810:TUF196810 UDU196810:UEB196810 UNQ196810:UNX196810 UXM196810:UXT196810 VHI196810:VHP196810 VRE196810:VRL196810 WBA196810:WBH196810 WKW196810:WLD196810 WUS196810:WUZ196810 SQK50:SQR50 IG262346:IN262346 SC262346:SJ262346 ABY262346:ACF262346 ALU262346:AMB262346 AVQ262346:AVX262346 BFM262346:BFT262346 BPI262346:BPP262346 BZE262346:BZL262346 CJA262346:CJH262346 CSW262346:CTD262346 DCS262346:DCZ262346 DMO262346:DMV262346 DWK262346:DWR262346 EGG262346:EGN262346 EQC262346:EQJ262346 EZY262346:FAF262346 FJU262346:FKB262346 FTQ262346:FTX262346 GDM262346:GDT262346 GNI262346:GNP262346 GXE262346:GXL262346 HHA262346:HHH262346 HQW262346:HRD262346 IAS262346:IAZ262346 IKO262346:IKV262346 IUK262346:IUR262346 JEG262346:JEN262346 JOC262346:JOJ262346 JXY262346:JYF262346 KHU262346:KIB262346 KRQ262346:KRX262346 LBM262346:LBT262346 LLI262346:LLP262346 LVE262346:LVL262346 MFA262346:MFH262346 MOW262346:MPD262346 MYS262346:MYZ262346 NIO262346:NIV262346 NSK262346:NSR262346 OCG262346:OCN262346 OMC262346:OMJ262346 OVY262346:OWF262346 PFU262346:PGB262346 PPQ262346:PPX262346 PZM262346:PZT262346 QJI262346:QJP262346 QTE262346:QTL262346 RDA262346:RDH262346 RMW262346:RND262346 RWS262346:RWZ262346 SGO262346:SGV262346 SQK262346:SQR262346 TAG262346:TAN262346 TKC262346:TKJ262346 TTY262346:TUF262346 UDU262346:UEB262346 UNQ262346:UNX262346 UXM262346:UXT262346 VHI262346:VHP262346 VRE262346:VRL262346 WBA262346:WBH262346 WKW262346:WLD262346 WUS262346:WUZ262346 TAG50:TAN50 IG327882:IN327882 SC327882:SJ327882 ABY327882:ACF327882 ALU327882:AMB327882 AVQ327882:AVX327882 BFM327882:BFT327882 BPI327882:BPP327882 BZE327882:BZL327882 CJA327882:CJH327882 CSW327882:CTD327882 DCS327882:DCZ327882 DMO327882:DMV327882 DWK327882:DWR327882 EGG327882:EGN327882 EQC327882:EQJ327882 EZY327882:FAF327882 FJU327882:FKB327882 FTQ327882:FTX327882 GDM327882:GDT327882 GNI327882:GNP327882 GXE327882:GXL327882 HHA327882:HHH327882 HQW327882:HRD327882 IAS327882:IAZ327882 IKO327882:IKV327882 IUK327882:IUR327882 JEG327882:JEN327882 JOC327882:JOJ327882 JXY327882:JYF327882 KHU327882:KIB327882 KRQ327882:KRX327882 LBM327882:LBT327882 LLI327882:LLP327882 LVE327882:LVL327882 MFA327882:MFH327882 MOW327882:MPD327882 MYS327882:MYZ327882 NIO327882:NIV327882 NSK327882:NSR327882 OCG327882:OCN327882 OMC327882:OMJ327882 OVY327882:OWF327882 PFU327882:PGB327882 PPQ327882:PPX327882 PZM327882:PZT327882 QJI327882:QJP327882 QTE327882:QTL327882 RDA327882:RDH327882 RMW327882:RND327882 RWS327882:RWZ327882 SGO327882:SGV327882 SQK327882:SQR327882 TAG327882:TAN327882 TKC327882:TKJ327882 TTY327882:TUF327882 UDU327882:UEB327882 UNQ327882:UNX327882 UXM327882:UXT327882 VHI327882:VHP327882 VRE327882:VRL327882 WBA327882:WBH327882 WKW327882:WLD327882 WUS327882:WUZ327882 TKC50:TKJ50 IG393418:IN393418 SC393418:SJ393418 ABY393418:ACF393418 ALU393418:AMB393418 AVQ393418:AVX393418 BFM393418:BFT393418 BPI393418:BPP393418 BZE393418:BZL393418 CJA393418:CJH393418 CSW393418:CTD393418 DCS393418:DCZ393418 DMO393418:DMV393418 DWK393418:DWR393418 EGG393418:EGN393418 EQC393418:EQJ393418 EZY393418:FAF393418 FJU393418:FKB393418 FTQ393418:FTX393418 GDM393418:GDT393418 GNI393418:GNP393418 GXE393418:GXL393418 HHA393418:HHH393418 HQW393418:HRD393418 IAS393418:IAZ393418 IKO393418:IKV393418 IUK393418:IUR393418 JEG393418:JEN393418 JOC393418:JOJ393418 JXY393418:JYF393418 KHU393418:KIB393418 KRQ393418:KRX393418 LBM393418:LBT393418 LLI393418:LLP393418 LVE393418:LVL393418 MFA393418:MFH393418 MOW393418:MPD393418 MYS393418:MYZ393418 NIO393418:NIV393418 NSK393418:NSR393418 OCG393418:OCN393418 OMC393418:OMJ393418 OVY393418:OWF393418 PFU393418:PGB393418 PPQ393418:PPX393418 PZM393418:PZT393418 QJI393418:QJP393418 QTE393418:QTL393418 RDA393418:RDH393418 RMW393418:RND393418 RWS393418:RWZ393418 SGO393418:SGV393418 SQK393418:SQR393418 TAG393418:TAN393418 TKC393418:TKJ393418 TTY393418:TUF393418 UDU393418:UEB393418 UNQ393418:UNX393418 UXM393418:UXT393418 VHI393418:VHP393418 VRE393418:VRL393418 WBA393418:WBH393418 WKW393418:WLD393418 WUS393418:WUZ393418 TTY50:TUF50 IG458954:IN458954 SC458954:SJ458954 ABY458954:ACF458954 ALU458954:AMB458954 AVQ458954:AVX458954 BFM458954:BFT458954 BPI458954:BPP458954 BZE458954:BZL458954 CJA458954:CJH458954 CSW458954:CTD458954 DCS458954:DCZ458954 DMO458954:DMV458954 DWK458954:DWR458954 EGG458954:EGN458954 EQC458954:EQJ458954 EZY458954:FAF458954 FJU458954:FKB458954 FTQ458954:FTX458954 GDM458954:GDT458954 GNI458954:GNP458954 GXE458954:GXL458954 HHA458954:HHH458954 HQW458954:HRD458954 IAS458954:IAZ458954 IKO458954:IKV458954 IUK458954:IUR458954 JEG458954:JEN458954 JOC458954:JOJ458954 JXY458954:JYF458954 KHU458954:KIB458954 KRQ458954:KRX458954 LBM458954:LBT458954 LLI458954:LLP458954 LVE458954:LVL458954 MFA458954:MFH458954 MOW458954:MPD458954 MYS458954:MYZ458954 NIO458954:NIV458954 NSK458954:NSR458954 OCG458954:OCN458954 OMC458954:OMJ458954 OVY458954:OWF458954 PFU458954:PGB458954 PPQ458954:PPX458954 PZM458954:PZT458954 QJI458954:QJP458954 QTE458954:QTL458954 RDA458954:RDH458954 RMW458954:RND458954 RWS458954:RWZ458954 SGO458954:SGV458954 SQK458954:SQR458954 TAG458954:TAN458954 TKC458954:TKJ458954 TTY458954:TUF458954 UDU458954:UEB458954 UNQ458954:UNX458954 UXM458954:UXT458954 VHI458954:VHP458954 VRE458954:VRL458954 WBA458954:WBH458954 WKW458954:WLD458954 WUS458954:WUZ458954 UDU50:UEB50 IG524490:IN524490 SC524490:SJ524490 ABY524490:ACF524490 ALU524490:AMB524490 AVQ524490:AVX524490 BFM524490:BFT524490 BPI524490:BPP524490 BZE524490:BZL524490 CJA524490:CJH524490 CSW524490:CTD524490 DCS524490:DCZ524490 DMO524490:DMV524490 DWK524490:DWR524490 EGG524490:EGN524490 EQC524490:EQJ524490 EZY524490:FAF524490 FJU524490:FKB524490 FTQ524490:FTX524490 GDM524490:GDT524490 GNI524490:GNP524490 GXE524490:GXL524490 HHA524490:HHH524490 HQW524490:HRD524490 IAS524490:IAZ524490 IKO524490:IKV524490 IUK524490:IUR524490 JEG524490:JEN524490 JOC524490:JOJ524490 JXY524490:JYF524490 KHU524490:KIB524490 KRQ524490:KRX524490 LBM524490:LBT524490 LLI524490:LLP524490 LVE524490:LVL524490 MFA524490:MFH524490 MOW524490:MPD524490 MYS524490:MYZ524490 NIO524490:NIV524490 NSK524490:NSR524490 OCG524490:OCN524490 OMC524490:OMJ524490 OVY524490:OWF524490 PFU524490:PGB524490 PPQ524490:PPX524490 PZM524490:PZT524490 QJI524490:QJP524490 QTE524490:QTL524490 RDA524490:RDH524490 RMW524490:RND524490 RWS524490:RWZ524490 SGO524490:SGV524490 SQK524490:SQR524490 TAG524490:TAN524490 TKC524490:TKJ524490 TTY524490:TUF524490 UDU524490:UEB524490 UNQ524490:UNX524490 UXM524490:UXT524490 VHI524490:VHP524490 VRE524490:VRL524490 WBA524490:WBH524490 WKW524490:WLD524490 WUS524490:WUZ524490 UNQ50:UNX50 IG590026:IN590026 SC590026:SJ590026 ABY590026:ACF590026 ALU590026:AMB590026 AVQ590026:AVX590026 BFM590026:BFT590026 BPI590026:BPP590026 BZE590026:BZL590026 CJA590026:CJH590026 CSW590026:CTD590026 DCS590026:DCZ590026 DMO590026:DMV590026 DWK590026:DWR590026 EGG590026:EGN590026 EQC590026:EQJ590026 EZY590026:FAF590026 FJU590026:FKB590026 FTQ590026:FTX590026 GDM590026:GDT590026 GNI590026:GNP590026 GXE590026:GXL590026 HHA590026:HHH590026 HQW590026:HRD590026 IAS590026:IAZ590026 IKO590026:IKV590026 IUK590026:IUR590026 JEG590026:JEN590026 JOC590026:JOJ590026 JXY590026:JYF590026 KHU590026:KIB590026 KRQ590026:KRX590026 LBM590026:LBT590026 LLI590026:LLP590026 LVE590026:LVL590026 MFA590026:MFH590026 MOW590026:MPD590026 MYS590026:MYZ590026 NIO590026:NIV590026 NSK590026:NSR590026 OCG590026:OCN590026 OMC590026:OMJ590026 OVY590026:OWF590026 PFU590026:PGB590026 PPQ590026:PPX590026 PZM590026:PZT590026 QJI590026:QJP590026 QTE590026:QTL590026 RDA590026:RDH590026 RMW590026:RND590026 RWS590026:RWZ590026 SGO590026:SGV590026 SQK590026:SQR590026 TAG590026:TAN590026 TKC590026:TKJ590026 TTY590026:TUF590026 UDU590026:UEB590026 UNQ590026:UNX590026 UXM590026:UXT590026 VHI590026:VHP590026 VRE590026:VRL590026 WBA590026:WBH590026 WKW590026:WLD590026 WUS590026:WUZ590026 UXM50:UXT50 IG655562:IN655562 SC655562:SJ655562 ABY655562:ACF655562 ALU655562:AMB655562 AVQ655562:AVX655562 BFM655562:BFT655562 BPI655562:BPP655562 BZE655562:BZL655562 CJA655562:CJH655562 CSW655562:CTD655562 DCS655562:DCZ655562 DMO655562:DMV655562 DWK655562:DWR655562 EGG655562:EGN655562 EQC655562:EQJ655562 EZY655562:FAF655562 FJU655562:FKB655562 FTQ655562:FTX655562 GDM655562:GDT655562 GNI655562:GNP655562 GXE655562:GXL655562 HHA655562:HHH655562 HQW655562:HRD655562 IAS655562:IAZ655562 IKO655562:IKV655562 IUK655562:IUR655562 JEG655562:JEN655562 JOC655562:JOJ655562 JXY655562:JYF655562 KHU655562:KIB655562 KRQ655562:KRX655562 LBM655562:LBT655562 LLI655562:LLP655562 LVE655562:LVL655562 MFA655562:MFH655562 MOW655562:MPD655562 MYS655562:MYZ655562 NIO655562:NIV655562 NSK655562:NSR655562 OCG655562:OCN655562 OMC655562:OMJ655562 OVY655562:OWF655562 PFU655562:PGB655562 PPQ655562:PPX655562 PZM655562:PZT655562 QJI655562:QJP655562 QTE655562:QTL655562 RDA655562:RDH655562 RMW655562:RND655562 RWS655562:RWZ655562 SGO655562:SGV655562 SQK655562:SQR655562 TAG655562:TAN655562 TKC655562:TKJ655562 TTY655562:TUF655562 UDU655562:UEB655562 UNQ655562:UNX655562 UXM655562:UXT655562 VHI655562:VHP655562 VRE655562:VRL655562 WBA655562:WBH655562 WKW655562:WLD655562 WUS655562:WUZ655562 VHI50:VHP50 IG721098:IN721098 SC721098:SJ721098 ABY721098:ACF721098 ALU721098:AMB721098 AVQ721098:AVX721098 BFM721098:BFT721098 BPI721098:BPP721098 BZE721098:BZL721098 CJA721098:CJH721098 CSW721098:CTD721098 DCS721098:DCZ721098 DMO721098:DMV721098 DWK721098:DWR721098 EGG721098:EGN721098 EQC721098:EQJ721098 EZY721098:FAF721098 FJU721098:FKB721098 FTQ721098:FTX721098 GDM721098:GDT721098 GNI721098:GNP721098 GXE721098:GXL721098 HHA721098:HHH721098 HQW721098:HRD721098 IAS721098:IAZ721098 IKO721098:IKV721098 IUK721098:IUR721098 JEG721098:JEN721098 JOC721098:JOJ721098 JXY721098:JYF721098 KHU721098:KIB721098 KRQ721098:KRX721098 LBM721098:LBT721098 LLI721098:LLP721098 LVE721098:LVL721098 MFA721098:MFH721098 MOW721098:MPD721098 MYS721098:MYZ721098 NIO721098:NIV721098 NSK721098:NSR721098 OCG721098:OCN721098 OMC721098:OMJ721098 OVY721098:OWF721098 PFU721098:PGB721098 PPQ721098:PPX721098 PZM721098:PZT721098 QJI721098:QJP721098 QTE721098:QTL721098 RDA721098:RDH721098 RMW721098:RND721098 RWS721098:RWZ721098 SGO721098:SGV721098 SQK721098:SQR721098 TAG721098:TAN721098 TKC721098:TKJ721098 TTY721098:TUF721098 UDU721098:UEB721098 UNQ721098:UNX721098 UXM721098:UXT721098 VHI721098:VHP721098 VRE721098:VRL721098 WBA721098:WBH721098 WKW721098:WLD721098 WUS721098:WUZ721098 VRE50:VRL50 IG786634:IN786634 SC786634:SJ786634 ABY786634:ACF786634 ALU786634:AMB786634 AVQ786634:AVX786634 BFM786634:BFT786634 BPI786634:BPP786634 BZE786634:BZL786634 CJA786634:CJH786634 CSW786634:CTD786634 DCS786634:DCZ786634 DMO786634:DMV786634 DWK786634:DWR786634 EGG786634:EGN786634 EQC786634:EQJ786634 EZY786634:FAF786634 FJU786634:FKB786634 FTQ786634:FTX786634 GDM786634:GDT786634 GNI786634:GNP786634 GXE786634:GXL786634 HHA786634:HHH786634 HQW786634:HRD786634 IAS786634:IAZ786634 IKO786634:IKV786634 IUK786634:IUR786634 JEG786634:JEN786634 JOC786634:JOJ786634 JXY786634:JYF786634 KHU786634:KIB786634 KRQ786634:KRX786634 LBM786634:LBT786634 LLI786634:LLP786634 LVE786634:LVL786634 MFA786634:MFH786634 MOW786634:MPD786634 MYS786634:MYZ786634 NIO786634:NIV786634 NSK786634:NSR786634 OCG786634:OCN786634 OMC786634:OMJ786634 OVY786634:OWF786634 PFU786634:PGB786634 PPQ786634:PPX786634 PZM786634:PZT786634 QJI786634:QJP786634 QTE786634:QTL786634 RDA786634:RDH786634 RMW786634:RND786634 RWS786634:RWZ786634 SGO786634:SGV786634 SQK786634:SQR786634 TAG786634:TAN786634 TKC786634:TKJ786634 TTY786634:TUF786634 UDU786634:UEB786634 UNQ786634:UNX786634 UXM786634:UXT786634 VHI786634:VHP786634 VRE786634:VRL786634 WBA786634:WBH786634 WKW786634:WLD786634 WUS786634:WUZ786634 WBA50:WBH50 IG852170:IN852170 SC852170:SJ852170 ABY852170:ACF852170 ALU852170:AMB852170 AVQ852170:AVX852170 BFM852170:BFT852170 BPI852170:BPP852170 BZE852170:BZL852170 CJA852170:CJH852170 CSW852170:CTD852170 DCS852170:DCZ852170 DMO852170:DMV852170 DWK852170:DWR852170 EGG852170:EGN852170 EQC852170:EQJ852170 EZY852170:FAF852170 FJU852170:FKB852170 FTQ852170:FTX852170 GDM852170:GDT852170 GNI852170:GNP852170 GXE852170:GXL852170 HHA852170:HHH852170 HQW852170:HRD852170 IAS852170:IAZ852170 IKO852170:IKV852170 IUK852170:IUR852170 JEG852170:JEN852170 JOC852170:JOJ852170 JXY852170:JYF852170 KHU852170:KIB852170 KRQ852170:KRX852170 LBM852170:LBT852170 LLI852170:LLP852170 LVE852170:LVL852170 MFA852170:MFH852170 MOW852170:MPD852170 MYS852170:MYZ852170 NIO852170:NIV852170 NSK852170:NSR852170 OCG852170:OCN852170 OMC852170:OMJ852170 OVY852170:OWF852170 PFU852170:PGB852170 PPQ852170:PPX852170 PZM852170:PZT852170 QJI852170:QJP852170 QTE852170:QTL852170 RDA852170:RDH852170 RMW852170:RND852170 RWS852170:RWZ852170 SGO852170:SGV852170 SQK852170:SQR852170 TAG852170:TAN852170 TKC852170:TKJ852170 TTY852170:TUF852170 UDU852170:UEB852170 UNQ852170:UNX852170 UXM852170:UXT852170 VHI852170:VHP852170 VRE852170:VRL852170 WBA852170:WBH852170 WKW852170:WLD852170 WUS852170:WUZ852170 WKW50:WLD50 IG917706:IN917706 SC917706:SJ917706 ABY917706:ACF917706 ALU917706:AMB917706 AVQ917706:AVX917706 BFM917706:BFT917706 BPI917706:BPP917706 BZE917706:BZL917706 CJA917706:CJH917706 CSW917706:CTD917706 DCS917706:DCZ917706 DMO917706:DMV917706 DWK917706:DWR917706 EGG917706:EGN917706 EQC917706:EQJ917706 EZY917706:FAF917706 FJU917706:FKB917706 FTQ917706:FTX917706 GDM917706:GDT917706 GNI917706:GNP917706 GXE917706:GXL917706 HHA917706:HHH917706 HQW917706:HRD917706 IAS917706:IAZ917706 IKO917706:IKV917706 IUK917706:IUR917706 JEG917706:JEN917706 JOC917706:JOJ917706 JXY917706:JYF917706 KHU917706:KIB917706 KRQ917706:KRX917706 LBM917706:LBT917706 LLI917706:LLP917706 LVE917706:LVL917706 MFA917706:MFH917706 MOW917706:MPD917706 MYS917706:MYZ917706 NIO917706:NIV917706 NSK917706:NSR917706 OCG917706:OCN917706 OMC917706:OMJ917706 OVY917706:OWF917706 PFU917706:PGB917706 PPQ917706:PPX917706 PZM917706:PZT917706 QJI917706:QJP917706 QTE917706:QTL917706 RDA917706:RDH917706 RMW917706:RND917706 RWS917706:RWZ917706 SGO917706:SGV917706 SQK917706:SQR917706 TAG917706:TAN917706 TKC917706:TKJ917706 TTY917706:TUF917706 UDU917706:UEB917706 UNQ917706:UNX917706 UXM917706:UXT917706 VHI917706:VHP917706 VRE917706:VRL917706 WBA917706:WBH917706 WKW917706:WLD917706 WUS917706:WUZ917706 WUS50:WUZ50 IG983242:IN983242 SC983242:SJ983242 ABY983242:ACF983242 ALU983242:AMB983242 AVQ983242:AVX983242 BFM983242:BFT983242 BPI983242:BPP983242 BZE983242:BZL983242 CJA983242:CJH983242 CSW983242:CTD983242 DCS983242:DCZ983242 DMO983242:DMV983242 DWK983242:DWR983242 EGG983242:EGN983242 EQC983242:EQJ983242 EZY983242:FAF983242 FJU983242:FKB983242 FTQ983242:FTX983242 GDM983242:GDT983242 GNI983242:GNP983242 GXE983242:GXL983242 HHA983242:HHH983242 HQW983242:HRD983242 IAS983242:IAZ983242 IKO983242:IKV983242 IUK983242:IUR983242 JEG983242:JEN983242 JOC983242:JOJ983242 JXY983242:JYF983242 KHU983242:KIB983242 KRQ983242:KRX983242 LBM983242:LBT983242 LLI983242:LLP983242 LVE983242:LVL983242 MFA983242:MFH983242 MOW983242:MPD983242 MYS983242:MYZ983242 NIO983242:NIV983242 NSK983242:NSR983242 OCG983242:OCN983242 OMC983242:OMJ983242 OVY983242:OWF983242 PFU983242:PGB983242 PPQ983242:PPX983242 PZM983242:PZT983242 QJI983242:QJP983242 QTE983242:QTL983242 RDA983242:RDH983242 RMW983242:RND983242 RWS983242:RWZ983242 SGO983242:SGV983242 SQK983242:SQR983242 TAG983242:TAN983242 TKC983242:TKJ983242 TTY983242:TUF983242 UDU983242:UEB983242 UNQ983242:UNX983242 UXM983242:UXT983242 VHI983242:VHP983242 VRE983242:VRL983242 WBA983242:WBH983242 WKW983242:WLD983242 IG72:IN72 SC72:SJ72 ABY72:ACF72 ALU72:AMB72 AVQ72:AVX72 BFM72:BFT72 BPI72:BPP72 BZE72:BZL72 CJA72:CJH72 CSW72:CTD72 DCS72:DCZ72 DMO72:DMV72 DWK72:DWR72 EGG72:EGN72 EQC72:EQJ72 EZY72:FAF72 FJU72:FKB72 FTQ72:FTX72 GDM72:GDT72 GNI72:GNP72 GXE72:GXL72 HHA72:HHH72 HQW72:HRD72 IAS72:IAZ72 IKO72:IKV72 IUK72:IUR72 JEG72:JEN72 JOC72:JOJ72 JXY72:JYF72 KHU72:KIB72 KRQ72:KRX72 LBM72:LBT72 LLI72:LLP72 LVE72:LVL72 MFA72:MFH72 MOW72:MPD72 MYS72:MYZ72 NIO72:NIV72 NSK72:NSR72 OCG72:OCN72 OMC72:OMJ72 OVY72:OWF72 PFU72:PGB72 PPQ72:PPX72 PZM72:PZT72 QJI72:QJP72 QTE72:QTL72 RDA72:RDH72 RMW72:RND72 RWS72:RWZ72 SGO72:SGV72 SQK72:SQR72 TAG72:TAN72 TKC72:TKJ72 TTY72:TUF72 UDU72:UEB72 UNQ72:UNX72 UXM72:UXT72 VHI72:VHP72 VRE72:VRL72 WBA72:WBH72 WKW72:WLD72 WUS72:WUZ72 IG50:IN50 SC50:SJ50 ABY50:ACF50 ALU50:AMB50 AVQ50:AVX50 BFM50:BFT50 BPI50:BPP50 BZE50:BZL50 CJA50:CJH50 CSW50:CTD50 DCS50:DCZ50 DMO50:DMV50 DWK50:DWR50 EGG50:EGN50 EQC50:EQJ50 EZY50:FAF50 FJU50:FKB50 FTQ50:FTX50 GDM50:GDT50 GNI50:GNP50 GXE50:GXL50 HHA50:HHH50 HQW50:HRD50 IAS50:IAZ50 IKO50:IKV50 IUK50:IUR50 JEG50:JEN50 JOC50:JOJ50 JXY50:JYF50 KHU50:KIB50 KRQ50:KRX50 LBM50:LBT50 LLI50:LLP50 LVE50:LVL50 MFA50:MFH50 MOW50:MPD50 MYS50:MYZ50 NIO50:NIV50 NSK50:NSR50 OCG50:OCN50 OMC50:OMJ50 OVY50:OWF50 PFU50:PGB50 PPQ50:PPX50 PZM50:PZT50 QJI50:QJP50 QTE50:QTL50 RDA50:RDH50 H524490:O524490 H458954:O458954 H393418:O393418 H327882:O327882 H262346:O262346 H196810:O196810 H131274:O131274 H65738:O65738 H983242:O983242 H917706:O917706 H852170:O852170 H786634:O786634 H721098:O721098 H655562:O655562 H590026:O590026" xr:uid="{00000000-0002-0000-0300-000002000000}">
      <formula1>"積上げ,積上げ・率処理併用"</formula1>
    </dataValidation>
    <dataValidation type="list" allowBlank="1" showInputMessage="1" showErrorMessage="1" sqref="WUS983243:WUZ983243 SC22:SJ22 ABY22:ACF22 ALU22:AMB22 AVQ22:AVX22 BFM22:BFT22 BPI22:BPP22 BZE22:BZL22 CJA22:CJH22 CSW22:CTD22 DCS22:DCZ22 DMO22:DMV22 DWK22:DWR22 EGG22:EGN22 EQC22:EQJ22 EZY22:FAF22 FJU22:FKB22 FTQ22:FTX22 GDM22:GDT22 GNI22:GNP22 GXE22:GXL22 HHA22:HHH22 HQW22:HRD22 IAS22:IAZ22 IKO22:IKV22 IUK22:IUR22 JEG22:JEN22 JOC22:JOJ22 JXY22:JYF22 KHU22:KIB22 KRQ22:KRX22 LBM22:LBT22 LLI22:LLP22 LVE22:LVL22 MFA22:MFH22 MOW22:MPD22 MYS22:MYZ22 NIO22:NIV22 NSK22:NSR22 OCG22:OCN22 OMC22:OMJ22 OVY22:OWF22 PFU22:PGB22 PPQ22:PPX22 PZM22:PZT22 QJI22:QJP22 QTE22:QTL22 RDA22:RDH22 RMW22:RND22 RWS22:RWZ22 SGO22:SGV22 SQK22:SQR22 TAG22:TAN22 TKC22:TKJ22 TTY22:TUF22 UDU22:UEB22 UNQ22:UNX22 UXM22:UXT22 VHI22:VHP22 VRE22:VRL22 WBA22:WBH22 WKW22:WLD22 WUS22:WUZ22 WKW983243:WLD983243 RWS51:RWZ51 IG65739:IN65739 SC65739:SJ65739 ABY65739:ACF65739 ALU65739:AMB65739 AVQ65739:AVX65739 BFM65739:BFT65739 BPI65739:BPP65739 BZE65739:BZL65739 CJA65739:CJH65739 CSW65739:CTD65739 DCS65739:DCZ65739 DMO65739:DMV65739 DWK65739:DWR65739 EGG65739:EGN65739 EQC65739:EQJ65739 EZY65739:FAF65739 FJU65739:FKB65739 FTQ65739:FTX65739 GDM65739:GDT65739 GNI65739:GNP65739 GXE65739:GXL65739 HHA65739:HHH65739 HQW65739:HRD65739 IAS65739:IAZ65739 IKO65739:IKV65739 IUK65739:IUR65739 JEG65739:JEN65739 JOC65739:JOJ65739 JXY65739:JYF65739 KHU65739:KIB65739 KRQ65739:KRX65739 LBM65739:LBT65739 LLI65739:LLP65739 LVE65739:LVL65739 MFA65739:MFH65739 MOW65739:MPD65739 MYS65739:MYZ65739 NIO65739:NIV65739 NSK65739:NSR65739 OCG65739:OCN65739 OMC65739:OMJ65739 OVY65739:OWF65739 PFU65739:PGB65739 PPQ65739:PPX65739 PZM65739:PZT65739 QJI65739:QJP65739 QTE65739:QTL65739 RDA65739:RDH65739 RMW65739:RND65739 RWS65739:RWZ65739 SGO65739:SGV65739 SQK65739:SQR65739 TAG65739:TAN65739 TKC65739:TKJ65739 TTY65739:TUF65739 UDU65739:UEB65739 UNQ65739:UNX65739 UXM65739:UXT65739 VHI65739:VHP65739 VRE65739:VRL65739 WBA65739:WBH65739 WKW65739:WLD65739 WUS65739:WUZ65739 SGO51:SGV51 IG131275:IN131275 SC131275:SJ131275 ABY131275:ACF131275 ALU131275:AMB131275 AVQ131275:AVX131275 BFM131275:BFT131275 BPI131275:BPP131275 BZE131275:BZL131275 CJA131275:CJH131275 CSW131275:CTD131275 DCS131275:DCZ131275 DMO131275:DMV131275 DWK131275:DWR131275 EGG131275:EGN131275 EQC131275:EQJ131275 EZY131275:FAF131275 FJU131275:FKB131275 FTQ131275:FTX131275 GDM131275:GDT131275 GNI131275:GNP131275 GXE131275:GXL131275 HHA131275:HHH131275 HQW131275:HRD131275 IAS131275:IAZ131275 IKO131275:IKV131275 IUK131275:IUR131275 JEG131275:JEN131275 JOC131275:JOJ131275 JXY131275:JYF131275 KHU131275:KIB131275 KRQ131275:KRX131275 LBM131275:LBT131275 LLI131275:LLP131275 LVE131275:LVL131275 MFA131275:MFH131275 MOW131275:MPD131275 MYS131275:MYZ131275 NIO131275:NIV131275 NSK131275:NSR131275 OCG131275:OCN131275 OMC131275:OMJ131275 OVY131275:OWF131275 PFU131275:PGB131275 PPQ131275:PPX131275 PZM131275:PZT131275 QJI131275:QJP131275 QTE131275:QTL131275 RDA131275:RDH131275 RMW131275:RND131275 RWS131275:RWZ131275 SGO131275:SGV131275 SQK131275:SQR131275 TAG131275:TAN131275 TKC131275:TKJ131275 TTY131275:TUF131275 UDU131275:UEB131275 UNQ131275:UNX131275 UXM131275:UXT131275 VHI131275:VHP131275 VRE131275:VRL131275 WBA131275:WBH131275 WKW131275:WLD131275 WUS131275:WUZ131275 SQK51:SQR51 IG196811:IN196811 SC196811:SJ196811 ABY196811:ACF196811 ALU196811:AMB196811 AVQ196811:AVX196811 BFM196811:BFT196811 BPI196811:BPP196811 BZE196811:BZL196811 CJA196811:CJH196811 CSW196811:CTD196811 DCS196811:DCZ196811 DMO196811:DMV196811 DWK196811:DWR196811 EGG196811:EGN196811 EQC196811:EQJ196811 EZY196811:FAF196811 FJU196811:FKB196811 FTQ196811:FTX196811 GDM196811:GDT196811 GNI196811:GNP196811 GXE196811:GXL196811 HHA196811:HHH196811 HQW196811:HRD196811 IAS196811:IAZ196811 IKO196811:IKV196811 IUK196811:IUR196811 JEG196811:JEN196811 JOC196811:JOJ196811 JXY196811:JYF196811 KHU196811:KIB196811 KRQ196811:KRX196811 LBM196811:LBT196811 LLI196811:LLP196811 LVE196811:LVL196811 MFA196811:MFH196811 MOW196811:MPD196811 MYS196811:MYZ196811 NIO196811:NIV196811 NSK196811:NSR196811 OCG196811:OCN196811 OMC196811:OMJ196811 OVY196811:OWF196811 PFU196811:PGB196811 PPQ196811:PPX196811 PZM196811:PZT196811 QJI196811:QJP196811 QTE196811:QTL196811 RDA196811:RDH196811 RMW196811:RND196811 RWS196811:RWZ196811 SGO196811:SGV196811 SQK196811:SQR196811 TAG196811:TAN196811 TKC196811:TKJ196811 TTY196811:TUF196811 UDU196811:UEB196811 UNQ196811:UNX196811 UXM196811:UXT196811 VHI196811:VHP196811 VRE196811:VRL196811 WBA196811:WBH196811 WKW196811:WLD196811 WUS196811:WUZ196811 TAG51:TAN51 IG262347:IN262347 SC262347:SJ262347 ABY262347:ACF262347 ALU262347:AMB262347 AVQ262347:AVX262347 BFM262347:BFT262347 BPI262347:BPP262347 BZE262347:BZL262347 CJA262347:CJH262347 CSW262347:CTD262347 DCS262347:DCZ262347 DMO262347:DMV262347 DWK262347:DWR262347 EGG262347:EGN262347 EQC262347:EQJ262347 EZY262347:FAF262347 FJU262347:FKB262347 FTQ262347:FTX262347 GDM262347:GDT262347 GNI262347:GNP262347 GXE262347:GXL262347 HHA262347:HHH262347 HQW262347:HRD262347 IAS262347:IAZ262347 IKO262347:IKV262347 IUK262347:IUR262347 JEG262347:JEN262347 JOC262347:JOJ262347 JXY262347:JYF262347 KHU262347:KIB262347 KRQ262347:KRX262347 LBM262347:LBT262347 LLI262347:LLP262347 LVE262347:LVL262347 MFA262347:MFH262347 MOW262347:MPD262347 MYS262347:MYZ262347 NIO262347:NIV262347 NSK262347:NSR262347 OCG262347:OCN262347 OMC262347:OMJ262347 OVY262347:OWF262347 PFU262347:PGB262347 PPQ262347:PPX262347 PZM262347:PZT262347 QJI262347:QJP262347 QTE262347:QTL262347 RDA262347:RDH262347 RMW262347:RND262347 RWS262347:RWZ262347 SGO262347:SGV262347 SQK262347:SQR262347 TAG262347:TAN262347 TKC262347:TKJ262347 TTY262347:TUF262347 UDU262347:UEB262347 UNQ262347:UNX262347 UXM262347:UXT262347 VHI262347:VHP262347 VRE262347:VRL262347 WBA262347:WBH262347 WKW262347:WLD262347 WUS262347:WUZ262347 TKC51:TKJ51 IG327883:IN327883 SC327883:SJ327883 ABY327883:ACF327883 ALU327883:AMB327883 AVQ327883:AVX327883 BFM327883:BFT327883 BPI327883:BPP327883 BZE327883:BZL327883 CJA327883:CJH327883 CSW327883:CTD327883 DCS327883:DCZ327883 DMO327883:DMV327883 DWK327883:DWR327883 EGG327883:EGN327883 EQC327883:EQJ327883 EZY327883:FAF327883 FJU327883:FKB327883 FTQ327883:FTX327883 GDM327883:GDT327883 GNI327883:GNP327883 GXE327883:GXL327883 HHA327883:HHH327883 HQW327883:HRD327883 IAS327883:IAZ327883 IKO327883:IKV327883 IUK327883:IUR327883 JEG327883:JEN327883 JOC327883:JOJ327883 JXY327883:JYF327883 KHU327883:KIB327883 KRQ327883:KRX327883 LBM327883:LBT327883 LLI327883:LLP327883 LVE327883:LVL327883 MFA327883:MFH327883 MOW327883:MPD327883 MYS327883:MYZ327883 NIO327883:NIV327883 NSK327883:NSR327883 OCG327883:OCN327883 OMC327883:OMJ327883 OVY327883:OWF327883 PFU327883:PGB327883 PPQ327883:PPX327883 PZM327883:PZT327883 QJI327883:QJP327883 QTE327883:QTL327883 RDA327883:RDH327883 RMW327883:RND327883 RWS327883:RWZ327883 SGO327883:SGV327883 SQK327883:SQR327883 TAG327883:TAN327883 TKC327883:TKJ327883 TTY327883:TUF327883 UDU327883:UEB327883 UNQ327883:UNX327883 UXM327883:UXT327883 VHI327883:VHP327883 VRE327883:VRL327883 WBA327883:WBH327883 WKW327883:WLD327883 WUS327883:WUZ327883 TTY51:TUF51 IG393419:IN393419 SC393419:SJ393419 ABY393419:ACF393419 ALU393419:AMB393419 AVQ393419:AVX393419 BFM393419:BFT393419 BPI393419:BPP393419 BZE393419:BZL393419 CJA393419:CJH393419 CSW393419:CTD393419 DCS393419:DCZ393419 DMO393419:DMV393419 DWK393419:DWR393419 EGG393419:EGN393419 EQC393419:EQJ393419 EZY393419:FAF393419 FJU393419:FKB393419 FTQ393419:FTX393419 GDM393419:GDT393419 GNI393419:GNP393419 GXE393419:GXL393419 HHA393419:HHH393419 HQW393419:HRD393419 IAS393419:IAZ393419 IKO393419:IKV393419 IUK393419:IUR393419 JEG393419:JEN393419 JOC393419:JOJ393419 JXY393419:JYF393419 KHU393419:KIB393419 KRQ393419:KRX393419 LBM393419:LBT393419 LLI393419:LLP393419 LVE393419:LVL393419 MFA393419:MFH393419 MOW393419:MPD393419 MYS393419:MYZ393419 NIO393419:NIV393419 NSK393419:NSR393419 OCG393419:OCN393419 OMC393419:OMJ393419 OVY393419:OWF393419 PFU393419:PGB393419 PPQ393419:PPX393419 PZM393419:PZT393419 QJI393419:QJP393419 QTE393419:QTL393419 RDA393419:RDH393419 RMW393419:RND393419 RWS393419:RWZ393419 SGO393419:SGV393419 SQK393419:SQR393419 TAG393419:TAN393419 TKC393419:TKJ393419 TTY393419:TUF393419 UDU393419:UEB393419 UNQ393419:UNX393419 UXM393419:UXT393419 VHI393419:VHP393419 VRE393419:VRL393419 WBA393419:WBH393419 WKW393419:WLD393419 WUS393419:WUZ393419 UDU51:UEB51 IG458955:IN458955 SC458955:SJ458955 ABY458955:ACF458955 ALU458955:AMB458955 AVQ458955:AVX458955 BFM458955:BFT458955 BPI458955:BPP458955 BZE458955:BZL458955 CJA458955:CJH458955 CSW458955:CTD458955 DCS458955:DCZ458955 DMO458955:DMV458955 DWK458955:DWR458955 EGG458955:EGN458955 EQC458955:EQJ458955 EZY458955:FAF458955 FJU458955:FKB458955 FTQ458955:FTX458955 GDM458955:GDT458955 GNI458955:GNP458955 GXE458955:GXL458955 HHA458955:HHH458955 HQW458955:HRD458955 IAS458955:IAZ458955 IKO458955:IKV458955 IUK458955:IUR458955 JEG458955:JEN458955 JOC458955:JOJ458955 JXY458955:JYF458955 KHU458955:KIB458955 KRQ458955:KRX458955 LBM458955:LBT458955 LLI458955:LLP458955 LVE458955:LVL458955 MFA458955:MFH458955 MOW458955:MPD458955 MYS458955:MYZ458955 NIO458955:NIV458955 NSK458955:NSR458955 OCG458955:OCN458955 OMC458955:OMJ458955 OVY458955:OWF458955 PFU458955:PGB458955 PPQ458955:PPX458955 PZM458955:PZT458955 QJI458955:QJP458955 QTE458955:QTL458955 RDA458955:RDH458955 RMW458955:RND458955 RWS458955:RWZ458955 SGO458955:SGV458955 SQK458955:SQR458955 TAG458955:TAN458955 TKC458955:TKJ458955 TTY458955:TUF458955 UDU458955:UEB458955 UNQ458955:UNX458955 UXM458955:UXT458955 VHI458955:VHP458955 VRE458955:VRL458955 WBA458955:WBH458955 WKW458955:WLD458955 WUS458955:WUZ458955 UNQ51:UNX51 IG524491:IN524491 SC524491:SJ524491 ABY524491:ACF524491 ALU524491:AMB524491 AVQ524491:AVX524491 BFM524491:BFT524491 BPI524491:BPP524491 BZE524491:BZL524491 CJA524491:CJH524491 CSW524491:CTD524491 DCS524491:DCZ524491 DMO524491:DMV524491 DWK524491:DWR524491 EGG524491:EGN524491 EQC524491:EQJ524491 EZY524491:FAF524491 FJU524491:FKB524491 FTQ524491:FTX524491 GDM524491:GDT524491 GNI524491:GNP524491 GXE524491:GXL524491 HHA524491:HHH524491 HQW524491:HRD524491 IAS524491:IAZ524491 IKO524491:IKV524491 IUK524491:IUR524491 JEG524491:JEN524491 JOC524491:JOJ524491 JXY524491:JYF524491 KHU524491:KIB524491 KRQ524491:KRX524491 LBM524491:LBT524491 LLI524491:LLP524491 LVE524491:LVL524491 MFA524491:MFH524491 MOW524491:MPD524491 MYS524491:MYZ524491 NIO524491:NIV524491 NSK524491:NSR524491 OCG524491:OCN524491 OMC524491:OMJ524491 OVY524491:OWF524491 PFU524491:PGB524491 PPQ524491:PPX524491 PZM524491:PZT524491 QJI524491:QJP524491 QTE524491:QTL524491 RDA524491:RDH524491 RMW524491:RND524491 RWS524491:RWZ524491 SGO524491:SGV524491 SQK524491:SQR524491 TAG524491:TAN524491 TKC524491:TKJ524491 TTY524491:TUF524491 UDU524491:UEB524491 UNQ524491:UNX524491 UXM524491:UXT524491 VHI524491:VHP524491 VRE524491:VRL524491 WBA524491:WBH524491 WKW524491:WLD524491 WUS524491:WUZ524491 UXM51:UXT51 IG590027:IN590027 SC590027:SJ590027 ABY590027:ACF590027 ALU590027:AMB590027 AVQ590027:AVX590027 BFM590027:BFT590027 BPI590027:BPP590027 BZE590027:BZL590027 CJA590027:CJH590027 CSW590027:CTD590027 DCS590027:DCZ590027 DMO590027:DMV590027 DWK590027:DWR590027 EGG590027:EGN590027 EQC590027:EQJ590027 EZY590027:FAF590027 FJU590027:FKB590027 FTQ590027:FTX590027 GDM590027:GDT590027 GNI590027:GNP590027 GXE590027:GXL590027 HHA590027:HHH590027 HQW590027:HRD590027 IAS590027:IAZ590027 IKO590027:IKV590027 IUK590027:IUR590027 JEG590027:JEN590027 JOC590027:JOJ590027 JXY590027:JYF590027 KHU590027:KIB590027 KRQ590027:KRX590027 LBM590027:LBT590027 LLI590027:LLP590027 LVE590027:LVL590027 MFA590027:MFH590027 MOW590027:MPD590027 MYS590027:MYZ590027 NIO590027:NIV590027 NSK590027:NSR590027 OCG590027:OCN590027 OMC590027:OMJ590027 OVY590027:OWF590027 PFU590027:PGB590027 PPQ590027:PPX590027 PZM590027:PZT590027 QJI590027:QJP590027 QTE590027:QTL590027 RDA590027:RDH590027 RMW590027:RND590027 RWS590027:RWZ590027 SGO590027:SGV590027 SQK590027:SQR590027 TAG590027:TAN590027 TKC590027:TKJ590027 TTY590027:TUF590027 UDU590027:UEB590027 UNQ590027:UNX590027 UXM590027:UXT590027 VHI590027:VHP590027 VRE590027:VRL590027 WBA590027:WBH590027 WKW590027:WLD590027 WUS590027:WUZ590027 VHI51:VHP51 IG655563:IN655563 SC655563:SJ655563 ABY655563:ACF655563 ALU655563:AMB655563 AVQ655563:AVX655563 BFM655563:BFT655563 BPI655563:BPP655563 BZE655563:BZL655563 CJA655563:CJH655563 CSW655563:CTD655563 DCS655563:DCZ655563 DMO655563:DMV655563 DWK655563:DWR655563 EGG655563:EGN655563 EQC655563:EQJ655563 EZY655563:FAF655563 FJU655563:FKB655563 FTQ655563:FTX655563 GDM655563:GDT655563 GNI655563:GNP655563 GXE655563:GXL655563 HHA655563:HHH655563 HQW655563:HRD655563 IAS655563:IAZ655563 IKO655563:IKV655563 IUK655563:IUR655563 JEG655563:JEN655563 JOC655563:JOJ655563 JXY655563:JYF655563 KHU655563:KIB655563 KRQ655563:KRX655563 LBM655563:LBT655563 LLI655563:LLP655563 LVE655563:LVL655563 MFA655563:MFH655563 MOW655563:MPD655563 MYS655563:MYZ655563 NIO655563:NIV655563 NSK655563:NSR655563 OCG655563:OCN655563 OMC655563:OMJ655563 OVY655563:OWF655563 PFU655563:PGB655563 PPQ655563:PPX655563 PZM655563:PZT655563 QJI655563:QJP655563 QTE655563:QTL655563 RDA655563:RDH655563 RMW655563:RND655563 RWS655563:RWZ655563 SGO655563:SGV655563 SQK655563:SQR655563 TAG655563:TAN655563 TKC655563:TKJ655563 TTY655563:TUF655563 UDU655563:UEB655563 UNQ655563:UNX655563 UXM655563:UXT655563 VHI655563:VHP655563 VRE655563:VRL655563 WBA655563:WBH655563 WKW655563:WLD655563 WUS655563:WUZ655563 VRE51:VRL51 IG721099:IN721099 SC721099:SJ721099 ABY721099:ACF721099 ALU721099:AMB721099 AVQ721099:AVX721099 BFM721099:BFT721099 BPI721099:BPP721099 BZE721099:BZL721099 CJA721099:CJH721099 CSW721099:CTD721099 DCS721099:DCZ721099 DMO721099:DMV721099 DWK721099:DWR721099 EGG721099:EGN721099 EQC721099:EQJ721099 EZY721099:FAF721099 FJU721099:FKB721099 FTQ721099:FTX721099 GDM721099:GDT721099 GNI721099:GNP721099 GXE721099:GXL721099 HHA721099:HHH721099 HQW721099:HRD721099 IAS721099:IAZ721099 IKO721099:IKV721099 IUK721099:IUR721099 JEG721099:JEN721099 JOC721099:JOJ721099 JXY721099:JYF721099 KHU721099:KIB721099 KRQ721099:KRX721099 LBM721099:LBT721099 LLI721099:LLP721099 LVE721099:LVL721099 MFA721099:MFH721099 MOW721099:MPD721099 MYS721099:MYZ721099 NIO721099:NIV721099 NSK721099:NSR721099 OCG721099:OCN721099 OMC721099:OMJ721099 OVY721099:OWF721099 PFU721099:PGB721099 PPQ721099:PPX721099 PZM721099:PZT721099 QJI721099:QJP721099 QTE721099:QTL721099 RDA721099:RDH721099 RMW721099:RND721099 RWS721099:RWZ721099 SGO721099:SGV721099 SQK721099:SQR721099 TAG721099:TAN721099 TKC721099:TKJ721099 TTY721099:TUF721099 UDU721099:UEB721099 UNQ721099:UNX721099 UXM721099:UXT721099 VHI721099:VHP721099 VRE721099:VRL721099 WBA721099:WBH721099 WKW721099:WLD721099 WUS721099:WUZ721099 WBA51:WBH51 IG786635:IN786635 SC786635:SJ786635 ABY786635:ACF786635 ALU786635:AMB786635 AVQ786635:AVX786635 BFM786635:BFT786635 BPI786635:BPP786635 BZE786635:BZL786635 CJA786635:CJH786635 CSW786635:CTD786635 DCS786635:DCZ786635 DMO786635:DMV786635 DWK786635:DWR786635 EGG786635:EGN786635 EQC786635:EQJ786635 EZY786635:FAF786635 FJU786635:FKB786635 FTQ786635:FTX786635 GDM786635:GDT786635 GNI786635:GNP786635 GXE786635:GXL786635 HHA786635:HHH786635 HQW786635:HRD786635 IAS786635:IAZ786635 IKO786635:IKV786635 IUK786635:IUR786635 JEG786635:JEN786635 JOC786635:JOJ786635 JXY786635:JYF786635 KHU786635:KIB786635 KRQ786635:KRX786635 LBM786635:LBT786635 LLI786635:LLP786635 LVE786635:LVL786635 MFA786635:MFH786635 MOW786635:MPD786635 MYS786635:MYZ786635 NIO786635:NIV786635 NSK786635:NSR786635 OCG786635:OCN786635 OMC786635:OMJ786635 OVY786635:OWF786635 PFU786635:PGB786635 PPQ786635:PPX786635 PZM786635:PZT786635 QJI786635:QJP786635 QTE786635:QTL786635 RDA786635:RDH786635 RMW786635:RND786635 RWS786635:RWZ786635 SGO786635:SGV786635 SQK786635:SQR786635 TAG786635:TAN786635 TKC786635:TKJ786635 TTY786635:TUF786635 UDU786635:UEB786635 UNQ786635:UNX786635 UXM786635:UXT786635 VHI786635:VHP786635 VRE786635:VRL786635 WBA786635:WBH786635 WKW786635:WLD786635 WUS786635:WUZ786635 WKW51:WLD51 IG852171:IN852171 SC852171:SJ852171 ABY852171:ACF852171 ALU852171:AMB852171 AVQ852171:AVX852171 BFM852171:BFT852171 BPI852171:BPP852171 BZE852171:BZL852171 CJA852171:CJH852171 CSW852171:CTD852171 DCS852171:DCZ852171 DMO852171:DMV852171 DWK852171:DWR852171 EGG852171:EGN852171 EQC852171:EQJ852171 EZY852171:FAF852171 FJU852171:FKB852171 FTQ852171:FTX852171 GDM852171:GDT852171 GNI852171:GNP852171 GXE852171:GXL852171 HHA852171:HHH852171 HQW852171:HRD852171 IAS852171:IAZ852171 IKO852171:IKV852171 IUK852171:IUR852171 JEG852171:JEN852171 JOC852171:JOJ852171 JXY852171:JYF852171 KHU852171:KIB852171 KRQ852171:KRX852171 LBM852171:LBT852171 LLI852171:LLP852171 LVE852171:LVL852171 MFA852171:MFH852171 MOW852171:MPD852171 MYS852171:MYZ852171 NIO852171:NIV852171 NSK852171:NSR852171 OCG852171:OCN852171 OMC852171:OMJ852171 OVY852171:OWF852171 PFU852171:PGB852171 PPQ852171:PPX852171 PZM852171:PZT852171 QJI852171:QJP852171 QTE852171:QTL852171 RDA852171:RDH852171 RMW852171:RND852171 RWS852171:RWZ852171 SGO852171:SGV852171 SQK852171:SQR852171 TAG852171:TAN852171 TKC852171:TKJ852171 TTY852171:TUF852171 UDU852171:UEB852171 UNQ852171:UNX852171 UXM852171:UXT852171 VHI852171:VHP852171 VRE852171:VRL852171 WBA852171:WBH852171 WKW852171:WLD852171 WUS852171:WUZ852171 WUS51:WUZ51 IG917707:IN917707 SC917707:SJ917707 ABY917707:ACF917707 ALU917707:AMB917707 AVQ917707:AVX917707 BFM917707:BFT917707 BPI917707:BPP917707 BZE917707:BZL917707 CJA917707:CJH917707 CSW917707:CTD917707 DCS917707:DCZ917707 DMO917707:DMV917707 DWK917707:DWR917707 EGG917707:EGN917707 EQC917707:EQJ917707 EZY917707:FAF917707 FJU917707:FKB917707 FTQ917707:FTX917707 GDM917707:GDT917707 GNI917707:GNP917707 GXE917707:GXL917707 HHA917707:HHH917707 HQW917707:HRD917707 IAS917707:IAZ917707 IKO917707:IKV917707 IUK917707:IUR917707 JEG917707:JEN917707 JOC917707:JOJ917707 JXY917707:JYF917707 KHU917707:KIB917707 KRQ917707:KRX917707 LBM917707:LBT917707 LLI917707:LLP917707 LVE917707:LVL917707 MFA917707:MFH917707 MOW917707:MPD917707 MYS917707:MYZ917707 NIO917707:NIV917707 NSK917707:NSR917707 OCG917707:OCN917707 OMC917707:OMJ917707 OVY917707:OWF917707 PFU917707:PGB917707 PPQ917707:PPX917707 PZM917707:PZT917707 QJI917707:QJP917707 QTE917707:QTL917707 RDA917707:RDH917707 RMW917707:RND917707 RWS917707:RWZ917707 SGO917707:SGV917707 SQK917707:SQR917707 TAG917707:TAN917707 TKC917707:TKJ917707 TTY917707:TUF917707 UDU917707:UEB917707 UNQ917707:UNX917707 UXM917707:UXT917707 VHI917707:VHP917707 VRE917707:VRL917707 WBA917707:WBH917707 WKW917707:WLD917707 WUS917707:WUZ917707 IG51:IN51 IG983243:IN983243 SC983243:SJ983243 ABY983243:ACF983243 ALU983243:AMB983243 AVQ983243:AVX983243 BFM983243:BFT983243 BPI983243:BPP983243 BZE983243:BZL983243 CJA983243:CJH983243 CSW983243:CTD983243 DCS983243:DCZ983243 DMO983243:DMV983243 DWK983243:DWR983243 EGG983243:EGN983243 EQC983243:EQJ983243 EZY983243:FAF983243 FJU983243:FKB983243 FTQ983243:FTX983243 GDM983243:GDT983243 GNI983243:GNP983243 GXE983243:GXL983243 HHA983243:HHH983243 HQW983243:HRD983243 IAS983243:IAZ983243 IKO983243:IKV983243 IUK983243:IUR983243 JEG983243:JEN983243 JOC983243:JOJ983243 JXY983243:JYF983243 KHU983243:KIB983243 KRQ983243:KRX983243 LBM983243:LBT983243 LLI983243:LLP983243 LVE983243:LVL983243 MFA983243:MFH983243 MOW983243:MPD983243 MYS983243:MYZ983243 NIO983243:NIV983243 NSK983243:NSR983243 OCG983243:OCN983243 OMC983243:OMJ983243 OVY983243:OWF983243 PFU983243:PGB983243 PPQ983243:PPX983243 PZM983243:PZT983243 QJI983243:QJP983243 QTE983243:QTL983243 RDA983243:RDH983243 RMW983243:RND983243 RWS983243:RWZ983243 SGO983243:SGV983243 SQK983243:SQR983243 TAG983243:TAN983243 TKC983243:TKJ983243 TTY983243:TUF983243 UDU983243:UEB983243 UNQ983243:UNX983243 UXM983243:UXT983243 VHI983243:VHP983243 VRE983243:VRL983243 WBA983243:WBH983243 IG22:IN22 SC73:SJ73 ABY73:ACF73 ALU73:AMB73 AVQ73:AVX73 BFM73:BFT73 BPI73:BPP73 BZE73:BZL73 CJA73:CJH73 CSW73:CTD73 DCS73:DCZ73 DMO73:DMV73 DWK73:DWR73 EGG73:EGN73 EQC73:EQJ73 EZY73:FAF73 FJU73:FKB73 FTQ73:FTX73 GDM73:GDT73 GNI73:GNP73 GXE73:GXL73 HHA73:HHH73 HQW73:HRD73 IAS73:IAZ73 IKO73:IKV73 IUK73:IUR73 JEG73:JEN73 JOC73:JOJ73 JXY73:JYF73 KHU73:KIB73 KRQ73:KRX73 LBM73:LBT73 LLI73:LLP73 LVE73:LVL73 MFA73:MFH73 MOW73:MPD73 MYS73:MYZ73 NIO73:NIV73 NSK73:NSR73 OCG73:OCN73 OMC73:OMJ73 OVY73:OWF73 PFU73:PGB73 PPQ73:PPX73 PZM73:PZT73 QJI73:QJP73 QTE73:QTL73 RDA73:RDH73 RMW73:RND73 RWS73:RWZ73 SGO73:SGV73 SQK73:SQR73 TAG73:TAN73 TKC73:TKJ73 TTY73:TUF73 UDU73:UEB73 UNQ73:UNX73 UXM73:UXT73 VHI73:VHP73 VRE73:VRL73 WBA73:WBH73 WKW73:WLD73 WUS73:WUZ73 IG73:IN73 SC51:SJ51 ABY51:ACF51 ALU51:AMB51 AVQ51:AVX51 BFM51:BFT51 BPI51:BPP51 BZE51:BZL51 CJA51:CJH51 CSW51:CTD51 DCS51:DCZ51 DMO51:DMV51 DWK51:DWR51 EGG51:EGN51 EQC51:EQJ51 EZY51:FAF51 FJU51:FKB51 FTQ51:FTX51 GDM51:GDT51 GNI51:GNP51 GXE51:GXL51 HHA51:HHH51 HQW51:HRD51 IAS51:IAZ51 IKO51:IKV51 IUK51:IUR51 JEG51:JEN51 JOC51:JOJ51 JXY51:JYF51 KHU51:KIB51 KRQ51:KRX51 LBM51:LBT51 LLI51:LLP51 LVE51:LVL51 MFA51:MFH51 MOW51:MPD51 MYS51:MYZ51 NIO51:NIV51 NSK51:NSR51 OCG51:OCN51 OMC51:OMJ51 OVY51:OWF51 PFU51:PGB51 PPQ51:PPX51 PZM51:PZT51 QJI51:QJP51 QTE51:QTL51 RDA51:RDH51 RMW51:RND51 H524491:O524491 H458955:O458955 H393419:O393419 H327883:O327883 H262347:O262347 H196811:O196811 H131275:O131275 H65739:O65739 H983243:O983243 H917707:O917707 H852171:O852171 H786635:O786635 H721099:O721099 H655563:O655563 H590027:O590027" xr:uid="{00000000-0002-0000-0300-000003000000}">
      <formula1>"　　　,有り"</formula1>
    </dataValidation>
    <dataValidation type="list" allowBlank="1" showInputMessage="1" showErrorMessage="1" sqref="WUS983239:WUZ983239 IG16:IN16 SC16:SJ16 ABY16:ACF16 ALU16:AMB16 AVQ16:AVX16 BFM16:BFT16 BPI16:BPP16 BZE16:BZL16 CJA16:CJH16 CSW16:CTD16 DCS16:DCZ16 DMO16:DMV16 DWK16:DWR16 EGG16:EGN16 EQC16:EQJ16 EZY16:FAF16 FJU16:FKB16 FTQ16:FTX16 GDM16:GDT16 GNI16:GNP16 GXE16:GXL16 HHA16:HHH16 HQW16:HRD16 IAS16:IAZ16 IKO16:IKV16 IUK16:IUR16 JEG16:JEN16 JOC16:JOJ16 JXY16:JYF16 KHU16:KIB16 KRQ16:KRX16 LBM16:LBT16 LLI16:LLP16 LVE16:LVL16 MFA16:MFH16 MOW16:MPD16 MYS16:MYZ16 NIO16:NIV16 NSK16:NSR16 OCG16:OCN16 OMC16:OMJ16 OVY16:OWF16 PFU16:PGB16 PPQ16:PPX16 PZM16:PZT16 QJI16:QJP16 QTE16:QTL16 RDA16:RDH16 RMW16:RND16 RWS16:RWZ16 SGO16:SGV16 SQK16:SQR16 TAG16:TAN16 TKC16:TKJ16 TTY16:TUF16 UDU16:UEB16 UNQ16:UNX16 UXM16:UXT16 VHI16:VHP16 VRE16:VRL16 WBA16:WBH16 WKW16:WLD16 WUS16:WUZ16 RDA983239:RDH983239 IG65735:IN65735 SC65735:SJ65735 ABY65735:ACF65735 ALU65735:AMB65735 AVQ65735:AVX65735 BFM65735:BFT65735 BPI65735:BPP65735 BZE65735:BZL65735 CJA65735:CJH65735 CSW65735:CTD65735 DCS65735:DCZ65735 DMO65735:DMV65735 DWK65735:DWR65735 EGG65735:EGN65735 EQC65735:EQJ65735 EZY65735:FAF65735 FJU65735:FKB65735 FTQ65735:FTX65735 GDM65735:GDT65735 GNI65735:GNP65735 GXE65735:GXL65735 HHA65735:HHH65735 HQW65735:HRD65735 IAS65735:IAZ65735 IKO65735:IKV65735 IUK65735:IUR65735 JEG65735:JEN65735 JOC65735:JOJ65735 JXY65735:JYF65735 KHU65735:KIB65735 KRQ65735:KRX65735 LBM65735:LBT65735 LLI65735:LLP65735 LVE65735:LVL65735 MFA65735:MFH65735 MOW65735:MPD65735 MYS65735:MYZ65735 NIO65735:NIV65735 NSK65735:NSR65735 OCG65735:OCN65735 OMC65735:OMJ65735 OVY65735:OWF65735 PFU65735:PGB65735 PPQ65735:PPX65735 PZM65735:PZT65735 QJI65735:QJP65735 QTE65735:QTL65735 RDA65735:RDH65735 RMW65735:RND65735 RWS65735:RWZ65735 SGO65735:SGV65735 SQK65735:SQR65735 TAG65735:TAN65735 TKC65735:TKJ65735 TTY65735:TUF65735 UDU65735:UEB65735 UNQ65735:UNX65735 UXM65735:UXT65735 VHI65735:VHP65735 VRE65735:VRL65735 WBA65735:WBH65735 WKW65735:WLD65735 WUS65735:WUZ65735 RMW983239:RND983239 IG131271:IN131271 SC131271:SJ131271 ABY131271:ACF131271 ALU131271:AMB131271 AVQ131271:AVX131271 BFM131271:BFT131271 BPI131271:BPP131271 BZE131271:BZL131271 CJA131271:CJH131271 CSW131271:CTD131271 DCS131271:DCZ131271 DMO131271:DMV131271 DWK131271:DWR131271 EGG131271:EGN131271 EQC131271:EQJ131271 EZY131271:FAF131271 FJU131271:FKB131271 FTQ131271:FTX131271 GDM131271:GDT131271 GNI131271:GNP131271 GXE131271:GXL131271 HHA131271:HHH131271 HQW131271:HRD131271 IAS131271:IAZ131271 IKO131271:IKV131271 IUK131271:IUR131271 JEG131271:JEN131271 JOC131271:JOJ131271 JXY131271:JYF131271 KHU131271:KIB131271 KRQ131271:KRX131271 LBM131271:LBT131271 LLI131271:LLP131271 LVE131271:LVL131271 MFA131271:MFH131271 MOW131271:MPD131271 MYS131271:MYZ131271 NIO131271:NIV131271 NSK131271:NSR131271 OCG131271:OCN131271 OMC131271:OMJ131271 OVY131271:OWF131271 PFU131271:PGB131271 PPQ131271:PPX131271 PZM131271:PZT131271 QJI131271:QJP131271 QTE131271:QTL131271 RDA131271:RDH131271 RMW131271:RND131271 RWS131271:RWZ131271 SGO131271:SGV131271 SQK131271:SQR131271 TAG131271:TAN131271 TKC131271:TKJ131271 TTY131271:TUF131271 UDU131271:UEB131271 UNQ131271:UNX131271 UXM131271:UXT131271 VHI131271:VHP131271 VRE131271:VRL131271 WBA131271:WBH131271 WKW131271:WLD131271 WUS131271:WUZ131271 RWS983239:RWZ983239 IG196807:IN196807 SC196807:SJ196807 ABY196807:ACF196807 ALU196807:AMB196807 AVQ196807:AVX196807 BFM196807:BFT196807 BPI196807:BPP196807 BZE196807:BZL196807 CJA196807:CJH196807 CSW196807:CTD196807 DCS196807:DCZ196807 DMO196807:DMV196807 DWK196807:DWR196807 EGG196807:EGN196807 EQC196807:EQJ196807 EZY196807:FAF196807 FJU196807:FKB196807 FTQ196807:FTX196807 GDM196807:GDT196807 GNI196807:GNP196807 GXE196807:GXL196807 HHA196807:HHH196807 HQW196807:HRD196807 IAS196807:IAZ196807 IKO196807:IKV196807 IUK196807:IUR196807 JEG196807:JEN196807 JOC196807:JOJ196807 JXY196807:JYF196807 KHU196807:KIB196807 KRQ196807:KRX196807 LBM196807:LBT196807 LLI196807:LLP196807 LVE196807:LVL196807 MFA196807:MFH196807 MOW196807:MPD196807 MYS196807:MYZ196807 NIO196807:NIV196807 NSK196807:NSR196807 OCG196807:OCN196807 OMC196807:OMJ196807 OVY196807:OWF196807 PFU196807:PGB196807 PPQ196807:PPX196807 PZM196807:PZT196807 QJI196807:QJP196807 QTE196807:QTL196807 RDA196807:RDH196807 RMW196807:RND196807 RWS196807:RWZ196807 SGO196807:SGV196807 SQK196807:SQR196807 TAG196807:TAN196807 TKC196807:TKJ196807 TTY196807:TUF196807 UDU196807:UEB196807 UNQ196807:UNX196807 UXM196807:UXT196807 VHI196807:VHP196807 VRE196807:VRL196807 WBA196807:WBH196807 WKW196807:WLD196807 WUS196807:WUZ196807 SGO983239:SGV983239 IG262343:IN262343 SC262343:SJ262343 ABY262343:ACF262343 ALU262343:AMB262343 AVQ262343:AVX262343 BFM262343:BFT262343 BPI262343:BPP262343 BZE262343:BZL262343 CJA262343:CJH262343 CSW262343:CTD262343 DCS262343:DCZ262343 DMO262343:DMV262343 DWK262343:DWR262343 EGG262343:EGN262343 EQC262343:EQJ262343 EZY262343:FAF262343 FJU262343:FKB262343 FTQ262343:FTX262343 GDM262343:GDT262343 GNI262343:GNP262343 GXE262343:GXL262343 HHA262343:HHH262343 HQW262343:HRD262343 IAS262343:IAZ262343 IKO262343:IKV262343 IUK262343:IUR262343 JEG262343:JEN262343 JOC262343:JOJ262343 JXY262343:JYF262343 KHU262343:KIB262343 KRQ262343:KRX262343 LBM262343:LBT262343 LLI262343:LLP262343 LVE262343:LVL262343 MFA262343:MFH262343 MOW262343:MPD262343 MYS262343:MYZ262343 NIO262343:NIV262343 NSK262343:NSR262343 OCG262343:OCN262343 OMC262343:OMJ262343 OVY262343:OWF262343 PFU262343:PGB262343 PPQ262343:PPX262343 PZM262343:PZT262343 QJI262343:QJP262343 QTE262343:QTL262343 RDA262343:RDH262343 RMW262343:RND262343 RWS262343:RWZ262343 SGO262343:SGV262343 SQK262343:SQR262343 TAG262343:TAN262343 TKC262343:TKJ262343 TTY262343:TUF262343 UDU262343:UEB262343 UNQ262343:UNX262343 UXM262343:UXT262343 VHI262343:VHP262343 VRE262343:VRL262343 WBA262343:WBH262343 WKW262343:WLD262343 WUS262343:WUZ262343 SQK983239:SQR983239 IG327879:IN327879 SC327879:SJ327879 ABY327879:ACF327879 ALU327879:AMB327879 AVQ327879:AVX327879 BFM327879:BFT327879 BPI327879:BPP327879 BZE327879:BZL327879 CJA327879:CJH327879 CSW327879:CTD327879 DCS327879:DCZ327879 DMO327879:DMV327879 DWK327879:DWR327879 EGG327879:EGN327879 EQC327879:EQJ327879 EZY327879:FAF327879 FJU327879:FKB327879 FTQ327879:FTX327879 GDM327879:GDT327879 GNI327879:GNP327879 GXE327879:GXL327879 HHA327879:HHH327879 HQW327879:HRD327879 IAS327879:IAZ327879 IKO327879:IKV327879 IUK327879:IUR327879 JEG327879:JEN327879 JOC327879:JOJ327879 JXY327879:JYF327879 KHU327879:KIB327879 KRQ327879:KRX327879 LBM327879:LBT327879 LLI327879:LLP327879 LVE327879:LVL327879 MFA327879:MFH327879 MOW327879:MPD327879 MYS327879:MYZ327879 NIO327879:NIV327879 NSK327879:NSR327879 OCG327879:OCN327879 OMC327879:OMJ327879 OVY327879:OWF327879 PFU327879:PGB327879 PPQ327879:PPX327879 PZM327879:PZT327879 QJI327879:QJP327879 QTE327879:QTL327879 RDA327879:RDH327879 RMW327879:RND327879 RWS327879:RWZ327879 SGO327879:SGV327879 SQK327879:SQR327879 TAG327879:TAN327879 TKC327879:TKJ327879 TTY327879:TUF327879 UDU327879:UEB327879 UNQ327879:UNX327879 UXM327879:UXT327879 VHI327879:VHP327879 VRE327879:VRL327879 WBA327879:WBH327879 WKW327879:WLD327879 WUS327879:WUZ327879 TAG983239:TAN983239 IG393415:IN393415 SC393415:SJ393415 ABY393415:ACF393415 ALU393415:AMB393415 AVQ393415:AVX393415 BFM393415:BFT393415 BPI393415:BPP393415 BZE393415:BZL393415 CJA393415:CJH393415 CSW393415:CTD393415 DCS393415:DCZ393415 DMO393415:DMV393415 DWK393415:DWR393415 EGG393415:EGN393415 EQC393415:EQJ393415 EZY393415:FAF393415 FJU393415:FKB393415 FTQ393415:FTX393415 GDM393415:GDT393415 GNI393415:GNP393415 GXE393415:GXL393415 HHA393415:HHH393415 HQW393415:HRD393415 IAS393415:IAZ393415 IKO393415:IKV393415 IUK393415:IUR393415 JEG393415:JEN393415 JOC393415:JOJ393415 JXY393415:JYF393415 KHU393415:KIB393415 KRQ393415:KRX393415 LBM393415:LBT393415 LLI393415:LLP393415 LVE393415:LVL393415 MFA393415:MFH393415 MOW393415:MPD393415 MYS393415:MYZ393415 NIO393415:NIV393415 NSK393415:NSR393415 OCG393415:OCN393415 OMC393415:OMJ393415 OVY393415:OWF393415 PFU393415:PGB393415 PPQ393415:PPX393415 PZM393415:PZT393415 QJI393415:QJP393415 QTE393415:QTL393415 RDA393415:RDH393415 RMW393415:RND393415 RWS393415:RWZ393415 SGO393415:SGV393415 SQK393415:SQR393415 TAG393415:TAN393415 TKC393415:TKJ393415 TTY393415:TUF393415 UDU393415:UEB393415 UNQ393415:UNX393415 UXM393415:UXT393415 VHI393415:VHP393415 VRE393415:VRL393415 WBA393415:WBH393415 WKW393415:WLD393415 WUS393415:WUZ393415 TKC983239:TKJ983239 IG458951:IN458951 SC458951:SJ458951 ABY458951:ACF458951 ALU458951:AMB458951 AVQ458951:AVX458951 BFM458951:BFT458951 BPI458951:BPP458951 BZE458951:BZL458951 CJA458951:CJH458951 CSW458951:CTD458951 DCS458951:DCZ458951 DMO458951:DMV458951 DWK458951:DWR458951 EGG458951:EGN458951 EQC458951:EQJ458951 EZY458951:FAF458951 FJU458951:FKB458951 FTQ458951:FTX458951 GDM458951:GDT458951 GNI458951:GNP458951 GXE458951:GXL458951 HHA458951:HHH458951 HQW458951:HRD458951 IAS458951:IAZ458951 IKO458951:IKV458951 IUK458951:IUR458951 JEG458951:JEN458951 JOC458951:JOJ458951 JXY458951:JYF458951 KHU458951:KIB458951 KRQ458951:KRX458951 LBM458951:LBT458951 LLI458951:LLP458951 LVE458951:LVL458951 MFA458951:MFH458951 MOW458951:MPD458951 MYS458951:MYZ458951 NIO458951:NIV458951 NSK458951:NSR458951 OCG458951:OCN458951 OMC458951:OMJ458951 OVY458951:OWF458951 PFU458951:PGB458951 PPQ458951:PPX458951 PZM458951:PZT458951 QJI458951:QJP458951 QTE458951:QTL458951 RDA458951:RDH458951 RMW458951:RND458951 RWS458951:RWZ458951 SGO458951:SGV458951 SQK458951:SQR458951 TAG458951:TAN458951 TKC458951:TKJ458951 TTY458951:TUF458951 UDU458951:UEB458951 UNQ458951:UNX458951 UXM458951:UXT458951 VHI458951:VHP458951 VRE458951:VRL458951 WBA458951:WBH458951 WKW458951:WLD458951 WUS458951:WUZ458951 TTY983239:TUF983239 IG524487:IN524487 SC524487:SJ524487 ABY524487:ACF524487 ALU524487:AMB524487 AVQ524487:AVX524487 BFM524487:BFT524487 BPI524487:BPP524487 BZE524487:BZL524487 CJA524487:CJH524487 CSW524487:CTD524487 DCS524487:DCZ524487 DMO524487:DMV524487 DWK524487:DWR524487 EGG524487:EGN524487 EQC524487:EQJ524487 EZY524487:FAF524487 FJU524487:FKB524487 FTQ524487:FTX524487 GDM524487:GDT524487 GNI524487:GNP524487 GXE524487:GXL524487 HHA524487:HHH524487 HQW524487:HRD524487 IAS524487:IAZ524487 IKO524487:IKV524487 IUK524487:IUR524487 JEG524487:JEN524487 JOC524487:JOJ524487 JXY524487:JYF524487 KHU524487:KIB524487 KRQ524487:KRX524487 LBM524487:LBT524487 LLI524487:LLP524487 LVE524487:LVL524487 MFA524487:MFH524487 MOW524487:MPD524487 MYS524487:MYZ524487 NIO524487:NIV524487 NSK524487:NSR524487 OCG524487:OCN524487 OMC524487:OMJ524487 OVY524487:OWF524487 PFU524487:PGB524487 PPQ524487:PPX524487 PZM524487:PZT524487 QJI524487:QJP524487 QTE524487:QTL524487 RDA524487:RDH524487 RMW524487:RND524487 RWS524487:RWZ524487 SGO524487:SGV524487 SQK524487:SQR524487 TAG524487:TAN524487 TKC524487:TKJ524487 TTY524487:TUF524487 UDU524487:UEB524487 UNQ524487:UNX524487 UXM524487:UXT524487 VHI524487:VHP524487 VRE524487:VRL524487 WBA524487:WBH524487 WKW524487:WLD524487 WUS524487:WUZ524487 UDU983239:UEB983239 IG590023:IN590023 SC590023:SJ590023 ABY590023:ACF590023 ALU590023:AMB590023 AVQ590023:AVX590023 BFM590023:BFT590023 BPI590023:BPP590023 BZE590023:BZL590023 CJA590023:CJH590023 CSW590023:CTD590023 DCS590023:DCZ590023 DMO590023:DMV590023 DWK590023:DWR590023 EGG590023:EGN590023 EQC590023:EQJ590023 EZY590023:FAF590023 FJU590023:FKB590023 FTQ590023:FTX590023 GDM590023:GDT590023 GNI590023:GNP590023 GXE590023:GXL590023 HHA590023:HHH590023 HQW590023:HRD590023 IAS590023:IAZ590023 IKO590023:IKV590023 IUK590023:IUR590023 JEG590023:JEN590023 JOC590023:JOJ590023 JXY590023:JYF590023 KHU590023:KIB590023 KRQ590023:KRX590023 LBM590023:LBT590023 LLI590023:LLP590023 LVE590023:LVL590023 MFA590023:MFH590023 MOW590023:MPD590023 MYS590023:MYZ590023 NIO590023:NIV590023 NSK590023:NSR590023 OCG590023:OCN590023 OMC590023:OMJ590023 OVY590023:OWF590023 PFU590023:PGB590023 PPQ590023:PPX590023 PZM590023:PZT590023 QJI590023:QJP590023 QTE590023:QTL590023 RDA590023:RDH590023 RMW590023:RND590023 RWS590023:RWZ590023 SGO590023:SGV590023 SQK590023:SQR590023 TAG590023:TAN590023 TKC590023:TKJ590023 TTY590023:TUF590023 UDU590023:UEB590023 UNQ590023:UNX590023 UXM590023:UXT590023 VHI590023:VHP590023 VRE590023:VRL590023 WBA590023:WBH590023 WKW590023:WLD590023 WUS590023:WUZ590023 UNQ983239:UNX983239 IG655559:IN655559 SC655559:SJ655559 ABY655559:ACF655559 ALU655559:AMB655559 AVQ655559:AVX655559 BFM655559:BFT655559 BPI655559:BPP655559 BZE655559:BZL655559 CJA655559:CJH655559 CSW655559:CTD655559 DCS655559:DCZ655559 DMO655559:DMV655559 DWK655559:DWR655559 EGG655559:EGN655559 EQC655559:EQJ655559 EZY655559:FAF655559 FJU655559:FKB655559 FTQ655559:FTX655559 GDM655559:GDT655559 GNI655559:GNP655559 GXE655559:GXL655559 HHA655559:HHH655559 HQW655559:HRD655559 IAS655559:IAZ655559 IKO655559:IKV655559 IUK655559:IUR655559 JEG655559:JEN655559 JOC655559:JOJ655559 JXY655559:JYF655559 KHU655559:KIB655559 KRQ655559:KRX655559 LBM655559:LBT655559 LLI655559:LLP655559 LVE655559:LVL655559 MFA655559:MFH655559 MOW655559:MPD655559 MYS655559:MYZ655559 NIO655559:NIV655559 NSK655559:NSR655559 OCG655559:OCN655559 OMC655559:OMJ655559 OVY655559:OWF655559 PFU655559:PGB655559 PPQ655559:PPX655559 PZM655559:PZT655559 QJI655559:QJP655559 QTE655559:QTL655559 RDA655559:RDH655559 RMW655559:RND655559 RWS655559:RWZ655559 SGO655559:SGV655559 SQK655559:SQR655559 TAG655559:TAN655559 TKC655559:TKJ655559 TTY655559:TUF655559 UDU655559:UEB655559 UNQ655559:UNX655559 UXM655559:UXT655559 VHI655559:VHP655559 VRE655559:VRL655559 WBA655559:WBH655559 WKW655559:WLD655559 WUS655559:WUZ655559 UXM983239:UXT983239 IG721095:IN721095 SC721095:SJ721095 ABY721095:ACF721095 ALU721095:AMB721095 AVQ721095:AVX721095 BFM721095:BFT721095 BPI721095:BPP721095 BZE721095:BZL721095 CJA721095:CJH721095 CSW721095:CTD721095 DCS721095:DCZ721095 DMO721095:DMV721095 DWK721095:DWR721095 EGG721095:EGN721095 EQC721095:EQJ721095 EZY721095:FAF721095 FJU721095:FKB721095 FTQ721095:FTX721095 GDM721095:GDT721095 GNI721095:GNP721095 GXE721095:GXL721095 HHA721095:HHH721095 HQW721095:HRD721095 IAS721095:IAZ721095 IKO721095:IKV721095 IUK721095:IUR721095 JEG721095:JEN721095 JOC721095:JOJ721095 JXY721095:JYF721095 KHU721095:KIB721095 KRQ721095:KRX721095 LBM721095:LBT721095 LLI721095:LLP721095 LVE721095:LVL721095 MFA721095:MFH721095 MOW721095:MPD721095 MYS721095:MYZ721095 NIO721095:NIV721095 NSK721095:NSR721095 OCG721095:OCN721095 OMC721095:OMJ721095 OVY721095:OWF721095 PFU721095:PGB721095 PPQ721095:PPX721095 PZM721095:PZT721095 QJI721095:QJP721095 QTE721095:QTL721095 RDA721095:RDH721095 RMW721095:RND721095 RWS721095:RWZ721095 SGO721095:SGV721095 SQK721095:SQR721095 TAG721095:TAN721095 TKC721095:TKJ721095 TTY721095:TUF721095 UDU721095:UEB721095 UNQ721095:UNX721095 UXM721095:UXT721095 VHI721095:VHP721095 VRE721095:VRL721095 WBA721095:WBH721095 WKW721095:WLD721095 WUS721095:WUZ721095 VHI983239:VHP983239 IG786631:IN786631 SC786631:SJ786631 ABY786631:ACF786631 ALU786631:AMB786631 AVQ786631:AVX786631 BFM786631:BFT786631 BPI786631:BPP786631 BZE786631:BZL786631 CJA786631:CJH786631 CSW786631:CTD786631 DCS786631:DCZ786631 DMO786631:DMV786631 DWK786631:DWR786631 EGG786631:EGN786631 EQC786631:EQJ786631 EZY786631:FAF786631 FJU786631:FKB786631 FTQ786631:FTX786631 GDM786631:GDT786631 GNI786631:GNP786631 GXE786631:GXL786631 HHA786631:HHH786631 HQW786631:HRD786631 IAS786631:IAZ786631 IKO786631:IKV786631 IUK786631:IUR786631 JEG786631:JEN786631 JOC786631:JOJ786631 JXY786631:JYF786631 KHU786631:KIB786631 KRQ786631:KRX786631 LBM786631:LBT786631 LLI786631:LLP786631 LVE786631:LVL786631 MFA786631:MFH786631 MOW786631:MPD786631 MYS786631:MYZ786631 NIO786631:NIV786631 NSK786631:NSR786631 OCG786631:OCN786631 OMC786631:OMJ786631 OVY786631:OWF786631 PFU786631:PGB786631 PPQ786631:PPX786631 PZM786631:PZT786631 QJI786631:QJP786631 QTE786631:QTL786631 RDA786631:RDH786631 RMW786631:RND786631 RWS786631:RWZ786631 SGO786631:SGV786631 SQK786631:SQR786631 TAG786631:TAN786631 TKC786631:TKJ786631 TTY786631:TUF786631 UDU786631:UEB786631 UNQ786631:UNX786631 UXM786631:UXT786631 VHI786631:VHP786631 VRE786631:VRL786631 WBA786631:WBH786631 WKW786631:WLD786631 WUS786631:WUZ786631 VRE983239:VRL983239 IG852167:IN852167 SC852167:SJ852167 ABY852167:ACF852167 ALU852167:AMB852167 AVQ852167:AVX852167 BFM852167:BFT852167 BPI852167:BPP852167 BZE852167:BZL852167 CJA852167:CJH852167 CSW852167:CTD852167 DCS852167:DCZ852167 DMO852167:DMV852167 DWK852167:DWR852167 EGG852167:EGN852167 EQC852167:EQJ852167 EZY852167:FAF852167 FJU852167:FKB852167 FTQ852167:FTX852167 GDM852167:GDT852167 GNI852167:GNP852167 GXE852167:GXL852167 HHA852167:HHH852167 HQW852167:HRD852167 IAS852167:IAZ852167 IKO852167:IKV852167 IUK852167:IUR852167 JEG852167:JEN852167 JOC852167:JOJ852167 JXY852167:JYF852167 KHU852167:KIB852167 KRQ852167:KRX852167 LBM852167:LBT852167 LLI852167:LLP852167 LVE852167:LVL852167 MFA852167:MFH852167 MOW852167:MPD852167 MYS852167:MYZ852167 NIO852167:NIV852167 NSK852167:NSR852167 OCG852167:OCN852167 OMC852167:OMJ852167 OVY852167:OWF852167 PFU852167:PGB852167 PPQ852167:PPX852167 PZM852167:PZT852167 QJI852167:QJP852167 QTE852167:QTL852167 RDA852167:RDH852167 RMW852167:RND852167 RWS852167:RWZ852167 SGO852167:SGV852167 SQK852167:SQR852167 TAG852167:TAN852167 TKC852167:TKJ852167 TTY852167:TUF852167 UDU852167:UEB852167 UNQ852167:UNX852167 UXM852167:UXT852167 VHI852167:VHP852167 VRE852167:VRL852167 WBA852167:WBH852167 WKW852167:WLD852167 WUS852167:WUZ852167 WBA983239:WBH983239 IG917703:IN917703 SC917703:SJ917703 ABY917703:ACF917703 ALU917703:AMB917703 AVQ917703:AVX917703 BFM917703:BFT917703 BPI917703:BPP917703 BZE917703:BZL917703 CJA917703:CJH917703 CSW917703:CTD917703 DCS917703:DCZ917703 DMO917703:DMV917703 DWK917703:DWR917703 EGG917703:EGN917703 EQC917703:EQJ917703 EZY917703:FAF917703 FJU917703:FKB917703 FTQ917703:FTX917703 GDM917703:GDT917703 GNI917703:GNP917703 GXE917703:GXL917703 HHA917703:HHH917703 HQW917703:HRD917703 IAS917703:IAZ917703 IKO917703:IKV917703 IUK917703:IUR917703 JEG917703:JEN917703 JOC917703:JOJ917703 JXY917703:JYF917703 KHU917703:KIB917703 KRQ917703:KRX917703 LBM917703:LBT917703 LLI917703:LLP917703 LVE917703:LVL917703 MFA917703:MFH917703 MOW917703:MPD917703 MYS917703:MYZ917703 NIO917703:NIV917703 NSK917703:NSR917703 OCG917703:OCN917703 OMC917703:OMJ917703 OVY917703:OWF917703 PFU917703:PGB917703 PPQ917703:PPX917703 PZM917703:PZT917703 QJI917703:QJP917703 QTE917703:QTL917703 RDA917703:RDH917703 RMW917703:RND917703 RWS917703:RWZ917703 SGO917703:SGV917703 SQK917703:SQR917703 TAG917703:TAN917703 TKC917703:TKJ917703 TTY917703:TUF917703 UDU917703:UEB917703 UNQ917703:UNX917703 UXM917703:UXT917703 VHI917703:VHP917703 VRE917703:VRL917703 WBA917703:WBH917703 WKW917703:WLD917703 WUS917703:WUZ917703 WKW983239:WLD983239 IG983239:IN983239 SC983239:SJ983239 ABY983239:ACF983239 ALU983239:AMB983239 AVQ983239:AVX983239 BFM983239:BFT983239 BPI983239:BPP983239 BZE983239:BZL983239 CJA983239:CJH983239 CSW983239:CTD983239 DCS983239:DCZ983239 DMO983239:DMV983239 DWK983239:DWR983239 EGG983239:EGN983239 EQC983239:EQJ983239 EZY983239:FAF983239 FJU983239:FKB983239 FTQ983239:FTX983239 GDM983239:GDT983239 GNI983239:GNP983239 GXE983239:GXL983239 HHA983239:HHH983239 HQW983239:HRD983239 IAS983239:IAZ983239 IKO983239:IKV983239 IUK983239:IUR983239 JEG983239:JEN983239 JOC983239:JOJ983239 JXY983239:JYF983239 KHU983239:KIB983239 KRQ983239:KRX983239 LBM983239:LBT983239 LLI983239:LLP983239 LVE983239:LVL983239 MFA983239:MFH983239 MOW983239:MPD983239 MYS983239:MYZ983239 NIO983239:NIV983239 NSK983239:NSR983239 OCG983239:OCN983239 OMC983239:OMJ983239 OVY983239:OWF983239 PFU983239:PGB983239 PPQ983239:PPX983239 PZM983239:PZT983239 QJI983239:QJP983239 QTE983239:QTL983239 H524487:O524487 H458951:O458951 H393415:O393415 H327879:O327879 H262343:O262343 H196807:O196807 H131271:O131271 H65735:O65735 H983239:O983239 H917703:O917703 H852167:O852167 H786631:O786631 H721095:O721095 H655559:O655559 H590023:O590023" xr:uid="{00000000-0002-0000-0300-000004000000}">
      <formula1>"改修,新営"</formula1>
    </dataValidation>
    <dataValidation type="list" allowBlank="1" showInputMessage="1" showErrorMessage="1" sqref="H4:O4" xr:uid="{00000000-0002-0000-0300-000005000000}">
      <formula1>"資産,費用"</formula1>
    </dataValidation>
    <dataValidation type="list" allowBlank="1" showInputMessage="1" showErrorMessage="1" sqref="H22:O22" xr:uid="{00000000-0002-0000-0300-000006000000}">
      <formula1>$D$352:$D$359</formula1>
    </dataValidation>
    <dataValidation type="list" allowBlank="1" showInputMessage="1" showErrorMessage="1" sqref="H56:O56" xr:uid="{00000000-0002-0000-0300-000007000000}">
      <formula1>$F$354:$F$356</formula1>
    </dataValidation>
  </dataValidations>
  <printOptions horizontalCentered="1"/>
  <pageMargins left="0.19685039370078741" right="0.19685039370078741" top="0.6692913385826772" bottom="0.19685039370078741" header="0.51181102362204722" footer="0.51181102362204722"/>
  <pageSetup paperSize="9" scale="45" orientation="landscape" cellComments="asDisplayed" r:id="rId1"/>
  <headerFooter alignWithMargins="0"/>
  <rowBreaks count="2" manualBreakCount="2">
    <brk id="48" max="8" man="1"/>
    <brk id="89" max="8"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Q214"/>
  <sheetViews>
    <sheetView view="pageBreakPreview" zoomScale="85" zoomScaleNormal="40" zoomScaleSheetLayoutView="85" workbookViewId="0"/>
  </sheetViews>
  <sheetFormatPr defaultColWidth="9" defaultRowHeight="13.5" customHeight="1"/>
  <cols>
    <col min="1" max="1" width="2.5" style="654" customWidth="1"/>
    <col min="2" max="2" width="3.5" style="654" customWidth="1"/>
    <col min="3" max="3" width="21.5" style="654" customWidth="1"/>
    <col min="4" max="4" width="4" style="654" customWidth="1"/>
    <col min="5" max="5" width="5.375" style="654" customWidth="1"/>
    <col min="6" max="6" width="17.625" style="654" customWidth="1"/>
    <col min="7" max="16" width="14.125" style="1046" customWidth="1"/>
    <col min="17" max="16384" width="9" style="654"/>
  </cols>
  <sheetData>
    <row r="1" spans="1:17" ht="13.5" customHeight="1">
      <c r="A1" s="645"/>
      <c r="B1" s="645"/>
      <c r="C1" s="646"/>
      <c r="D1" s="646"/>
      <c r="E1" s="647" t="s">
        <v>242</v>
      </c>
      <c r="F1" s="648" t="str">
        <f>+表紙!D12</f>
        <v>東梅田外１駅可動式ホーム柵設置に伴う建築その他工事</v>
      </c>
      <c r="G1" s="649"/>
      <c r="H1" s="650"/>
      <c r="I1" s="651"/>
      <c r="J1" s="651"/>
      <c r="K1" s="651"/>
      <c r="L1" s="651"/>
      <c r="M1" s="651"/>
      <c r="N1" s="651"/>
      <c r="O1" s="652" t="s">
        <v>3938</v>
      </c>
      <c r="P1" s="653" t="s">
        <v>3939</v>
      </c>
    </row>
    <row r="2" spans="1:17" ht="13.5" customHeight="1">
      <c r="A2" s="655"/>
      <c r="B2" s="655"/>
      <c r="C2" s="656" t="s">
        <v>3940</v>
      </c>
      <c r="D2" s="657"/>
      <c r="E2" s="646"/>
      <c r="F2" s="645"/>
      <c r="G2" s="658" t="str">
        <f>+'東梅田　諸'!F1</f>
        <v>ア）東梅田駅</v>
      </c>
      <c r="H2" s="651"/>
      <c r="I2" s="654"/>
      <c r="J2" s="651"/>
      <c r="K2" s="651"/>
      <c r="L2" s="651" t="str">
        <f>+'堺筋本町　諸'!F1</f>
        <v>イ）堺筋本町駅</v>
      </c>
      <c r="M2" s="651"/>
      <c r="N2" s="651"/>
      <c r="O2" s="645"/>
      <c r="P2" s="659"/>
    </row>
    <row r="3" spans="1:17" s="668" customFormat="1" ht="13.5" customHeight="1">
      <c r="A3" s="660"/>
      <c r="B3" s="661"/>
      <c r="C3" s="662" t="s">
        <v>3941</v>
      </c>
      <c r="D3" s="663"/>
      <c r="E3" s="664"/>
      <c r="F3" s="665" t="s">
        <v>3942</v>
      </c>
      <c r="G3" s="666">
        <v>16.600000000000001</v>
      </c>
      <c r="H3" s="666">
        <v>11</v>
      </c>
      <c r="I3" s="666">
        <v>16.600000000000001</v>
      </c>
      <c r="J3" s="666">
        <v>16.600000000000001</v>
      </c>
      <c r="K3" s="666">
        <v>16.600000000000001</v>
      </c>
      <c r="L3" s="666">
        <v>16.600000000000001</v>
      </c>
      <c r="M3" s="666">
        <v>11</v>
      </c>
      <c r="N3" s="666">
        <v>16.600000000000001</v>
      </c>
      <c r="O3" s="666"/>
      <c r="P3" s="667"/>
    </row>
    <row r="4" spans="1:17" s="668" customFormat="1" ht="13.5" customHeight="1">
      <c r="A4" s="669"/>
      <c r="B4" s="670"/>
      <c r="C4" s="2166" t="s">
        <v>3943</v>
      </c>
      <c r="D4" s="2167"/>
      <c r="E4" s="2168"/>
      <c r="F4" s="2169" t="s">
        <v>3944</v>
      </c>
      <c r="G4" s="2170" t="s">
        <v>3945</v>
      </c>
      <c r="H4" s="2170" t="s">
        <v>3945</v>
      </c>
      <c r="I4" s="2170" t="s">
        <v>3945</v>
      </c>
      <c r="J4" s="2170" t="s">
        <v>3945</v>
      </c>
      <c r="K4" s="2170" t="s">
        <v>3945</v>
      </c>
      <c r="L4" s="2170" t="s">
        <v>3945</v>
      </c>
      <c r="M4" s="2170" t="s">
        <v>3945</v>
      </c>
      <c r="N4" s="2170" t="s">
        <v>3945</v>
      </c>
      <c r="O4" s="2170"/>
      <c r="P4" s="2171"/>
    </row>
    <row r="5" spans="1:17" ht="13.5" customHeight="1">
      <c r="A5" s="669"/>
      <c r="B5" s="670"/>
      <c r="C5" s="670" t="s">
        <v>3946</v>
      </c>
      <c r="D5" s="670"/>
      <c r="E5" s="677" t="s">
        <v>65</v>
      </c>
      <c r="F5" s="678" t="s">
        <v>3947</v>
      </c>
      <c r="G5" s="2172" t="s">
        <v>139</v>
      </c>
      <c r="H5" s="2172" t="s">
        <v>141</v>
      </c>
      <c r="I5" s="2172" t="s">
        <v>143</v>
      </c>
      <c r="J5" s="2172" t="s">
        <v>145</v>
      </c>
      <c r="K5" s="2172" t="s">
        <v>147</v>
      </c>
      <c r="L5" s="2172" t="s">
        <v>149</v>
      </c>
      <c r="M5" s="2172" t="s">
        <v>150</v>
      </c>
      <c r="N5" s="680" t="s">
        <v>151</v>
      </c>
      <c r="O5" s="2172"/>
      <c r="P5" s="680"/>
    </row>
    <row r="6" spans="1:17" ht="13.5" customHeight="1">
      <c r="A6" s="669"/>
      <c r="B6" s="670"/>
      <c r="C6" s="670" t="s">
        <v>3948</v>
      </c>
      <c r="D6" s="670"/>
      <c r="E6" s="677" t="s">
        <v>40</v>
      </c>
      <c r="F6" s="681" t="s">
        <v>3949</v>
      </c>
      <c r="G6" s="682" t="str">
        <f>+'東梅田　諸'!G6</f>
        <v>可動式ホーム柵設置に伴う建築工事</v>
      </c>
      <c r="H6" s="683" t="str">
        <f>+'東梅田　諸'!H6</f>
        <v>隙間解消工事</v>
      </c>
      <c r="I6" s="683" t="str">
        <f>+'東梅田　諸'!I6</f>
        <v>列車停止位置変更に伴う建築工事</v>
      </c>
      <c r="J6" s="683" t="str">
        <f>+'東梅田　諸'!J6</f>
        <v>床仕上改造その他工事</v>
      </c>
      <c r="K6" s="683" t="str">
        <f>+'東梅田　諸'!K6</f>
        <v>整列乗車対策工事</v>
      </c>
      <c r="L6" s="683" t="str">
        <f>+'堺筋本町　諸'!G6</f>
        <v>可動式ホーム柵設置に伴う建築工事</v>
      </c>
      <c r="M6" s="683" t="str">
        <f>+'堺筋本町　諸'!H6</f>
        <v>隙間解消工事</v>
      </c>
      <c r="N6" s="683" t="str">
        <f>+'堺筋本町　諸'!I6</f>
        <v>床仕上改造その他工事</v>
      </c>
      <c r="O6" s="683"/>
      <c r="P6" s="684"/>
    </row>
    <row r="7" spans="1:17" s="689" customFormat="1" ht="13.5" customHeight="1">
      <c r="A7" s="685"/>
      <c r="B7" s="686"/>
      <c r="C7" s="2638" t="s">
        <v>3950</v>
      </c>
      <c r="D7" s="2638"/>
      <c r="E7" s="2638"/>
      <c r="F7" s="2639"/>
      <c r="G7" s="2173" t="s">
        <v>3951</v>
      </c>
      <c r="H7" s="2173" t="s">
        <v>3951</v>
      </c>
      <c r="I7" s="2173" t="s">
        <v>3951</v>
      </c>
      <c r="J7" s="2173" t="s">
        <v>3951</v>
      </c>
      <c r="K7" s="2173" t="s">
        <v>3951</v>
      </c>
      <c r="L7" s="2173" t="s">
        <v>3951</v>
      </c>
      <c r="M7" s="2173" t="s">
        <v>3951</v>
      </c>
      <c r="N7" s="2173" t="s">
        <v>3951</v>
      </c>
      <c r="O7" s="2173" t="s">
        <v>3951</v>
      </c>
      <c r="P7" s="2174" t="s">
        <v>3951</v>
      </c>
    </row>
    <row r="8" spans="1:17" s="689" customFormat="1" ht="30" customHeight="1">
      <c r="A8" s="2640" t="s">
        <v>3952</v>
      </c>
      <c r="B8" s="2641"/>
      <c r="C8" s="2641"/>
      <c r="D8" s="2641"/>
      <c r="E8" s="2641"/>
      <c r="F8" s="2642"/>
      <c r="G8" s="690" t="s">
        <v>3953</v>
      </c>
      <c r="H8" s="690" t="s">
        <v>3953</v>
      </c>
      <c r="I8" s="690" t="s">
        <v>3953</v>
      </c>
      <c r="J8" s="690" t="s">
        <v>3953</v>
      </c>
      <c r="K8" s="690" t="s">
        <v>3953</v>
      </c>
      <c r="L8" s="690" t="s">
        <v>3953</v>
      </c>
      <c r="M8" s="690" t="s">
        <v>3953</v>
      </c>
      <c r="N8" s="690" t="s">
        <v>3953</v>
      </c>
      <c r="O8" s="690" t="s">
        <v>3953</v>
      </c>
      <c r="P8" s="2175" t="s">
        <v>3953</v>
      </c>
      <c r="Q8" s="689">
        <f>IF(AND(G8="有り",G9="無し"),0.72,IF(AND(G8="有り",G9="有り"),0.8,IF(AND(G8="無し",G9="無し"),0.9,IF(AND(G8="無し",G9="有り"),1,0))))</f>
        <v>0</v>
      </c>
    </row>
    <row r="9" spans="1:17" s="689" customFormat="1" ht="30" customHeight="1">
      <c r="A9" s="2643" t="s">
        <v>3954</v>
      </c>
      <c r="B9" s="2644"/>
      <c r="C9" s="2644"/>
      <c r="D9" s="2644"/>
      <c r="E9" s="2644"/>
      <c r="F9" s="2645"/>
      <c r="G9" s="692" t="s">
        <v>65</v>
      </c>
      <c r="H9" s="692" t="s">
        <v>65</v>
      </c>
      <c r="I9" s="692" t="s">
        <v>65</v>
      </c>
      <c r="J9" s="692" t="s">
        <v>65</v>
      </c>
      <c r="K9" s="692" t="s">
        <v>65</v>
      </c>
      <c r="L9" s="692" t="s">
        <v>65</v>
      </c>
      <c r="M9" s="692" t="s">
        <v>65</v>
      </c>
      <c r="N9" s="692" t="s">
        <v>65</v>
      </c>
      <c r="O9" s="692" t="s">
        <v>65</v>
      </c>
      <c r="P9" s="693" t="s">
        <v>65</v>
      </c>
    </row>
    <row r="10" spans="1:17" ht="13.5" customHeight="1">
      <c r="A10" s="660"/>
      <c r="B10" s="694" t="s">
        <v>3955</v>
      </c>
      <c r="C10" s="695"/>
      <c r="D10" s="695"/>
      <c r="E10" s="696"/>
      <c r="F10" s="697">
        <f>SUM(G10:P10)</f>
        <v>388791162</v>
      </c>
      <c r="G10" s="698">
        <f>+G11+G15</f>
        <v>33425885</v>
      </c>
      <c r="H10" s="698">
        <f t="shared" ref="H10:P10" si="0">+H11+H15</f>
        <v>22318883</v>
      </c>
      <c r="I10" s="698">
        <f t="shared" si="0"/>
        <v>2131661</v>
      </c>
      <c r="J10" s="698">
        <f>+J11+J15</f>
        <v>107929486</v>
      </c>
      <c r="K10" s="698">
        <f>+K11+K15</f>
        <v>10208163</v>
      </c>
      <c r="L10" s="698">
        <f>+L11+L15</f>
        <v>44795961</v>
      </c>
      <c r="M10" s="698">
        <f>+M11+M15</f>
        <v>28913934</v>
      </c>
      <c r="N10" s="698">
        <f t="shared" si="0"/>
        <v>139067189</v>
      </c>
      <c r="O10" s="698">
        <f t="shared" si="0"/>
        <v>0</v>
      </c>
      <c r="P10" s="699">
        <f t="shared" si="0"/>
        <v>0</v>
      </c>
    </row>
    <row r="11" spans="1:17" ht="13.5" customHeight="1">
      <c r="A11" s="669"/>
      <c r="B11" s="670"/>
      <c r="C11" s="700" t="s">
        <v>3956</v>
      </c>
      <c r="D11" s="701"/>
      <c r="E11" s="702"/>
      <c r="F11" s="703">
        <f>SUM(G11:P11)</f>
        <v>363659083</v>
      </c>
      <c r="G11" s="704">
        <f>+'東梅田　諸'!G11</f>
        <v>29215287</v>
      </c>
      <c r="H11" s="704">
        <f>+'東梅田　諸'!H11</f>
        <v>21555646</v>
      </c>
      <c r="I11" s="704">
        <f>+'東梅田　諸'!I11</f>
        <v>2052481</v>
      </c>
      <c r="J11" s="704">
        <f>+'東梅田　諸'!J11</f>
        <v>103212496</v>
      </c>
      <c r="K11" s="704">
        <f>+'東梅田　諸'!K11</f>
        <v>9791560</v>
      </c>
      <c r="L11" s="704">
        <f>+'堺筋本町　諸'!G11</f>
        <v>39763280</v>
      </c>
      <c r="M11" s="704">
        <f>+'堺筋本町　諸'!H11</f>
        <v>27426558</v>
      </c>
      <c r="N11" s="704">
        <f>+'堺筋本町　諸'!I11</f>
        <v>130641775</v>
      </c>
      <c r="O11" s="704"/>
      <c r="P11" s="705"/>
    </row>
    <row r="12" spans="1:17" ht="13.5" customHeight="1">
      <c r="A12" s="669"/>
      <c r="B12" s="670"/>
      <c r="C12" s="2176"/>
      <c r="D12" s="2176"/>
      <c r="E12" s="2177"/>
      <c r="F12" s="2178" t="s">
        <v>3957</v>
      </c>
      <c r="G12" s="2179">
        <f>SUM(G104:G113)</f>
        <v>33425885</v>
      </c>
      <c r="H12" s="2179">
        <f t="shared" ref="H12:P12" si="1">SUM(H104:H113)</f>
        <v>22318883</v>
      </c>
      <c r="I12" s="2179">
        <f t="shared" si="1"/>
        <v>2131661</v>
      </c>
      <c r="J12" s="2179">
        <f>SUM(J104:J113)</f>
        <v>107929486</v>
      </c>
      <c r="K12" s="2179">
        <f>SUM(K104:K113)</f>
        <v>10208163</v>
      </c>
      <c r="L12" s="2179">
        <f>SUM(L104:L113)</f>
        <v>44795961</v>
      </c>
      <c r="M12" s="2179">
        <f>SUM(M104:M113)</f>
        <v>28913934</v>
      </c>
      <c r="N12" s="2179">
        <f t="shared" si="1"/>
        <v>139067189</v>
      </c>
      <c r="O12" s="2179">
        <f t="shared" si="1"/>
        <v>0</v>
      </c>
      <c r="P12" s="2180">
        <f t="shared" si="1"/>
        <v>0</v>
      </c>
    </row>
    <row r="13" spans="1:17" ht="13.5" customHeight="1">
      <c r="A13" s="669"/>
      <c r="B13" s="670"/>
      <c r="C13" s="2176"/>
      <c r="D13" s="2176"/>
      <c r="E13" s="2177"/>
      <c r="F13" s="2178" t="s">
        <v>3958</v>
      </c>
      <c r="G13" s="2179">
        <f>SUM(G150:G152)</f>
        <v>0</v>
      </c>
      <c r="H13" s="2179">
        <f t="shared" ref="H13:P13" si="2">SUM(H150:H152)</f>
        <v>0</v>
      </c>
      <c r="I13" s="2179">
        <f t="shared" si="2"/>
        <v>0</v>
      </c>
      <c r="J13" s="2179">
        <f>SUM(J150:J152)</f>
        <v>0</v>
      </c>
      <c r="K13" s="2179">
        <f>SUM(K150:K152)</f>
        <v>0</v>
      </c>
      <c r="L13" s="2179">
        <f>SUM(L150:L152)</f>
        <v>0</v>
      </c>
      <c r="M13" s="2179">
        <f>SUM(M150:M152)</f>
        <v>0</v>
      </c>
      <c r="N13" s="2179">
        <f t="shared" si="2"/>
        <v>0</v>
      </c>
      <c r="O13" s="2179">
        <f t="shared" si="2"/>
        <v>0</v>
      </c>
      <c r="P13" s="2180">
        <f t="shared" si="2"/>
        <v>0</v>
      </c>
    </row>
    <row r="14" spans="1:17" ht="13.5" customHeight="1">
      <c r="A14" s="669"/>
      <c r="B14" s="670"/>
      <c r="C14" s="2176"/>
      <c r="D14" s="2176"/>
      <c r="E14" s="2177"/>
      <c r="F14" s="2181" t="s">
        <v>3959</v>
      </c>
      <c r="G14" s="2179">
        <f>+G53</f>
        <v>29215287</v>
      </c>
      <c r="H14" s="2179">
        <f t="shared" ref="H14:P14" si="3">+H53</f>
        <v>21555646</v>
      </c>
      <c r="I14" s="2179">
        <f t="shared" si="3"/>
        <v>2052481</v>
      </c>
      <c r="J14" s="2179">
        <f t="shared" ref="J14" si="4">+J53</f>
        <v>103212496</v>
      </c>
      <c r="K14" s="2179">
        <f>+K53</f>
        <v>9791560</v>
      </c>
      <c r="L14" s="2179">
        <f t="shared" si="3"/>
        <v>39763280</v>
      </c>
      <c r="M14" s="2179">
        <f>+M53</f>
        <v>27426558</v>
      </c>
      <c r="N14" s="2179">
        <f t="shared" si="3"/>
        <v>130641775</v>
      </c>
      <c r="O14" s="2179">
        <f t="shared" si="3"/>
        <v>0</v>
      </c>
      <c r="P14" s="2180">
        <f t="shared" si="3"/>
        <v>0</v>
      </c>
    </row>
    <row r="15" spans="1:17" s="719" customFormat="1" ht="13.5" customHeight="1">
      <c r="A15" s="712"/>
      <c r="B15" s="713"/>
      <c r="C15" s="2151" t="s">
        <v>3960</v>
      </c>
      <c r="D15" s="2151"/>
      <c r="E15" s="2182"/>
      <c r="F15" s="2183">
        <f t="shared" ref="F15:F32" si="5">SUM(G15:P15)</f>
        <v>25132079</v>
      </c>
      <c r="G15" s="2184">
        <f t="shared" ref="G15:P15" si="6">G16+G17</f>
        <v>4210598</v>
      </c>
      <c r="H15" s="2184">
        <f t="shared" si="6"/>
        <v>763237</v>
      </c>
      <c r="I15" s="2184">
        <f t="shared" si="6"/>
        <v>79180</v>
      </c>
      <c r="J15" s="2184">
        <f t="shared" si="6"/>
        <v>4716990</v>
      </c>
      <c r="K15" s="2184">
        <f t="shared" si="6"/>
        <v>416603</v>
      </c>
      <c r="L15" s="2184">
        <f t="shared" si="6"/>
        <v>5032681</v>
      </c>
      <c r="M15" s="2184">
        <f t="shared" si="6"/>
        <v>1487376</v>
      </c>
      <c r="N15" s="2184">
        <f t="shared" si="6"/>
        <v>8425414</v>
      </c>
      <c r="O15" s="2184">
        <f t="shared" si="6"/>
        <v>0</v>
      </c>
      <c r="P15" s="2185">
        <f t="shared" si="6"/>
        <v>0</v>
      </c>
    </row>
    <row r="16" spans="1:17" s="719" customFormat="1" ht="13.5" customHeight="1">
      <c r="A16" s="712"/>
      <c r="B16" s="713"/>
      <c r="C16" s="2186" t="s">
        <v>3961</v>
      </c>
      <c r="D16" s="2151"/>
      <c r="E16" s="2182"/>
      <c r="F16" s="2178">
        <f t="shared" si="5"/>
        <v>0</v>
      </c>
      <c r="G16" s="2184">
        <f t="shared" ref="G16:P16" si="7">IF(G7="積上げ",0,G93)</f>
        <v>0</v>
      </c>
      <c r="H16" s="2184">
        <f t="shared" si="7"/>
        <v>0</v>
      </c>
      <c r="I16" s="2184">
        <f t="shared" si="7"/>
        <v>0</v>
      </c>
      <c r="J16" s="2184">
        <f t="shared" si="7"/>
        <v>0</v>
      </c>
      <c r="K16" s="2184">
        <f t="shared" si="7"/>
        <v>0</v>
      </c>
      <c r="L16" s="2184">
        <f t="shared" si="7"/>
        <v>0</v>
      </c>
      <c r="M16" s="2184">
        <f t="shared" si="7"/>
        <v>0</v>
      </c>
      <c r="N16" s="2184">
        <f t="shared" si="7"/>
        <v>0</v>
      </c>
      <c r="O16" s="2184">
        <f t="shared" si="7"/>
        <v>0</v>
      </c>
      <c r="P16" s="2185">
        <f t="shared" si="7"/>
        <v>0</v>
      </c>
    </row>
    <row r="17" spans="1:16" ht="13.5" customHeight="1">
      <c r="A17" s="669"/>
      <c r="B17" s="670"/>
      <c r="C17" s="2186" t="s">
        <v>3962</v>
      </c>
      <c r="D17" s="2151"/>
      <c r="E17" s="2177"/>
      <c r="F17" s="2178">
        <f t="shared" si="5"/>
        <v>25132079</v>
      </c>
      <c r="G17" s="2187">
        <f>+'東梅田　諸'!G15</f>
        <v>4210598</v>
      </c>
      <c r="H17" s="2187">
        <f>+'東梅田　諸'!H15</f>
        <v>763237</v>
      </c>
      <c r="I17" s="2187">
        <f>+'東梅田　諸'!I15</f>
        <v>79180</v>
      </c>
      <c r="J17" s="2187">
        <f>+'東梅田　諸'!J15</f>
        <v>4716990</v>
      </c>
      <c r="K17" s="2187">
        <f>+'東梅田　諸'!K15</f>
        <v>416603</v>
      </c>
      <c r="L17" s="2187">
        <f>+'堺筋本町　諸'!G15</f>
        <v>5032681</v>
      </c>
      <c r="M17" s="2187">
        <f>+'堺筋本町　諸'!H15</f>
        <v>1487376</v>
      </c>
      <c r="N17" s="2187">
        <f>+'堺筋本町　諸'!I15</f>
        <v>8425414</v>
      </c>
      <c r="O17" s="2188"/>
      <c r="P17" s="2189"/>
    </row>
    <row r="18" spans="1:16" ht="13.5" customHeight="1">
      <c r="A18" s="669"/>
      <c r="B18" s="670"/>
      <c r="C18" s="2190" t="s">
        <v>3963</v>
      </c>
      <c r="D18" s="2151"/>
      <c r="E18" s="2177"/>
      <c r="F18" s="2178">
        <f t="shared" si="5"/>
        <v>0</v>
      </c>
      <c r="G18" s="2188"/>
      <c r="H18" s="2188"/>
      <c r="I18" s="2188"/>
      <c r="J18" s="2188"/>
      <c r="K18" s="2188"/>
      <c r="L18" s="2188"/>
      <c r="M18" s="2188"/>
      <c r="N18" s="2188"/>
      <c r="O18" s="2188"/>
      <c r="P18" s="2189"/>
    </row>
    <row r="19" spans="1:16" ht="13.5" customHeight="1">
      <c r="A19" s="669"/>
      <c r="B19" s="670"/>
      <c r="C19" s="724" t="s">
        <v>3964</v>
      </c>
      <c r="D19" s="725"/>
      <c r="E19" s="726"/>
      <c r="F19" s="727">
        <f t="shared" si="5"/>
        <v>0</v>
      </c>
      <c r="G19" s="728"/>
      <c r="H19" s="728"/>
      <c r="I19" s="728"/>
      <c r="J19" s="728"/>
      <c r="K19" s="728"/>
      <c r="L19" s="728"/>
      <c r="M19" s="728"/>
      <c r="N19" s="728"/>
      <c r="O19" s="728"/>
      <c r="P19" s="729"/>
    </row>
    <row r="20" spans="1:16" ht="13.5" customHeight="1">
      <c r="A20" s="730"/>
      <c r="B20" s="731"/>
      <c r="C20" s="2191" t="s">
        <v>3965</v>
      </c>
      <c r="D20" s="2192"/>
      <c r="E20" s="2193"/>
      <c r="F20" s="2194">
        <f t="shared" si="5"/>
        <v>25132079</v>
      </c>
      <c r="G20" s="2195">
        <f>+G54</f>
        <v>4210598</v>
      </c>
      <c r="H20" s="2195">
        <f t="shared" ref="H20:P20" si="8">+H54</f>
        <v>763237</v>
      </c>
      <c r="I20" s="2195">
        <f t="shared" si="8"/>
        <v>79180</v>
      </c>
      <c r="J20" s="2195">
        <f t="shared" ref="J20" si="9">+J54</f>
        <v>4716990</v>
      </c>
      <c r="K20" s="2195">
        <f>+K54</f>
        <v>416603</v>
      </c>
      <c r="L20" s="2195">
        <f t="shared" si="8"/>
        <v>5032681</v>
      </c>
      <c r="M20" s="2195">
        <f>+M54</f>
        <v>1487376</v>
      </c>
      <c r="N20" s="2195">
        <f t="shared" si="8"/>
        <v>8425414</v>
      </c>
      <c r="O20" s="2195">
        <f t="shared" si="8"/>
        <v>0</v>
      </c>
      <c r="P20" s="2196">
        <f t="shared" si="8"/>
        <v>0</v>
      </c>
    </row>
    <row r="21" spans="1:16" ht="13.5" customHeight="1">
      <c r="A21" s="669"/>
      <c r="B21" s="725" t="s">
        <v>3966</v>
      </c>
      <c r="C21" s="725"/>
      <c r="D21" s="725"/>
      <c r="E21" s="726"/>
      <c r="F21" s="727">
        <f t="shared" si="5"/>
        <v>93908838</v>
      </c>
      <c r="G21" s="738">
        <f>G22+G27</f>
        <v>7996115</v>
      </c>
      <c r="H21" s="739">
        <f t="shared" ref="H21:P21" si="10">H22+H27</f>
        <v>5155117</v>
      </c>
      <c r="I21" s="739">
        <f t="shared" si="10"/>
        <v>496339</v>
      </c>
      <c r="J21" s="739">
        <f t="shared" ref="J21" si="11">J22+J27</f>
        <v>26905514</v>
      </c>
      <c r="K21" s="739">
        <f>K22+K27</f>
        <v>2515837</v>
      </c>
      <c r="L21" s="739">
        <f t="shared" si="10"/>
        <v>10584039</v>
      </c>
      <c r="M21" s="739">
        <f>M22+M27</f>
        <v>6433066</v>
      </c>
      <c r="N21" s="739">
        <f t="shared" si="10"/>
        <v>33822811</v>
      </c>
      <c r="O21" s="739">
        <f t="shared" si="10"/>
        <v>0</v>
      </c>
      <c r="P21" s="740">
        <f t="shared" si="10"/>
        <v>0</v>
      </c>
    </row>
    <row r="22" spans="1:16" s="719" customFormat="1" ht="13.5" customHeight="1">
      <c r="A22" s="712"/>
      <c r="B22" s="713"/>
      <c r="C22" s="741" t="s">
        <v>3967</v>
      </c>
      <c r="D22" s="741"/>
      <c r="E22" s="742"/>
      <c r="F22" s="743">
        <f t="shared" si="5"/>
        <v>43436477</v>
      </c>
      <c r="G22" s="744">
        <f>G23+G26</f>
        <v>3667017</v>
      </c>
      <c r="H22" s="745">
        <f t="shared" ref="H22:P22" si="12">H23+H26</f>
        <v>2282113</v>
      </c>
      <c r="I22" s="745">
        <f t="shared" si="12"/>
        <v>221648</v>
      </c>
      <c r="J22" s="745">
        <f t="shared" ref="J22" si="13">J23+J26</f>
        <v>12806355</v>
      </c>
      <c r="K22" s="745">
        <f>K23+K26</f>
        <v>1185589</v>
      </c>
      <c r="L22" s="745">
        <f t="shared" si="12"/>
        <v>4792956</v>
      </c>
      <c r="M22" s="745">
        <f>M23+M26</f>
        <v>2736856</v>
      </c>
      <c r="N22" s="745">
        <f t="shared" si="12"/>
        <v>15743943</v>
      </c>
      <c r="O22" s="745">
        <f t="shared" si="12"/>
        <v>0</v>
      </c>
      <c r="P22" s="746">
        <f t="shared" si="12"/>
        <v>0</v>
      </c>
    </row>
    <row r="23" spans="1:16" s="719" customFormat="1" ht="13.5" customHeight="1">
      <c r="A23" s="712"/>
      <c r="B23" s="713"/>
      <c r="C23" s="2197" t="s">
        <v>3968</v>
      </c>
      <c r="D23" s="2197"/>
      <c r="E23" s="747"/>
      <c r="F23" s="2183">
        <f t="shared" si="5"/>
        <v>0</v>
      </c>
      <c r="G23" s="748">
        <f>SUM(G24:G25)-G26</f>
        <v>0</v>
      </c>
      <c r="H23" s="749">
        <f t="shared" ref="H23:P23" si="14">SUM(H24:H25)-H26</f>
        <v>0</v>
      </c>
      <c r="I23" s="749">
        <f t="shared" si="14"/>
        <v>0</v>
      </c>
      <c r="J23" s="749">
        <f t="shared" ref="J23" si="15">SUM(J24:J25)-J26</f>
        <v>0</v>
      </c>
      <c r="K23" s="749">
        <f>SUM(K24:K25)-K26</f>
        <v>0</v>
      </c>
      <c r="L23" s="749">
        <f t="shared" si="14"/>
        <v>0</v>
      </c>
      <c r="M23" s="749">
        <f>SUM(M24:M25)-M26</f>
        <v>0</v>
      </c>
      <c r="N23" s="749">
        <f t="shared" si="14"/>
        <v>0</v>
      </c>
      <c r="O23" s="749">
        <f t="shared" si="14"/>
        <v>0</v>
      </c>
      <c r="P23" s="750">
        <f t="shared" si="14"/>
        <v>0</v>
      </c>
    </row>
    <row r="24" spans="1:16" s="719" customFormat="1" ht="12.75" customHeight="1">
      <c r="A24" s="712"/>
      <c r="B24" s="713"/>
      <c r="C24" s="2198" t="s">
        <v>3969</v>
      </c>
      <c r="D24" s="2198"/>
      <c r="E24" s="2182"/>
      <c r="F24" s="2183">
        <f t="shared" si="5"/>
        <v>0</v>
      </c>
      <c r="G24" s="2199">
        <f>SUM(G119:G121)+G117</f>
        <v>0</v>
      </c>
      <c r="H24" s="2184">
        <f t="shared" ref="H24:P24" si="16">SUM(H119:H121)+H117</f>
        <v>0</v>
      </c>
      <c r="I24" s="2184">
        <f t="shared" si="16"/>
        <v>0</v>
      </c>
      <c r="J24" s="2184">
        <f t="shared" ref="J24" si="17">SUM(J119:J121)+J117</f>
        <v>0</v>
      </c>
      <c r="K24" s="2184">
        <f>SUM(K119:K121)+K117</f>
        <v>0</v>
      </c>
      <c r="L24" s="2184">
        <f t="shared" si="16"/>
        <v>0</v>
      </c>
      <c r="M24" s="2184">
        <f>SUM(M119:M121)+M117</f>
        <v>0</v>
      </c>
      <c r="N24" s="2184">
        <f t="shared" si="16"/>
        <v>0</v>
      </c>
      <c r="O24" s="2184">
        <f t="shared" si="16"/>
        <v>0</v>
      </c>
      <c r="P24" s="2185">
        <f t="shared" si="16"/>
        <v>0</v>
      </c>
    </row>
    <row r="25" spans="1:16" s="719" customFormat="1" ht="13.5" customHeight="1">
      <c r="A25" s="712"/>
      <c r="B25" s="713"/>
      <c r="C25" s="2198" t="s">
        <v>3970</v>
      </c>
      <c r="D25" s="2198"/>
      <c r="E25" s="2182"/>
      <c r="F25" s="2183">
        <f t="shared" si="5"/>
        <v>43436477</v>
      </c>
      <c r="G25" s="2199">
        <f>SUM(G122:G133)</f>
        <v>3667017</v>
      </c>
      <c r="H25" s="2184">
        <f t="shared" ref="H25:P25" si="18">SUM(H122:H133)</f>
        <v>2282113</v>
      </c>
      <c r="I25" s="2184">
        <f t="shared" si="18"/>
        <v>221648</v>
      </c>
      <c r="J25" s="2184">
        <f>SUM(J122:J133)</f>
        <v>12806355</v>
      </c>
      <c r="K25" s="2184">
        <f>SUM(K122:K133)</f>
        <v>1185589</v>
      </c>
      <c r="L25" s="2184">
        <f>SUM(L122:L133)</f>
        <v>4792956</v>
      </c>
      <c r="M25" s="2184">
        <f>SUM(M122:M133)</f>
        <v>2736856</v>
      </c>
      <c r="N25" s="2184">
        <f t="shared" si="18"/>
        <v>15743943</v>
      </c>
      <c r="O25" s="2184">
        <f t="shared" si="18"/>
        <v>0</v>
      </c>
      <c r="P25" s="2185">
        <f t="shared" si="18"/>
        <v>0</v>
      </c>
    </row>
    <row r="26" spans="1:16" ht="13.5" customHeight="1">
      <c r="A26" s="669"/>
      <c r="B26" s="670"/>
      <c r="C26" s="2198" t="s">
        <v>3971</v>
      </c>
      <c r="D26" s="2198"/>
      <c r="E26" s="2177"/>
      <c r="F26" s="2183">
        <f t="shared" si="5"/>
        <v>43436477</v>
      </c>
      <c r="G26" s="2199">
        <f>+G131</f>
        <v>3667017</v>
      </c>
      <c r="H26" s="2184">
        <f t="shared" ref="H26:P26" si="19">+H131</f>
        <v>2282113</v>
      </c>
      <c r="I26" s="2184">
        <f t="shared" si="19"/>
        <v>221648</v>
      </c>
      <c r="J26" s="2184">
        <f t="shared" ref="J26" si="20">+J131</f>
        <v>12806355</v>
      </c>
      <c r="K26" s="2184">
        <f>+K131</f>
        <v>1185589</v>
      </c>
      <c r="L26" s="2184">
        <f t="shared" si="19"/>
        <v>4792956</v>
      </c>
      <c r="M26" s="2184">
        <f>+M131</f>
        <v>2736856</v>
      </c>
      <c r="N26" s="2184">
        <f t="shared" si="19"/>
        <v>15743943</v>
      </c>
      <c r="O26" s="2184">
        <f t="shared" si="19"/>
        <v>0</v>
      </c>
      <c r="P26" s="2185">
        <f t="shared" si="19"/>
        <v>0</v>
      </c>
    </row>
    <row r="27" spans="1:16" s="759" customFormat="1" ht="13.5" customHeight="1">
      <c r="A27" s="753"/>
      <c r="B27" s="754"/>
      <c r="C27" s="2147" t="s">
        <v>3972</v>
      </c>
      <c r="D27" s="2147"/>
      <c r="E27" s="2200"/>
      <c r="F27" s="2201">
        <f t="shared" si="5"/>
        <v>50472361</v>
      </c>
      <c r="G27" s="2199">
        <f>SUM(G28:G31)</f>
        <v>4329098</v>
      </c>
      <c r="H27" s="2199">
        <f t="shared" ref="H27:P27" si="21">SUM(H28:H31)</f>
        <v>2873004</v>
      </c>
      <c r="I27" s="2199">
        <f t="shared" si="21"/>
        <v>274691</v>
      </c>
      <c r="J27" s="2199">
        <f t="shared" ref="J27:K27" si="22">SUM(J28:J31)</f>
        <v>14099159</v>
      </c>
      <c r="K27" s="2199">
        <f t="shared" si="22"/>
        <v>1330248</v>
      </c>
      <c r="L27" s="2199">
        <f t="shared" si="21"/>
        <v>5791083</v>
      </c>
      <c r="M27" s="2199">
        <f t="shared" si="21"/>
        <v>3696210</v>
      </c>
      <c r="N27" s="2199">
        <f t="shared" si="21"/>
        <v>18078868</v>
      </c>
      <c r="O27" s="2199">
        <f t="shared" si="21"/>
        <v>0</v>
      </c>
      <c r="P27" s="2202">
        <f t="shared" si="21"/>
        <v>0</v>
      </c>
    </row>
    <row r="28" spans="1:16" s="759" customFormat="1" ht="13.5" customHeight="1">
      <c r="A28" s="753"/>
      <c r="B28" s="754"/>
      <c r="C28" s="2203" t="s">
        <v>3969</v>
      </c>
      <c r="D28" s="2203"/>
      <c r="E28" s="2200"/>
      <c r="F28" s="761">
        <f t="shared" si="5"/>
        <v>47900607</v>
      </c>
      <c r="G28" s="2199">
        <f>IF(G155=0,0,+G155-G172)</f>
        <v>4108394</v>
      </c>
      <c r="H28" s="2199">
        <f t="shared" ref="H28:P28" si="23">IF(H155=0,0,+H155-H172)</f>
        <v>2726628</v>
      </c>
      <c r="I28" s="2199">
        <f t="shared" si="23"/>
        <v>260689</v>
      </c>
      <c r="J28" s="2199">
        <f t="shared" ref="J28:K28" si="24">IF(J155=0,0,+J155-J172)</f>
        <v>13380781</v>
      </c>
      <c r="K28" s="2199">
        <f t="shared" si="24"/>
        <v>1262456</v>
      </c>
      <c r="L28" s="2199">
        <f t="shared" si="23"/>
        <v>5496029</v>
      </c>
      <c r="M28" s="2199">
        <f t="shared" si="23"/>
        <v>3507888</v>
      </c>
      <c r="N28" s="2199">
        <f t="shared" si="23"/>
        <v>17157742</v>
      </c>
      <c r="O28" s="2199">
        <f t="shared" si="23"/>
        <v>0</v>
      </c>
      <c r="P28" s="2202">
        <f t="shared" si="23"/>
        <v>0</v>
      </c>
    </row>
    <row r="29" spans="1:16" ht="13.5" customHeight="1">
      <c r="A29" s="669"/>
      <c r="B29" s="670"/>
      <c r="C29" s="2198" t="s">
        <v>3973</v>
      </c>
      <c r="D29" s="2198"/>
      <c r="E29" s="2177"/>
      <c r="F29" s="2178">
        <f t="shared" si="5"/>
        <v>2571754</v>
      </c>
      <c r="G29" s="2199">
        <f>+G156+G157</f>
        <v>220704</v>
      </c>
      <c r="H29" s="2179">
        <f t="shared" ref="H29:P29" si="25">+H156+H157</f>
        <v>146376</v>
      </c>
      <c r="I29" s="2179">
        <f t="shared" si="25"/>
        <v>14002</v>
      </c>
      <c r="J29" s="2179">
        <f>+J156+J157</f>
        <v>718378</v>
      </c>
      <c r="K29" s="2179">
        <f>+K156+K157</f>
        <v>67792</v>
      </c>
      <c r="L29" s="2179">
        <f>+L156+L157</f>
        <v>295054</v>
      </c>
      <c r="M29" s="2179">
        <f>+M156+M157</f>
        <v>188322</v>
      </c>
      <c r="N29" s="2179">
        <f t="shared" si="25"/>
        <v>921126</v>
      </c>
      <c r="O29" s="2179">
        <f t="shared" si="25"/>
        <v>0</v>
      </c>
      <c r="P29" s="2180">
        <f t="shared" si="25"/>
        <v>0</v>
      </c>
    </row>
    <row r="30" spans="1:16" ht="13.5" customHeight="1">
      <c r="A30" s="669"/>
      <c r="B30" s="670"/>
      <c r="C30" s="2198" t="s">
        <v>3974</v>
      </c>
      <c r="D30" s="2198"/>
      <c r="E30" s="2177"/>
      <c r="F30" s="2178">
        <f t="shared" si="5"/>
        <v>0</v>
      </c>
      <c r="G30" s="2199">
        <f>SUM(G158:G162)</f>
        <v>0</v>
      </c>
      <c r="H30" s="2179">
        <f t="shared" ref="H30:P30" si="26">SUM(H158:H162)</f>
        <v>0</v>
      </c>
      <c r="I30" s="2179">
        <f t="shared" si="26"/>
        <v>0</v>
      </c>
      <c r="J30" s="2179">
        <f>SUM(J158:J162)</f>
        <v>0</v>
      </c>
      <c r="K30" s="2179">
        <f>SUM(K158:K162)</f>
        <v>0</v>
      </c>
      <c r="L30" s="2179">
        <f>SUM(L158:L162)</f>
        <v>0</v>
      </c>
      <c r="M30" s="2179">
        <f>SUM(M158:M162)</f>
        <v>0</v>
      </c>
      <c r="N30" s="2179">
        <f t="shared" si="26"/>
        <v>0</v>
      </c>
      <c r="O30" s="2179">
        <f t="shared" si="26"/>
        <v>0</v>
      </c>
      <c r="P30" s="2180">
        <f t="shared" si="26"/>
        <v>0</v>
      </c>
    </row>
    <row r="31" spans="1:16" s="759" customFormat="1" ht="13.5" customHeight="1">
      <c r="A31" s="753"/>
      <c r="B31" s="754"/>
      <c r="C31" s="762" t="s">
        <v>3975</v>
      </c>
      <c r="D31" s="754"/>
      <c r="E31" s="763"/>
      <c r="F31" s="764">
        <f t="shared" si="5"/>
        <v>0</v>
      </c>
      <c r="G31" s="738">
        <f>IF(G163=0,0,+G163-G172)</f>
        <v>0</v>
      </c>
      <c r="H31" s="738">
        <f t="shared" ref="H31:P31" si="27">IF(H163=0,0,+H163-H172)</f>
        <v>0</v>
      </c>
      <c r="I31" s="738">
        <f t="shared" si="27"/>
        <v>0</v>
      </c>
      <c r="J31" s="738">
        <f t="shared" ref="J31:K31" si="28">IF(J163=0,0,+J163-J172)</f>
        <v>0</v>
      </c>
      <c r="K31" s="738">
        <f t="shared" si="28"/>
        <v>0</v>
      </c>
      <c r="L31" s="738">
        <f t="shared" si="27"/>
        <v>0</v>
      </c>
      <c r="M31" s="738">
        <f t="shared" si="27"/>
        <v>0</v>
      </c>
      <c r="N31" s="738">
        <f t="shared" si="27"/>
        <v>0</v>
      </c>
      <c r="O31" s="738">
        <f t="shared" si="27"/>
        <v>0</v>
      </c>
      <c r="P31" s="765">
        <f t="shared" si="27"/>
        <v>0</v>
      </c>
    </row>
    <row r="32" spans="1:16" ht="13.5" customHeight="1">
      <c r="A32" s="766"/>
      <c r="B32" s="695" t="s">
        <v>3976</v>
      </c>
      <c r="C32" s="695"/>
      <c r="D32" s="695"/>
      <c r="E32" s="767"/>
      <c r="F32" s="697">
        <f t="shared" si="5"/>
        <v>482700000</v>
      </c>
      <c r="G32" s="698">
        <f>G10+G21</f>
        <v>41422000</v>
      </c>
      <c r="H32" s="768">
        <f t="shared" ref="H32:P32" si="29">H10+H21</f>
        <v>27474000</v>
      </c>
      <c r="I32" s="768">
        <f t="shared" si="29"/>
        <v>2628000</v>
      </c>
      <c r="J32" s="768">
        <f t="shared" ref="J32" si="30">J10+J21</f>
        <v>134835000</v>
      </c>
      <c r="K32" s="768">
        <f>K10+K21</f>
        <v>12724000</v>
      </c>
      <c r="L32" s="768">
        <f t="shared" si="29"/>
        <v>55380000</v>
      </c>
      <c r="M32" s="768">
        <f>M10+M21</f>
        <v>35347000</v>
      </c>
      <c r="N32" s="768">
        <f t="shared" si="29"/>
        <v>172890000</v>
      </c>
      <c r="O32" s="768">
        <f t="shared" si="29"/>
        <v>0</v>
      </c>
      <c r="P32" s="769">
        <f t="shared" si="29"/>
        <v>0</v>
      </c>
    </row>
    <row r="33" spans="1:16" ht="13.5" customHeight="1">
      <c r="A33" s="770"/>
      <c r="B33" s="670"/>
      <c r="C33" s="771" t="s">
        <v>3977</v>
      </c>
      <c r="D33" s="771"/>
      <c r="E33" s="772"/>
      <c r="F33" s="773"/>
      <c r="G33" s="774" t="s">
        <v>3978</v>
      </c>
      <c r="H33" s="719"/>
      <c r="I33" s="775"/>
      <c r="J33" s="775"/>
      <c r="K33" s="775"/>
      <c r="L33" s="775"/>
      <c r="M33" s="775"/>
      <c r="N33" s="775"/>
      <c r="O33" s="775"/>
      <c r="P33" s="776"/>
    </row>
    <row r="34" spans="1:16" ht="13.5" customHeight="1">
      <c r="A34" s="660"/>
      <c r="B34" s="661"/>
      <c r="C34" s="661"/>
      <c r="D34" s="661"/>
      <c r="E34" s="777"/>
      <c r="F34" s="778" t="s">
        <v>3979</v>
      </c>
      <c r="G34" s="779" t="str">
        <f t="shared" ref="G34:P34" si="31">+G5</f>
        <v>工事1</v>
      </c>
      <c r="H34" s="779" t="str">
        <f t="shared" si="31"/>
        <v>工事2</v>
      </c>
      <c r="I34" s="779" t="str">
        <f t="shared" si="31"/>
        <v>工事3</v>
      </c>
      <c r="J34" s="779" t="str">
        <f t="shared" ref="J34" si="32">+J5</f>
        <v>工事4</v>
      </c>
      <c r="K34" s="779" t="str">
        <f>+K5</f>
        <v>工事5</v>
      </c>
      <c r="L34" s="779" t="str">
        <f t="shared" si="31"/>
        <v>工事6</v>
      </c>
      <c r="M34" s="779" t="str">
        <f>+M5</f>
        <v>工事7</v>
      </c>
      <c r="N34" s="779" t="str">
        <f t="shared" si="31"/>
        <v>工事8</v>
      </c>
      <c r="O34" s="779">
        <f t="shared" si="31"/>
        <v>0</v>
      </c>
      <c r="P34" s="780">
        <f t="shared" si="31"/>
        <v>0</v>
      </c>
    </row>
    <row r="35" spans="1:16" ht="13.5" customHeight="1">
      <c r="A35" s="781" t="s">
        <v>3980</v>
      </c>
      <c r="B35" s="782"/>
      <c r="C35" s="783"/>
      <c r="D35" s="783"/>
      <c r="E35" s="784"/>
      <c r="F35" s="785"/>
      <c r="G35" s="786"/>
      <c r="H35" s="786"/>
      <c r="I35" s="786"/>
      <c r="J35" s="786"/>
      <c r="K35" s="786"/>
      <c r="L35" s="786"/>
      <c r="M35" s="786"/>
      <c r="N35" s="786"/>
      <c r="O35" s="786"/>
      <c r="P35" s="787"/>
    </row>
    <row r="36" spans="1:16" ht="13.5" customHeight="1">
      <c r="A36" s="2646"/>
      <c r="B36" s="2648" t="s">
        <v>3981</v>
      </c>
      <c r="C36" s="701" t="s">
        <v>3982</v>
      </c>
      <c r="D36" s="701"/>
      <c r="E36" s="742"/>
      <c r="F36" s="703">
        <f t="shared" ref="F36:F42" si="33">SUM(G36:P36)</f>
        <v>0</v>
      </c>
      <c r="G36" s="744">
        <f>IF(G$4="新営",(G11-SUM(G38:G49)-G53-G52),0)</f>
        <v>0</v>
      </c>
      <c r="H36" s="744">
        <f t="shared" ref="H36:P36" si="34">IF(H$4="新営",(H11-SUM(H38:H49)-H53-H52),0)</f>
        <v>0</v>
      </c>
      <c r="I36" s="744">
        <f t="shared" si="34"/>
        <v>0</v>
      </c>
      <c r="J36" s="744">
        <f t="shared" ref="J36:K36" si="35">IF(J$4="新営",(J11-SUM(J38:J49)-J53-J52),0)</f>
        <v>0</v>
      </c>
      <c r="K36" s="744">
        <f t="shared" si="35"/>
        <v>0</v>
      </c>
      <c r="L36" s="744">
        <f t="shared" si="34"/>
        <v>0</v>
      </c>
      <c r="M36" s="744">
        <f t="shared" si="34"/>
        <v>0</v>
      </c>
      <c r="N36" s="744">
        <f t="shared" si="34"/>
        <v>0</v>
      </c>
      <c r="O36" s="744">
        <f t="shared" si="34"/>
        <v>0</v>
      </c>
      <c r="P36" s="788">
        <f t="shared" si="34"/>
        <v>0</v>
      </c>
    </row>
    <row r="37" spans="1:16" ht="13.5" customHeight="1">
      <c r="A37" s="2646"/>
      <c r="B37" s="2649"/>
      <c r="C37" s="2204" t="s">
        <v>3983</v>
      </c>
      <c r="D37" s="2204"/>
      <c r="E37" s="2177"/>
      <c r="F37" s="2178">
        <f t="shared" si="33"/>
        <v>0</v>
      </c>
      <c r="G37" s="2199">
        <f>IF(G$4="改修",(G11-SUM(G38:G49)-G53-G52),0)</f>
        <v>0</v>
      </c>
      <c r="H37" s="2199">
        <f t="shared" ref="H37:P37" si="36">IF(H$4="改修",(H11-SUM(H38:H49)-H53-H52),0)</f>
        <v>0</v>
      </c>
      <c r="I37" s="2199">
        <f t="shared" si="36"/>
        <v>0</v>
      </c>
      <c r="J37" s="2199">
        <f t="shared" ref="J37:K37" si="37">IF(J$4="改修",(J11-SUM(J38:J49)-J53-J52),0)</f>
        <v>0</v>
      </c>
      <c r="K37" s="2199">
        <f t="shared" si="37"/>
        <v>0</v>
      </c>
      <c r="L37" s="2199">
        <f t="shared" si="36"/>
        <v>0</v>
      </c>
      <c r="M37" s="2199">
        <f t="shared" si="36"/>
        <v>0</v>
      </c>
      <c r="N37" s="2199">
        <f t="shared" si="36"/>
        <v>0</v>
      </c>
      <c r="O37" s="2199">
        <f t="shared" si="36"/>
        <v>0</v>
      </c>
      <c r="P37" s="2202">
        <f t="shared" si="36"/>
        <v>0</v>
      </c>
    </row>
    <row r="38" spans="1:16" ht="13.5" customHeight="1">
      <c r="A38" s="2646"/>
      <c r="B38" s="2649"/>
      <c r="C38" s="2205" t="s">
        <v>3984</v>
      </c>
      <c r="D38" s="2204"/>
      <c r="E38" s="2177"/>
      <c r="F38" s="2178">
        <f t="shared" si="33"/>
        <v>0</v>
      </c>
      <c r="G38" s="2206"/>
      <c r="H38" s="2206"/>
      <c r="I38" s="2206"/>
      <c r="J38" s="2206"/>
      <c r="K38" s="2206"/>
      <c r="L38" s="2206"/>
      <c r="M38" s="2206"/>
      <c r="N38" s="2206"/>
      <c r="O38" s="2206"/>
      <c r="P38" s="2207"/>
    </row>
    <row r="39" spans="1:16" ht="13.5" customHeight="1">
      <c r="A39" s="2646"/>
      <c r="B39" s="2649"/>
      <c r="C39" s="2205" t="s">
        <v>3985</v>
      </c>
      <c r="D39" s="2204"/>
      <c r="E39" s="2177"/>
      <c r="F39" s="2178">
        <f t="shared" si="33"/>
        <v>0</v>
      </c>
      <c r="G39" s="2206"/>
      <c r="H39" s="2206"/>
      <c r="I39" s="2206"/>
      <c r="J39" s="2206"/>
      <c r="K39" s="2206"/>
      <c r="L39" s="2206"/>
      <c r="M39" s="2206"/>
      <c r="N39" s="2206"/>
      <c r="O39" s="2206"/>
      <c r="P39" s="2207"/>
    </row>
    <row r="40" spans="1:16" ht="13.5" customHeight="1">
      <c r="A40" s="2646"/>
      <c r="B40" s="2649" t="s">
        <v>3986</v>
      </c>
      <c r="C40" s="2151" t="s">
        <v>3987</v>
      </c>
      <c r="D40" s="2204"/>
      <c r="E40" s="2177"/>
      <c r="F40" s="2178">
        <f t="shared" si="33"/>
        <v>0</v>
      </c>
      <c r="G40" s="2206"/>
      <c r="H40" s="2206"/>
      <c r="I40" s="2206"/>
      <c r="J40" s="2206"/>
      <c r="K40" s="2206"/>
      <c r="L40" s="2206"/>
      <c r="M40" s="2206"/>
      <c r="N40" s="2206"/>
      <c r="O40" s="2206"/>
      <c r="P40" s="2207"/>
    </row>
    <row r="41" spans="1:16" ht="13.5" customHeight="1">
      <c r="A41" s="2646"/>
      <c r="B41" s="2649"/>
      <c r="C41" s="2151" t="s">
        <v>3988</v>
      </c>
      <c r="D41" s="2204"/>
      <c r="E41" s="2177"/>
      <c r="F41" s="2178">
        <f t="shared" si="33"/>
        <v>0</v>
      </c>
      <c r="G41" s="2206"/>
      <c r="H41" s="2206"/>
      <c r="I41" s="2206"/>
      <c r="J41" s="2206"/>
      <c r="K41" s="2206"/>
      <c r="L41" s="2206"/>
      <c r="M41" s="2206"/>
      <c r="N41" s="2206"/>
      <c r="O41" s="2206"/>
      <c r="P41" s="2207"/>
    </row>
    <row r="42" spans="1:16" ht="13.5" customHeight="1">
      <c r="A42" s="2646"/>
      <c r="B42" s="2649"/>
      <c r="C42" s="2204" t="s">
        <v>3989</v>
      </c>
      <c r="D42" s="2204"/>
      <c r="E42" s="2177"/>
      <c r="F42" s="2178">
        <f t="shared" si="33"/>
        <v>0</v>
      </c>
      <c r="G42" s="2206"/>
      <c r="H42" s="2206"/>
      <c r="I42" s="2206"/>
      <c r="J42" s="2206"/>
      <c r="K42" s="2206"/>
      <c r="L42" s="2206"/>
      <c r="M42" s="2206"/>
      <c r="N42" s="2206"/>
      <c r="O42" s="2206"/>
      <c r="P42" s="2207"/>
    </row>
    <row r="43" spans="1:16" ht="13.5" customHeight="1">
      <c r="A43" s="2646"/>
      <c r="B43" s="2649"/>
      <c r="C43" s="2204" t="s">
        <v>3990</v>
      </c>
      <c r="D43" s="2204"/>
      <c r="E43" s="2177"/>
      <c r="F43" s="2178"/>
      <c r="G43" s="2208"/>
      <c r="H43" s="2208"/>
      <c r="I43" s="2208"/>
      <c r="J43" s="2208"/>
      <c r="K43" s="2208"/>
      <c r="L43" s="2208"/>
      <c r="M43" s="2208"/>
      <c r="N43" s="2208"/>
      <c r="O43" s="2208"/>
      <c r="P43" s="2209"/>
    </row>
    <row r="44" spans="1:16" ht="13.5" customHeight="1">
      <c r="A44" s="2646"/>
      <c r="B44" s="2649"/>
      <c r="C44" s="2204" t="s">
        <v>3991</v>
      </c>
      <c r="D44" s="2204"/>
      <c r="E44" s="2177"/>
      <c r="F44" s="2178"/>
      <c r="G44" s="2208"/>
      <c r="H44" s="2208"/>
      <c r="I44" s="2208"/>
      <c r="J44" s="2208"/>
      <c r="K44" s="2208"/>
      <c r="L44" s="2208"/>
      <c r="M44" s="2208"/>
      <c r="N44" s="2208"/>
      <c r="O44" s="2208"/>
      <c r="P44" s="2209"/>
    </row>
    <row r="45" spans="1:16" ht="13.5" customHeight="1">
      <c r="A45" s="2646"/>
      <c r="B45" s="2649"/>
      <c r="C45" s="2204" t="s">
        <v>3992</v>
      </c>
      <c r="D45" s="2204"/>
      <c r="E45" s="2177"/>
      <c r="F45" s="2178">
        <f t="shared" ref="F45:F55" si="38">SUM(G45:P45)</f>
        <v>0</v>
      </c>
      <c r="G45" s="2206"/>
      <c r="H45" s="2206"/>
      <c r="I45" s="2206"/>
      <c r="J45" s="2206"/>
      <c r="K45" s="2206"/>
      <c r="L45" s="2206"/>
      <c r="M45" s="2206"/>
      <c r="N45" s="2206"/>
      <c r="O45" s="2206"/>
      <c r="P45" s="2207"/>
    </row>
    <row r="46" spans="1:16" ht="13.5" customHeight="1">
      <c r="A46" s="2646"/>
      <c r="B46" s="2649"/>
      <c r="C46" s="2210" t="s">
        <v>3993</v>
      </c>
      <c r="D46" s="2204"/>
      <c r="E46" s="2177"/>
      <c r="F46" s="2178">
        <f t="shared" si="38"/>
        <v>0</v>
      </c>
      <c r="G46" s="2206"/>
      <c r="H46" s="2206"/>
      <c r="I46" s="2206"/>
      <c r="J46" s="2206"/>
      <c r="K46" s="2206"/>
      <c r="L46" s="2206"/>
      <c r="M46" s="2206"/>
      <c r="N46" s="2206"/>
      <c r="O46" s="2206"/>
      <c r="P46" s="2207"/>
    </row>
    <row r="47" spans="1:16" ht="13.5" customHeight="1">
      <c r="A47" s="2646"/>
      <c r="B47" s="2649"/>
      <c r="C47" s="2211" t="s">
        <v>3994</v>
      </c>
      <c r="D47" s="2204"/>
      <c r="E47" s="2177"/>
      <c r="F47" s="2178">
        <f t="shared" si="38"/>
        <v>0</v>
      </c>
      <c r="G47" s="2206"/>
      <c r="H47" s="2206"/>
      <c r="I47" s="2206"/>
      <c r="J47" s="2206"/>
      <c r="K47" s="2206"/>
      <c r="L47" s="2206"/>
      <c r="M47" s="2206"/>
      <c r="N47" s="2206"/>
      <c r="O47" s="2206"/>
      <c r="P47" s="2207"/>
    </row>
    <row r="48" spans="1:16" ht="13.5" customHeight="1">
      <c r="A48" s="2646"/>
      <c r="B48" s="2649"/>
      <c r="C48" s="2204" t="s">
        <v>3995</v>
      </c>
      <c r="D48" s="2204"/>
      <c r="E48" s="2177"/>
      <c r="F48" s="2178">
        <f t="shared" si="38"/>
        <v>0</v>
      </c>
      <c r="G48" s="2206"/>
      <c r="H48" s="2206"/>
      <c r="I48" s="2206"/>
      <c r="J48" s="2206"/>
      <c r="K48" s="2206"/>
      <c r="L48" s="2206"/>
      <c r="M48" s="2206"/>
      <c r="N48" s="2206"/>
      <c r="O48" s="2206"/>
      <c r="P48" s="2207"/>
    </row>
    <row r="49" spans="1:16" ht="13.5" customHeight="1">
      <c r="A49" s="2646"/>
      <c r="B49" s="2649" t="s">
        <v>3996</v>
      </c>
      <c r="C49" s="2205" t="s">
        <v>3997</v>
      </c>
      <c r="D49" s="2204"/>
      <c r="E49" s="2177"/>
      <c r="F49" s="2178">
        <f t="shared" si="38"/>
        <v>0</v>
      </c>
      <c r="G49" s="2206"/>
      <c r="H49" s="2206"/>
      <c r="I49" s="2206"/>
      <c r="J49" s="2206"/>
      <c r="K49" s="2206"/>
      <c r="L49" s="2206"/>
      <c r="M49" s="2206"/>
      <c r="N49" s="2206"/>
      <c r="O49" s="2206"/>
      <c r="P49" s="2207"/>
    </row>
    <row r="50" spans="1:16" ht="13.5" customHeight="1">
      <c r="A50" s="2646"/>
      <c r="B50" s="2649"/>
      <c r="C50" s="2205" t="s">
        <v>3998</v>
      </c>
      <c r="D50" s="2204"/>
      <c r="E50" s="2177"/>
      <c r="F50" s="2178">
        <f t="shared" si="38"/>
        <v>0</v>
      </c>
      <c r="G50" s="2208">
        <f t="shared" ref="G50:P50" si="39">+G19</f>
        <v>0</v>
      </c>
      <c r="H50" s="2208">
        <f t="shared" si="39"/>
        <v>0</v>
      </c>
      <c r="I50" s="2208">
        <f t="shared" si="39"/>
        <v>0</v>
      </c>
      <c r="J50" s="2208">
        <f>+J19</f>
        <v>0</v>
      </c>
      <c r="K50" s="2208">
        <f>+K19</f>
        <v>0</v>
      </c>
      <c r="L50" s="2208">
        <f>+L19</f>
        <v>0</v>
      </c>
      <c r="M50" s="2208">
        <f>+M19</f>
        <v>0</v>
      </c>
      <c r="N50" s="2208">
        <f t="shared" si="39"/>
        <v>0</v>
      </c>
      <c r="O50" s="2208">
        <f t="shared" si="39"/>
        <v>0</v>
      </c>
      <c r="P50" s="2209">
        <f t="shared" si="39"/>
        <v>0</v>
      </c>
    </row>
    <row r="51" spans="1:16" ht="13.5" customHeight="1">
      <c r="A51" s="2646"/>
      <c r="B51" s="2649"/>
      <c r="C51" s="2147" t="s">
        <v>3999</v>
      </c>
      <c r="D51" s="2148"/>
      <c r="E51" s="2177"/>
      <c r="F51" s="2178">
        <f t="shared" si="38"/>
        <v>0</v>
      </c>
      <c r="G51" s="2208">
        <f t="shared" ref="G51:P51" si="40">+G18</f>
        <v>0</v>
      </c>
      <c r="H51" s="2208">
        <f t="shared" si="40"/>
        <v>0</v>
      </c>
      <c r="I51" s="2208">
        <f t="shared" si="40"/>
        <v>0</v>
      </c>
      <c r="J51" s="2208">
        <f>+J18</f>
        <v>0</v>
      </c>
      <c r="K51" s="2208">
        <f>+K18</f>
        <v>0</v>
      </c>
      <c r="L51" s="2208">
        <f>+L18</f>
        <v>0</v>
      </c>
      <c r="M51" s="2208">
        <f>+M18</f>
        <v>0</v>
      </c>
      <c r="N51" s="2208">
        <f t="shared" si="40"/>
        <v>0</v>
      </c>
      <c r="O51" s="2208">
        <f t="shared" si="40"/>
        <v>0</v>
      </c>
      <c r="P51" s="2209">
        <f t="shared" si="40"/>
        <v>0</v>
      </c>
    </row>
    <row r="52" spans="1:16" ht="13.5" customHeight="1">
      <c r="A52" s="2646"/>
      <c r="B52" s="2649"/>
      <c r="C52" s="2147" t="s">
        <v>4000</v>
      </c>
      <c r="D52" s="2148"/>
      <c r="E52" s="2177"/>
      <c r="F52" s="2178">
        <f t="shared" si="38"/>
        <v>0</v>
      </c>
      <c r="G52" s="2206"/>
      <c r="H52" s="2206"/>
      <c r="I52" s="2206"/>
      <c r="J52" s="2206"/>
      <c r="K52" s="2206"/>
      <c r="L52" s="2206"/>
      <c r="M52" s="2206"/>
      <c r="N52" s="2206"/>
      <c r="O52" s="2206"/>
      <c r="P52" s="2207"/>
    </row>
    <row r="53" spans="1:16" ht="13.5" customHeight="1">
      <c r="A53" s="2646"/>
      <c r="B53" s="2650"/>
      <c r="C53" s="2212" t="s">
        <v>4001</v>
      </c>
      <c r="D53" s="2212"/>
      <c r="E53" s="2213"/>
      <c r="F53" s="2178">
        <f t="shared" si="38"/>
        <v>363659083</v>
      </c>
      <c r="G53" s="2214">
        <f>+G11</f>
        <v>29215287</v>
      </c>
      <c r="H53" s="2214">
        <f t="shared" ref="H53:K53" si="41">+H11</f>
        <v>21555646</v>
      </c>
      <c r="I53" s="2214">
        <f t="shared" si="41"/>
        <v>2052481</v>
      </c>
      <c r="J53" s="2214">
        <f t="shared" si="41"/>
        <v>103212496</v>
      </c>
      <c r="K53" s="2214">
        <f t="shared" si="41"/>
        <v>9791560</v>
      </c>
      <c r="L53" s="2214">
        <f t="shared" ref="L53:N53" si="42">+L11</f>
        <v>39763280</v>
      </c>
      <c r="M53" s="2214">
        <f t="shared" si="42"/>
        <v>27426558</v>
      </c>
      <c r="N53" s="2214">
        <f t="shared" si="42"/>
        <v>130641775</v>
      </c>
      <c r="O53" s="2214"/>
      <c r="P53" s="2215"/>
    </row>
    <row r="54" spans="1:16" ht="13.5" customHeight="1">
      <c r="A54" s="2646"/>
      <c r="B54" s="2650"/>
      <c r="C54" s="2212" t="s">
        <v>4002</v>
      </c>
      <c r="D54" s="2212"/>
      <c r="E54" s="2213"/>
      <c r="F54" s="2178">
        <f t="shared" si="38"/>
        <v>25132079</v>
      </c>
      <c r="G54" s="2214">
        <f>+G17</f>
        <v>4210598</v>
      </c>
      <c r="H54" s="2214">
        <f t="shared" ref="H54:K54" si="43">+H17</f>
        <v>763237</v>
      </c>
      <c r="I54" s="2214">
        <f t="shared" si="43"/>
        <v>79180</v>
      </c>
      <c r="J54" s="2214">
        <f t="shared" si="43"/>
        <v>4716990</v>
      </c>
      <c r="K54" s="2214">
        <f t="shared" si="43"/>
        <v>416603</v>
      </c>
      <c r="L54" s="2214">
        <f t="shared" ref="L54:N54" si="44">+L17</f>
        <v>5032681</v>
      </c>
      <c r="M54" s="2214">
        <f t="shared" si="44"/>
        <v>1487376</v>
      </c>
      <c r="N54" s="2214">
        <f t="shared" si="44"/>
        <v>8425414</v>
      </c>
      <c r="O54" s="2214"/>
      <c r="P54" s="2215"/>
    </row>
    <row r="55" spans="1:16" ht="13.5" customHeight="1">
      <c r="A55" s="2647"/>
      <c r="B55" s="2651"/>
      <c r="C55" s="2216" t="s">
        <v>4003</v>
      </c>
      <c r="D55" s="2216"/>
      <c r="E55" s="2193"/>
      <c r="F55" s="2194">
        <f t="shared" si="38"/>
        <v>0</v>
      </c>
      <c r="G55" s="2217"/>
      <c r="H55" s="2217"/>
      <c r="I55" s="2217"/>
      <c r="J55" s="2217"/>
      <c r="K55" s="2217"/>
      <c r="L55" s="2217"/>
      <c r="M55" s="2217"/>
      <c r="N55" s="2217"/>
      <c r="O55" s="2217"/>
      <c r="P55" s="2218"/>
    </row>
    <row r="56" spans="1:16" s="810" customFormat="1" ht="14.25" customHeight="1">
      <c r="A56" s="805"/>
      <c r="B56" s="805"/>
      <c r="C56" s="806" t="s">
        <v>4004</v>
      </c>
      <c r="D56" s="806"/>
      <c r="E56" s="807"/>
      <c r="F56" s="807"/>
      <c r="G56" s="808"/>
      <c r="H56" s="808"/>
      <c r="I56" s="808"/>
      <c r="J56" s="808"/>
      <c r="K56" s="808"/>
      <c r="L56" s="808"/>
      <c r="M56" s="808"/>
      <c r="N56" s="808"/>
      <c r="O56" s="808"/>
      <c r="P56" s="809" t="s">
        <v>4005</v>
      </c>
    </row>
    <row r="57" spans="1:16" s="810" customFormat="1" ht="14.25" customHeight="1">
      <c r="A57" s="805"/>
      <c r="B57" s="805"/>
      <c r="C57" s="811" t="s">
        <v>4006</v>
      </c>
      <c r="D57" s="811"/>
      <c r="E57" s="807"/>
      <c r="F57" s="807"/>
      <c r="G57" s="808"/>
      <c r="H57" s="808"/>
      <c r="I57" s="808"/>
      <c r="J57" s="808"/>
      <c r="K57" s="808"/>
      <c r="L57" s="808"/>
      <c r="M57" s="808"/>
      <c r="N57" s="808"/>
      <c r="O57" s="808"/>
      <c r="P57" s="809"/>
    </row>
    <row r="58" spans="1:16" s="810" customFormat="1" ht="14.25" customHeight="1">
      <c r="A58" s="812"/>
      <c r="B58" s="813"/>
      <c r="C58" s="813"/>
      <c r="D58" s="2652" t="s">
        <v>4007</v>
      </c>
      <c r="E58" s="2652" t="s">
        <v>4008</v>
      </c>
      <c r="F58" s="814" t="s">
        <v>3979</v>
      </c>
      <c r="G58" s="815" t="str">
        <f t="shared" ref="G58:P58" si="45">+G5</f>
        <v>工事1</v>
      </c>
      <c r="H58" s="815" t="str">
        <f t="shared" si="45"/>
        <v>工事2</v>
      </c>
      <c r="I58" s="815" t="str">
        <f t="shared" si="45"/>
        <v>工事3</v>
      </c>
      <c r="J58" s="815" t="str">
        <f t="shared" ref="J58" si="46">+J5</f>
        <v>工事4</v>
      </c>
      <c r="K58" s="815" t="str">
        <f>+K5</f>
        <v>工事5</v>
      </c>
      <c r="L58" s="815" t="str">
        <f t="shared" si="45"/>
        <v>工事6</v>
      </c>
      <c r="M58" s="815" t="str">
        <f>+M5</f>
        <v>工事7</v>
      </c>
      <c r="N58" s="815" t="str">
        <f t="shared" si="45"/>
        <v>工事8</v>
      </c>
      <c r="O58" s="815">
        <f t="shared" si="45"/>
        <v>0</v>
      </c>
      <c r="P58" s="816">
        <f t="shared" si="45"/>
        <v>0</v>
      </c>
    </row>
    <row r="59" spans="1:16" s="810" customFormat="1" ht="14.25" customHeight="1">
      <c r="A59" s="2654" t="s">
        <v>4009</v>
      </c>
      <c r="B59" s="2655"/>
      <c r="C59" s="2655"/>
      <c r="D59" s="2653"/>
      <c r="E59" s="2653"/>
      <c r="F59" s="817"/>
      <c r="G59" s="818"/>
      <c r="H59" s="818"/>
      <c r="I59" s="818"/>
      <c r="J59" s="818"/>
      <c r="K59" s="818"/>
      <c r="L59" s="818"/>
      <c r="M59" s="818"/>
      <c r="N59" s="818"/>
      <c r="O59" s="818"/>
      <c r="P59" s="819"/>
    </row>
    <row r="60" spans="1:16" s="810" customFormat="1" ht="14.25" customHeight="1">
      <c r="A60" s="2656"/>
      <c r="B60" s="820" t="s">
        <v>4010</v>
      </c>
      <c r="C60" s="821"/>
      <c r="D60" s="821"/>
      <c r="E60" s="822"/>
      <c r="F60" s="823">
        <f t="shared" ref="F60:F67" si="47">SUM(G60:P60)</f>
        <v>0</v>
      </c>
      <c r="G60" s="824">
        <f>SUM(G36:G48)+SUM(G52)</f>
        <v>0</v>
      </c>
      <c r="H60" s="824">
        <f t="shared" ref="H60:P60" si="48">SUM(H36:H48)+SUM(H52)</f>
        <v>0</v>
      </c>
      <c r="I60" s="824">
        <f t="shared" si="48"/>
        <v>0</v>
      </c>
      <c r="J60" s="824">
        <f t="shared" ref="J60:K60" si="49">SUM(J36:J48)+SUM(J52)</f>
        <v>0</v>
      </c>
      <c r="K60" s="824">
        <f t="shared" si="49"/>
        <v>0</v>
      </c>
      <c r="L60" s="824">
        <f t="shared" si="48"/>
        <v>0</v>
      </c>
      <c r="M60" s="824">
        <f t="shared" si="48"/>
        <v>0</v>
      </c>
      <c r="N60" s="824">
        <f t="shared" si="48"/>
        <v>0</v>
      </c>
      <c r="O60" s="824">
        <f t="shared" si="48"/>
        <v>0</v>
      </c>
      <c r="P60" s="825">
        <f t="shared" si="48"/>
        <v>0</v>
      </c>
    </row>
    <row r="61" spans="1:16" s="810" customFormat="1" ht="14.25" customHeight="1">
      <c r="A61" s="2657"/>
      <c r="B61" s="2659" t="s">
        <v>3981</v>
      </c>
      <c r="C61" s="2219" t="s">
        <v>3982</v>
      </c>
      <c r="D61" s="2220">
        <v>1</v>
      </c>
      <c r="E61" s="2221" t="s">
        <v>4011</v>
      </c>
      <c r="F61" s="2222">
        <f t="shared" si="47"/>
        <v>0</v>
      </c>
      <c r="G61" s="2223">
        <f>IF(G7="積上げ",0,+G36)</f>
        <v>0</v>
      </c>
      <c r="H61" s="2223">
        <f t="shared" ref="H61:P61" si="50">IF(H7="積上げ",0,+H36)</f>
        <v>0</v>
      </c>
      <c r="I61" s="2223">
        <f t="shared" si="50"/>
        <v>0</v>
      </c>
      <c r="J61" s="2223">
        <f t="shared" ref="J61:K61" si="51">IF(J7="積上げ",0,+J36)</f>
        <v>0</v>
      </c>
      <c r="K61" s="2223">
        <f t="shared" si="51"/>
        <v>0</v>
      </c>
      <c r="L61" s="2223">
        <f t="shared" si="50"/>
        <v>0</v>
      </c>
      <c r="M61" s="2223">
        <f t="shared" si="50"/>
        <v>0</v>
      </c>
      <c r="N61" s="2223">
        <f t="shared" si="50"/>
        <v>0</v>
      </c>
      <c r="O61" s="2223">
        <f t="shared" si="50"/>
        <v>0</v>
      </c>
      <c r="P61" s="2224">
        <f t="shared" si="50"/>
        <v>0</v>
      </c>
    </row>
    <row r="62" spans="1:16" s="810" customFormat="1" ht="14.25" customHeight="1">
      <c r="A62" s="2657"/>
      <c r="B62" s="2659"/>
      <c r="C62" s="2219" t="s">
        <v>3983</v>
      </c>
      <c r="D62" s="2220">
        <v>1</v>
      </c>
      <c r="E62" s="2221" t="s">
        <v>4011</v>
      </c>
      <c r="F62" s="2222">
        <f t="shared" si="47"/>
        <v>0</v>
      </c>
      <c r="G62" s="2223">
        <f>IF(G7="積上げ",0,+G37)</f>
        <v>0</v>
      </c>
      <c r="H62" s="2223">
        <f t="shared" ref="H62:P62" si="52">IF(H7="積上げ",0,+H37)</f>
        <v>0</v>
      </c>
      <c r="I62" s="2223">
        <f t="shared" si="52"/>
        <v>0</v>
      </c>
      <c r="J62" s="2223">
        <f t="shared" ref="J62:K62" si="53">IF(J7="積上げ",0,+J37)</f>
        <v>0</v>
      </c>
      <c r="K62" s="2223">
        <f t="shared" si="53"/>
        <v>0</v>
      </c>
      <c r="L62" s="2223">
        <f t="shared" si="52"/>
        <v>0</v>
      </c>
      <c r="M62" s="2223">
        <f t="shared" si="52"/>
        <v>0</v>
      </c>
      <c r="N62" s="2223">
        <f t="shared" si="52"/>
        <v>0</v>
      </c>
      <c r="O62" s="2223">
        <f t="shared" si="52"/>
        <v>0</v>
      </c>
      <c r="P62" s="2224">
        <f t="shared" si="52"/>
        <v>0</v>
      </c>
    </row>
    <row r="63" spans="1:16" s="810" customFormat="1" ht="14.25" customHeight="1">
      <c r="A63" s="2657"/>
      <c r="B63" s="2659"/>
      <c r="C63" s="2219" t="s">
        <v>4012</v>
      </c>
      <c r="D63" s="2220">
        <v>0.9</v>
      </c>
      <c r="E63" s="2221" t="s">
        <v>4011</v>
      </c>
      <c r="F63" s="2222">
        <f t="shared" si="47"/>
        <v>0</v>
      </c>
      <c r="G63" s="2223">
        <f>IF(G7="積上げ",0,+G38)</f>
        <v>0</v>
      </c>
      <c r="H63" s="2223">
        <f t="shared" ref="H63:P63" si="54">IF(H7="積上げ",0,+H38)</f>
        <v>0</v>
      </c>
      <c r="I63" s="2223">
        <f t="shared" si="54"/>
        <v>0</v>
      </c>
      <c r="J63" s="2223">
        <f t="shared" ref="J63" si="55">IF(J7="積上げ",0,+J38)</f>
        <v>0</v>
      </c>
      <c r="K63" s="2223">
        <f>IF(K7="積上げ",0,+K38)</f>
        <v>0</v>
      </c>
      <c r="L63" s="2223">
        <f t="shared" si="54"/>
        <v>0</v>
      </c>
      <c r="M63" s="2223">
        <f>IF(M7="積上げ",0,+M38)</f>
        <v>0</v>
      </c>
      <c r="N63" s="2223">
        <f t="shared" si="54"/>
        <v>0</v>
      </c>
      <c r="O63" s="2223">
        <f t="shared" si="54"/>
        <v>0</v>
      </c>
      <c r="P63" s="2224">
        <f t="shared" si="54"/>
        <v>0</v>
      </c>
    </row>
    <row r="64" spans="1:16" s="810" customFormat="1" ht="14.25" customHeight="1">
      <c r="A64" s="2657"/>
      <c r="B64" s="2659"/>
      <c r="C64" s="2219" t="s">
        <v>4013</v>
      </c>
      <c r="D64" s="2220">
        <v>0.9</v>
      </c>
      <c r="E64" s="2221" t="s">
        <v>4011</v>
      </c>
      <c r="F64" s="2222">
        <f t="shared" si="47"/>
        <v>0</v>
      </c>
      <c r="G64" s="2223">
        <f>IF(G7="積上げ",0,+G39)</f>
        <v>0</v>
      </c>
      <c r="H64" s="2223">
        <f t="shared" ref="H64:P64" si="56">IF(H7="積上げ",0,+H39)</f>
        <v>0</v>
      </c>
      <c r="I64" s="2223">
        <f t="shared" si="56"/>
        <v>0</v>
      </c>
      <c r="J64" s="2223">
        <f t="shared" ref="J64" si="57">IF(J7="積上げ",0,+J39)</f>
        <v>0</v>
      </c>
      <c r="K64" s="2223">
        <f>IF(K7="積上げ",0,+K39)</f>
        <v>0</v>
      </c>
      <c r="L64" s="2223">
        <f t="shared" si="56"/>
        <v>0</v>
      </c>
      <c r="M64" s="2223">
        <f>IF(M7="積上げ",0,+M39)</f>
        <v>0</v>
      </c>
      <c r="N64" s="2223">
        <f t="shared" si="56"/>
        <v>0</v>
      </c>
      <c r="O64" s="2223">
        <f t="shared" si="56"/>
        <v>0</v>
      </c>
      <c r="P64" s="2224">
        <f t="shared" si="56"/>
        <v>0</v>
      </c>
    </row>
    <row r="65" spans="1:16" s="810" customFormat="1" ht="14.25" customHeight="1">
      <c r="A65" s="2657"/>
      <c r="B65" s="2659" t="s">
        <v>3986</v>
      </c>
      <c r="C65" s="2225" t="s">
        <v>4014</v>
      </c>
      <c r="D65" s="2220">
        <v>1</v>
      </c>
      <c r="E65" s="2226">
        <v>0.01</v>
      </c>
      <c r="F65" s="2222">
        <f t="shared" si="47"/>
        <v>0</v>
      </c>
      <c r="G65" s="2223">
        <f>IF(G7="積上げ",0,+G40)</f>
        <v>0</v>
      </c>
      <c r="H65" s="2223">
        <f t="shared" ref="H65:P65" si="58">IF(H7="積上げ",0,+H40)</f>
        <v>0</v>
      </c>
      <c r="I65" s="2223">
        <f t="shared" si="58"/>
        <v>0</v>
      </c>
      <c r="J65" s="2223">
        <f t="shared" ref="J65" si="59">IF(J7="積上げ",0,+J40)</f>
        <v>0</v>
      </c>
      <c r="K65" s="2223">
        <f>IF(K7="積上げ",0,+K40)</f>
        <v>0</v>
      </c>
      <c r="L65" s="2223">
        <f t="shared" si="58"/>
        <v>0</v>
      </c>
      <c r="M65" s="2223">
        <f>IF(M7="積上げ",0,+M40)</f>
        <v>0</v>
      </c>
      <c r="N65" s="2223">
        <f t="shared" si="58"/>
        <v>0</v>
      </c>
      <c r="O65" s="2223">
        <f t="shared" si="58"/>
        <v>0</v>
      </c>
      <c r="P65" s="2224">
        <f t="shared" si="58"/>
        <v>0</v>
      </c>
    </row>
    <row r="66" spans="1:16" s="810" customFormat="1" ht="14.25" customHeight="1">
      <c r="A66" s="2657"/>
      <c r="B66" s="2659"/>
      <c r="C66" s="2225" t="s">
        <v>4015</v>
      </c>
      <c r="D66" s="2220">
        <v>1</v>
      </c>
      <c r="E66" s="2226">
        <v>0.01</v>
      </c>
      <c r="F66" s="2222">
        <f t="shared" si="47"/>
        <v>0</v>
      </c>
      <c r="G66" s="2223">
        <f>IF(G7="積上げ",0,G41)</f>
        <v>0</v>
      </c>
      <c r="H66" s="2223">
        <f t="shared" ref="H66:P66" si="60">IF(H7="積上げ",0,H41)</f>
        <v>0</v>
      </c>
      <c r="I66" s="2223">
        <f t="shared" si="60"/>
        <v>0</v>
      </c>
      <c r="J66" s="2223">
        <f t="shared" ref="J66" si="61">IF(J7="積上げ",0,J41)</f>
        <v>0</v>
      </c>
      <c r="K66" s="2223">
        <f>IF(K7="積上げ",0,K41)</f>
        <v>0</v>
      </c>
      <c r="L66" s="2223">
        <f t="shared" si="60"/>
        <v>0</v>
      </c>
      <c r="M66" s="2223">
        <f>IF(M7="積上げ",0,M41)</f>
        <v>0</v>
      </c>
      <c r="N66" s="2223">
        <f t="shared" si="60"/>
        <v>0</v>
      </c>
      <c r="O66" s="2223">
        <f t="shared" si="60"/>
        <v>0</v>
      </c>
      <c r="P66" s="2224">
        <f t="shared" si="60"/>
        <v>0</v>
      </c>
    </row>
    <row r="67" spans="1:16" s="810" customFormat="1" ht="14.25" customHeight="1">
      <c r="A67" s="2657"/>
      <c r="B67" s="2659"/>
      <c r="C67" s="2225" t="s">
        <v>3989</v>
      </c>
      <c r="D67" s="2220">
        <v>1</v>
      </c>
      <c r="E67" s="2226">
        <v>0.01</v>
      </c>
      <c r="F67" s="2222">
        <f t="shared" si="47"/>
        <v>0</v>
      </c>
      <c r="G67" s="2223">
        <f>IF(G7="積上げ",0,G42)</f>
        <v>0</v>
      </c>
      <c r="H67" s="2223">
        <f t="shared" ref="H67:P67" si="62">IF(H7="積上げ",0,H42)</f>
        <v>0</v>
      </c>
      <c r="I67" s="2223">
        <f t="shared" si="62"/>
        <v>0</v>
      </c>
      <c r="J67" s="2223">
        <f t="shared" ref="J67" si="63">IF(J7="積上げ",0,J42)</f>
        <v>0</v>
      </c>
      <c r="K67" s="2223">
        <f>IF(K7="積上げ",0,K42)</f>
        <v>0</v>
      </c>
      <c r="L67" s="2223">
        <f t="shared" si="62"/>
        <v>0</v>
      </c>
      <c r="M67" s="2223">
        <f>IF(M7="積上げ",0,M42)</f>
        <v>0</v>
      </c>
      <c r="N67" s="2223">
        <f t="shared" si="62"/>
        <v>0</v>
      </c>
      <c r="O67" s="2223">
        <f t="shared" si="62"/>
        <v>0</v>
      </c>
      <c r="P67" s="2224">
        <f t="shared" si="62"/>
        <v>0</v>
      </c>
    </row>
    <row r="68" spans="1:16" s="810" customFormat="1" ht="14.25" customHeight="1">
      <c r="A68" s="2657"/>
      <c r="B68" s="2659"/>
      <c r="C68" s="2225" t="s">
        <v>3990</v>
      </c>
      <c r="D68" s="2220"/>
      <c r="E68" s="2226"/>
      <c r="F68" s="2222"/>
      <c r="G68" s="2223"/>
      <c r="H68" s="2223"/>
      <c r="I68" s="2223"/>
      <c r="J68" s="2223"/>
      <c r="K68" s="2223"/>
      <c r="L68" s="2223"/>
      <c r="M68" s="2223"/>
      <c r="N68" s="2223"/>
      <c r="O68" s="2223"/>
      <c r="P68" s="2224"/>
    </row>
    <row r="69" spans="1:16" s="810" customFormat="1" ht="14.25" customHeight="1">
      <c r="A69" s="2657"/>
      <c r="B69" s="2659"/>
      <c r="C69" s="2225" t="s">
        <v>3991</v>
      </c>
      <c r="D69" s="2220"/>
      <c r="E69" s="2226"/>
      <c r="F69" s="2222"/>
      <c r="G69" s="2223"/>
      <c r="H69" s="2223"/>
      <c r="I69" s="2223"/>
      <c r="J69" s="2223"/>
      <c r="K69" s="2223"/>
      <c r="L69" s="2223"/>
      <c r="M69" s="2223"/>
      <c r="N69" s="2223"/>
      <c r="O69" s="2223"/>
      <c r="P69" s="2224"/>
    </row>
    <row r="70" spans="1:16" s="810" customFormat="1" ht="14.25" customHeight="1">
      <c r="A70" s="2657"/>
      <c r="B70" s="2659"/>
      <c r="C70" s="2225" t="s">
        <v>3992</v>
      </c>
      <c r="D70" s="2220">
        <v>1</v>
      </c>
      <c r="E70" s="2226">
        <v>0.01</v>
      </c>
      <c r="F70" s="2222">
        <f>SUM(G70:P70)</f>
        <v>0</v>
      </c>
      <c r="G70" s="2223">
        <f>IF(G7="積上げ",0,+G45)</f>
        <v>0</v>
      </c>
      <c r="H70" s="2223">
        <f t="shared" ref="H70:P70" si="64">IF(H7="積上げ",0,+H45)</f>
        <v>0</v>
      </c>
      <c r="I70" s="2223">
        <f t="shared" si="64"/>
        <v>0</v>
      </c>
      <c r="J70" s="2223">
        <f t="shared" ref="J70" si="65">IF(J7="積上げ",0,+J45)</f>
        <v>0</v>
      </c>
      <c r="K70" s="2223">
        <f>IF(K7="積上げ",0,+K45)</f>
        <v>0</v>
      </c>
      <c r="L70" s="2223">
        <f t="shared" si="64"/>
        <v>0</v>
      </c>
      <c r="M70" s="2223">
        <f>IF(M7="積上げ",0,+M45)</f>
        <v>0</v>
      </c>
      <c r="N70" s="2223">
        <f t="shared" si="64"/>
        <v>0</v>
      </c>
      <c r="O70" s="2223">
        <f t="shared" si="64"/>
        <v>0</v>
      </c>
      <c r="P70" s="2224">
        <f t="shared" si="64"/>
        <v>0</v>
      </c>
    </row>
    <row r="71" spans="1:16" s="810" customFormat="1" ht="14.25" customHeight="1">
      <c r="A71" s="2657"/>
      <c r="B71" s="2659"/>
      <c r="C71" s="2227" t="s">
        <v>3993</v>
      </c>
      <c r="D71" s="2220">
        <v>1</v>
      </c>
      <c r="E71" s="2226">
        <v>0.01</v>
      </c>
      <c r="F71" s="2222">
        <f>SUM(G71:P71)</f>
        <v>0</v>
      </c>
      <c r="G71" s="2223">
        <f>IF(G7="積上げ",0,+G46)</f>
        <v>0</v>
      </c>
      <c r="H71" s="2223">
        <f t="shared" ref="H71:P71" si="66">IF(H7="積上げ",0,+H46)</f>
        <v>0</v>
      </c>
      <c r="I71" s="2223">
        <f t="shared" si="66"/>
        <v>0</v>
      </c>
      <c r="J71" s="2223">
        <f t="shared" ref="J71" si="67">IF(J7="積上げ",0,+J46)</f>
        <v>0</v>
      </c>
      <c r="K71" s="2223">
        <f>IF(K7="積上げ",0,+K46)</f>
        <v>0</v>
      </c>
      <c r="L71" s="2223">
        <f t="shared" si="66"/>
        <v>0</v>
      </c>
      <c r="M71" s="2223">
        <f>IF(M7="積上げ",0,+M46)</f>
        <v>0</v>
      </c>
      <c r="N71" s="2223">
        <f t="shared" si="66"/>
        <v>0</v>
      </c>
      <c r="O71" s="2223">
        <f t="shared" si="66"/>
        <v>0</v>
      </c>
      <c r="P71" s="2224">
        <f t="shared" si="66"/>
        <v>0</v>
      </c>
    </row>
    <row r="72" spans="1:16" s="810" customFormat="1" ht="14.25" customHeight="1">
      <c r="A72" s="2657"/>
      <c r="B72" s="2659"/>
      <c r="C72" s="2227" t="s">
        <v>3994</v>
      </c>
      <c r="D72" s="2220">
        <v>1</v>
      </c>
      <c r="E72" s="2226">
        <v>0.01</v>
      </c>
      <c r="F72" s="2222">
        <f>SUM(G72:P72)</f>
        <v>0</v>
      </c>
      <c r="G72" s="2223">
        <f>IF(G7="積上げ",0,+G47)</f>
        <v>0</v>
      </c>
      <c r="H72" s="2223">
        <f t="shared" ref="H72:P72" si="68">IF(H7="積上げ",0,+H47)</f>
        <v>0</v>
      </c>
      <c r="I72" s="2223">
        <f t="shared" si="68"/>
        <v>0</v>
      </c>
      <c r="J72" s="2223">
        <f t="shared" ref="J72" si="69">IF(J7="積上げ",0,+J47)</f>
        <v>0</v>
      </c>
      <c r="K72" s="2223">
        <f>IF(K7="積上げ",0,+K47)</f>
        <v>0</v>
      </c>
      <c r="L72" s="2223">
        <f t="shared" si="68"/>
        <v>0</v>
      </c>
      <c r="M72" s="2223">
        <f>IF(M7="積上げ",0,+M47)</f>
        <v>0</v>
      </c>
      <c r="N72" s="2223">
        <f t="shared" si="68"/>
        <v>0</v>
      </c>
      <c r="O72" s="2223">
        <f t="shared" si="68"/>
        <v>0</v>
      </c>
      <c r="P72" s="2224">
        <f t="shared" si="68"/>
        <v>0</v>
      </c>
    </row>
    <row r="73" spans="1:16" s="810" customFormat="1" ht="14.25" customHeight="1">
      <c r="A73" s="2657"/>
      <c r="B73" s="2659"/>
      <c r="C73" s="2225" t="s">
        <v>3995</v>
      </c>
      <c r="D73" s="2220">
        <v>1</v>
      </c>
      <c r="E73" s="2226">
        <v>0.01</v>
      </c>
      <c r="F73" s="2222">
        <f>SUM(G73:P73)</f>
        <v>0</v>
      </c>
      <c r="G73" s="2223">
        <f>IF(G7="積上げ",0,+G48)</f>
        <v>0</v>
      </c>
      <c r="H73" s="2223">
        <f t="shared" ref="H73:P73" si="70">IF(H7="積上げ",0,+H48)</f>
        <v>0</v>
      </c>
      <c r="I73" s="2223">
        <f t="shared" si="70"/>
        <v>0</v>
      </c>
      <c r="J73" s="2223">
        <f t="shared" ref="J73" si="71">IF(J7="積上げ",0,+J48)</f>
        <v>0</v>
      </c>
      <c r="K73" s="2223">
        <f>IF(K7="積上げ",0,+K48)</f>
        <v>0</v>
      </c>
      <c r="L73" s="2223">
        <f t="shared" si="70"/>
        <v>0</v>
      </c>
      <c r="M73" s="2223">
        <f>IF(M7="積上げ",0,+M48)</f>
        <v>0</v>
      </c>
      <c r="N73" s="2223">
        <f t="shared" si="70"/>
        <v>0</v>
      </c>
      <c r="O73" s="2223">
        <f t="shared" si="70"/>
        <v>0</v>
      </c>
      <c r="P73" s="2224">
        <f t="shared" si="70"/>
        <v>0</v>
      </c>
    </row>
    <row r="74" spans="1:16" s="810" customFormat="1" ht="14.25" customHeight="1">
      <c r="A74" s="2658"/>
      <c r="B74" s="2228" t="s">
        <v>4016</v>
      </c>
      <c r="C74" s="2229" t="s">
        <v>4017</v>
      </c>
      <c r="D74" s="2230">
        <v>1</v>
      </c>
      <c r="E74" s="2231">
        <v>0</v>
      </c>
      <c r="F74" s="2232">
        <f>SUM(G74:P74)</f>
        <v>388791162</v>
      </c>
      <c r="G74" s="2233">
        <f>IF(G7="積上げ",0,(SUM(G52:G55)+G49))</f>
        <v>33425885</v>
      </c>
      <c r="H74" s="2233">
        <f t="shared" ref="H74:P74" si="72">IF(H7="積上げ",0,(SUM(H52:H55)+H49))</f>
        <v>22318883</v>
      </c>
      <c r="I74" s="2233">
        <f t="shared" si="72"/>
        <v>2131661</v>
      </c>
      <c r="J74" s="2233">
        <f t="shared" ref="J74:K74" si="73">IF(J7="積上げ",0,(SUM(J52:J55)+J49))</f>
        <v>107929486</v>
      </c>
      <c r="K74" s="2233">
        <f t="shared" si="73"/>
        <v>10208163</v>
      </c>
      <c r="L74" s="2233">
        <f t="shared" si="72"/>
        <v>44795961</v>
      </c>
      <c r="M74" s="2233">
        <f t="shared" si="72"/>
        <v>28913934</v>
      </c>
      <c r="N74" s="2233">
        <f t="shared" si="72"/>
        <v>139067189</v>
      </c>
      <c r="O74" s="2233">
        <f t="shared" si="72"/>
        <v>0</v>
      </c>
      <c r="P74" s="2234">
        <f t="shared" si="72"/>
        <v>0</v>
      </c>
    </row>
    <row r="75" spans="1:16" s="810" customFormat="1" ht="14.25" customHeight="1">
      <c r="A75" s="842"/>
      <c r="B75" s="843"/>
      <c r="C75" s="844"/>
      <c r="D75" s="2660"/>
      <c r="E75" s="2660"/>
      <c r="F75" s="823"/>
      <c r="G75" s="845"/>
      <c r="H75" s="845"/>
      <c r="I75" s="845"/>
      <c r="J75" s="845"/>
      <c r="K75" s="845"/>
      <c r="L75" s="845"/>
      <c r="M75" s="845"/>
      <c r="N75" s="845"/>
      <c r="O75" s="845"/>
      <c r="P75" s="846"/>
    </row>
    <row r="76" spans="1:16" s="810" customFormat="1" ht="14.25" customHeight="1">
      <c r="A76" s="2662" t="s">
        <v>4018</v>
      </c>
      <c r="B76" s="2662"/>
      <c r="C76" s="2654"/>
      <c r="D76" s="2661"/>
      <c r="E76" s="2661"/>
      <c r="F76" s="817"/>
      <c r="G76" s="818"/>
      <c r="H76" s="818"/>
      <c r="I76" s="818"/>
      <c r="J76" s="818"/>
      <c r="K76" s="818"/>
      <c r="L76" s="818"/>
      <c r="M76" s="818"/>
      <c r="N76" s="818"/>
      <c r="O76" s="818"/>
      <c r="P76" s="819"/>
    </row>
    <row r="77" spans="1:16" s="810" customFormat="1" ht="14.25" customHeight="1">
      <c r="A77" s="2656"/>
      <c r="B77" s="2664" t="s">
        <v>3981</v>
      </c>
      <c r="C77" s="847" t="s">
        <v>3982</v>
      </c>
      <c r="D77" s="848"/>
      <c r="E77" s="849" t="s">
        <v>4011</v>
      </c>
      <c r="F77" s="850" t="s">
        <v>4019</v>
      </c>
      <c r="G77" s="851">
        <f>IF(G61=0,0,G183/100)</f>
        <v>0</v>
      </c>
      <c r="H77" s="851">
        <f t="shared" ref="H77:P77" si="74">IF(H61=0,0,H183/100)</f>
        <v>0</v>
      </c>
      <c r="I77" s="851">
        <f t="shared" si="74"/>
        <v>0</v>
      </c>
      <c r="J77" s="851">
        <f t="shared" ref="J77:K77" si="75">IF(J61=0,0,J183/100)</f>
        <v>0</v>
      </c>
      <c r="K77" s="851">
        <f t="shared" si="75"/>
        <v>0</v>
      </c>
      <c r="L77" s="851">
        <f t="shared" si="74"/>
        <v>0</v>
      </c>
      <c r="M77" s="851">
        <f t="shared" si="74"/>
        <v>0</v>
      </c>
      <c r="N77" s="851">
        <f t="shared" si="74"/>
        <v>0</v>
      </c>
      <c r="O77" s="851">
        <f t="shared" si="74"/>
        <v>0</v>
      </c>
      <c r="P77" s="852">
        <f t="shared" si="74"/>
        <v>0</v>
      </c>
    </row>
    <row r="78" spans="1:16" s="810" customFormat="1" ht="14.25" customHeight="1">
      <c r="A78" s="2657"/>
      <c r="B78" s="2665"/>
      <c r="C78" s="853"/>
      <c r="D78" s="854">
        <f>+D61</f>
        <v>1</v>
      </c>
      <c r="E78" s="2235" t="s">
        <v>4011</v>
      </c>
      <c r="F78" s="2222">
        <f>SUM(G78:P78)</f>
        <v>0</v>
      </c>
      <c r="G78" s="856">
        <f>ROUNDDOWN(G61*G77*$D78,0)</f>
        <v>0</v>
      </c>
      <c r="H78" s="856">
        <f t="shared" ref="H78:P78" si="76">ROUNDDOWN(H61*H77*$D78,0)</f>
        <v>0</v>
      </c>
      <c r="I78" s="856">
        <f t="shared" si="76"/>
        <v>0</v>
      </c>
      <c r="J78" s="856">
        <f t="shared" ref="J78" si="77">ROUNDDOWN(J61*J77*$D78,0)</f>
        <v>0</v>
      </c>
      <c r="K78" s="856">
        <f>ROUNDDOWN(K61*K77*$D78,0)</f>
        <v>0</v>
      </c>
      <c r="L78" s="856">
        <f t="shared" si="76"/>
        <v>0</v>
      </c>
      <c r="M78" s="856">
        <f>ROUNDDOWN(M61*M77*$D78,0)</f>
        <v>0</v>
      </c>
      <c r="N78" s="856">
        <f t="shared" si="76"/>
        <v>0</v>
      </c>
      <c r="O78" s="856">
        <f t="shared" si="76"/>
        <v>0</v>
      </c>
      <c r="P78" s="857">
        <f t="shared" si="76"/>
        <v>0</v>
      </c>
    </row>
    <row r="79" spans="1:16" s="810" customFormat="1" ht="14.25" customHeight="1">
      <c r="A79" s="2657"/>
      <c r="B79" s="2659"/>
      <c r="C79" s="2236" t="s">
        <v>3983</v>
      </c>
      <c r="D79" s="2237"/>
      <c r="E79" s="2235" t="s">
        <v>4011</v>
      </c>
      <c r="F79" s="2238" t="s">
        <v>4019</v>
      </c>
      <c r="G79" s="2239">
        <f>IF(G62=0,0,G192/100)</f>
        <v>0</v>
      </c>
      <c r="H79" s="2239">
        <f t="shared" ref="H79:P79" si="78">IF(H62=0,0,H192/100)</f>
        <v>0</v>
      </c>
      <c r="I79" s="2239">
        <f t="shared" si="78"/>
        <v>0</v>
      </c>
      <c r="J79" s="2239">
        <f t="shared" ref="J79:K79" si="79">IF(J62=0,0,J192/100)</f>
        <v>0</v>
      </c>
      <c r="K79" s="2239">
        <f t="shared" si="79"/>
        <v>0</v>
      </c>
      <c r="L79" s="2239">
        <f t="shared" si="78"/>
        <v>0</v>
      </c>
      <c r="M79" s="2239">
        <f t="shared" si="78"/>
        <v>0</v>
      </c>
      <c r="N79" s="2239">
        <f t="shared" si="78"/>
        <v>0</v>
      </c>
      <c r="O79" s="2239">
        <f t="shared" si="78"/>
        <v>0</v>
      </c>
      <c r="P79" s="2240">
        <f t="shared" si="78"/>
        <v>0</v>
      </c>
    </row>
    <row r="80" spans="1:16" s="810" customFormat="1" ht="14.25" customHeight="1">
      <c r="A80" s="2657"/>
      <c r="B80" s="2659"/>
      <c r="C80" s="853"/>
      <c r="D80" s="863">
        <f t="shared" ref="D80:D85" si="80">+D62</f>
        <v>1</v>
      </c>
      <c r="E80" s="2235" t="s">
        <v>4011</v>
      </c>
      <c r="F80" s="2222">
        <f>SUM(G80:P80)</f>
        <v>0</v>
      </c>
      <c r="G80" s="856">
        <f>ROUNDDOWN(G62*G79*$D80,0)</f>
        <v>0</v>
      </c>
      <c r="H80" s="856">
        <f t="shared" ref="H80:P80" si="81">ROUNDDOWN(H62*H79*$D80,0)</f>
        <v>0</v>
      </c>
      <c r="I80" s="856">
        <f t="shared" si="81"/>
        <v>0</v>
      </c>
      <c r="J80" s="856">
        <f t="shared" ref="J80" si="82">ROUNDDOWN(J62*J79*$D80,0)</f>
        <v>0</v>
      </c>
      <c r="K80" s="856">
        <f>ROUNDDOWN(K62*K79*$D80,0)</f>
        <v>0</v>
      </c>
      <c r="L80" s="856">
        <f t="shared" si="81"/>
        <v>0</v>
      </c>
      <c r="M80" s="856">
        <f>ROUNDDOWN(M62*M79*$D80,0)</f>
        <v>0</v>
      </c>
      <c r="N80" s="856">
        <f t="shared" si="81"/>
        <v>0</v>
      </c>
      <c r="O80" s="856">
        <f t="shared" si="81"/>
        <v>0</v>
      </c>
      <c r="P80" s="857">
        <f t="shared" si="81"/>
        <v>0</v>
      </c>
    </row>
    <row r="81" spans="1:16" s="810" customFormat="1" ht="14.25" customHeight="1">
      <c r="A81" s="2657"/>
      <c r="B81" s="2659"/>
      <c r="C81" s="2219" t="s">
        <v>4020</v>
      </c>
      <c r="D81" s="2241">
        <v>0.9</v>
      </c>
      <c r="E81" s="2235" t="s">
        <v>4011</v>
      </c>
      <c r="F81" s="2222">
        <f>SUM(G81:P81)</f>
        <v>0</v>
      </c>
      <c r="G81" s="856">
        <f>ROUNDDOWN(G63*G77*$D81,0)</f>
        <v>0</v>
      </c>
      <c r="H81" s="856">
        <f t="shared" ref="H81:P81" si="83">ROUNDDOWN(H63*H77*$D81,0)</f>
        <v>0</v>
      </c>
      <c r="I81" s="856">
        <f t="shared" si="83"/>
        <v>0</v>
      </c>
      <c r="J81" s="856">
        <f t="shared" ref="J81" si="84">ROUNDDOWN(J63*J77*$D81,0)</f>
        <v>0</v>
      </c>
      <c r="K81" s="856">
        <f>ROUNDDOWN(K63*K77*$D81,0)</f>
        <v>0</v>
      </c>
      <c r="L81" s="856">
        <f t="shared" si="83"/>
        <v>0</v>
      </c>
      <c r="M81" s="856">
        <f>ROUNDDOWN(M63*M77*$D81,0)</f>
        <v>0</v>
      </c>
      <c r="N81" s="856">
        <f t="shared" si="83"/>
        <v>0</v>
      </c>
      <c r="O81" s="856">
        <f t="shared" si="83"/>
        <v>0</v>
      </c>
      <c r="P81" s="857">
        <f t="shared" si="83"/>
        <v>0</v>
      </c>
    </row>
    <row r="82" spans="1:16" s="810" customFormat="1" ht="14.25" customHeight="1">
      <c r="A82" s="2657"/>
      <c r="B82" s="2659"/>
      <c r="C82" s="2219" t="s">
        <v>4021</v>
      </c>
      <c r="D82" s="2241">
        <v>0.9</v>
      </c>
      <c r="E82" s="2235" t="s">
        <v>4011</v>
      </c>
      <c r="F82" s="2222">
        <f>SUM(G82:P82)</f>
        <v>0</v>
      </c>
      <c r="G82" s="856">
        <f>ROUNDDOWN(G64*G79*$D82,0)</f>
        <v>0</v>
      </c>
      <c r="H82" s="856">
        <f t="shared" ref="H82:P82" si="85">ROUNDDOWN(H64*H79*$D82,0)</f>
        <v>0</v>
      </c>
      <c r="I82" s="856">
        <f t="shared" si="85"/>
        <v>0</v>
      </c>
      <c r="J82" s="856">
        <f t="shared" ref="J82" si="86">ROUNDDOWN(J64*J79*$D82,0)</f>
        <v>0</v>
      </c>
      <c r="K82" s="856">
        <f>ROUNDDOWN(K64*K79*$D82,0)</f>
        <v>0</v>
      </c>
      <c r="L82" s="856">
        <f t="shared" si="85"/>
        <v>0</v>
      </c>
      <c r="M82" s="856">
        <f>ROUNDDOWN(M64*M79*$D82,0)</f>
        <v>0</v>
      </c>
      <c r="N82" s="856">
        <f t="shared" si="85"/>
        <v>0</v>
      </c>
      <c r="O82" s="856">
        <f t="shared" si="85"/>
        <v>0</v>
      </c>
      <c r="P82" s="857">
        <f t="shared" si="85"/>
        <v>0</v>
      </c>
    </row>
    <row r="83" spans="1:16" s="810" customFormat="1" ht="14.25" customHeight="1">
      <c r="A83" s="2657"/>
      <c r="B83" s="2659" t="s">
        <v>3986</v>
      </c>
      <c r="C83" s="2225" t="s">
        <v>4014</v>
      </c>
      <c r="D83" s="2241">
        <f>+D65</f>
        <v>1</v>
      </c>
      <c r="E83" s="2226">
        <f>+E65</f>
        <v>0.01</v>
      </c>
      <c r="F83" s="2222">
        <f>IF(諸経費表!$C$2="共通費集計表",ROUNDDOWN(D83*E83*F65,0),#REF!)</f>
        <v>0</v>
      </c>
      <c r="G83" s="856">
        <f t="shared" ref="G83:P92" si="87">ROUNDDOWN(G65*$E83*$D83,0)</f>
        <v>0</v>
      </c>
      <c r="H83" s="856">
        <f t="shared" si="87"/>
        <v>0</v>
      </c>
      <c r="I83" s="856">
        <f t="shared" si="87"/>
        <v>0</v>
      </c>
      <c r="J83" s="856">
        <f t="shared" ref="J83:K83" si="88">ROUNDDOWN(J65*$E83*$D83,0)</f>
        <v>0</v>
      </c>
      <c r="K83" s="856">
        <f t="shared" si="88"/>
        <v>0</v>
      </c>
      <c r="L83" s="856">
        <f t="shared" si="87"/>
        <v>0</v>
      </c>
      <c r="M83" s="856">
        <f t="shared" si="87"/>
        <v>0</v>
      </c>
      <c r="N83" s="856">
        <f t="shared" si="87"/>
        <v>0</v>
      </c>
      <c r="O83" s="856">
        <f t="shared" si="87"/>
        <v>0</v>
      </c>
      <c r="P83" s="857">
        <f t="shared" si="87"/>
        <v>0</v>
      </c>
    </row>
    <row r="84" spans="1:16" s="810" customFormat="1" ht="14.25" customHeight="1">
      <c r="A84" s="2657"/>
      <c r="B84" s="2659"/>
      <c r="C84" s="2225" t="s">
        <v>4022</v>
      </c>
      <c r="D84" s="2241">
        <f t="shared" si="80"/>
        <v>1</v>
      </c>
      <c r="E84" s="2226">
        <f>+E66</f>
        <v>0.01</v>
      </c>
      <c r="F84" s="2222">
        <f>IF(諸経費表!$C$2="共通費集計表",ROUNDDOWN(D84*E84*F66,0),#REF!)</f>
        <v>0</v>
      </c>
      <c r="G84" s="856">
        <f t="shared" si="87"/>
        <v>0</v>
      </c>
      <c r="H84" s="856">
        <f t="shared" si="87"/>
        <v>0</v>
      </c>
      <c r="I84" s="856">
        <f t="shared" si="87"/>
        <v>0</v>
      </c>
      <c r="J84" s="856">
        <f t="shared" ref="J84:K84" si="89">ROUNDDOWN(J66*$E84*$D84,0)</f>
        <v>0</v>
      </c>
      <c r="K84" s="856">
        <f t="shared" si="89"/>
        <v>0</v>
      </c>
      <c r="L84" s="856">
        <f t="shared" si="87"/>
        <v>0</v>
      </c>
      <c r="M84" s="856">
        <f t="shared" si="87"/>
        <v>0</v>
      </c>
      <c r="N84" s="856">
        <f t="shared" si="87"/>
        <v>0</v>
      </c>
      <c r="O84" s="856">
        <f t="shared" si="87"/>
        <v>0</v>
      </c>
      <c r="P84" s="857">
        <f t="shared" si="87"/>
        <v>0</v>
      </c>
    </row>
    <row r="85" spans="1:16" s="810" customFormat="1" ht="14.25" customHeight="1">
      <c r="A85" s="2657"/>
      <c r="B85" s="2659"/>
      <c r="C85" s="2225" t="s">
        <v>3989</v>
      </c>
      <c r="D85" s="2241">
        <f t="shared" si="80"/>
        <v>1</v>
      </c>
      <c r="E85" s="2226">
        <f>+E67</f>
        <v>0.01</v>
      </c>
      <c r="F85" s="2222">
        <f>IF(諸経費表!$C$2="共通費集計表",ROUNDDOWN(D85*E85*F67,0),#REF!)</f>
        <v>0</v>
      </c>
      <c r="G85" s="856">
        <f t="shared" si="87"/>
        <v>0</v>
      </c>
      <c r="H85" s="856">
        <f t="shared" si="87"/>
        <v>0</v>
      </c>
      <c r="I85" s="856">
        <f t="shared" si="87"/>
        <v>0</v>
      </c>
      <c r="J85" s="856">
        <f t="shared" ref="J85:K85" si="90">ROUNDDOWN(J67*$E85*$D85,0)</f>
        <v>0</v>
      </c>
      <c r="K85" s="856">
        <f t="shared" si="90"/>
        <v>0</v>
      </c>
      <c r="L85" s="856">
        <f t="shared" si="87"/>
        <v>0</v>
      </c>
      <c r="M85" s="856">
        <f t="shared" si="87"/>
        <v>0</v>
      </c>
      <c r="N85" s="856">
        <f t="shared" si="87"/>
        <v>0</v>
      </c>
      <c r="O85" s="856">
        <f t="shared" si="87"/>
        <v>0</v>
      </c>
      <c r="P85" s="857">
        <f t="shared" si="87"/>
        <v>0</v>
      </c>
    </row>
    <row r="86" spans="1:16" s="810" customFormat="1" ht="14.25" customHeight="1">
      <c r="A86" s="2657"/>
      <c r="B86" s="2659"/>
      <c r="C86" s="2225" t="s">
        <v>4023</v>
      </c>
      <c r="D86" s="2241"/>
      <c r="E86" s="2226"/>
      <c r="F86" s="2222"/>
      <c r="G86" s="856"/>
      <c r="H86" s="856"/>
      <c r="I86" s="856"/>
      <c r="J86" s="856"/>
      <c r="K86" s="856"/>
      <c r="L86" s="856"/>
      <c r="M86" s="856"/>
      <c r="N86" s="856"/>
      <c r="O86" s="856"/>
      <c r="P86" s="857"/>
    </row>
    <row r="87" spans="1:16" s="810" customFormat="1" ht="14.25" customHeight="1">
      <c r="A87" s="2657"/>
      <c r="B87" s="2659"/>
      <c r="C87" s="2242" t="s">
        <v>3991</v>
      </c>
      <c r="D87" s="2241"/>
      <c r="E87" s="2226"/>
      <c r="F87" s="2222"/>
      <c r="G87" s="856"/>
      <c r="H87" s="856"/>
      <c r="I87" s="856"/>
      <c r="J87" s="856"/>
      <c r="K87" s="856"/>
      <c r="L87" s="856"/>
      <c r="M87" s="856"/>
      <c r="N87" s="856"/>
      <c r="O87" s="856"/>
      <c r="P87" s="857"/>
    </row>
    <row r="88" spans="1:16" s="810" customFormat="1" ht="14.25" customHeight="1">
      <c r="A88" s="2657"/>
      <c r="B88" s="2659"/>
      <c r="C88" s="2225" t="s">
        <v>3992</v>
      </c>
      <c r="D88" s="2241">
        <f t="shared" ref="D88:E92" si="91">+D70</f>
        <v>1</v>
      </c>
      <c r="E88" s="2226">
        <f t="shared" si="91"/>
        <v>0.01</v>
      </c>
      <c r="F88" s="2222">
        <f>IF(諸経費表!$C$2="共通費集計表",ROUNDDOWN(D88*E88*F70,0),#REF!)</f>
        <v>0</v>
      </c>
      <c r="G88" s="856">
        <f t="shared" si="87"/>
        <v>0</v>
      </c>
      <c r="H88" s="856">
        <f t="shared" si="87"/>
        <v>0</v>
      </c>
      <c r="I88" s="856">
        <f t="shared" si="87"/>
        <v>0</v>
      </c>
      <c r="J88" s="856">
        <f t="shared" ref="J88:K88" si="92">ROUNDDOWN(J70*$E88*$D88,0)</f>
        <v>0</v>
      </c>
      <c r="K88" s="856">
        <f t="shared" si="92"/>
        <v>0</v>
      </c>
      <c r="L88" s="856">
        <f t="shared" si="87"/>
        <v>0</v>
      </c>
      <c r="M88" s="856">
        <f t="shared" si="87"/>
        <v>0</v>
      </c>
      <c r="N88" s="856">
        <f t="shared" si="87"/>
        <v>0</v>
      </c>
      <c r="O88" s="856">
        <f t="shared" si="87"/>
        <v>0</v>
      </c>
      <c r="P88" s="857">
        <f t="shared" si="87"/>
        <v>0</v>
      </c>
    </row>
    <row r="89" spans="1:16" s="810" customFormat="1" ht="14.25" customHeight="1">
      <c r="A89" s="2657"/>
      <c r="B89" s="2659"/>
      <c r="C89" s="2227" t="s">
        <v>4024</v>
      </c>
      <c r="D89" s="2241">
        <f t="shared" si="91"/>
        <v>1</v>
      </c>
      <c r="E89" s="2226">
        <f t="shared" si="91"/>
        <v>0.01</v>
      </c>
      <c r="F89" s="2222">
        <f>IF(諸経費表!$C$2="共通費集計表",ROUNDDOWN(D89*E89*F71,0),#REF!)</f>
        <v>0</v>
      </c>
      <c r="G89" s="856">
        <f t="shared" si="87"/>
        <v>0</v>
      </c>
      <c r="H89" s="856">
        <f t="shared" si="87"/>
        <v>0</v>
      </c>
      <c r="I89" s="856">
        <f t="shared" si="87"/>
        <v>0</v>
      </c>
      <c r="J89" s="856">
        <f t="shared" ref="J89:K89" si="93">ROUNDDOWN(J71*$E89*$D89,0)</f>
        <v>0</v>
      </c>
      <c r="K89" s="856">
        <f t="shared" si="93"/>
        <v>0</v>
      </c>
      <c r="L89" s="856">
        <f t="shared" si="87"/>
        <v>0</v>
      </c>
      <c r="M89" s="856">
        <f t="shared" si="87"/>
        <v>0</v>
      </c>
      <c r="N89" s="856">
        <f t="shared" si="87"/>
        <v>0</v>
      </c>
      <c r="O89" s="856">
        <f t="shared" si="87"/>
        <v>0</v>
      </c>
      <c r="P89" s="856">
        <f t="shared" si="87"/>
        <v>0</v>
      </c>
    </row>
    <row r="90" spans="1:16" s="810" customFormat="1" ht="14.25" customHeight="1">
      <c r="A90" s="2657"/>
      <c r="B90" s="2659"/>
      <c r="C90" s="2227" t="s">
        <v>4025</v>
      </c>
      <c r="D90" s="2241">
        <f t="shared" si="91"/>
        <v>1</v>
      </c>
      <c r="E90" s="2226">
        <f t="shared" si="91"/>
        <v>0.01</v>
      </c>
      <c r="F90" s="2222">
        <f>IF(諸経費表!$C$2="共通費集計表",ROUNDDOWN(D90*E90*F72,0),#REF!)</f>
        <v>0</v>
      </c>
      <c r="G90" s="856">
        <f t="shared" si="87"/>
        <v>0</v>
      </c>
      <c r="H90" s="856">
        <f t="shared" si="87"/>
        <v>0</v>
      </c>
      <c r="I90" s="856">
        <f t="shared" si="87"/>
        <v>0</v>
      </c>
      <c r="J90" s="856">
        <f t="shared" ref="J90:K90" si="94">ROUNDDOWN(J72*$E90*$D90,0)</f>
        <v>0</v>
      </c>
      <c r="K90" s="856">
        <f t="shared" si="94"/>
        <v>0</v>
      </c>
      <c r="L90" s="856">
        <f t="shared" si="87"/>
        <v>0</v>
      </c>
      <c r="M90" s="856">
        <f t="shared" si="87"/>
        <v>0</v>
      </c>
      <c r="N90" s="856">
        <f t="shared" si="87"/>
        <v>0</v>
      </c>
      <c r="O90" s="856">
        <f t="shared" si="87"/>
        <v>0</v>
      </c>
      <c r="P90" s="856">
        <f t="shared" si="87"/>
        <v>0</v>
      </c>
    </row>
    <row r="91" spans="1:16" s="810" customFormat="1" ht="14.25" customHeight="1">
      <c r="A91" s="2657"/>
      <c r="B91" s="2659"/>
      <c r="C91" s="2225" t="s">
        <v>3995</v>
      </c>
      <c r="D91" s="2241">
        <f t="shared" si="91"/>
        <v>1</v>
      </c>
      <c r="E91" s="2226">
        <f t="shared" si="91"/>
        <v>0.01</v>
      </c>
      <c r="F91" s="2222">
        <f>IF(諸経費表!$C$2="共通費集計表",ROUNDDOWN(D91*E91*F73,0),#REF!)</f>
        <v>0</v>
      </c>
      <c r="G91" s="856">
        <f t="shared" si="87"/>
        <v>0</v>
      </c>
      <c r="H91" s="856">
        <f t="shared" si="87"/>
        <v>0</v>
      </c>
      <c r="I91" s="856">
        <f t="shared" si="87"/>
        <v>0</v>
      </c>
      <c r="J91" s="856">
        <f t="shared" ref="J91:K91" si="95">ROUNDDOWN(J73*$E91*$D91,0)</f>
        <v>0</v>
      </c>
      <c r="K91" s="856">
        <f t="shared" si="95"/>
        <v>0</v>
      </c>
      <c r="L91" s="856">
        <f t="shared" si="87"/>
        <v>0</v>
      </c>
      <c r="M91" s="856">
        <f t="shared" si="87"/>
        <v>0</v>
      </c>
      <c r="N91" s="856">
        <f t="shared" si="87"/>
        <v>0</v>
      </c>
      <c r="O91" s="856">
        <f t="shared" si="87"/>
        <v>0</v>
      </c>
      <c r="P91" s="856">
        <f t="shared" si="87"/>
        <v>0</v>
      </c>
    </row>
    <row r="92" spans="1:16" s="810" customFormat="1" ht="14.25" customHeight="1" thickBot="1">
      <c r="A92" s="2663"/>
      <c r="B92" s="866" t="s">
        <v>4016</v>
      </c>
      <c r="C92" s="2243" t="s">
        <v>4026</v>
      </c>
      <c r="D92" s="868">
        <f t="shared" si="91"/>
        <v>1</v>
      </c>
      <c r="E92" s="869">
        <f t="shared" si="91"/>
        <v>0</v>
      </c>
      <c r="F92" s="870">
        <f>ROUNDDOWN(D92*E92*F74,0)</f>
        <v>0</v>
      </c>
      <c r="G92" s="856">
        <f>ROUNDDOWN(G74*$E92*$D92,0)</f>
        <v>0</v>
      </c>
      <c r="H92" s="856">
        <f>ROUNDDOWN(H74*$E92*$D92,0)</f>
        <v>0</v>
      </c>
      <c r="I92" s="856">
        <f t="shared" si="87"/>
        <v>0</v>
      </c>
      <c r="J92" s="856">
        <f t="shared" ref="J92:K92" si="96">ROUNDDOWN(J74*$E92*$D92,0)</f>
        <v>0</v>
      </c>
      <c r="K92" s="856">
        <f t="shared" si="96"/>
        <v>0</v>
      </c>
      <c r="L92" s="856">
        <f t="shared" si="87"/>
        <v>0</v>
      </c>
      <c r="M92" s="856">
        <f t="shared" si="87"/>
        <v>0</v>
      </c>
      <c r="N92" s="856">
        <f t="shared" si="87"/>
        <v>0</v>
      </c>
      <c r="O92" s="856">
        <f t="shared" si="87"/>
        <v>0</v>
      </c>
      <c r="P92" s="856">
        <f t="shared" si="87"/>
        <v>0</v>
      </c>
    </row>
    <row r="93" spans="1:16" s="810" customFormat="1" ht="14.25" customHeight="1" thickTop="1">
      <c r="A93" s="871"/>
      <c r="B93" s="872"/>
      <c r="C93" s="873" t="s">
        <v>4027</v>
      </c>
      <c r="D93" s="874"/>
      <c r="E93" s="875"/>
      <c r="F93" s="876">
        <f>SUM(G93:P93)</f>
        <v>0</v>
      </c>
      <c r="G93" s="877">
        <f>SUM(G80:G92)+G78</f>
        <v>0</v>
      </c>
      <c r="H93" s="877">
        <f t="shared" ref="H93:P93" si="97">SUM(H80:H92)+H78</f>
        <v>0</v>
      </c>
      <c r="I93" s="877">
        <f t="shared" si="97"/>
        <v>0</v>
      </c>
      <c r="J93" s="877">
        <f t="shared" ref="J93" si="98">SUM(J80:J92)+J78</f>
        <v>0</v>
      </c>
      <c r="K93" s="877">
        <f>SUM(K80:K92)+K78</f>
        <v>0</v>
      </c>
      <c r="L93" s="877">
        <f t="shared" si="97"/>
        <v>0</v>
      </c>
      <c r="M93" s="877">
        <f>SUM(M80:M92)+M78</f>
        <v>0</v>
      </c>
      <c r="N93" s="877">
        <f t="shared" si="97"/>
        <v>0</v>
      </c>
      <c r="O93" s="877">
        <f t="shared" si="97"/>
        <v>0</v>
      </c>
      <c r="P93" s="878">
        <f t="shared" si="97"/>
        <v>0</v>
      </c>
    </row>
    <row r="94" spans="1:16" s="759" customFormat="1" ht="14.25" customHeight="1">
      <c r="A94" s="754"/>
      <c r="B94" s="754"/>
      <c r="C94" s="762"/>
      <c r="D94" s="762"/>
      <c r="E94" s="754"/>
      <c r="F94" s="879"/>
      <c r="G94" s="880"/>
      <c r="H94" s="880"/>
      <c r="I94" s="880"/>
      <c r="J94" s="880"/>
      <c r="K94" s="880"/>
      <c r="L94" s="880"/>
      <c r="M94" s="880"/>
      <c r="N94" s="880"/>
      <c r="O94" s="880"/>
      <c r="P94" s="880"/>
    </row>
    <row r="95" spans="1:16" s="759" customFormat="1" ht="14.25" customHeight="1">
      <c r="A95" s="754"/>
      <c r="B95" s="754"/>
      <c r="C95" s="881" t="s">
        <v>4028</v>
      </c>
      <c r="D95" s="881"/>
      <c r="E95" s="882"/>
      <c r="F95" s="646"/>
      <c r="G95" s="651"/>
      <c r="H95" s="651"/>
      <c r="I95" s="651"/>
      <c r="J95" s="651"/>
      <c r="K95" s="651"/>
      <c r="L95" s="651"/>
      <c r="M95" s="651"/>
      <c r="N95" s="651"/>
      <c r="O95" s="651"/>
      <c r="P95" s="653" t="s">
        <v>4029</v>
      </c>
    </row>
    <row r="96" spans="1:16" s="759" customFormat="1" ht="14.25" customHeight="1">
      <c r="A96" s="754"/>
      <c r="B96" s="754"/>
      <c r="C96" s="883" t="s">
        <v>4030</v>
      </c>
      <c r="D96" s="883"/>
      <c r="E96" s="882"/>
      <c r="F96" s="646"/>
      <c r="G96" s="651"/>
      <c r="H96" s="651"/>
      <c r="I96" s="651"/>
      <c r="J96" s="651"/>
      <c r="K96" s="651"/>
      <c r="L96" s="651"/>
      <c r="M96" s="651"/>
      <c r="N96" s="651"/>
      <c r="O96" s="651"/>
      <c r="P96" s="653"/>
    </row>
    <row r="97" spans="1:16" s="759" customFormat="1" ht="14.25" customHeight="1">
      <c r="A97" s="884"/>
      <c r="B97" s="885"/>
      <c r="C97" s="885"/>
      <c r="D97" s="2673" t="s">
        <v>4007</v>
      </c>
      <c r="E97" s="2673" t="s">
        <v>4008</v>
      </c>
      <c r="F97" s="886" t="s">
        <v>3979</v>
      </c>
      <c r="G97" s="887" t="str">
        <f t="shared" ref="G97:P97" si="99">+G5</f>
        <v>工事1</v>
      </c>
      <c r="H97" s="887" t="str">
        <f t="shared" si="99"/>
        <v>工事2</v>
      </c>
      <c r="I97" s="887" t="str">
        <f t="shared" si="99"/>
        <v>工事3</v>
      </c>
      <c r="J97" s="887" t="str">
        <f t="shared" ref="J97" si="100">+J5</f>
        <v>工事4</v>
      </c>
      <c r="K97" s="887" t="str">
        <f>+K5</f>
        <v>工事5</v>
      </c>
      <c r="L97" s="887" t="str">
        <f t="shared" si="99"/>
        <v>工事6</v>
      </c>
      <c r="M97" s="887" t="str">
        <f>+M5</f>
        <v>工事7</v>
      </c>
      <c r="N97" s="887" t="str">
        <f t="shared" si="99"/>
        <v>工事8</v>
      </c>
      <c r="O97" s="887">
        <f t="shared" si="99"/>
        <v>0</v>
      </c>
      <c r="P97" s="888">
        <f t="shared" si="99"/>
        <v>0</v>
      </c>
    </row>
    <row r="98" spans="1:16" s="759" customFormat="1" ht="14.25" customHeight="1">
      <c r="A98" s="2675" t="s">
        <v>4031</v>
      </c>
      <c r="B98" s="2676"/>
      <c r="C98" s="2676"/>
      <c r="D98" s="2674"/>
      <c r="E98" s="2674"/>
      <c r="F98" s="889"/>
      <c r="G98" s="890"/>
      <c r="H98" s="890"/>
      <c r="I98" s="890"/>
      <c r="J98" s="890"/>
      <c r="K98" s="890"/>
      <c r="L98" s="890"/>
      <c r="M98" s="890"/>
      <c r="N98" s="890"/>
      <c r="O98" s="890"/>
      <c r="P98" s="891"/>
    </row>
    <row r="99" spans="1:16" s="759" customFormat="1" ht="14.25" customHeight="1">
      <c r="A99" s="2677"/>
      <c r="B99" s="892" t="s">
        <v>4032</v>
      </c>
      <c r="C99" s="893"/>
      <c r="D99" s="894"/>
      <c r="E99" s="895"/>
      <c r="F99" s="896">
        <f t="shared" ref="F99:F106" si="101">SUM(G99:P99)</f>
        <v>0</v>
      </c>
      <c r="G99" s="897">
        <f>+G10-G54-G53-G49-G50</f>
        <v>0</v>
      </c>
      <c r="H99" s="897">
        <f t="shared" ref="H99:P99" si="102">+H10-H54-H53-H49-H50</f>
        <v>0</v>
      </c>
      <c r="I99" s="898">
        <f t="shared" si="102"/>
        <v>0</v>
      </c>
      <c r="J99" s="898">
        <f t="shared" ref="J99" si="103">+J10-J54-J53-J49-J50</f>
        <v>0</v>
      </c>
      <c r="K99" s="898">
        <f>+K10-K54-K53-K49-K50</f>
        <v>0</v>
      </c>
      <c r="L99" s="898">
        <f t="shared" si="102"/>
        <v>0</v>
      </c>
      <c r="M99" s="898">
        <f>+M10-M54-M53-M49-M50</f>
        <v>0</v>
      </c>
      <c r="N99" s="898">
        <f t="shared" si="102"/>
        <v>0</v>
      </c>
      <c r="O99" s="898">
        <f t="shared" si="102"/>
        <v>0</v>
      </c>
      <c r="P99" s="899">
        <f t="shared" si="102"/>
        <v>0</v>
      </c>
    </row>
    <row r="100" spans="1:16" s="759" customFormat="1" ht="14.25" customHeight="1">
      <c r="A100" s="2678"/>
      <c r="B100" s="2680" t="s">
        <v>3981</v>
      </c>
      <c r="C100" s="2244" t="s">
        <v>3982</v>
      </c>
      <c r="D100" s="2245">
        <v>1</v>
      </c>
      <c r="E100" s="2246" t="s">
        <v>4011</v>
      </c>
      <c r="F100" s="2201">
        <f t="shared" si="101"/>
        <v>0</v>
      </c>
      <c r="G100" s="2208">
        <f>IF(G36&gt;G37,+G36+G78+G17-G18-G19-G54,G36+G78)</f>
        <v>0</v>
      </c>
      <c r="H100" s="2208">
        <f t="shared" ref="H100:P100" si="104">IF(H36&gt;H37,+H36+H78+H17-H18-H19-H54,H36+H78)</f>
        <v>0</v>
      </c>
      <c r="I100" s="2208">
        <f t="shared" si="104"/>
        <v>0</v>
      </c>
      <c r="J100" s="2208">
        <f t="shared" ref="J100:K100" si="105">IF(J36&gt;J37,+J36+J78+J17-J18-J19-J54,J36+J78)</f>
        <v>0</v>
      </c>
      <c r="K100" s="2208">
        <f t="shared" si="105"/>
        <v>0</v>
      </c>
      <c r="L100" s="2208">
        <f t="shared" si="104"/>
        <v>0</v>
      </c>
      <c r="M100" s="2208">
        <f t="shared" si="104"/>
        <v>0</v>
      </c>
      <c r="N100" s="2208">
        <f t="shared" si="104"/>
        <v>0</v>
      </c>
      <c r="O100" s="2208">
        <f t="shared" si="104"/>
        <v>0</v>
      </c>
      <c r="P100" s="2209">
        <f t="shared" si="104"/>
        <v>0</v>
      </c>
    </row>
    <row r="101" spans="1:16" s="719" customFormat="1" ht="14.25" customHeight="1">
      <c r="A101" s="2678"/>
      <c r="B101" s="2680"/>
      <c r="C101" s="2247" t="s">
        <v>3983</v>
      </c>
      <c r="D101" s="2248">
        <v>1</v>
      </c>
      <c r="E101" s="2249" t="s">
        <v>4011</v>
      </c>
      <c r="F101" s="2201">
        <f t="shared" si="101"/>
        <v>0</v>
      </c>
      <c r="G101" s="2208">
        <f>IF(G36&gt;G37,+G37+G80,G37+G80+G17-G18-G19-G54)</f>
        <v>0</v>
      </c>
      <c r="H101" s="2208">
        <f t="shared" ref="H101:P101" si="106">IF(H36&gt;H37,+H37+H80,H37+H80+H17-H18-H19-H54)</f>
        <v>0</v>
      </c>
      <c r="I101" s="2208">
        <f t="shared" si="106"/>
        <v>0</v>
      </c>
      <c r="J101" s="2208">
        <f t="shared" ref="J101:K101" si="107">IF(J36&gt;J37,+J37+J80,J37+J80+J17-J18-J19-J54)</f>
        <v>0</v>
      </c>
      <c r="K101" s="2208">
        <f t="shared" si="107"/>
        <v>0</v>
      </c>
      <c r="L101" s="2208">
        <f t="shared" si="106"/>
        <v>0</v>
      </c>
      <c r="M101" s="2208">
        <f t="shared" si="106"/>
        <v>0</v>
      </c>
      <c r="N101" s="2208">
        <f t="shared" si="106"/>
        <v>0</v>
      </c>
      <c r="O101" s="2208">
        <f t="shared" si="106"/>
        <v>0</v>
      </c>
      <c r="P101" s="2209">
        <f t="shared" si="106"/>
        <v>0</v>
      </c>
    </row>
    <row r="102" spans="1:16" s="759" customFormat="1" ht="14.25" customHeight="1">
      <c r="A102" s="2678"/>
      <c r="B102" s="2680"/>
      <c r="C102" s="2244" t="s">
        <v>4012</v>
      </c>
      <c r="D102" s="2245">
        <v>1</v>
      </c>
      <c r="E102" s="2246" t="s">
        <v>4011</v>
      </c>
      <c r="F102" s="2201">
        <f t="shared" si="101"/>
        <v>0</v>
      </c>
      <c r="G102" s="2208">
        <f>+G38+G81</f>
        <v>0</v>
      </c>
      <c r="H102" s="2208">
        <f t="shared" ref="H102:P106" si="108">+H38+H81</f>
        <v>0</v>
      </c>
      <c r="I102" s="2250">
        <f t="shared" si="108"/>
        <v>0</v>
      </c>
      <c r="J102" s="2250">
        <f t="shared" ref="J102:K102" si="109">+J38+J81</f>
        <v>0</v>
      </c>
      <c r="K102" s="2250">
        <f t="shared" si="109"/>
        <v>0</v>
      </c>
      <c r="L102" s="2250">
        <f t="shared" si="108"/>
        <v>0</v>
      </c>
      <c r="M102" s="2250">
        <f t="shared" si="108"/>
        <v>0</v>
      </c>
      <c r="N102" s="2250">
        <f t="shared" si="108"/>
        <v>0</v>
      </c>
      <c r="O102" s="2250">
        <f t="shared" si="108"/>
        <v>0</v>
      </c>
      <c r="P102" s="2251">
        <f t="shared" si="108"/>
        <v>0</v>
      </c>
    </row>
    <row r="103" spans="1:16" s="759" customFormat="1" ht="14.25" customHeight="1">
      <c r="A103" s="2678"/>
      <c r="B103" s="2680"/>
      <c r="C103" s="2244" t="s">
        <v>4013</v>
      </c>
      <c r="D103" s="2245">
        <v>1</v>
      </c>
      <c r="E103" s="2246" t="s">
        <v>4011</v>
      </c>
      <c r="F103" s="2201">
        <f t="shared" si="101"/>
        <v>0</v>
      </c>
      <c r="G103" s="2250">
        <f>+G39+G82</f>
        <v>0</v>
      </c>
      <c r="H103" s="2250">
        <f t="shared" si="108"/>
        <v>0</v>
      </c>
      <c r="I103" s="2250">
        <f t="shared" si="108"/>
        <v>0</v>
      </c>
      <c r="J103" s="2250">
        <f t="shared" ref="J103:K103" si="110">+J39+J82</f>
        <v>0</v>
      </c>
      <c r="K103" s="2250">
        <f t="shared" si="110"/>
        <v>0</v>
      </c>
      <c r="L103" s="2250">
        <f t="shared" si="108"/>
        <v>0</v>
      </c>
      <c r="M103" s="2250">
        <f t="shared" si="108"/>
        <v>0</v>
      </c>
      <c r="N103" s="2250">
        <f t="shared" si="108"/>
        <v>0</v>
      </c>
      <c r="O103" s="2250">
        <f t="shared" si="108"/>
        <v>0</v>
      </c>
      <c r="P103" s="2251">
        <f t="shared" si="108"/>
        <v>0</v>
      </c>
    </row>
    <row r="104" spans="1:16" s="759" customFormat="1" ht="14.25" customHeight="1">
      <c r="A104" s="2678"/>
      <c r="B104" s="2680" t="s">
        <v>3986</v>
      </c>
      <c r="C104" s="2252" t="s">
        <v>4014</v>
      </c>
      <c r="D104" s="2245">
        <v>1</v>
      </c>
      <c r="E104" s="2253">
        <v>0.02</v>
      </c>
      <c r="F104" s="2201">
        <f t="shared" si="101"/>
        <v>0</v>
      </c>
      <c r="G104" s="2250">
        <f>+G40+G83</f>
        <v>0</v>
      </c>
      <c r="H104" s="2250">
        <f t="shared" si="108"/>
        <v>0</v>
      </c>
      <c r="I104" s="2250">
        <f t="shared" si="108"/>
        <v>0</v>
      </c>
      <c r="J104" s="2250">
        <f t="shared" ref="J104:K104" si="111">+J40+J83</f>
        <v>0</v>
      </c>
      <c r="K104" s="2250">
        <f t="shared" si="111"/>
        <v>0</v>
      </c>
      <c r="L104" s="2250">
        <f t="shared" si="108"/>
        <v>0</v>
      </c>
      <c r="M104" s="2250">
        <f t="shared" si="108"/>
        <v>0</v>
      </c>
      <c r="N104" s="2250">
        <f t="shared" si="108"/>
        <v>0</v>
      </c>
      <c r="O104" s="2250">
        <f t="shared" si="108"/>
        <v>0</v>
      </c>
      <c r="P104" s="2251">
        <f t="shared" si="108"/>
        <v>0</v>
      </c>
    </row>
    <row r="105" spans="1:16" s="759" customFormat="1" ht="14.25" customHeight="1">
      <c r="A105" s="2678"/>
      <c r="B105" s="2680"/>
      <c r="C105" s="2252" t="s">
        <v>4015</v>
      </c>
      <c r="D105" s="2245">
        <v>1</v>
      </c>
      <c r="E105" s="2253">
        <v>0.02</v>
      </c>
      <c r="F105" s="2201">
        <f t="shared" si="101"/>
        <v>0</v>
      </c>
      <c r="G105" s="2250">
        <f>+G41+G84</f>
        <v>0</v>
      </c>
      <c r="H105" s="2250">
        <f t="shared" si="108"/>
        <v>0</v>
      </c>
      <c r="I105" s="2250">
        <f t="shared" si="108"/>
        <v>0</v>
      </c>
      <c r="J105" s="2250">
        <f t="shared" ref="J105:K105" si="112">+J41+J84</f>
        <v>0</v>
      </c>
      <c r="K105" s="2250">
        <f t="shared" si="112"/>
        <v>0</v>
      </c>
      <c r="L105" s="2250">
        <f t="shared" si="108"/>
        <v>0</v>
      </c>
      <c r="M105" s="2250">
        <f t="shared" si="108"/>
        <v>0</v>
      </c>
      <c r="N105" s="2250">
        <f t="shared" si="108"/>
        <v>0</v>
      </c>
      <c r="O105" s="2250">
        <f t="shared" si="108"/>
        <v>0</v>
      </c>
      <c r="P105" s="2251">
        <f t="shared" si="108"/>
        <v>0</v>
      </c>
    </row>
    <row r="106" spans="1:16" s="759" customFormat="1" ht="14.25" customHeight="1">
      <c r="A106" s="2678"/>
      <c r="B106" s="2680"/>
      <c r="C106" s="2252" t="s">
        <v>3989</v>
      </c>
      <c r="D106" s="2245">
        <v>1</v>
      </c>
      <c r="E106" s="2253">
        <v>0.02</v>
      </c>
      <c r="F106" s="2201">
        <f t="shared" si="101"/>
        <v>0</v>
      </c>
      <c r="G106" s="2250">
        <f>+G42+G85</f>
        <v>0</v>
      </c>
      <c r="H106" s="2250">
        <f t="shared" si="108"/>
        <v>0</v>
      </c>
      <c r="I106" s="2250">
        <f t="shared" si="108"/>
        <v>0</v>
      </c>
      <c r="J106" s="2250">
        <f t="shared" ref="J106:K106" si="113">+J42+J85</f>
        <v>0</v>
      </c>
      <c r="K106" s="2250">
        <f t="shared" si="113"/>
        <v>0</v>
      </c>
      <c r="L106" s="2250">
        <f t="shared" si="108"/>
        <v>0</v>
      </c>
      <c r="M106" s="2250">
        <f t="shared" si="108"/>
        <v>0</v>
      </c>
      <c r="N106" s="2250">
        <f t="shared" si="108"/>
        <v>0</v>
      </c>
      <c r="O106" s="2250">
        <f t="shared" si="108"/>
        <v>0</v>
      </c>
      <c r="P106" s="2251">
        <f t="shared" si="108"/>
        <v>0</v>
      </c>
    </row>
    <row r="107" spans="1:16" s="759" customFormat="1" ht="14.25" customHeight="1">
      <c r="A107" s="2678"/>
      <c r="B107" s="2680"/>
      <c r="C107" s="2252" t="s">
        <v>3990</v>
      </c>
      <c r="D107" s="2245"/>
      <c r="E107" s="2253"/>
      <c r="F107" s="2201"/>
      <c r="G107" s="2250"/>
      <c r="H107" s="2250"/>
      <c r="I107" s="2250"/>
      <c r="J107" s="2250"/>
      <c r="K107" s="2250"/>
      <c r="L107" s="2250"/>
      <c r="M107" s="2250"/>
      <c r="N107" s="2250"/>
      <c r="O107" s="2250"/>
      <c r="P107" s="2251"/>
    </row>
    <row r="108" spans="1:16" s="759" customFormat="1" ht="14.25" customHeight="1">
      <c r="A108" s="2678"/>
      <c r="B108" s="2680"/>
      <c r="C108" s="2252" t="s">
        <v>3991</v>
      </c>
      <c r="D108" s="2245"/>
      <c r="E108" s="2253"/>
      <c r="F108" s="2201"/>
      <c r="G108" s="2250"/>
      <c r="H108" s="2250"/>
      <c r="I108" s="2250"/>
      <c r="J108" s="2250"/>
      <c r="K108" s="2250"/>
      <c r="L108" s="2250"/>
      <c r="M108" s="2250"/>
      <c r="N108" s="2250"/>
      <c r="O108" s="2250"/>
      <c r="P108" s="2251"/>
    </row>
    <row r="109" spans="1:16" s="759" customFormat="1" ht="14.25" customHeight="1">
      <c r="A109" s="2678"/>
      <c r="B109" s="2680"/>
      <c r="C109" s="2252" t="s">
        <v>3992</v>
      </c>
      <c r="D109" s="2245">
        <v>1</v>
      </c>
      <c r="E109" s="2253">
        <v>0.02</v>
      </c>
      <c r="F109" s="2201">
        <f>SUM(G109:P109)</f>
        <v>0</v>
      </c>
      <c r="G109" s="2250">
        <f t="shared" ref="G109:P112" si="114">+G45+G88</f>
        <v>0</v>
      </c>
      <c r="H109" s="2250">
        <f t="shared" si="114"/>
        <v>0</v>
      </c>
      <c r="I109" s="2250">
        <f t="shared" si="114"/>
        <v>0</v>
      </c>
      <c r="J109" s="2250">
        <f t="shared" ref="J109:K109" si="115">+J45+J88</f>
        <v>0</v>
      </c>
      <c r="K109" s="2250">
        <f t="shared" si="115"/>
        <v>0</v>
      </c>
      <c r="L109" s="2250">
        <f t="shared" si="114"/>
        <v>0</v>
      </c>
      <c r="M109" s="2250">
        <f t="shared" si="114"/>
        <v>0</v>
      </c>
      <c r="N109" s="2250">
        <f t="shared" si="114"/>
        <v>0</v>
      </c>
      <c r="O109" s="2250">
        <f t="shared" si="114"/>
        <v>0</v>
      </c>
      <c r="P109" s="2251">
        <f t="shared" si="114"/>
        <v>0</v>
      </c>
    </row>
    <row r="110" spans="1:16" s="759" customFormat="1" ht="14.25" customHeight="1">
      <c r="A110" s="2678"/>
      <c r="B110" s="2680"/>
      <c r="C110" s="2254" t="s">
        <v>3993</v>
      </c>
      <c r="D110" s="2245">
        <v>1</v>
      </c>
      <c r="E110" s="2253">
        <v>0.02</v>
      </c>
      <c r="F110" s="2201">
        <f>SUM(G110:P110)</f>
        <v>0</v>
      </c>
      <c r="G110" s="2250">
        <f t="shared" si="114"/>
        <v>0</v>
      </c>
      <c r="H110" s="2250">
        <f t="shared" si="114"/>
        <v>0</v>
      </c>
      <c r="I110" s="2250">
        <f t="shared" si="114"/>
        <v>0</v>
      </c>
      <c r="J110" s="2250">
        <f t="shared" ref="J110:K110" si="116">+J46+J89</f>
        <v>0</v>
      </c>
      <c r="K110" s="2250">
        <f t="shared" si="116"/>
        <v>0</v>
      </c>
      <c r="L110" s="2250">
        <f t="shared" si="114"/>
        <v>0</v>
      </c>
      <c r="M110" s="2250">
        <f t="shared" si="114"/>
        <v>0</v>
      </c>
      <c r="N110" s="2250">
        <f t="shared" si="114"/>
        <v>0</v>
      </c>
      <c r="O110" s="2250">
        <f t="shared" si="114"/>
        <v>0</v>
      </c>
      <c r="P110" s="2251">
        <f t="shared" si="114"/>
        <v>0</v>
      </c>
    </row>
    <row r="111" spans="1:16" s="759" customFormat="1" ht="14.25" customHeight="1">
      <c r="A111" s="2678"/>
      <c r="B111" s="2680"/>
      <c r="C111" s="2254" t="s">
        <v>3994</v>
      </c>
      <c r="D111" s="2245">
        <v>1</v>
      </c>
      <c r="E111" s="2253">
        <v>0.02</v>
      </c>
      <c r="F111" s="2201">
        <f>SUM(G111:P111)</f>
        <v>0</v>
      </c>
      <c r="G111" s="2250">
        <f t="shared" si="114"/>
        <v>0</v>
      </c>
      <c r="H111" s="2250">
        <f t="shared" si="114"/>
        <v>0</v>
      </c>
      <c r="I111" s="2250">
        <f t="shared" si="114"/>
        <v>0</v>
      </c>
      <c r="J111" s="2250">
        <f t="shared" ref="J111:K111" si="117">+J47+J90</f>
        <v>0</v>
      </c>
      <c r="K111" s="2250">
        <f t="shared" si="117"/>
        <v>0</v>
      </c>
      <c r="L111" s="2250">
        <f t="shared" si="114"/>
        <v>0</v>
      </c>
      <c r="M111" s="2250">
        <f t="shared" si="114"/>
        <v>0</v>
      </c>
      <c r="N111" s="2250">
        <f t="shared" si="114"/>
        <v>0</v>
      </c>
      <c r="O111" s="2250">
        <f t="shared" si="114"/>
        <v>0</v>
      </c>
      <c r="P111" s="2251">
        <f t="shared" si="114"/>
        <v>0</v>
      </c>
    </row>
    <row r="112" spans="1:16" s="759" customFormat="1" ht="14.25" customHeight="1">
      <c r="A112" s="2678"/>
      <c r="B112" s="2680"/>
      <c r="C112" s="2252" t="s">
        <v>3995</v>
      </c>
      <c r="D112" s="2245">
        <v>1</v>
      </c>
      <c r="E112" s="2253">
        <v>0.02</v>
      </c>
      <c r="F112" s="2201">
        <f>SUM(G112:P112)</f>
        <v>0</v>
      </c>
      <c r="G112" s="2250">
        <f t="shared" si="114"/>
        <v>0</v>
      </c>
      <c r="H112" s="2250">
        <f t="shared" si="114"/>
        <v>0</v>
      </c>
      <c r="I112" s="2250">
        <f t="shared" si="114"/>
        <v>0</v>
      </c>
      <c r="J112" s="2250">
        <f t="shared" ref="J112:K112" si="118">+J48+J91</f>
        <v>0</v>
      </c>
      <c r="K112" s="2250">
        <f t="shared" si="118"/>
        <v>0</v>
      </c>
      <c r="L112" s="2250">
        <f t="shared" si="114"/>
        <v>0</v>
      </c>
      <c r="M112" s="2250">
        <f t="shared" si="114"/>
        <v>0</v>
      </c>
      <c r="N112" s="2250">
        <f t="shared" si="114"/>
        <v>0</v>
      </c>
      <c r="O112" s="2250">
        <f t="shared" si="114"/>
        <v>0</v>
      </c>
      <c r="P112" s="2251">
        <f t="shared" si="114"/>
        <v>0</v>
      </c>
    </row>
    <row r="113" spans="1:16" s="759" customFormat="1" ht="14.25" customHeight="1">
      <c r="A113" s="2679"/>
      <c r="B113" s="2255" t="s">
        <v>4016</v>
      </c>
      <c r="C113" s="2256" t="s">
        <v>4033</v>
      </c>
      <c r="D113" s="2257">
        <v>1</v>
      </c>
      <c r="E113" s="2258">
        <v>0</v>
      </c>
      <c r="F113" s="2259">
        <f>SUM(G113:P113)</f>
        <v>388791162</v>
      </c>
      <c r="G113" s="2260">
        <f>SUM(G49:G55)</f>
        <v>33425885</v>
      </c>
      <c r="H113" s="2260">
        <f t="shared" ref="H113:P113" si="119">SUM(H49:H55)</f>
        <v>22318883</v>
      </c>
      <c r="I113" s="2260">
        <f t="shared" si="119"/>
        <v>2131661</v>
      </c>
      <c r="J113" s="2260">
        <f t="shared" ref="J113" si="120">SUM(J49:J55)</f>
        <v>107929486</v>
      </c>
      <c r="K113" s="2260">
        <f>SUM(K49:K55)</f>
        <v>10208163</v>
      </c>
      <c r="L113" s="2260">
        <f t="shared" si="119"/>
        <v>44795961</v>
      </c>
      <c r="M113" s="2260">
        <f>SUM(M49:M55)</f>
        <v>28913934</v>
      </c>
      <c r="N113" s="2260">
        <f t="shared" si="119"/>
        <v>139067189</v>
      </c>
      <c r="O113" s="2260">
        <f t="shared" si="119"/>
        <v>0</v>
      </c>
      <c r="P113" s="2261">
        <f t="shared" si="119"/>
        <v>0</v>
      </c>
    </row>
    <row r="114" spans="1:16" s="759" customFormat="1" ht="14.25" customHeight="1">
      <c r="A114" s="918"/>
      <c r="B114" s="919"/>
      <c r="C114" s="920"/>
      <c r="D114" s="2681"/>
      <c r="E114" s="2681"/>
      <c r="F114" s="896"/>
      <c r="G114" s="897"/>
      <c r="H114" s="897"/>
      <c r="I114" s="897"/>
      <c r="J114" s="897"/>
      <c r="K114" s="897"/>
      <c r="L114" s="897"/>
      <c r="M114" s="897"/>
      <c r="N114" s="897"/>
      <c r="O114" s="897"/>
      <c r="P114" s="921"/>
    </row>
    <row r="115" spans="1:16" s="759" customFormat="1" ht="14.25" customHeight="1">
      <c r="A115" s="2683" t="s">
        <v>4034</v>
      </c>
      <c r="B115" s="2683"/>
      <c r="C115" s="2675"/>
      <c r="D115" s="2682"/>
      <c r="E115" s="2682"/>
      <c r="F115" s="889"/>
      <c r="G115" s="890"/>
      <c r="H115" s="890"/>
      <c r="I115" s="890"/>
      <c r="J115" s="890"/>
      <c r="K115" s="890"/>
      <c r="L115" s="890"/>
      <c r="M115" s="890"/>
      <c r="N115" s="890"/>
      <c r="O115" s="890"/>
      <c r="P115" s="891"/>
    </row>
    <row r="116" spans="1:16" s="759" customFormat="1" ht="14.25" customHeight="1">
      <c r="A116" s="2677"/>
      <c r="B116" s="2684" t="s">
        <v>3981</v>
      </c>
      <c r="C116" s="922" t="s">
        <v>3982</v>
      </c>
      <c r="D116" s="923"/>
      <c r="E116" s="924" t="s">
        <v>4011</v>
      </c>
      <c r="F116" s="925" t="s">
        <v>4019</v>
      </c>
      <c r="G116" s="926">
        <f>IF(G100=0,0,+G200/100)</f>
        <v>0</v>
      </c>
      <c r="H116" s="926">
        <f t="shared" ref="H116:P116" si="121">IF(H100=0,0,+H200/100)</f>
        <v>0</v>
      </c>
      <c r="I116" s="926">
        <f t="shared" si="121"/>
        <v>0</v>
      </c>
      <c r="J116" s="926">
        <f t="shared" ref="J116" si="122">IF(J100=0,0,+J200/100)</f>
        <v>0</v>
      </c>
      <c r="K116" s="926">
        <f>IF(K100=0,0,+K200/100)</f>
        <v>0</v>
      </c>
      <c r="L116" s="926">
        <f t="shared" si="121"/>
        <v>0</v>
      </c>
      <c r="M116" s="926">
        <f>IF(M100=0,0,+M200/100)</f>
        <v>0</v>
      </c>
      <c r="N116" s="926">
        <f t="shared" si="121"/>
        <v>0</v>
      </c>
      <c r="O116" s="926">
        <f t="shared" si="121"/>
        <v>0</v>
      </c>
      <c r="P116" s="927">
        <f t="shared" si="121"/>
        <v>0</v>
      </c>
    </row>
    <row r="117" spans="1:16" s="759" customFormat="1" ht="14.25" customHeight="1">
      <c r="A117" s="2678"/>
      <c r="B117" s="2685"/>
      <c r="C117" s="928"/>
      <c r="D117" s="929">
        <f>+D100</f>
        <v>1</v>
      </c>
      <c r="E117" s="2262" t="s">
        <v>4011</v>
      </c>
      <c r="F117" s="2263">
        <f>SUM(G117:P117)</f>
        <v>0</v>
      </c>
      <c r="G117" s="748">
        <f>ROUNDDOWN(G100*G116*$D117,0)</f>
        <v>0</v>
      </c>
      <c r="H117" s="748">
        <f t="shared" ref="H117:P117" si="123">ROUNDDOWN(H100*H116*$D117,0)</f>
        <v>0</v>
      </c>
      <c r="I117" s="748">
        <f t="shared" si="123"/>
        <v>0</v>
      </c>
      <c r="J117" s="748">
        <f t="shared" ref="J117" si="124">ROUNDDOWN(J100*J116*$D117,0)</f>
        <v>0</v>
      </c>
      <c r="K117" s="748">
        <f>ROUNDDOWN(K100*K116*$D117,0)</f>
        <v>0</v>
      </c>
      <c r="L117" s="748">
        <f t="shared" si="123"/>
        <v>0</v>
      </c>
      <c r="M117" s="748">
        <f>ROUNDDOWN(M100*M116*$D117,0)</f>
        <v>0</v>
      </c>
      <c r="N117" s="748">
        <f t="shared" si="123"/>
        <v>0</v>
      </c>
      <c r="O117" s="748">
        <f t="shared" si="123"/>
        <v>0</v>
      </c>
      <c r="P117" s="932">
        <f t="shared" si="123"/>
        <v>0</v>
      </c>
    </row>
    <row r="118" spans="1:16" s="759" customFormat="1" ht="14.25" customHeight="1">
      <c r="A118" s="2678"/>
      <c r="B118" s="2680"/>
      <c r="C118" s="2264" t="s">
        <v>3983</v>
      </c>
      <c r="D118" s="2265"/>
      <c r="E118" s="2262" t="s">
        <v>4011</v>
      </c>
      <c r="F118" s="2266" t="s">
        <v>4019</v>
      </c>
      <c r="G118" s="2267">
        <f>IF(G101=0,0,+G208/100)</f>
        <v>0</v>
      </c>
      <c r="H118" s="2268">
        <f t="shared" ref="H118:P118" si="125">IF(H101=0,0,+H208/100)</f>
        <v>0</v>
      </c>
      <c r="I118" s="2268">
        <f t="shared" si="125"/>
        <v>0</v>
      </c>
      <c r="J118" s="2268">
        <f t="shared" ref="J118" si="126">IF(J101=0,0,+J208/100)</f>
        <v>0</v>
      </c>
      <c r="K118" s="2268">
        <f>IF(K101=0,0,+K208/100)</f>
        <v>0</v>
      </c>
      <c r="L118" s="2268">
        <f t="shared" si="125"/>
        <v>0</v>
      </c>
      <c r="M118" s="2268">
        <f>IF(M101=0,0,+M208/100)</f>
        <v>0</v>
      </c>
      <c r="N118" s="2268">
        <f t="shared" si="125"/>
        <v>0</v>
      </c>
      <c r="O118" s="2268">
        <f t="shared" si="125"/>
        <v>0</v>
      </c>
      <c r="P118" s="2269">
        <f t="shared" si="125"/>
        <v>0</v>
      </c>
    </row>
    <row r="119" spans="1:16" s="759" customFormat="1" ht="14.25" customHeight="1">
      <c r="A119" s="2678"/>
      <c r="B119" s="2680"/>
      <c r="C119" s="928"/>
      <c r="D119" s="939">
        <f t="shared" ref="D119:D124" si="127">+D101</f>
        <v>1</v>
      </c>
      <c r="E119" s="2262" t="s">
        <v>4011</v>
      </c>
      <c r="F119" s="2263">
        <f t="shared" ref="F119:F124" si="128">SUM(G119:P119)</f>
        <v>0</v>
      </c>
      <c r="G119" s="748">
        <f>ROUNDDOWN(G101*G118*$D119,0)</f>
        <v>0</v>
      </c>
      <c r="H119" s="748">
        <f t="shared" ref="H119:P119" si="129">ROUNDDOWN(H101*H118*$D119,0)</f>
        <v>0</v>
      </c>
      <c r="I119" s="748">
        <f t="shared" si="129"/>
        <v>0</v>
      </c>
      <c r="J119" s="748">
        <f t="shared" ref="J119" si="130">ROUNDDOWN(J101*J118*$D119,0)</f>
        <v>0</v>
      </c>
      <c r="K119" s="748">
        <f>ROUNDDOWN(K101*K118*$D119,0)</f>
        <v>0</v>
      </c>
      <c r="L119" s="748">
        <f t="shared" si="129"/>
        <v>0</v>
      </c>
      <c r="M119" s="748">
        <f>ROUNDDOWN(M101*M118*$D119,0)</f>
        <v>0</v>
      </c>
      <c r="N119" s="748">
        <f t="shared" si="129"/>
        <v>0</v>
      </c>
      <c r="O119" s="748">
        <f t="shared" si="129"/>
        <v>0</v>
      </c>
      <c r="P119" s="932">
        <f t="shared" si="129"/>
        <v>0</v>
      </c>
    </row>
    <row r="120" spans="1:16" s="759" customFormat="1" ht="14.25" customHeight="1">
      <c r="A120" s="2678"/>
      <c r="B120" s="2680"/>
      <c r="C120" s="2244" t="s">
        <v>4020</v>
      </c>
      <c r="D120" s="2270">
        <f t="shared" si="127"/>
        <v>1</v>
      </c>
      <c r="E120" s="2262" t="s">
        <v>4011</v>
      </c>
      <c r="F120" s="2263">
        <f t="shared" si="128"/>
        <v>0</v>
      </c>
      <c r="G120" s="748">
        <f t="shared" ref="G120:P120" si="131">ROUNDDOWN(G102*G116*$D120,0)</f>
        <v>0</v>
      </c>
      <c r="H120" s="748">
        <f t="shared" si="131"/>
        <v>0</v>
      </c>
      <c r="I120" s="748">
        <f t="shared" si="131"/>
        <v>0</v>
      </c>
      <c r="J120" s="748">
        <f t="shared" ref="J120" si="132">ROUNDDOWN(J102*J116*$D120,0)</f>
        <v>0</v>
      </c>
      <c r="K120" s="748">
        <f>ROUNDDOWN(K102*K116*$D120,0)</f>
        <v>0</v>
      </c>
      <c r="L120" s="748">
        <f t="shared" si="131"/>
        <v>0</v>
      </c>
      <c r="M120" s="748">
        <f>ROUNDDOWN(M102*M116*$D120,0)</f>
        <v>0</v>
      </c>
      <c r="N120" s="748">
        <f t="shared" si="131"/>
        <v>0</v>
      </c>
      <c r="O120" s="748">
        <f t="shared" si="131"/>
        <v>0</v>
      </c>
      <c r="P120" s="932">
        <f t="shared" si="131"/>
        <v>0</v>
      </c>
    </row>
    <row r="121" spans="1:16" s="759" customFormat="1" ht="14.25" customHeight="1">
      <c r="A121" s="2678"/>
      <c r="B121" s="2680"/>
      <c r="C121" s="2244" t="s">
        <v>4021</v>
      </c>
      <c r="D121" s="2270">
        <f t="shared" si="127"/>
        <v>1</v>
      </c>
      <c r="E121" s="2262" t="s">
        <v>4011</v>
      </c>
      <c r="F121" s="2263">
        <f t="shared" si="128"/>
        <v>0</v>
      </c>
      <c r="G121" s="748">
        <f>ROUNDDOWN(G103*G118*$D121,0)</f>
        <v>0</v>
      </c>
      <c r="H121" s="748">
        <f t="shared" ref="H121:P121" si="133">ROUNDDOWN(H103*H118*$D121,0)</f>
        <v>0</v>
      </c>
      <c r="I121" s="748">
        <f t="shared" si="133"/>
        <v>0</v>
      </c>
      <c r="J121" s="748">
        <f t="shared" ref="J121" si="134">ROUNDDOWN(J103*J118*$D121,0)</f>
        <v>0</v>
      </c>
      <c r="K121" s="748">
        <f>ROUNDDOWN(K103*K118*$D121,0)</f>
        <v>0</v>
      </c>
      <c r="L121" s="748">
        <f t="shared" si="133"/>
        <v>0</v>
      </c>
      <c r="M121" s="748">
        <f>ROUNDDOWN(M103*M118*$D121,0)</f>
        <v>0</v>
      </c>
      <c r="N121" s="748">
        <f t="shared" si="133"/>
        <v>0</v>
      </c>
      <c r="O121" s="748">
        <f t="shared" si="133"/>
        <v>0</v>
      </c>
      <c r="P121" s="932">
        <f t="shared" si="133"/>
        <v>0</v>
      </c>
    </row>
    <row r="122" spans="1:16" s="759" customFormat="1" ht="14.25" customHeight="1">
      <c r="A122" s="2678"/>
      <c r="B122" s="2680" t="s">
        <v>3986</v>
      </c>
      <c r="C122" s="2252" t="s">
        <v>4014</v>
      </c>
      <c r="D122" s="2270">
        <f t="shared" si="127"/>
        <v>1</v>
      </c>
      <c r="E122" s="2253">
        <f>+E104</f>
        <v>0.02</v>
      </c>
      <c r="F122" s="2263">
        <f t="shared" si="128"/>
        <v>0</v>
      </c>
      <c r="G122" s="748">
        <f t="shared" ref="G122:P124" si="135">ROUNDDOWN(G104*$E122*$D122,0)</f>
        <v>0</v>
      </c>
      <c r="H122" s="748">
        <f t="shared" si="135"/>
        <v>0</v>
      </c>
      <c r="I122" s="748">
        <f t="shared" si="135"/>
        <v>0</v>
      </c>
      <c r="J122" s="748">
        <f t="shared" ref="J122:K122" si="136">ROUNDDOWN(J104*$E122*$D122,0)</f>
        <v>0</v>
      </c>
      <c r="K122" s="748">
        <f t="shared" si="136"/>
        <v>0</v>
      </c>
      <c r="L122" s="748">
        <f t="shared" si="135"/>
        <v>0</v>
      </c>
      <c r="M122" s="748">
        <f t="shared" si="135"/>
        <v>0</v>
      </c>
      <c r="N122" s="748">
        <f t="shared" si="135"/>
        <v>0</v>
      </c>
      <c r="O122" s="748">
        <f t="shared" si="135"/>
        <v>0</v>
      </c>
      <c r="P122" s="932">
        <f t="shared" si="135"/>
        <v>0</v>
      </c>
    </row>
    <row r="123" spans="1:16" s="759" customFormat="1" ht="14.25" customHeight="1">
      <c r="A123" s="2678"/>
      <c r="B123" s="2680"/>
      <c r="C123" s="2252" t="s">
        <v>4022</v>
      </c>
      <c r="D123" s="2270">
        <f t="shared" si="127"/>
        <v>1</v>
      </c>
      <c r="E123" s="2253">
        <f>+E105</f>
        <v>0.02</v>
      </c>
      <c r="F123" s="2263">
        <f t="shared" si="128"/>
        <v>0</v>
      </c>
      <c r="G123" s="748">
        <f t="shared" si="135"/>
        <v>0</v>
      </c>
      <c r="H123" s="748">
        <f t="shared" si="135"/>
        <v>0</v>
      </c>
      <c r="I123" s="748">
        <f t="shared" si="135"/>
        <v>0</v>
      </c>
      <c r="J123" s="748">
        <f t="shared" ref="J123" si="137">ROUNDDOWN(J105*$E123*$D123,0)</f>
        <v>0</v>
      </c>
      <c r="K123" s="748">
        <f>ROUNDDOWN(K105*$E123*$D123,0)</f>
        <v>0</v>
      </c>
      <c r="L123" s="748">
        <f t="shared" si="135"/>
        <v>0</v>
      </c>
      <c r="M123" s="748">
        <f>ROUNDDOWN(M105*$E123*$D123,0)</f>
        <v>0</v>
      </c>
      <c r="N123" s="748">
        <f t="shared" si="135"/>
        <v>0</v>
      </c>
      <c r="O123" s="748">
        <f t="shared" si="135"/>
        <v>0</v>
      </c>
      <c r="P123" s="932">
        <f t="shared" si="135"/>
        <v>0</v>
      </c>
    </row>
    <row r="124" spans="1:16" s="759" customFormat="1" ht="14.25" customHeight="1">
      <c r="A124" s="2678"/>
      <c r="B124" s="2680"/>
      <c r="C124" s="2252" t="s">
        <v>3989</v>
      </c>
      <c r="D124" s="2270">
        <f t="shared" si="127"/>
        <v>1</v>
      </c>
      <c r="E124" s="2253">
        <f>+E106</f>
        <v>0.02</v>
      </c>
      <c r="F124" s="2263">
        <f t="shared" si="128"/>
        <v>0</v>
      </c>
      <c r="G124" s="748">
        <f>ROUNDDOWN(G106*$E124*$D124,0)</f>
        <v>0</v>
      </c>
      <c r="H124" s="748">
        <f t="shared" si="135"/>
        <v>0</v>
      </c>
      <c r="I124" s="748">
        <f t="shared" si="135"/>
        <v>0</v>
      </c>
      <c r="J124" s="748">
        <f t="shared" ref="J124" si="138">ROUNDDOWN(J106*$E124*$D124,0)</f>
        <v>0</v>
      </c>
      <c r="K124" s="748">
        <f>ROUNDDOWN(K106*$E124*$D124,0)</f>
        <v>0</v>
      </c>
      <c r="L124" s="748">
        <f t="shared" si="135"/>
        <v>0</v>
      </c>
      <c r="M124" s="748">
        <f>ROUNDDOWN(M106*$E124*$D124,0)</f>
        <v>0</v>
      </c>
      <c r="N124" s="748">
        <f t="shared" si="135"/>
        <v>0</v>
      </c>
      <c r="O124" s="748">
        <f t="shared" si="135"/>
        <v>0</v>
      </c>
      <c r="P124" s="932">
        <f t="shared" si="135"/>
        <v>0</v>
      </c>
    </row>
    <row r="125" spans="1:16" s="759" customFormat="1" ht="14.25" customHeight="1">
      <c r="A125" s="2678"/>
      <c r="B125" s="2680"/>
      <c r="C125" s="2252" t="s">
        <v>3990</v>
      </c>
      <c r="D125" s="2270"/>
      <c r="E125" s="2253"/>
      <c r="F125" s="2263"/>
      <c r="G125" s="748"/>
      <c r="H125" s="748"/>
      <c r="I125" s="748"/>
      <c r="J125" s="748"/>
      <c r="K125" s="748"/>
      <c r="L125" s="748"/>
      <c r="M125" s="748"/>
      <c r="N125" s="748"/>
      <c r="O125" s="748"/>
      <c r="P125" s="932"/>
    </row>
    <row r="126" spans="1:16" s="759" customFormat="1" ht="14.25" customHeight="1">
      <c r="A126" s="2678"/>
      <c r="B126" s="2680"/>
      <c r="C126" s="2271"/>
      <c r="D126" s="2270"/>
      <c r="E126" s="2253"/>
      <c r="F126" s="2263"/>
      <c r="G126" s="748"/>
      <c r="H126" s="748"/>
      <c r="I126" s="748"/>
      <c r="J126" s="748"/>
      <c r="K126" s="748"/>
      <c r="L126" s="748"/>
      <c r="M126" s="748"/>
      <c r="N126" s="748"/>
      <c r="O126" s="748"/>
      <c r="P126" s="932"/>
    </row>
    <row r="127" spans="1:16" s="759" customFormat="1" ht="14.25" customHeight="1">
      <c r="A127" s="2678"/>
      <c r="B127" s="2680"/>
      <c r="C127" s="2252" t="s">
        <v>3992</v>
      </c>
      <c r="D127" s="2270">
        <f t="shared" ref="D127:E130" si="139">+D109</f>
        <v>1</v>
      </c>
      <c r="E127" s="2253">
        <f t="shared" si="139"/>
        <v>0.02</v>
      </c>
      <c r="F127" s="2263">
        <f t="shared" ref="F127:F135" si="140">SUM(G127:P127)</f>
        <v>0</v>
      </c>
      <c r="G127" s="748">
        <f t="shared" ref="G127:P130" si="141">ROUNDDOWN(G109*$E127*$D127,0)</f>
        <v>0</v>
      </c>
      <c r="H127" s="748">
        <f t="shared" si="141"/>
        <v>0</v>
      </c>
      <c r="I127" s="748">
        <f t="shared" si="141"/>
        <v>0</v>
      </c>
      <c r="J127" s="748">
        <f t="shared" ref="J127" si="142">ROUNDDOWN(J109*$E127*$D127,0)</f>
        <v>0</v>
      </c>
      <c r="K127" s="748">
        <f>ROUNDDOWN(K109*$E127*$D127,0)</f>
        <v>0</v>
      </c>
      <c r="L127" s="748">
        <f t="shared" si="141"/>
        <v>0</v>
      </c>
      <c r="M127" s="748">
        <f>ROUNDDOWN(M109*$E127*$D127,0)</f>
        <v>0</v>
      </c>
      <c r="N127" s="748">
        <f t="shared" si="141"/>
        <v>0</v>
      </c>
      <c r="O127" s="748">
        <f t="shared" si="141"/>
        <v>0</v>
      </c>
      <c r="P127" s="932">
        <f t="shared" si="141"/>
        <v>0</v>
      </c>
    </row>
    <row r="128" spans="1:16" s="759" customFormat="1" ht="14.25" customHeight="1">
      <c r="A128" s="2678"/>
      <c r="B128" s="2680"/>
      <c r="C128" s="2254" t="s">
        <v>3993</v>
      </c>
      <c r="D128" s="2270">
        <f t="shared" si="139"/>
        <v>1</v>
      </c>
      <c r="E128" s="2253">
        <f t="shared" si="139"/>
        <v>0.02</v>
      </c>
      <c r="F128" s="2263">
        <f t="shared" si="140"/>
        <v>0</v>
      </c>
      <c r="G128" s="748">
        <f t="shared" si="141"/>
        <v>0</v>
      </c>
      <c r="H128" s="748">
        <f t="shared" si="141"/>
        <v>0</v>
      </c>
      <c r="I128" s="748">
        <f t="shared" si="141"/>
        <v>0</v>
      </c>
      <c r="J128" s="748">
        <f t="shared" ref="J128" si="143">ROUNDDOWN(J110*$E128*$D128,0)</f>
        <v>0</v>
      </c>
      <c r="K128" s="748">
        <f>ROUNDDOWN(K110*$E128*$D128,0)</f>
        <v>0</v>
      </c>
      <c r="L128" s="748">
        <f t="shared" si="141"/>
        <v>0</v>
      </c>
      <c r="M128" s="748">
        <f>ROUNDDOWN(M110*$E128*$D128,0)</f>
        <v>0</v>
      </c>
      <c r="N128" s="748">
        <f t="shared" si="141"/>
        <v>0</v>
      </c>
      <c r="O128" s="748">
        <f t="shared" si="141"/>
        <v>0</v>
      </c>
      <c r="P128" s="932">
        <f t="shared" si="141"/>
        <v>0</v>
      </c>
    </row>
    <row r="129" spans="1:16" s="759" customFormat="1" ht="14.25" customHeight="1">
      <c r="A129" s="2678"/>
      <c r="B129" s="2680"/>
      <c r="C129" s="2254" t="s">
        <v>3994</v>
      </c>
      <c r="D129" s="2270">
        <f t="shared" si="139"/>
        <v>1</v>
      </c>
      <c r="E129" s="2253">
        <f t="shared" si="139"/>
        <v>0.02</v>
      </c>
      <c r="F129" s="2263">
        <f t="shared" si="140"/>
        <v>0</v>
      </c>
      <c r="G129" s="748">
        <f t="shared" si="141"/>
        <v>0</v>
      </c>
      <c r="H129" s="748">
        <f t="shared" si="141"/>
        <v>0</v>
      </c>
      <c r="I129" s="748">
        <f t="shared" si="141"/>
        <v>0</v>
      </c>
      <c r="J129" s="748">
        <f t="shared" ref="J129" si="144">ROUNDDOWN(J111*$E129*$D129,0)</f>
        <v>0</v>
      </c>
      <c r="K129" s="748">
        <f>ROUNDDOWN(K111*$E129*$D129,0)</f>
        <v>0</v>
      </c>
      <c r="L129" s="748">
        <f t="shared" si="141"/>
        <v>0</v>
      </c>
      <c r="M129" s="748">
        <f>ROUNDDOWN(M111*$E129*$D129,0)</f>
        <v>0</v>
      </c>
      <c r="N129" s="748">
        <f t="shared" si="141"/>
        <v>0</v>
      </c>
      <c r="O129" s="748">
        <f t="shared" si="141"/>
        <v>0</v>
      </c>
      <c r="P129" s="932">
        <f t="shared" si="141"/>
        <v>0</v>
      </c>
    </row>
    <row r="130" spans="1:16" s="759" customFormat="1" ht="14.25" customHeight="1">
      <c r="A130" s="2678"/>
      <c r="B130" s="2680"/>
      <c r="C130" s="2252" t="s">
        <v>4035</v>
      </c>
      <c r="D130" s="2270">
        <f t="shared" si="139"/>
        <v>1</v>
      </c>
      <c r="E130" s="2253">
        <f t="shared" si="139"/>
        <v>0.02</v>
      </c>
      <c r="F130" s="2263">
        <f t="shared" si="140"/>
        <v>0</v>
      </c>
      <c r="G130" s="748">
        <f>ROUNDDOWN(G112*$E130*$D130,0)</f>
        <v>0</v>
      </c>
      <c r="H130" s="748">
        <f t="shared" si="141"/>
        <v>0</v>
      </c>
      <c r="I130" s="748">
        <f t="shared" si="141"/>
        <v>0</v>
      </c>
      <c r="J130" s="748">
        <f t="shared" ref="J130" si="145">ROUNDDOWN(J112*$E130*$D130,0)</f>
        <v>0</v>
      </c>
      <c r="K130" s="748">
        <f>ROUNDDOWN(K112*$E130*$D130,0)</f>
        <v>0</v>
      </c>
      <c r="L130" s="748">
        <f t="shared" si="141"/>
        <v>0</v>
      </c>
      <c r="M130" s="748">
        <f>ROUNDDOWN(M112*$E130*$D130,0)</f>
        <v>0</v>
      </c>
      <c r="N130" s="748">
        <f t="shared" si="141"/>
        <v>0</v>
      </c>
      <c r="O130" s="748">
        <f t="shared" si="141"/>
        <v>0</v>
      </c>
      <c r="P130" s="932">
        <f t="shared" si="141"/>
        <v>0</v>
      </c>
    </row>
    <row r="131" spans="1:16" s="759" customFormat="1" ht="14.25" customHeight="1">
      <c r="A131" s="2678"/>
      <c r="B131" s="2686" t="s">
        <v>4036</v>
      </c>
      <c r="C131" s="2272" t="s">
        <v>4037</v>
      </c>
      <c r="D131" s="2273"/>
      <c r="E131" s="2274"/>
      <c r="F131" s="2263">
        <f t="shared" si="140"/>
        <v>43436477</v>
      </c>
      <c r="G131" s="2214">
        <f>+'東梅田　諸'!G22</f>
        <v>3667017</v>
      </c>
      <c r="H131" s="2214">
        <f>+'東梅田　諸'!H22</f>
        <v>2282113</v>
      </c>
      <c r="I131" s="2214">
        <f>+'東梅田　諸'!I22</f>
        <v>221648</v>
      </c>
      <c r="J131" s="2214">
        <f>+'東梅田　諸'!J22</f>
        <v>12806355</v>
      </c>
      <c r="K131" s="2214">
        <f>+'東梅田　諸'!K22</f>
        <v>1185589</v>
      </c>
      <c r="L131" s="2214">
        <f>+'堺筋本町　諸'!G22</f>
        <v>4792956</v>
      </c>
      <c r="M131" s="2214">
        <f>+'堺筋本町　諸'!H22</f>
        <v>2736856</v>
      </c>
      <c r="N131" s="2214">
        <f>+'堺筋本町　諸'!I22</f>
        <v>15743943</v>
      </c>
      <c r="O131" s="2214"/>
      <c r="P131" s="2215"/>
    </row>
    <row r="132" spans="1:16" s="759" customFormat="1" ht="14.25" customHeight="1">
      <c r="A132" s="2678"/>
      <c r="B132" s="2687"/>
      <c r="C132" s="2275" t="s">
        <v>4038</v>
      </c>
      <c r="D132" s="2273"/>
      <c r="E132" s="2274"/>
      <c r="F132" s="2263">
        <f t="shared" si="140"/>
        <v>0</v>
      </c>
      <c r="G132" s="2208"/>
      <c r="H132" s="2208"/>
      <c r="I132" s="2208"/>
      <c r="J132" s="2208"/>
      <c r="K132" s="2208"/>
      <c r="L132" s="2208"/>
      <c r="M132" s="2208"/>
      <c r="N132" s="2208"/>
      <c r="O132" s="2208"/>
      <c r="P132" s="2209"/>
    </row>
    <row r="133" spans="1:16" s="759" customFormat="1" ht="14.25" customHeight="1" thickBot="1">
      <c r="A133" s="2678"/>
      <c r="B133" s="2276" t="s">
        <v>4016</v>
      </c>
      <c r="C133" s="2256" t="s">
        <v>4033</v>
      </c>
      <c r="D133" s="2273">
        <f>+D113</f>
        <v>1</v>
      </c>
      <c r="E133" s="2274">
        <f>+E113</f>
        <v>0</v>
      </c>
      <c r="F133" s="2263">
        <f t="shared" si="140"/>
        <v>0</v>
      </c>
      <c r="G133" s="748">
        <f>ROUNDDOWN(G113*$E133*$D133,0)</f>
        <v>0</v>
      </c>
      <c r="H133" s="748">
        <f t="shared" ref="H133:P133" si="146">ROUNDDOWN(H113*$E133*$D133,0)</f>
        <v>0</v>
      </c>
      <c r="I133" s="748">
        <f t="shared" si="146"/>
        <v>0</v>
      </c>
      <c r="J133" s="748">
        <f t="shared" ref="J133" si="147">ROUNDDOWN(J113*$E133*$D133,0)</f>
        <v>0</v>
      </c>
      <c r="K133" s="748">
        <f>ROUNDDOWN(K113*$E133*$D133,0)</f>
        <v>0</v>
      </c>
      <c r="L133" s="748">
        <f t="shared" si="146"/>
        <v>0</v>
      </c>
      <c r="M133" s="748">
        <f>ROUNDDOWN(M113*$E133*$D133,0)</f>
        <v>0</v>
      </c>
      <c r="N133" s="748">
        <f t="shared" si="146"/>
        <v>0</v>
      </c>
      <c r="O133" s="748">
        <f t="shared" si="146"/>
        <v>0</v>
      </c>
      <c r="P133" s="947">
        <f t="shared" si="146"/>
        <v>0</v>
      </c>
    </row>
    <row r="134" spans="1:16" s="759" customFormat="1" ht="14.25" customHeight="1" thickTop="1">
      <c r="A134" s="948"/>
      <c r="B134" s="949"/>
      <c r="C134" s="950" t="s">
        <v>4039</v>
      </c>
      <c r="D134" s="951"/>
      <c r="E134" s="952"/>
      <c r="F134" s="953">
        <f t="shared" si="140"/>
        <v>43436477</v>
      </c>
      <c r="G134" s="954">
        <f t="shared" ref="G134:P134" si="148">SUM(G119:G133)+G117</f>
        <v>3667017</v>
      </c>
      <c r="H134" s="954">
        <f t="shared" si="148"/>
        <v>2282113</v>
      </c>
      <c r="I134" s="954">
        <f t="shared" si="148"/>
        <v>221648</v>
      </c>
      <c r="J134" s="954">
        <f t="shared" ref="J134:K134" si="149">SUM(J119:J133)+J117</f>
        <v>12806355</v>
      </c>
      <c r="K134" s="954">
        <f t="shared" si="149"/>
        <v>1185589</v>
      </c>
      <c r="L134" s="954">
        <f t="shared" si="148"/>
        <v>4792956</v>
      </c>
      <c r="M134" s="954">
        <f t="shared" si="148"/>
        <v>2736856</v>
      </c>
      <c r="N134" s="954">
        <f t="shared" si="148"/>
        <v>15743943</v>
      </c>
      <c r="O134" s="954">
        <f t="shared" si="148"/>
        <v>0</v>
      </c>
      <c r="P134" s="955">
        <f t="shared" si="148"/>
        <v>0</v>
      </c>
    </row>
    <row r="135" spans="1:16" s="759" customFormat="1" ht="14.25" customHeight="1">
      <c r="A135" s="2277"/>
      <c r="B135" s="2278"/>
      <c r="C135" s="2279" t="s">
        <v>4040</v>
      </c>
      <c r="D135" s="2280"/>
      <c r="E135" s="2281"/>
      <c r="F135" s="2259">
        <f t="shared" si="140"/>
        <v>432227639</v>
      </c>
      <c r="G135" s="2260">
        <f>+G10+G134</f>
        <v>37092902</v>
      </c>
      <c r="H135" s="2260">
        <f>+H10+H134</f>
        <v>24600996</v>
      </c>
      <c r="I135" s="2260">
        <f t="shared" ref="I135:P135" si="150">+I10+I134</f>
        <v>2353309</v>
      </c>
      <c r="J135" s="2260">
        <f t="shared" ref="J135" si="151">+J10+J134</f>
        <v>120735841</v>
      </c>
      <c r="K135" s="2260">
        <f>+K10+K134</f>
        <v>11393752</v>
      </c>
      <c r="L135" s="2260">
        <f t="shared" si="150"/>
        <v>49588917</v>
      </c>
      <c r="M135" s="2260">
        <f>+M10+M134</f>
        <v>31650790</v>
      </c>
      <c r="N135" s="2260">
        <f t="shared" si="150"/>
        <v>154811132</v>
      </c>
      <c r="O135" s="2260">
        <f t="shared" si="150"/>
        <v>0</v>
      </c>
      <c r="P135" s="2261">
        <f t="shared" si="150"/>
        <v>0</v>
      </c>
    </row>
    <row r="136" spans="1:16" s="759" customFormat="1" ht="14.25" customHeight="1">
      <c r="A136" s="884"/>
      <c r="B136" s="885"/>
      <c r="C136" s="961" t="s">
        <v>4041</v>
      </c>
      <c r="D136" s="961"/>
      <c r="E136" s="962"/>
      <c r="F136" s="963"/>
      <c r="G136" s="964"/>
      <c r="H136" s="965"/>
      <c r="I136" s="965"/>
      <c r="J136" s="965"/>
      <c r="K136" s="965"/>
      <c r="L136" s="965"/>
      <c r="M136" s="965"/>
      <c r="N136" s="965"/>
      <c r="O136" s="965"/>
      <c r="P136" s="966" t="s">
        <v>4042</v>
      </c>
    </row>
    <row r="137" spans="1:16" s="759" customFormat="1" ht="14.25" customHeight="1">
      <c r="A137" s="753"/>
      <c r="B137" s="754"/>
      <c r="C137" s="754"/>
      <c r="D137" s="754"/>
      <c r="E137" s="754"/>
      <c r="F137" s="645"/>
      <c r="G137" s="651"/>
      <c r="H137" s="651"/>
      <c r="I137" s="651"/>
      <c r="J137" s="651"/>
      <c r="K137" s="651"/>
      <c r="L137" s="651"/>
      <c r="M137" s="651"/>
      <c r="N137" s="651"/>
      <c r="O137" s="651"/>
      <c r="P137" s="967"/>
    </row>
    <row r="138" spans="1:16" s="759" customFormat="1" ht="14.25" customHeight="1">
      <c r="A138" s="2666"/>
      <c r="B138" s="2667"/>
      <c r="C138" s="2667"/>
      <c r="D138" s="968"/>
      <c r="E138" s="969" t="s">
        <v>4043</v>
      </c>
      <c r="F138" s="886" t="s">
        <v>3979</v>
      </c>
      <c r="G138" s="887" t="str">
        <f>+G5</f>
        <v>工事1</v>
      </c>
      <c r="H138" s="887" t="str">
        <f t="shared" ref="H138:P138" si="152">+H5</f>
        <v>工事2</v>
      </c>
      <c r="I138" s="887" t="str">
        <f t="shared" si="152"/>
        <v>工事3</v>
      </c>
      <c r="J138" s="887" t="str">
        <f t="shared" ref="J138" si="153">+J5</f>
        <v>工事4</v>
      </c>
      <c r="K138" s="887" t="str">
        <f>+K5</f>
        <v>工事5</v>
      </c>
      <c r="L138" s="887" t="str">
        <f t="shared" si="152"/>
        <v>工事6</v>
      </c>
      <c r="M138" s="887" t="str">
        <f>+M5</f>
        <v>工事7</v>
      </c>
      <c r="N138" s="887" t="str">
        <f t="shared" si="152"/>
        <v>工事8</v>
      </c>
      <c r="O138" s="887">
        <f t="shared" si="152"/>
        <v>0</v>
      </c>
      <c r="P138" s="888">
        <f t="shared" si="152"/>
        <v>0</v>
      </c>
    </row>
    <row r="139" spans="1:16" s="759" customFormat="1" ht="14.25" customHeight="1" thickBot="1">
      <c r="A139" s="2668"/>
      <c r="B139" s="2669"/>
      <c r="C139" s="2669"/>
      <c r="D139" s="970"/>
      <c r="E139" s="971"/>
      <c r="F139" s="972"/>
      <c r="G139" s="973"/>
      <c r="H139" s="973"/>
      <c r="I139" s="973"/>
      <c r="J139" s="973"/>
      <c r="K139" s="973"/>
      <c r="L139" s="973"/>
      <c r="M139" s="973"/>
      <c r="N139" s="973"/>
      <c r="O139" s="973"/>
      <c r="P139" s="974"/>
    </row>
    <row r="140" spans="1:16" s="759" customFormat="1" ht="14.25" customHeight="1" thickBot="1">
      <c r="A140" s="975"/>
      <c r="B140" s="976"/>
      <c r="C140" s="977" t="s">
        <v>4044</v>
      </c>
      <c r="D140" s="978"/>
      <c r="E140" s="979"/>
      <c r="F140" s="980">
        <f>SUM(G140:P140)</f>
        <v>432227639</v>
      </c>
      <c r="G140" s="981">
        <f t="shared" ref="G140:P140" si="154">IF(G141="",+G135,0)</f>
        <v>37092902</v>
      </c>
      <c r="H140" s="981">
        <f t="shared" si="154"/>
        <v>24600996</v>
      </c>
      <c r="I140" s="981">
        <f t="shared" si="154"/>
        <v>2353309</v>
      </c>
      <c r="J140" s="981">
        <f t="shared" ref="J140:K140" si="155">IF(J141="",+J135,0)</f>
        <v>120735841</v>
      </c>
      <c r="K140" s="981">
        <f t="shared" si="155"/>
        <v>11393752</v>
      </c>
      <c r="L140" s="981">
        <f t="shared" si="154"/>
        <v>49588917</v>
      </c>
      <c r="M140" s="981">
        <f t="shared" si="154"/>
        <v>31650790</v>
      </c>
      <c r="N140" s="981">
        <f t="shared" si="154"/>
        <v>154811132</v>
      </c>
      <c r="O140" s="981">
        <f t="shared" si="154"/>
        <v>0</v>
      </c>
      <c r="P140" s="982">
        <f t="shared" si="154"/>
        <v>0</v>
      </c>
    </row>
    <row r="141" spans="1:16" s="759" customFormat="1" ht="14.25" customHeight="1">
      <c r="A141" s="753"/>
      <c r="B141" s="754"/>
      <c r="C141" s="983" t="s">
        <v>4045</v>
      </c>
      <c r="D141" s="984"/>
      <c r="E141" s="985"/>
      <c r="F141" s="764">
        <f>SUM(G141:P141)</f>
        <v>0</v>
      </c>
      <c r="G141" s="764" t="str">
        <f>IF(G163="","",G135)</f>
        <v/>
      </c>
      <c r="H141" s="764" t="str">
        <f t="shared" ref="H141:P141" si="156">IF(H163="","",H135)</f>
        <v/>
      </c>
      <c r="I141" s="764" t="str">
        <f>IF(I163="","",I135)</f>
        <v/>
      </c>
      <c r="J141" s="764" t="str">
        <f t="shared" ref="J141:K141" si="157">IF(J163="","",J135)</f>
        <v/>
      </c>
      <c r="K141" s="764" t="str">
        <f t="shared" si="157"/>
        <v/>
      </c>
      <c r="L141" s="764" t="str">
        <f t="shared" si="156"/>
        <v/>
      </c>
      <c r="M141" s="764" t="str">
        <f t="shared" si="156"/>
        <v/>
      </c>
      <c r="N141" s="764" t="str">
        <f t="shared" si="156"/>
        <v/>
      </c>
      <c r="O141" s="764" t="str">
        <f t="shared" si="156"/>
        <v/>
      </c>
      <c r="P141" s="764" t="str">
        <f t="shared" si="156"/>
        <v/>
      </c>
    </row>
    <row r="142" spans="1:16" s="759" customFormat="1" ht="14.25" customHeight="1">
      <c r="A142" s="2277"/>
      <c r="B142" s="2278"/>
      <c r="C142" s="2670" t="s">
        <v>4046</v>
      </c>
      <c r="D142" s="2671"/>
      <c r="E142" s="2672"/>
      <c r="F142" s="2259">
        <f>F140+F141-F150</f>
        <v>432227639</v>
      </c>
      <c r="G142" s="2260"/>
      <c r="H142" s="2260"/>
      <c r="I142" s="2260"/>
      <c r="J142" s="2260"/>
      <c r="K142" s="2260"/>
      <c r="L142" s="2260"/>
      <c r="M142" s="2260"/>
      <c r="N142" s="2260"/>
      <c r="O142" s="2260"/>
      <c r="P142" s="2261"/>
    </row>
    <row r="143" spans="1:16" s="759" customFormat="1" ht="14.25" customHeight="1">
      <c r="A143" s="884"/>
      <c r="B143" s="885"/>
      <c r="C143" s="885"/>
      <c r="D143" s="986"/>
      <c r="E143" s="664" t="str">
        <f>E5</f>
        <v>無し</v>
      </c>
      <c r="F143" s="2688" t="s">
        <v>4047</v>
      </c>
      <c r="G143" s="2688"/>
      <c r="H143" s="987"/>
      <c r="I143" s="987"/>
      <c r="J143" s="987"/>
      <c r="K143" s="987"/>
      <c r="L143" s="987"/>
      <c r="M143" s="987"/>
      <c r="N143" s="987"/>
      <c r="O143" s="987"/>
      <c r="P143" s="988"/>
    </row>
    <row r="144" spans="1:16" s="759" customFormat="1" ht="14.25" customHeight="1">
      <c r="A144" s="2689" t="s">
        <v>4048</v>
      </c>
      <c r="B144" s="2689"/>
      <c r="C144" s="2690"/>
      <c r="D144" s="989"/>
      <c r="E144" s="2282" t="str">
        <f>+E6</f>
        <v>有り</v>
      </c>
      <c r="F144" s="2691" t="s">
        <v>4049</v>
      </c>
      <c r="G144" s="2691"/>
      <c r="H144" s="2260"/>
      <c r="I144" s="2260"/>
      <c r="J144" s="2260"/>
      <c r="K144" s="2260"/>
      <c r="L144" s="2260"/>
      <c r="M144" s="2260"/>
      <c r="N144" s="2260"/>
      <c r="O144" s="2260"/>
      <c r="P144" s="2261"/>
    </row>
    <row r="145" spans="1:16" s="759" customFormat="1" ht="14.25" customHeight="1">
      <c r="A145" s="2694"/>
      <c r="B145" s="991" t="s">
        <v>4050</v>
      </c>
      <c r="C145" s="992" t="s">
        <v>4051</v>
      </c>
      <c r="D145" s="993">
        <v>1</v>
      </c>
      <c r="E145" s="994">
        <f>+G214/100</f>
        <v>0.111</v>
      </c>
      <c r="F145" s="995">
        <f>SUM(G145:P145)</f>
        <v>432227639</v>
      </c>
      <c r="G145" s="987">
        <f>+G140-G150</f>
        <v>37092902</v>
      </c>
      <c r="H145" s="987">
        <f t="shared" ref="H145:P145" si="158">+H140-H150</f>
        <v>24600996</v>
      </c>
      <c r="I145" s="987">
        <f>+I140-I150</f>
        <v>2353309</v>
      </c>
      <c r="J145" s="987">
        <f t="shared" ref="J145:K145" si="159">+J140-J150</f>
        <v>120735841</v>
      </c>
      <c r="K145" s="987">
        <f t="shared" si="159"/>
        <v>11393752</v>
      </c>
      <c r="L145" s="987">
        <f t="shared" si="158"/>
        <v>49588917</v>
      </c>
      <c r="M145" s="987">
        <f t="shared" si="158"/>
        <v>31650790</v>
      </c>
      <c r="N145" s="987">
        <f t="shared" si="158"/>
        <v>154811132</v>
      </c>
      <c r="O145" s="987">
        <f t="shared" si="158"/>
        <v>0</v>
      </c>
      <c r="P145" s="988">
        <f t="shared" si="158"/>
        <v>0</v>
      </c>
    </row>
    <row r="146" spans="1:16" s="759" customFormat="1" ht="14.25" customHeight="1">
      <c r="A146" s="2695"/>
      <c r="B146" s="2693" t="s">
        <v>4052</v>
      </c>
      <c r="C146" s="2200" t="s">
        <v>4053</v>
      </c>
      <c r="D146" s="2270">
        <v>0.05</v>
      </c>
      <c r="E146" s="2253">
        <f>IF(E143="無し",E145,0)</f>
        <v>0.111</v>
      </c>
      <c r="F146" s="2201">
        <f>SUM(G146:P146)</f>
        <v>432227639</v>
      </c>
      <c r="G146" s="2208">
        <f>IF(G163=0,+G145,0)</f>
        <v>37092902</v>
      </c>
      <c r="H146" s="2208">
        <f>IF(H163=0,+H145,0)</f>
        <v>24600996</v>
      </c>
      <c r="I146" s="2208">
        <f t="shared" ref="I146:P146" si="160">IF(I163=0,+I145,0)</f>
        <v>2353309</v>
      </c>
      <c r="J146" s="2208">
        <f t="shared" ref="J146:K146" si="161">IF(J163=0,+J145,0)</f>
        <v>120735841</v>
      </c>
      <c r="K146" s="2208">
        <f t="shared" si="161"/>
        <v>11393752</v>
      </c>
      <c r="L146" s="2208">
        <f t="shared" si="160"/>
        <v>49588917</v>
      </c>
      <c r="M146" s="2208">
        <f t="shared" si="160"/>
        <v>31650790</v>
      </c>
      <c r="N146" s="2208">
        <f t="shared" si="160"/>
        <v>154811132</v>
      </c>
      <c r="O146" s="2208">
        <f t="shared" si="160"/>
        <v>0</v>
      </c>
      <c r="P146" s="2209">
        <f t="shared" si="160"/>
        <v>0</v>
      </c>
    </row>
    <row r="147" spans="1:16" s="759" customFormat="1" ht="14.25" customHeight="1">
      <c r="A147" s="2695"/>
      <c r="B147" s="2693"/>
      <c r="C147" s="2200" t="s">
        <v>4054</v>
      </c>
      <c r="D147" s="2283">
        <v>1</v>
      </c>
      <c r="E147" s="2253">
        <f>IF(OR(E144="無し",E144="なし"),0,0.0004)</f>
        <v>4.0000000000000002E-4</v>
      </c>
      <c r="F147" s="2201">
        <f>SUM(G147:P147)</f>
        <v>432227639</v>
      </c>
      <c r="G147" s="2208">
        <f>IF(G163=0,+G145,0)</f>
        <v>37092902</v>
      </c>
      <c r="H147" s="2208">
        <f t="shared" ref="H147:P147" si="162">IF(H163=0,+H145,0)</f>
        <v>24600996</v>
      </c>
      <c r="I147" s="2208">
        <f t="shared" si="162"/>
        <v>2353309</v>
      </c>
      <c r="J147" s="2208">
        <f t="shared" ref="J147:K147" si="163">IF(J163=0,+J145,0)</f>
        <v>120735841</v>
      </c>
      <c r="K147" s="2208">
        <f t="shared" si="163"/>
        <v>11393752</v>
      </c>
      <c r="L147" s="2208">
        <f t="shared" si="162"/>
        <v>49588917</v>
      </c>
      <c r="M147" s="2208">
        <f t="shared" si="162"/>
        <v>31650790</v>
      </c>
      <c r="N147" s="2208">
        <f t="shared" si="162"/>
        <v>154811132</v>
      </c>
      <c r="O147" s="2208">
        <f t="shared" si="162"/>
        <v>0</v>
      </c>
      <c r="P147" s="2209">
        <f t="shared" si="162"/>
        <v>0</v>
      </c>
    </row>
    <row r="148" spans="1:16" s="759" customFormat="1" ht="14.25" customHeight="1">
      <c r="A148" s="2695"/>
      <c r="B148" s="2168"/>
      <c r="C148" s="2200"/>
      <c r="D148" s="2284"/>
      <c r="E148" s="2284"/>
      <c r="F148" s="2201"/>
      <c r="G148" s="2208"/>
      <c r="H148" s="2208"/>
      <c r="I148" s="2208"/>
      <c r="J148" s="2208"/>
      <c r="K148" s="2208"/>
      <c r="L148" s="2208"/>
      <c r="M148" s="2208"/>
      <c r="N148" s="2208"/>
      <c r="O148" s="2208"/>
      <c r="P148" s="2209"/>
    </row>
    <row r="149" spans="1:16" s="759" customFormat="1" ht="14.25" customHeight="1">
      <c r="A149" s="2695"/>
      <c r="B149" s="2168"/>
      <c r="C149" s="2200"/>
      <c r="D149" s="2284"/>
      <c r="E149" s="2284"/>
      <c r="F149" s="2201"/>
      <c r="G149" s="2208"/>
      <c r="H149" s="2208"/>
      <c r="I149" s="2208"/>
      <c r="J149" s="2208"/>
      <c r="K149" s="2208"/>
      <c r="L149" s="2208"/>
      <c r="M149" s="2208"/>
      <c r="N149" s="2208"/>
      <c r="O149" s="2208"/>
      <c r="P149" s="2209"/>
    </row>
    <row r="150" spans="1:16" s="759" customFormat="1" ht="14.25" customHeight="1">
      <c r="A150" s="2695"/>
      <c r="B150" s="2693" t="s">
        <v>4055</v>
      </c>
      <c r="C150" s="2244" t="str">
        <f>+C55</f>
        <v>(17)下水道使用料、各種負担金（共通仮設）</v>
      </c>
      <c r="D150" s="2285">
        <v>1</v>
      </c>
      <c r="E150" s="2286">
        <v>0</v>
      </c>
      <c r="F150" s="2201">
        <f>SUM(G150:P150)</f>
        <v>0</v>
      </c>
      <c r="G150" s="2208">
        <f>+G55</f>
        <v>0</v>
      </c>
      <c r="H150" s="2208">
        <f t="shared" ref="H150:P150" si="164">+H55</f>
        <v>0</v>
      </c>
      <c r="I150" s="2208">
        <f t="shared" si="164"/>
        <v>0</v>
      </c>
      <c r="J150" s="2208">
        <f t="shared" ref="J150" si="165">+J55</f>
        <v>0</v>
      </c>
      <c r="K150" s="2208">
        <f>+K55</f>
        <v>0</v>
      </c>
      <c r="L150" s="2208">
        <f t="shared" si="164"/>
        <v>0</v>
      </c>
      <c r="M150" s="2208">
        <f>+M55</f>
        <v>0</v>
      </c>
      <c r="N150" s="2208">
        <f t="shared" si="164"/>
        <v>0</v>
      </c>
      <c r="O150" s="2208">
        <f t="shared" si="164"/>
        <v>0</v>
      </c>
      <c r="P150" s="2209">
        <f t="shared" si="164"/>
        <v>0</v>
      </c>
    </row>
    <row r="151" spans="1:16" s="759" customFormat="1" ht="14.25" customHeight="1">
      <c r="A151" s="2695"/>
      <c r="B151" s="2693"/>
      <c r="C151" s="2287"/>
      <c r="D151" s="2244"/>
      <c r="E151" s="2286"/>
      <c r="F151" s="2201"/>
      <c r="G151" s="2208"/>
      <c r="H151" s="2208"/>
      <c r="I151" s="2208"/>
      <c r="J151" s="2208"/>
      <c r="K151" s="2208"/>
      <c r="L151" s="2208"/>
      <c r="M151" s="2208"/>
      <c r="N151" s="2208"/>
      <c r="O151" s="2208"/>
      <c r="P151" s="2209"/>
    </row>
    <row r="152" spans="1:16" s="759" customFormat="1" ht="14.25" customHeight="1">
      <c r="A152" s="2695"/>
      <c r="B152" s="2696"/>
      <c r="C152" s="2288"/>
      <c r="D152" s="2289"/>
      <c r="E152" s="2290"/>
      <c r="F152" s="2259"/>
      <c r="G152" s="2260"/>
      <c r="H152" s="2260"/>
      <c r="I152" s="2260"/>
      <c r="J152" s="2260"/>
      <c r="K152" s="2260"/>
      <c r="L152" s="2260"/>
      <c r="M152" s="2260"/>
      <c r="N152" s="2260"/>
      <c r="O152" s="2260"/>
      <c r="P152" s="2261"/>
    </row>
    <row r="153" spans="1:16" s="759" customFormat="1" ht="14.25" customHeight="1">
      <c r="A153" s="884"/>
      <c r="B153" s="885"/>
      <c r="C153" s="1004"/>
      <c r="D153" s="1005"/>
      <c r="E153" s="1006"/>
      <c r="F153" s="995"/>
      <c r="G153" s="987"/>
      <c r="H153" s="987"/>
      <c r="I153" s="987"/>
      <c r="J153" s="987"/>
      <c r="K153" s="987"/>
      <c r="L153" s="987"/>
      <c r="M153" s="987"/>
      <c r="N153" s="987"/>
      <c r="O153" s="987"/>
      <c r="P153" s="988"/>
    </row>
    <row r="154" spans="1:16" s="759" customFormat="1" ht="14.25" customHeight="1">
      <c r="A154" s="2689" t="s">
        <v>4056</v>
      </c>
      <c r="B154" s="2689"/>
      <c r="C154" s="2692"/>
      <c r="D154" s="1007"/>
      <c r="E154" s="2291"/>
      <c r="F154" s="2292"/>
      <c r="G154" s="2260"/>
      <c r="H154" s="2260"/>
      <c r="I154" s="2260"/>
      <c r="J154" s="2260"/>
      <c r="K154" s="2260"/>
      <c r="L154" s="2260"/>
      <c r="M154" s="2260"/>
      <c r="N154" s="2260"/>
      <c r="O154" s="2260"/>
      <c r="P154" s="2261"/>
    </row>
    <row r="155" spans="1:16" s="759" customFormat="1" ht="14.25" customHeight="1">
      <c r="A155" s="753"/>
      <c r="B155" s="1010" t="s">
        <v>4050</v>
      </c>
      <c r="C155" s="992" t="s">
        <v>4051</v>
      </c>
      <c r="D155" s="993">
        <f t="shared" ref="D155:E157" si="166">+D145</f>
        <v>1</v>
      </c>
      <c r="E155" s="1011">
        <f>+E145</f>
        <v>0.111</v>
      </c>
      <c r="F155" s="2201">
        <f>INT(D155*E155*F145)</f>
        <v>47977267</v>
      </c>
      <c r="G155" s="987">
        <f>F155-SUM(H155:P155)</f>
        <v>4117312</v>
      </c>
      <c r="H155" s="987">
        <f t="shared" ref="H155:P157" si="167">IF(H145=0,0,ROUND($F155/$F145*H145,0))</f>
        <v>2730711</v>
      </c>
      <c r="I155" s="987">
        <f t="shared" si="167"/>
        <v>261217</v>
      </c>
      <c r="J155" s="987">
        <f t="shared" ref="J155:K155" si="168">IF(J145=0,0,ROUND($F155/$F145*J145,0))</f>
        <v>13401678</v>
      </c>
      <c r="K155" s="987">
        <f t="shared" si="168"/>
        <v>1264706</v>
      </c>
      <c r="L155" s="987">
        <f t="shared" si="167"/>
        <v>5504370</v>
      </c>
      <c r="M155" s="987">
        <f t="shared" si="167"/>
        <v>3513238</v>
      </c>
      <c r="N155" s="987">
        <f t="shared" si="167"/>
        <v>17184035</v>
      </c>
      <c r="O155" s="987">
        <f t="shared" si="167"/>
        <v>0</v>
      </c>
      <c r="P155" s="988">
        <f t="shared" si="167"/>
        <v>0</v>
      </c>
    </row>
    <row r="156" spans="1:16" s="759" customFormat="1" ht="14.25" customHeight="1">
      <c r="A156" s="753"/>
      <c r="B156" s="2693" t="s">
        <v>4052</v>
      </c>
      <c r="C156" s="2200" t="s">
        <v>4053</v>
      </c>
      <c r="D156" s="2285">
        <f t="shared" si="166"/>
        <v>0.05</v>
      </c>
      <c r="E156" s="2253">
        <f t="shared" si="166"/>
        <v>0.111</v>
      </c>
      <c r="F156" s="2201">
        <f>INT(D156*E156*F146)</f>
        <v>2398863</v>
      </c>
      <c r="G156" s="2208">
        <f>F156-SUM(H156:P156)</f>
        <v>205865</v>
      </c>
      <c r="H156" s="2208">
        <f t="shared" si="167"/>
        <v>136536</v>
      </c>
      <c r="I156" s="2208">
        <f t="shared" si="167"/>
        <v>13061</v>
      </c>
      <c r="J156" s="2208">
        <f t="shared" ref="J156:K156" si="169">IF(J146=0,0,ROUND($F156/$F146*J146,0))</f>
        <v>670084</v>
      </c>
      <c r="K156" s="2208">
        <f t="shared" si="169"/>
        <v>63235</v>
      </c>
      <c r="L156" s="2208">
        <f t="shared" si="167"/>
        <v>275218</v>
      </c>
      <c r="M156" s="2208">
        <f t="shared" si="167"/>
        <v>175662</v>
      </c>
      <c r="N156" s="2208">
        <f t="shared" si="167"/>
        <v>859202</v>
      </c>
      <c r="O156" s="2208">
        <f t="shared" si="167"/>
        <v>0</v>
      </c>
      <c r="P156" s="2209">
        <f t="shared" si="167"/>
        <v>0</v>
      </c>
    </row>
    <row r="157" spans="1:16" s="759" customFormat="1" ht="14.25" customHeight="1">
      <c r="A157" s="753"/>
      <c r="B157" s="2693"/>
      <c r="C157" s="2200" t="s">
        <v>4054</v>
      </c>
      <c r="D157" s="2285">
        <f t="shared" si="166"/>
        <v>1</v>
      </c>
      <c r="E157" s="2253">
        <f t="shared" si="166"/>
        <v>4.0000000000000002E-4</v>
      </c>
      <c r="F157" s="2201">
        <f>INT(D157*E157*F147)</f>
        <v>172891</v>
      </c>
      <c r="G157" s="2208">
        <f>F157-SUM(H157:P157)</f>
        <v>14839</v>
      </c>
      <c r="H157" s="2208">
        <f>IF(H147=0,0,ROUND($F157/$F147*H147,0))</f>
        <v>9840</v>
      </c>
      <c r="I157" s="2208">
        <f t="shared" si="167"/>
        <v>941</v>
      </c>
      <c r="J157" s="2208">
        <f t="shared" ref="J157:K157" si="170">IF(J147=0,0,ROUND($F157/$F147*J147,0))</f>
        <v>48294</v>
      </c>
      <c r="K157" s="2208">
        <f t="shared" si="170"/>
        <v>4557</v>
      </c>
      <c r="L157" s="2208">
        <f t="shared" si="167"/>
        <v>19836</v>
      </c>
      <c r="M157" s="2208">
        <f t="shared" si="167"/>
        <v>12660</v>
      </c>
      <c r="N157" s="2208">
        <f t="shared" si="167"/>
        <v>61924</v>
      </c>
      <c r="O157" s="2208">
        <f t="shared" si="167"/>
        <v>0</v>
      </c>
      <c r="P157" s="2209">
        <f t="shared" si="167"/>
        <v>0</v>
      </c>
    </row>
    <row r="158" spans="1:16" s="759" customFormat="1" ht="14.25" customHeight="1">
      <c r="A158" s="753"/>
      <c r="B158" s="2168"/>
      <c r="C158" s="2200"/>
      <c r="D158" s="2284"/>
      <c r="E158" s="2284"/>
      <c r="F158" s="2201"/>
      <c r="G158" s="2208"/>
      <c r="H158" s="2208"/>
      <c r="I158" s="2208"/>
      <c r="J158" s="2208"/>
      <c r="K158" s="2208"/>
      <c r="L158" s="2208"/>
      <c r="M158" s="2208"/>
      <c r="N158" s="2208"/>
      <c r="O158" s="2208"/>
      <c r="P158" s="2209"/>
    </row>
    <row r="159" spans="1:16" s="759" customFormat="1" ht="14.25" customHeight="1">
      <c r="A159" s="753"/>
      <c r="B159" s="2168"/>
      <c r="C159" s="2200"/>
      <c r="D159" s="2284"/>
      <c r="E159" s="2284"/>
      <c r="F159" s="2201"/>
      <c r="G159" s="2208"/>
      <c r="H159" s="2208"/>
      <c r="I159" s="2208"/>
      <c r="J159" s="2208"/>
      <c r="K159" s="2208"/>
      <c r="L159" s="2208"/>
      <c r="M159" s="2208"/>
      <c r="N159" s="2208"/>
      <c r="O159" s="2208"/>
      <c r="P159" s="2209"/>
    </row>
    <row r="160" spans="1:16" s="759" customFormat="1" ht="14.25" customHeight="1">
      <c r="A160" s="753"/>
      <c r="B160" s="2693" t="s">
        <v>4055</v>
      </c>
      <c r="C160" s="2244" t="str">
        <f>+C55</f>
        <v>(17)下水道使用料、各種負担金（共通仮設）</v>
      </c>
      <c r="D160" s="2285">
        <f>+D150</f>
        <v>1</v>
      </c>
      <c r="E160" s="2253">
        <f>+E150</f>
        <v>0</v>
      </c>
      <c r="F160" s="2201">
        <f>INT(D160*E160*F150)</f>
        <v>0</v>
      </c>
      <c r="G160" s="2208">
        <f>F160-SUM(H160:P160)</f>
        <v>0</v>
      </c>
      <c r="H160" s="2208">
        <f t="shared" ref="H160:P160" si="171">IF(H150=0,0,ROUND($F160/$F150*H150,0))</f>
        <v>0</v>
      </c>
      <c r="I160" s="2208">
        <f t="shared" si="171"/>
        <v>0</v>
      </c>
      <c r="J160" s="2208">
        <f t="shared" ref="J160" si="172">IF(J150=0,0,ROUND($F160/$F150*J150,0))</f>
        <v>0</v>
      </c>
      <c r="K160" s="2208">
        <f>IF(K150=0,0,ROUND($F160/$F150*K150,0))</f>
        <v>0</v>
      </c>
      <c r="L160" s="2208">
        <f t="shared" si="171"/>
        <v>0</v>
      </c>
      <c r="M160" s="2208">
        <f>IF(M150=0,0,ROUND($F160/$F150*M150,0))</f>
        <v>0</v>
      </c>
      <c r="N160" s="2208">
        <f t="shared" si="171"/>
        <v>0</v>
      </c>
      <c r="O160" s="2208">
        <f t="shared" si="171"/>
        <v>0</v>
      </c>
      <c r="P160" s="2209">
        <f t="shared" si="171"/>
        <v>0</v>
      </c>
    </row>
    <row r="161" spans="1:16" s="759" customFormat="1" ht="14.25" customHeight="1">
      <c r="A161" s="753"/>
      <c r="B161" s="2693"/>
      <c r="C161" s="2287"/>
      <c r="D161" s="2244"/>
      <c r="E161" s="2284">
        <f>+G152</f>
        <v>0</v>
      </c>
      <c r="F161" s="2201"/>
      <c r="G161" s="2208"/>
      <c r="H161" s="2208"/>
      <c r="I161" s="2208"/>
      <c r="J161" s="2208"/>
      <c r="K161" s="2208"/>
      <c r="L161" s="2208"/>
      <c r="M161" s="2208"/>
      <c r="N161" s="2208"/>
      <c r="O161" s="2208"/>
      <c r="P161" s="2209"/>
    </row>
    <row r="162" spans="1:16" s="759" customFormat="1" ht="14.25" customHeight="1">
      <c r="A162" s="1012"/>
      <c r="B162" s="2693"/>
      <c r="C162" s="2287"/>
      <c r="D162" s="2244"/>
      <c r="E162" s="2284">
        <f>+G153</f>
        <v>0</v>
      </c>
      <c r="F162" s="2201"/>
      <c r="G162" s="2208"/>
      <c r="H162" s="2208"/>
      <c r="I162" s="2208"/>
      <c r="J162" s="2208"/>
      <c r="K162" s="2208"/>
      <c r="L162" s="2208"/>
      <c r="M162" s="2208"/>
      <c r="N162" s="2208"/>
      <c r="O162" s="2208"/>
      <c r="P162" s="2209"/>
    </row>
    <row r="163" spans="1:16" s="759" customFormat="1" ht="14.25" customHeight="1">
      <c r="A163" s="1012"/>
      <c r="B163" s="2697" t="s">
        <v>4036</v>
      </c>
      <c r="C163" s="1013" t="s">
        <v>4057</v>
      </c>
      <c r="D163" s="1014"/>
      <c r="E163" s="1015"/>
      <c r="F163" s="1016">
        <f>SUM(G163:P163)</f>
        <v>0</v>
      </c>
      <c r="G163" s="1017"/>
      <c r="H163" s="1017"/>
      <c r="I163" s="1017"/>
      <c r="J163" s="1017"/>
      <c r="K163" s="1017"/>
      <c r="L163" s="1017"/>
      <c r="M163" s="1017"/>
      <c r="N163" s="1017"/>
      <c r="O163" s="1017"/>
      <c r="P163" s="1018"/>
    </row>
    <row r="164" spans="1:16" s="759" customFormat="1" ht="14.25" customHeight="1">
      <c r="A164" s="753"/>
      <c r="B164" s="2687"/>
      <c r="C164" s="2293" t="s">
        <v>4058</v>
      </c>
      <c r="D164" s="2273"/>
      <c r="E164" s="2274"/>
      <c r="F164" s="2263"/>
      <c r="G164" s="2208"/>
      <c r="H164" s="2208"/>
      <c r="I164" s="2208"/>
      <c r="J164" s="2208"/>
      <c r="K164" s="2208"/>
      <c r="L164" s="2208"/>
      <c r="M164" s="2208"/>
      <c r="N164" s="2208"/>
      <c r="O164" s="2208"/>
      <c r="P164" s="2209"/>
    </row>
    <row r="165" spans="1:16" s="759" customFormat="1" ht="14.25" customHeight="1">
      <c r="A165" s="975"/>
      <c r="B165" s="976"/>
      <c r="C165" s="976"/>
      <c r="D165" s="665"/>
      <c r="E165" s="665"/>
      <c r="F165" s="995"/>
      <c r="G165" s="987"/>
      <c r="H165" s="987"/>
      <c r="I165" s="987"/>
      <c r="J165" s="987"/>
      <c r="K165" s="987"/>
      <c r="L165" s="987"/>
      <c r="M165" s="987"/>
      <c r="N165" s="987"/>
      <c r="O165" s="987"/>
      <c r="P165" s="988"/>
    </row>
    <row r="166" spans="1:16" s="759" customFormat="1" ht="14.25" customHeight="1">
      <c r="A166" s="2294"/>
      <c r="B166" s="2203"/>
      <c r="C166" s="2147" t="s">
        <v>4059</v>
      </c>
      <c r="D166" s="2287"/>
      <c r="E166" s="2200"/>
      <c r="F166" s="2201">
        <f>SUM(G166:P166)</f>
        <v>50549021</v>
      </c>
      <c r="G166" s="2208">
        <f t="shared" ref="G166:P166" si="173">SUM(G155:G164)</f>
        <v>4338016</v>
      </c>
      <c r="H166" s="2208">
        <f t="shared" si="173"/>
        <v>2877087</v>
      </c>
      <c r="I166" s="2208">
        <f t="shared" si="173"/>
        <v>275219</v>
      </c>
      <c r="J166" s="2208">
        <f t="shared" ref="J166:K166" si="174">SUM(J155:J164)</f>
        <v>14120056</v>
      </c>
      <c r="K166" s="2208">
        <f t="shared" si="174"/>
        <v>1332498</v>
      </c>
      <c r="L166" s="2208">
        <f t="shared" si="173"/>
        <v>5799424</v>
      </c>
      <c r="M166" s="2208">
        <f t="shared" si="173"/>
        <v>3701560</v>
      </c>
      <c r="N166" s="2208">
        <f t="shared" si="173"/>
        <v>18105161</v>
      </c>
      <c r="O166" s="2208">
        <f t="shared" si="173"/>
        <v>0</v>
      </c>
      <c r="P166" s="2209">
        <f t="shared" si="173"/>
        <v>0</v>
      </c>
    </row>
    <row r="167" spans="1:16" s="759" customFormat="1" ht="14.25" customHeight="1">
      <c r="A167" s="2294"/>
      <c r="B167" s="2203"/>
      <c r="C167" s="2147" t="s">
        <v>4040</v>
      </c>
      <c r="D167" s="2287"/>
      <c r="E167" s="2200"/>
      <c r="F167" s="2201">
        <f>SUM(G167:P167)</f>
        <v>432227639</v>
      </c>
      <c r="G167" s="2208">
        <f>+G135</f>
        <v>37092902</v>
      </c>
      <c r="H167" s="2208">
        <f t="shared" ref="H167:P167" si="175">+H135</f>
        <v>24600996</v>
      </c>
      <c r="I167" s="2208">
        <f t="shared" si="175"/>
        <v>2353309</v>
      </c>
      <c r="J167" s="2208">
        <f t="shared" ref="J167:K167" si="176">+J135</f>
        <v>120735841</v>
      </c>
      <c r="K167" s="2208">
        <f t="shared" si="176"/>
        <v>11393752</v>
      </c>
      <c r="L167" s="2208">
        <f t="shared" si="175"/>
        <v>49588917</v>
      </c>
      <c r="M167" s="2208">
        <f t="shared" si="175"/>
        <v>31650790</v>
      </c>
      <c r="N167" s="2208">
        <f t="shared" si="175"/>
        <v>154811132</v>
      </c>
      <c r="O167" s="2208">
        <f t="shared" si="175"/>
        <v>0</v>
      </c>
      <c r="P167" s="2208">
        <f t="shared" si="175"/>
        <v>0</v>
      </c>
    </row>
    <row r="168" spans="1:16" s="759" customFormat="1" ht="14.25" customHeight="1" thickBot="1">
      <c r="A168" s="1021"/>
      <c r="B168" s="1022"/>
      <c r="C168" s="1023" t="s">
        <v>4060</v>
      </c>
      <c r="D168" s="1024"/>
      <c r="E168" s="1025"/>
      <c r="F168" s="1026">
        <f>SUM(G168:P168)</f>
        <v>482776660</v>
      </c>
      <c r="G168" s="1027">
        <f t="shared" ref="G168:P168" si="177">SUM(G166:G167)</f>
        <v>41430918</v>
      </c>
      <c r="H168" s="1027">
        <f t="shared" si="177"/>
        <v>27478083</v>
      </c>
      <c r="I168" s="1027">
        <f t="shared" si="177"/>
        <v>2628528</v>
      </c>
      <c r="J168" s="1027">
        <f t="shared" ref="J168" si="178">SUM(J166:J167)</f>
        <v>134855897</v>
      </c>
      <c r="K168" s="1027">
        <f>SUM(K166:K167)</f>
        <v>12726250</v>
      </c>
      <c r="L168" s="1027">
        <f t="shared" si="177"/>
        <v>55388341</v>
      </c>
      <c r="M168" s="1027">
        <f>SUM(M166:M167)</f>
        <v>35352350</v>
      </c>
      <c r="N168" s="1027">
        <f t="shared" si="177"/>
        <v>172916293</v>
      </c>
      <c r="O168" s="1027">
        <f t="shared" si="177"/>
        <v>0</v>
      </c>
      <c r="P168" s="2295">
        <f t="shared" si="177"/>
        <v>0</v>
      </c>
    </row>
    <row r="169" spans="1:16" s="759" customFormat="1" ht="14.25" customHeight="1" thickTop="1">
      <c r="A169" s="753"/>
      <c r="B169" s="754"/>
      <c r="C169" s="754"/>
      <c r="D169" s="763"/>
      <c r="E169" s="763"/>
      <c r="F169" s="764"/>
      <c r="G169" s="1029">
        <f>ROUNDDOWN(G168,-3)</f>
        <v>41430000</v>
      </c>
      <c r="H169" s="1029">
        <f t="shared" ref="H169:P169" si="179">ROUNDDOWN(H168,-3)</f>
        <v>27478000</v>
      </c>
      <c r="I169" s="1029">
        <f>ROUNDDOWN(I168,-3)</f>
        <v>2628000</v>
      </c>
      <c r="J169" s="1029">
        <f t="shared" ref="J169" si="180">ROUNDDOWN(J168,-3)</f>
        <v>134855000</v>
      </c>
      <c r="K169" s="1029">
        <f>ROUNDDOWN(K168,-3)</f>
        <v>12726000</v>
      </c>
      <c r="L169" s="1029">
        <f t="shared" si="179"/>
        <v>55388000</v>
      </c>
      <c r="M169" s="1029">
        <f>ROUNDDOWN(M168,-3)</f>
        <v>35352000</v>
      </c>
      <c r="N169" s="1029">
        <f t="shared" si="179"/>
        <v>172916000</v>
      </c>
      <c r="O169" s="1029">
        <f t="shared" si="179"/>
        <v>0</v>
      </c>
      <c r="P169" s="1030">
        <f t="shared" si="179"/>
        <v>0</v>
      </c>
    </row>
    <row r="170" spans="1:16" s="759" customFormat="1" ht="14.25" customHeight="1">
      <c r="A170" s="2294"/>
      <c r="B170" s="2203"/>
      <c r="C170" s="2147" t="s">
        <v>4040</v>
      </c>
      <c r="D170" s="2287"/>
      <c r="E170" s="2200"/>
      <c r="F170" s="2201">
        <f>SUM(G170:P170)</f>
        <v>432227639</v>
      </c>
      <c r="G170" s="2208">
        <f t="shared" ref="G170:P170" si="181">+G167</f>
        <v>37092902</v>
      </c>
      <c r="H170" s="2208">
        <f t="shared" si="181"/>
        <v>24600996</v>
      </c>
      <c r="I170" s="2208">
        <f>+I167</f>
        <v>2353309</v>
      </c>
      <c r="J170" s="2208">
        <f>+J167</f>
        <v>120735841</v>
      </c>
      <c r="K170" s="2208">
        <f>+K167</f>
        <v>11393752</v>
      </c>
      <c r="L170" s="2208">
        <f>+L167</f>
        <v>49588917</v>
      </c>
      <c r="M170" s="2208">
        <f>+M167</f>
        <v>31650790</v>
      </c>
      <c r="N170" s="2208">
        <f t="shared" si="181"/>
        <v>154811132</v>
      </c>
      <c r="O170" s="2208">
        <f t="shared" si="181"/>
        <v>0</v>
      </c>
      <c r="P170" s="2209">
        <f t="shared" si="181"/>
        <v>0</v>
      </c>
    </row>
    <row r="171" spans="1:16" s="759" customFormat="1" ht="14.25" customHeight="1">
      <c r="A171" s="2294"/>
      <c r="B171" s="2203"/>
      <c r="C171" s="2147" t="s">
        <v>4061</v>
      </c>
      <c r="D171" s="2287"/>
      <c r="E171" s="2284"/>
      <c r="F171" s="2201">
        <f>SUM(G171:P171)</f>
        <v>50472361</v>
      </c>
      <c r="G171" s="2208">
        <f t="shared" ref="G171:P171" si="182">+G166-(G168-G173)</f>
        <v>4329098</v>
      </c>
      <c r="H171" s="2208">
        <f t="shared" si="182"/>
        <v>2873004</v>
      </c>
      <c r="I171" s="2208">
        <f t="shared" si="182"/>
        <v>274691</v>
      </c>
      <c r="J171" s="2208">
        <f t="shared" ref="J171:K171" si="183">+J166-(J168-J173)</f>
        <v>14099159</v>
      </c>
      <c r="K171" s="2208">
        <f t="shared" si="183"/>
        <v>1330248</v>
      </c>
      <c r="L171" s="2208">
        <f t="shared" si="182"/>
        <v>5791083</v>
      </c>
      <c r="M171" s="2208">
        <f t="shared" si="182"/>
        <v>3696210</v>
      </c>
      <c r="N171" s="2208">
        <f t="shared" si="182"/>
        <v>18078868</v>
      </c>
      <c r="O171" s="2208">
        <f t="shared" si="182"/>
        <v>0</v>
      </c>
      <c r="P171" s="2209">
        <f t="shared" si="182"/>
        <v>0</v>
      </c>
    </row>
    <row r="172" spans="1:16" s="759" customFormat="1" ht="14.25" customHeight="1">
      <c r="A172" s="2294"/>
      <c r="B172" s="2203"/>
      <c r="C172" s="2203"/>
      <c r="D172" s="2200"/>
      <c r="E172" s="2296">
        <f>SUM(G169:Q169)</f>
        <v>482773000</v>
      </c>
      <c r="F172" s="2201" t="s">
        <v>4062</v>
      </c>
      <c r="G172" s="2208">
        <f>+G166-G171</f>
        <v>8918</v>
      </c>
      <c r="H172" s="2208">
        <f t="shared" ref="H172:P172" si="184">+H166-H171</f>
        <v>4083</v>
      </c>
      <c r="I172" s="2208">
        <f>+I166-I171</f>
        <v>528</v>
      </c>
      <c r="J172" s="2208">
        <f t="shared" ref="J172" si="185">+J166-J171</f>
        <v>20897</v>
      </c>
      <c r="K172" s="2208">
        <f>+K166-K171</f>
        <v>2250</v>
      </c>
      <c r="L172" s="2208">
        <f t="shared" si="184"/>
        <v>8341</v>
      </c>
      <c r="M172" s="2208">
        <f>+M166-M171</f>
        <v>5350</v>
      </c>
      <c r="N172" s="2208">
        <f t="shared" si="184"/>
        <v>26293</v>
      </c>
      <c r="O172" s="2297">
        <f t="shared" si="184"/>
        <v>0</v>
      </c>
      <c r="P172" s="2298">
        <f t="shared" si="184"/>
        <v>0</v>
      </c>
    </row>
    <row r="173" spans="1:16" s="759" customFormat="1" ht="14.25" customHeight="1">
      <c r="A173" s="2299"/>
      <c r="B173" s="2300"/>
      <c r="C173" s="2300" t="s">
        <v>4063</v>
      </c>
      <c r="D173" s="2301"/>
      <c r="E173" s="2296">
        <f>ROUNDDOWN(E172,4-LEN(E172))</f>
        <v>482700000</v>
      </c>
      <c r="F173" s="2302">
        <f>+E173</f>
        <v>482700000</v>
      </c>
      <c r="G173" s="2297">
        <f>IF(F174+SUM(H173:Q173)=F173,F174,F173-SUM(H173:Q173))</f>
        <v>41422000</v>
      </c>
      <c r="H173" s="2297">
        <f>IF(H163="",+H169-ROUND($E$174*H168/$F$168,-3),H168)</f>
        <v>27474000</v>
      </c>
      <c r="I173" s="2297">
        <f t="shared" ref="I173:P173" si="186">IF(I163="",+I169-ROUND($E$174*I168/$F$168,-3),I168)</f>
        <v>2628000</v>
      </c>
      <c r="J173" s="2297">
        <f t="shared" ref="J173:K173" si="187">IF(J163="",+J169-ROUND($E$174*J168/$F$168,-3),J168)</f>
        <v>134835000</v>
      </c>
      <c r="K173" s="2297">
        <f t="shared" si="187"/>
        <v>12724000</v>
      </c>
      <c r="L173" s="2297">
        <f t="shared" si="186"/>
        <v>55380000</v>
      </c>
      <c r="M173" s="2297">
        <f t="shared" si="186"/>
        <v>35347000</v>
      </c>
      <c r="N173" s="2297">
        <f>IF(N163="",+N169-ROUND($E$174*N168/$F$168,-3),N168)</f>
        <v>172890000</v>
      </c>
      <c r="O173" s="2297">
        <f t="shared" si="186"/>
        <v>0</v>
      </c>
      <c r="P173" s="2297">
        <f t="shared" si="186"/>
        <v>0</v>
      </c>
    </row>
    <row r="174" spans="1:16" s="759" customFormat="1" ht="14.25" customHeight="1">
      <c r="A174" s="1038"/>
      <c r="B174" s="1039"/>
      <c r="C174" s="1039"/>
      <c r="D174" s="1040"/>
      <c r="E174" s="1041">
        <f>E172-E173</f>
        <v>73000</v>
      </c>
      <c r="F174" s="1042">
        <f>+G169-ROUND($E$174*G168/$F$168,-3)</f>
        <v>41424000</v>
      </c>
      <c r="G174" s="1041">
        <f t="shared" ref="G174:P174" si="188">IF(LEN(G168)&lt;=7,-3,IF(LEN(G168)=8,-4,IF(LEN(G168)&gt;=9,-5,-6)))</f>
        <v>-4</v>
      </c>
      <c r="H174" s="1041">
        <f t="shared" si="188"/>
        <v>-4</v>
      </c>
      <c r="I174" s="1041">
        <f t="shared" si="188"/>
        <v>-3</v>
      </c>
      <c r="J174" s="1041">
        <f>IF(LEN(J168)&lt;=7,-3,IF(LEN(J168)=8,-4,IF(LEN(J168)&gt;=9,-5,-6)))</f>
        <v>-5</v>
      </c>
      <c r="K174" s="1041">
        <f>IF(LEN(K168)&lt;=7,-3,IF(LEN(K168)=8,-4,IF(LEN(K168)&gt;=9,-5,-6)))</f>
        <v>-4</v>
      </c>
      <c r="L174" s="1041">
        <f>IF(LEN(L168)&lt;=7,-3,IF(LEN(L168)=8,-4,IF(LEN(L168)&gt;=9,-5,-6)))</f>
        <v>-4</v>
      </c>
      <c r="M174" s="1041">
        <f>IF(LEN(M168)&lt;=7,-3,IF(LEN(M168)=8,-4,IF(LEN(M168)&gt;=9,-5,-6)))</f>
        <v>-4</v>
      </c>
      <c r="N174" s="1041">
        <f t="shared" si="188"/>
        <v>-5</v>
      </c>
      <c r="O174" s="1041">
        <f t="shared" si="188"/>
        <v>-3</v>
      </c>
      <c r="P174" s="1043">
        <f t="shared" si="188"/>
        <v>-3</v>
      </c>
    </row>
    <row r="175" spans="1:16" ht="13.5" customHeight="1" thickBot="1">
      <c r="F175" s="1044"/>
      <c r="G175" s="1045"/>
    </row>
    <row r="176" spans="1:16" ht="13.5" customHeight="1">
      <c r="A176" s="1047"/>
      <c r="B176" s="1048"/>
      <c r="C176" s="1049" t="s">
        <v>4064</v>
      </c>
      <c r="D176" s="1050"/>
      <c r="E176" s="1048"/>
      <c r="F176" s="1051" t="s">
        <v>4065</v>
      </c>
      <c r="G176" s="1052">
        <f t="shared" ref="G176:P176" si="189">+G3</f>
        <v>16.600000000000001</v>
      </c>
      <c r="H176" s="1052">
        <f t="shared" si="189"/>
        <v>11</v>
      </c>
      <c r="I176" s="1052">
        <f t="shared" si="189"/>
        <v>16.600000000000001</v>
      </c>
      <c r="J176" s="1052">
        <f t="shared" ref="J176" si="190">+J3</f>
        <v>16.600000000000001</v>
      </c>
      <c r="K176" s="1052">
        <f>+K3</f>
        <v>16.600000000000001</v>
      </c>
      <c r="L176" s="1052">
        <f t="shared" si="189"/>
        <v>16.600000000000001</v>
      </c>
      <c r="M176" s="1052">
        <f>+M3</f>
        <v>11</v>
      </c>
      <c r="N176" s="1052">
        <f t="shared" si="189"/>
        <v>16.600000000000001</v>
      </c>
      <c r="O176" s="1052">
        <f t="shared" si="189"/>
        <v>0</v>
      </c>
      <c r="P176" s="1053">
        <f t="shared" si="189"/>
        <v>0</v>
      </c>
    </row>
    <row r="177" spans="1:16" ht="13.5" customHeight="1">
      <c r="A177" s="2698"/>
      <c r="B177" s="2701" t="s">
        <v>4066</v>
      </c>
      <c r="C177" s="2303" t="s">
        <v>4067</v>
      </c>
      <c r="D177" s="2176"/>
      <c r="E177" s="2304"/>
      <c r="F177" s="2305" t="s">
        <v>4068</v>
      </c>
      <c r="G177" s="2306">
        <f>IF($F$60&lt;=10000000,ROUND(7.56*(10000^-0.1105)*(G176^0.2389),2),ROUND(7.56*(($F$60/1000)^-0.1105)*(G176^0.2389),2))</f>
        <v>5.35</v>
      </c>
      <c r="H177" s="2306">
        <f t="shared" ref="H177:P177" si="191">IF($F$60&lt;=10000000,ROUND(7.56*(10000^-0.1105)*(H176^0.2389),2),ROUND(7.56*(($F$60/1000)^-0.1105)*(H176^0.2389),2))</f>
        <v>4.8499999999999996</v>
      </c>
      <c r="I177" s="2306">
        <f t="shared" si="191"/>
        <v>5.35</v>
      </c>
      <c r="J177" s="2306">
        <f t="shared" ref="J177:K177" si="192">IF($F$60&lt;=10000000,ROUND(7.56*(10000^-0.1105)*(J176^0.2389),2),ROUND(7.56*(($F$60/1000)^-0.1105)*(J176^0.2389),2))</f>
        <v>5.35</v>
      </c>
      <c r="K177" s="2306">
        <f t="shared" si="192"/>
        <v>5.35</v>
      </c>
      <c r="L177" s="2306">
        <f t="shared" si="191"/>
        <v>5.35</v>
      </c>
      <c r="M177" s="2306">
        <f t="shared" si="191"/>
        <v>4.8499999999999996</v>
      </c>
      <c r="N177" s="2306">
        <f t="shared" si="191"/>
        <v>5.35</v>
      </c>
      <c r="O177" s="2306">
        <f t="shared" si="191"/>
        <v>0</v>
      </c>
      <c r="P177" s="2307">
        <f t="shared" si="191"/>
        <v>0</v>
      </c>
    </row>
    <row r="178" spans="1:16" ht="13.5" customHeight="1">
      <c r="A178" s="2699"/>
      <c r="B178" s="2702"/>
      <c r="C178" s="2704" t="s">
        <v>4069</v>
      </c>
      <c r="D178" s="2308"/>
      <c r="E178" s="2309"/>
      <c r="F178" s="2305" t="s">
        <v>4070</v>
      </c>
      <c r="G178" s="2310">
        <f>IF($F$60&lt;=10000000,ROUND(4.33,2),0)</f>
        <v>4.33</v>
      </c>
      <c r="H178" s="2310">
        <f t="shared" ref="H178:P178" si="193">IF($F$60&lt;=10000000,ROUND(4.33,2),0)</f>
        <v>4.33</v>
      </c>
      <c r="I178" s="2310">
        <f t="shared" si="193"/>
        <v>4.33</v>
      </c>
      <c r="J178" s="2310">
        <f t="shared" si="193"/>
        <v>4.33</v>
      </c>
      <c r="K178" s="2310">
        <f t="shared" si="193"/>
        <v>4.33</v>
      </c>
      <c r="L178" s="2310">
        <f t="shared" si="193"/>
        <v>4.33</v>
      </c>
      <c r="M178" s="2310">
        <f t="shared" si="193"/>
        <v>4.33</v>
      </c>
      <c r="N178" s="2310">
        <f t="shared" si="193"/>
        <v>4.33</v>
      </c>
      <c r="O178" s="2310">
        <f t="shared" si="193"/>
        <v>4.33</v>
      </c>
      <c r="P178" s="2311">
        <f t="shared" si="193"/>
        <v>4.33</v>
      </c>
    </row>
    <row r="179" spans="1:16" ht="13.5" customHeight="1">
      <c r="A179" s="2699"/>
      <c r="B179" s="2702"/>
      <c r="C179" s="2705"/>
      <c r="D179" s="2312"/>
      <c r="E179" s="1063"/>
      <c r="F179" s="2305" t="s">
        <v>4071</v>
      </c>
      <c r="G179" s="2310">
        <f>IF($F$60&lt;=10000000,ROUND(3.25,2),0)</f>
        <v>3.25</v>
      </c>
      <c r="H179" s="2310">
        <f t="shared" ref="H179:P179" si="194">IF($F$60&lt;=10000000,ROUND(3.25,2),0)</f>
        <v>3.25</v>
      </c>
      <c r="I179" s="2310">
        <f t="shared" si="194"/>
        <v>3.25</v>
      </c>
      <c r="J179" s="2310">
        <f t="shared" si="194"/>
        <v>3.25</v>
      </c>
      <c r="K179" s="2310">
        <f t="shared" si="194"/>
        <v>3.25</v>
      </c>
      <c r="L179" s="2310">
        <f t="shared" si="194"/>
        <v>3.25</v>
      </c>
      <c r="M179" s="2310">
        <f t="shared" si="194"/>
        <v>3.25</v>
      </c>
      <c r="N179" s="2310">
        <f t="shared" si="194"/>
        <v>3.25</v>
      </c>
      <c r="O179" s="2310">
        <f t="shared" si="194"/>
        <v>3.25</v>
      </c>
      <c r="P179" s="2311">
        <f t="shared" si="194"/>
        <v>3.25</v>
      </c>
    </row>
    <row r="180" spans="1:16" ht="13.5" customHeight="1">
      <c r="A180" s="2699"/>
      <c r="B180" s="2702"/>
      <c r="C180" s="2704" t="s">
        <v>4072</v>
      </c>
      <c r="D180" s="2308"/>
      <c r="E180" s="2309"/>
      <c r="F180" s="2305" t="s">
        <v>4070</v>
      </c>
      <c r="G180" s="2313">
        <f>IF($F$60&gt;10000000,ROUND(5.78*($F$60/1000)^-0.0313,2),0)</f>
        <v>0</v>
      </c>
      <c r="H180" s="2313">
        <f t="shared" ref="H180:P180" si="195">IF($F$60&gt;10000000,ROUND(5.78*($F$60/1000)^-0.0313,2),0)</f>
        <v>0</v>
      </c>
      <c r="I180" s="2313">
        <f t="shared" si="195"/>
        <v>0</v>
      </c>
      <c r="J180" s="2313">
        <f t="shared" si="195"/>
        <v>0</v>
      </c>
      <c r="K180" s="2313">
        <f t="shared" si="195"/>
        <v>0</v>
      </c>
      <c r="L180" s="2313">
        <f t="shared" si="195"/>
        <v>0</v>
      </c>
      <c r="M180" s="2313">
        <f t="shared" si="195"/>
        <v>0</v>
      </c>
      <c r="N180" s="2313">
        <f t="shared" si="195"/>
        <v>0</v>
      </c>
      <c r="O180" s="2313">
        <f t="shared" si="195"/>
        <v>0</v>
      </c>
      <c r="P180" s="2314">
        <f t="shared" si="195"/>
        <v>0</v>
      </c>
    </row>
    <row r="181" spans="1:16" ht="13.5" customHeight="1">
      <c r="A181" s="2700"/>
      <c r="B181" s="2703"/>
      <c r="C181" s="2705"/>
      <c r="D181" s="2312"/>
      <c r="E181" s="1063"/>
      <c r="F181" s="2305" t="s">
        <v>4071</v>
      </c>
      <c r="G181" s="2313">
        <f>IF($F$60&gt;10000000,ROUND(4.34*($F$60/1000)^-0.0313,2),0)</f>
        <v>0</v>
      </c>
      <c r="H181" s="2313">
        <f t="shared" ref="H181:P181" si="196">IF($F$60&gt;10000000,ROUND(4.34*($F$60/1000)^-0.0313,2),0)</f>
        <v>0</v>
      </c>
      <c r="I181" s="2313">
        <f t="shared" si="196"/>
        <v>0</v>
      </c>
      <c r="J181" s="2313">
        <f t="shared" si="196"/>
        <v>0</v>
      </c>
      <c r="K181" s="2313">
        <f t="shared" si="196"/>
        <v>0</v>
      </c>
      <c r="L181" s="2313">
        <f t="shared" si="196"/>
        <v>0</v>
      </c>
      <c r="M181" s="2313">
        <f t="shared" si="196"/>
        <v>0</v>
      </c>
      <c r="N181" s="2313">
        <f t="shared" si="196"/>
        <v>0</v>
      </c>
      <c r="O181" s="2313">
        <f t="shared" si="196"/>
        <v>0</v>
      </c>
      <c r="P181" s="2314">
        <f t="shared" si="196"/>
        <v>0</v>
      </c>
    </row>
    <row r="182" spans="1:16" s="1068" customFormat="1" ht="13.5" customHeight="1">
      <c r="A182" s="2706" t="s">
        <v>4073</v>
      </c>
      <c r="B182" s="2707"/>
      <c r="C182" s="2707"/>
      <c r="D182" s="2707"/>
      <c r="E182" s="2708"/>
      <c r="F182" s="2709"/>
      <c r="G182" s="2315">
        <f t="shared" ref="G182:P182" si="197">IF($F$60&lt;=10000000,IF(G$177&gt;G$178,G$178,IF(G$177&lt;G$179,G$179,G$177)),IF(G$177&gt;G$180,G$180,IF(G$177&lt;G$181,G$181,G$177)))</f>
        <v>4.33</v>
      </c>
      <c r="H182" s="2315">
        <f>IF($F$60&lt;=10000000,IF(H$177&gt;H$178,H$178,IF(H$177&lt;H$179,H$179,H$177)),IF(H$177&gt;H$180,H$180,IF(H$177&lt;H$181,H$181,H$177)))</f>
        <v>4.33</v>
      </c>
      <c r="I182" s="2315">
        <f t="shared" si="197"/>
        <v>4.33</v>
      </c>
      <c r="J182" s="2315">
        <f t="shared" si="197"/>
        <v>4.33</v>
      </c>
      <c r="K182" s="2315">
        <f t="shared" si="197"/>
        <v>4.33</v>
      </c>
      <c r="L182" s="2315">
        <f t="shared" si="197"/>
        <v>4.33</v>
      </c>
      <c r="M182" s="2315">
        <f t="shared" si="197"/>
        <v>4.33</v>
      </c>
      <c r="N182" s="2315">
        <f t="shared" si="197"/>
        <v>4.33</v>
      </c>
      <c r="O182" s="2315">
        <f t="shared" si="197"/>
        <v>3.25</v>
      </c>
      <c r="P182" s="2316">
        <f t="shared" si="197"/>
        <v>3.25</v>
      </c>
    </row>
    <row r="183" spans="1:16" s="1068" customFormat="1" ht="13.5" customHeight="1" thickBot="1">
      <c r="A183" s="2710" t="s">
        <v>4074</v>
      </c>
      <c r="B183" s="2711"/>
      <c r="C183" s="2711"/>
      <c r="D183" s="2711"/>
      <c r="E183" s="2712"/>
      <c r="F183" s="2713"/>
      <c r="G183" s="1069">
        <f>ROUND(G182*IF(AND(G8="駅施設",G9="無し"),0.7,IF(AND(G8="駅施設",G9="有り"),0.7,IF(AND(G8="地上建物",G9="無し"),0.9,IF(AND(G8="地上建物",G9="有り"),1,0)))),2)</f>
        <v>3.03</v>
      </c>
      <c r="H183" s="1069">
        <f t="shared" ref="H183:P183" si="198">ROUND(H182*IF(AND(H8="駅施設",H9="無し"),0.7,IF(AND(H8="駅施設",H9="有り"),0.7,IF(AND(H8="地上建物",H9="無し"),0.9,IF(AND(H8="地上建物",H9="有り"),1,0)))),2)</f>
        <v>3.03</v>
      </c>
      <c r="I183" s="1069">
        <f t="shared" si="198"/>
        <v>3.03</v>
      </c>
      <c r="J183" s="1069">
        <f t="shared" ref="J183:K183" si="199">ROUND(J182*IF(AND(J8="駅施設",J9="無し"),0.7,IF(AND(J8="駅施設",J9="有り"),0.7,IF(AND(J8="地上建物",J9="無し"),0.9,IF(AND(J8="地上建物",J9="有り"),1,0)))),2)</f>
        <v>3.03</v>
      </c>
      <c r="K183" s="1069">
        <f t="shared" si="199"/>
        <v>3.03</v>
      </c>
      <c r="L183" s="1069">
        <f t="shared" si="198"/>
        <v>3.03</v>
      </c>
      <c r="M183" s="1069">
        <f t="shared" si="198"/>
        <v>3.03</v>
      </c>
      <c r="N183" s="1069">
        <f t="shared" si="198"/>
        <v>3.03</v>
      </c>
      <c r="O183" s="1069">
        <f t="shared" si="198"/>
        <v>2.2799999999999998</v>
      </c>
      <c r="P183" s="1070">
        <f t="shared" si="198"/>
        <v>2.2799999999999998</v>
      </c>
    </row>
    <row r="184" spans="1:16" s="759" customFormat="1" ht="13.5" customHeight="1" thickBot="1">
      <c r="G184" s="1071"/>
      <c r="H184" s="1071"/>
      <c r="I184" s="1071"/>
      <c r="J184" s="1071"/>
      <c r="K184" s="1071"/>
      <c r="L184" s="1071"/>
      <c r="M184" s="1071"/>
      <c r="N184" s="1071"/>
      <c r="O184" s="1071"/>
      <c r="P184" s="1071"/>
    </row>
    <row r="185" spans="1:16" s="759" customFormat="1" ht="13.5" customHeight="1">
      <c r="A185" s="1072"/>
      <c r="B185" s="1073"/>
      <c r="C185" s="1074" t="s">
        <v>4064</v>
      </c>
      <c r="D185" s="1075"/>
      <c r="E185" s="1073"/>
      <c r="F185" s="1076" t="s">
        <v>4065</v>
      </c>
      <c r="G185" s="1052">
        <f t="shared" ref="G185:P185" si="200">+G3</f>
        <v>16.600000000000001</v>
      </c>
      <c r="H185" s="1052">
        <f t="shared" si="200"/>
        <v>11</v>
      </c>
      <c r="I185" s="1052">
        <f t="shared" si="200"/>
        <v>16.600000000000001</v>
      </c>
      <c r="J185" s="1052">
        <f t="shared" ref="J185" si="201">+J3</f>
        <v>16.600000000000001</v>
      </c>
      <c r="K185" s="1052">
        <f>+K3</f>
        <v>16.600000000000001</v>
      </c>
      <c r="L185" s="1052">
        <f t="shared" si="200"/>
        <v>16.600000000000001</v>
      </c>
      <c r="M185" s="1052">
        <f>+M3</f>
        <v>11</v>
      </c>
      <c r="N185" s="1052">
        <f t="shared" si="200"/>
        <v>16.600000000000001</v>
      </c>
      <c r="O185" s="1052">
        <f t="shared" si="200"/>
        <v>0</v>
      </c>
      <c r="P185" s="1053">
        <f t="shared" si="200"/>
        <v>0</v>
      </c>
    </row>
    <row r="186" spans="1:16" s="759" customFormat="1" ht="13.5" customHeight="1">
      <c r="A186" s="2714"/>
      <c r="B186" s="2717" t="s">
        <v>4075</v>
      </c>
      <c r="C186" s="2317" t="s">
        <v>4067</v>
      </c>
      <c r="D186" s="2300"/>
      <c r="E186" s="2318"/>
      <c r="F186" s="2319" t="s">
        <v>4076</v>
      </c>
      <c r="G186" s="2306">
        <f>IF($F$60&lt;=5000000,ROUND(18.03*(5000^-0.2027)*(G185^0.4017),2),ROUND(18.03*(($F$60/1000)^-0.2027)*(G185^0.4017),2))</f>
        <v>9.92</v>
      </c>
      <c r="H186" s="2306">
        <f t="shared" ref="H186:P186" si="202">IF($F$60&lt;=5000000,ROUND(18.03*(5000^-0.2027)*(H185^0.4017),2),ROUND(18.03*(($F$60/1000)^-0.2027)*(H185^0.4017),2))</f>
        <v>8.41</v>
      </c>
      <c r="I186" s="2306">
        <f t="shared" si="202"/>
        <v>9.92</v>
      </c>
      <c r="J186" s="2306">
        <f t="shared" ref="J186:K186" si="203">IF($F$60&lt;=5000000,ROUND(18.03*(5000^-0.2027)*(J185^0.4017),2),ROUND(18.03*(($F$60/1000)^-0.2027)*(J185^0.4017),2))</f>
        <v>9.92</v>
      </c>
      <c r="K186" s="2306">
        <f t="shared" si="203"/>
        <v>9.92</v>
      </c>
      <c r="L186" s="2306">
        <f t="shared" si="202"/>
        <v>9.92</v>
      </c>
      <c r="M186" s="2306">
        <f t="shared" si="202"/>
        <v>8.41</v>
      </c>
      <c r="N186" s="2306">
        <f t="shared" si="202"/>
        <v>9.92</v>
      </c>
      <c r="O186" s="2306">
        <f t="shared" si="202"/>
        <v>0</v>
      </c>
      <c r="P186" s="2307">
        <f t="shared" si="202"/>
        <v>0</v>
      </c>
    </row>
    <row r="187" spans="1:16" s="759" customFormat="1" ht="13.5" customHeight="1">
      <c r="A187" s="2715"/>
      <c r="B187" s="2718"/>
      <c r="C187" s="2720" t="s">
        <v>4077</v>
      </c>
      <c r="D187" s="2265"/>
      <c r="E187" s="2320"/>
      <c r="F187" s="2319" t="s">
        <v>4070</v>
      </c>
      <c r="G187" s="2321">
        <f>IF($F$60&lt;=5000000,ROUND(6.07,2),0)</f>
        <v>6.07</v>
      </c>
      <c r="H187" s="2321">
        <f t="shared" ref="H187:P187" si="204">IF($F$60&lt;=5000000,ROUND(6.07,2),0)</f>
        <v>6.07</v>
      </c>
      <c r="I187" s="2321">
        <f t="shared" si="204"/>
        <v>6.07</v>
      </c>
      <c r="J187" s="2321">
        <f t="shared" si="204"/>
        <v>6.07</v>
      </c>
      <c r="K187" s="2321">
        <f t="shared" si="204"/>
        <v>6.07</v>
      </c>
      <c r="L187" s="2321">
        <f t="shared" si="204"/>
        <v>6.07</v>
      </c>
      <c r="M187" s="2321">
        <f t="shared" si="204"/>
        <v>6.07</v>
      </c>
      <c r="N187" s="2321">
        <f t="shared" si="204"/>
        <v>6.07</v>
      </c>
      <c r="O187" s="2321">
        <f t="shared" si="204"/>
        <v>6.07</v>
      </c>
      <c r="P187" s="2322">
        <f t="shared" si="204"/>
        <v>6.07</v>
      </c>
    </row>
    <row r="188" spans="1:16" s="759" customFormat="1" ht="13.5" customHeight="1">
      <c r="A188" s="2715"/>
      <c r="B188" s="2718"/>
      <c r="C188" s="2721"/>
      <c r="D188" s="2323"/>
      <c r="E188" s="1083"/>
      <c r="F188" s="2319" t="s">
        <v>4071</v>
      </c>
      <c r="G188" s="2321">
        <f>IF($F$60&lt;=5000000,ROUND(3.59,2),0)</f>
        <v>3.59</v>
      </c>
      <c r="H188" s="2321">
        <f t="shared" ref="H188:P188" si="205">IF($F$60&lt;=5000000,ROUND(3.59,2),0)</f>
        <v>3.59</v>
      </c>
      <c r="I188" s="2321">
        <f t="shared" si="205"/>
        <v>3.59</v>
      </c>
      <c r="J188" s="2321">
        <f t="shared" si="205"/>
        <v>3.59</v>
      </c>
      <c r="K188" s="2321">
        <f t="shared" si="205"/>
        <v>3.59</v>
      </c>
      <c r="L188" s="2321">
        <f t="shared" si="205"/>
        <v>3.59</v>
      </c>
      <c r="M188" s="2321">
        <f t="shared" si="205"/>
        <v>3.59</v>
      </c>
      <c r="N188" s="2321">
        <f t="shared" si="205"/>
        <v>3.59</v>
      </c>
      <c r="O188" s="2321">
        <f t="shared" si="205"/>
        <v>3.59</v>
      </c>
      <c r="P188" s="2322">
        <f t="shared" si="205"/>
        <v>3.59</v>
      </c>
    </row>
    <row r="189" spans="1:16" s="759" customFormat="1" ht="13.5" customHeight="1">
      <c r="A189" s="2715"/>
      <c r="B189" s="2718"/>
      <c r="C189" s="2720" t="s">
        <v>4078</v>
      </c>
      <c r="D189" s="2265"/>
      <c r="E189" s="2320"/>
      <c r="F189" s="2319" t="s">
        <v>4070</v>
      </c>
      <c r="G189" s="2324">
        <f>IF($F$60&gt;5000000,ROUND(11.74*($F$60/1000)^-0.0774,2),0)</f>
        <v>0</v>
      </c>
      <c r="H189" s="2324">
        <f t="shared" ref="H189:P189" si="206">IF($F$60&gt;5000000,ROUND(11.74*($F$60/1000)^-0.0774,2),0)</f>
        <v>0</v>
      </c>
      <c r="I189" s="2324">
        <f t="shared" si="206"/>
        <v>0</v>
      </c>
      <c r="J189" s="2324">
        <f t="shared" si="206"/>
        <v>0</v>
      </c>
      <c r="K189" s="2324">
        <f t="shared" si="206"/>
        <v>0</v>
      </c>
      <c r="L189" s="2324">
        <f t="shared" si="206"/>
        <v>0</v>
      </c>
      <c r="M189" s="2324">
        <f t="shared" si="206"/>
        <v>0</v>
      </c>
      <c r="N189" s="2324">
        <f t="shared" si="206"/>
        <v>0</v>
      </c>
      <c r="O189" s="2324">
        <f t="shared" si="206"/>
        <v>0</v>
      </c>
      <c r="P189" s="2325">
        <f t="shared" si="206"/>
        <v>0</v>
      </c>
    </row>
    <row r="190" spans="1:16" s="759" customFormat="1" ht="13.5" customHeight="1">
      <c r="A190" s="2716"/>
      <c r="B190" s="2719"/>
      <c r="C190" s="2721"/>
      <c r="D190" s="2323"/>
      <c r="E190" s="1083"/>
      <c r="F190" s="2319" t="s">
        <v>4071</v>
      </c>
      <c r="G190" s="2324">
        <f>IF($F$60&gt;5000000,ROUND(6.94*($F$60/1000)^-0.0774,2),0)</f>
        <v>0</v>
      </c>
      <c r="H190" s="2324">
        <f t="shared" ref="H190:P190" si="207">IF($F$60&gt;5000000,ROUND(6.94*($F$60/1000)^-0.0774,2),0)</f>
        <v>0</v>
      </c>
      <c r="I190" s="2324">
        <f t="shared" si="207"/>
        <v>0</v>
      </c>
      <c r="J190" s="2324">
        <f t="shared" si="207"/>
        <v>0</v>
      </c>
      <c r="K190" s="2324">
        <f t="shared" si="207"/>
        <v>0</v>
      </c>
      <c r="L190" s="2324">
        <f t="shared" si="207"/>
        <v>0</v>
      </c>
      <c r="M190" s="2324">
        <f t="shared" si="207"/>
        <v>0</v>
      </c>
      <c r="N190" s="2324">
        <f t="shared" si="207"/>
        <v>0</v>
      </c>
      <c r="O190" s="2324">
        <f t="shared" si="207"/>
        <v>0</v>
      </c>
      <c r="P190" s="2325">
        <f t="shared" si="207"/>
        <v>0</v>
      </c>
    </row>
    <row r="191" spans="1:16" s="1068" customFormat="1" ht="13.5" customHeight="1">
      <c r="A191" s="2706" t="s">
        <v>4073</v>
      </c>
      <c r="B191" s="2707"/>
      <c r="C191" s="2707"/>
      <c r="D191" s="2707"/>
      <c r="E191" s="2708"/>
      <c r="F191" s="2709"/>
      <c r="G191" s="2326">
        <f>IF($F$60&lt;=5000000,IF(G$186&gt;G$187,G$187,IF(G$186&lt;G$188,G$188,G$186)),IF(G$186&gt;G$189,G$189,IF(G$186&lt;G$190,G$190,G$186)))</f>
        <v>6.07</v>
      </c>
      <c r="H191" s="2326">
        <f t="shared" ref="H191:P191" si="208">IF($F$60&lt;=5000000,IF(H$186&gt;H$187,H$187,IF(H$186&lt;H$188,H$188,H$186)),IF(H$186&gt;H$189,H$189,IF(H$186&lt;H$190,H$190,H$186)))</f>
        <v>6.07</v>
      </c>
      <c r="I191" s="2326">
        <f t="shared" si="208"/>
        <v>6.07</v>
      </c>
      <c r="J191" s="2326">
        <f t="shared" si="208"/>
        <v>6.07</v>
      </c>
      <c r="K191" s="2326">
        <f t="shared" si="208"/>
        <v>6.07</v>
      </c>
      <c r="L191" s="2326">
        <f t="shared" si="208"/>
        <v>6.07</v>
      </c>
      <c r="M191" s="2326">
        <f t="shared" si="208"/>
        <v>6.07</v>
      </c>
      <c r="N191" s="2326">
        <f t="shared" si="208"/>
        <v>6.07</v>
      </c>
      <c r="O191" s="2326">
        <f t="shared" si="208"/>
        <v>3.59</v>
      </c>
      <c r="P191" s="2327">
        <f t="shared" si="208"/>
        <v>3.59</v>
      </c>
    </row>
    <row r="192" spans="1:16" s="1068" customFormat="1" ht="13.5" customHeight="1" thickBot="1">
      <c r="A192" s="2710" t="s">
        <v>4074</v>
      </c>
      <c r="B192" s="2711"/>
      <c r="C192" s="2711"/>
      <c r="D192" s="2711"/>
      <c r="E192" s="2712"/>
      <c r="F192" s="2713"/>
      <c r="G192" s="1069">
        <f>ROUND(G191*IF(AND(G8="駅施設",G9="無し"),0.7,IF(AND(G8="駅施設",G9="有り"),0.7,IF(AND(G8="地上建物",G9="無し"),0.9,IF(AND(G8="地上建物",G9="有り"),1,0)))),2)</f>
        <v>4.25</v>
      </c>
      <c r="H192" s="1069">
        <f t="shared" ref="H192:P192" si="209">ROUND(H191*IF(AND(H8="駅施設",H9="無し"),0.7,IF(AND(H8="駅施設",H9="有り"),0.7,IF(AND(H8="地上建物",H9="無し"),0.9,IF(AND(H8="地上建物",H9="有り"),1,0)))),2)</f>
        <v>4.25</v>
      </c>
      <c r="I192" s="1069">
        <f t="shared" si="209"/>
        <v>4.25</v>
      </c>
      <c r="J192" s="1069">
        <f t="shared" ref="J192:K192" si="210">ROUND(J191*IF(AND(J8="駅施設",J9="無し"),0.7,IF(AND(J8="駅施設",J9="有り"),0.7,IF(AND(J8="地上建物",J9="無し"),0.9,IF(AND(J8="地上建物",J9="有り"),1,0)))),2)</f>
        <v>4.25</v>
      </c>
      <c r="K192" s="1069">
        <f t="shared" si="210"/>
        <v>4.25</v>
      </c>
      <c r="L192" s="1069">
        <f t="shared" si="209"/>
        <v>4.25</v>
      </c>
      <c r="M192" s="1069">
        <f t="shared" si="209"/>
        <v>4.25</v>
      </c>
      <c r="N192" s="1069">
        <f t="shared" si="209"/>
        <v>4.25</v>
      </c>
      <c r="O192" s="1069">
        <f t="shared" si="209"/>
        <v>2.5099999999999998</v>
      </c>
      <c r="P192" s="1070">
        <f t="shared" si="209"/>
        <v>2.5099999999999998</v>
      </c>
    </row>
    <row r="193" spans="1:16" s="759" customFormat="1" ht="13.5" customHeight="1" thickBot="1">
      <c r="G193" s="1088"/>
      <c r="H193" s="1088"/>
      <c r="I193" s="1088"/>
      <c r="J193" s="1088"/>
      <c r="K193" s="1088"/>
      <c r="L193" s="1088"/>
      <c r="M193" s="1088"/>
      <c r="N193" s="1088"/>
      <c r="O193" s="1088"/>
      <c r="P193" s="1088"/>
    </row>
    <row r="194" spans="1:16" s="759" customFormat="1" ht="13.5" customHeight="1">
      <c r="A194" s="1072"/>
      <c r="B194" s="1073"/>
      <c r="C194" s="1074" t="s">
        <v>4079</v>
      </c>
      <c r="D194" s="1075"/>
      <c r="E194" s="1073"/>
      <c r="F194" s="1076" t="s">
        <v>4065</v>
      </c>
      <c r="G194" s="1052">
        <f>+G202</f>
        <v>16.600000000000001</v>
      </c>
      <c r="H194" s="1052">
        <f t="shared" ref="H194:P194" si="211">+H202</f>
        <v>11</v>
      </c>
      <c r="I194" s="1052">
        <f t="shared" si="211"/>
        <v>16.600000000000001</v>
      </c>
      <c r="J194" s="1052">
        <f t="shared" ref="J194" si="212">+J202</f>
        <v>16.600000000000001</v>
      </c>
      <c r="K194" s="1052">
        <f>+K202</f>
        <v>16.600000000000001</v>
      </c>
      <c r="L194" s="1052">
        <f t="shared" si="211"/>
        <v>16.600000000000001</v>
      </c>
      <c r="M194" s="1052">
        <f>+M202</f>
        <v>11</v>
      </c>
      <c r="N194" s="1052">
        <f t="shared" si="211"/>
        <v>16.600000000000001</v>
      </c>
      <c r="O194" s="1052">
        <f t="shared" si="211"/>
        <v>0</v>
      </c>
      <c r="P194" s="1053">
        <f t="shared" si="211"/>
        <v>0</v>
      </c>
    </row>
    <row r="195" spans="1:16" s="759" customFormat="1" ht="13.5" customHeight="1">
      <c r="A195" s="2714"/>
      <c r="B195" s="2717" t="s">
        <v>4066</v>
      </c>
      <c r="C195" s="2317" t="s">
        <v>4080</v>
      </c>
      <c r="D195" s="2300"/>
      <c r="E195" s="2318"/>
      <c r="F195" s="2319" t="s">
        <v>4081</v>
      </c>
      <c r="G195" s="2306">
        <f>IF($F$99&lt;=10000000,ROUND(151.08*((10000)^-0.3396)*(G194^0.586),2),ROUND(151.08*(($F$99/1000)^-0.3396)*(G194^0.586),2))</f>
        <v>34.340000000000003</v>
      </c>
      <c r="H195" s="2306">
        <f t="shared" ref="H195:P195" si="213">IF($F$99&lt;=10000000,ROUND(151.08*((10000)^-0.3396)*(H194^0.586),2),ROUND(151.08*(($F$99/1000)^-0.3396)*(H194^0.586),2))</f>
        <v>26.98</v>
      </c>
      <c r="I195" s="2306">
        <f t="shared" si="213"/>
        <v>34.340000000000003</v>
      </c>
      <c r="J195" s="2306">
        <f t="shared" ref="J195:K195" si="214">IF($F$99&lt;=10000000,ROUND(151.08*((10000)^-0.3396)*(J194^0.586),2),ROUND(151.08*(($F$99/1000)^-0.3396)*(J194^0.586),2))</f>
        <v>34.340000000000003</v>
      </c>
      <c r="K195" s="2306">
        <f t="shared" si="214"/>
        <v>34.340000000000003</v>
      </c>
      <c r="L195" s="2306">
        <f t="shared" si="213"/>
        <v>34.340000000000003</v>
      </c>
      <c r="M195" s="2306">
        <f t="shared" si="213"/>
        <v>26.98</v>
      </c>
      <c r="N195" s="2306">
        <f t="shared" si="213"/>
        <v>34.340000000000003</v>
      </c>
      <c r="O195" s="2306">
        <f t="shared" si="213"/>
        <v>0</v>
      </c>
      <c r="P195" s="2307">
        <f t="shared" si="213"/>
        <v>0</v>
      </c>
    </row>
    <row r="196" spans="1:16" s="759" customFormat="1" ht="13.5" customHeight="1">
      <c r="A196" s="2715"/>
      <c r="B196" s="2718"/>
      <c r="C196" s="2720" t="s">
        <v>4082</v>
      </c>
      <c r="D196" s="2265"/>
      <c r="E196" s="2320"/>
      <c r="F196" s="2319" t="s">
        <v>4070</v>
      </c>
      <c r="G196" s="2321">
        <f>IF($F$99&lt;=10000000,ROUND(20.13,2),0)</f>
        <v>20.13</v>
      </c>
      <c r="H196" s="2321">
        <f t="shared" ref="H196:P196" si="215">IF($F$99&lt;=10000000,ROUND(20.13,2),0)</f>
        <v>20.13</v>
      </c>
      <c r="I196" s="2321">
        <f t="shared" si="215"/>
        <v>20.13</v>
      </c>
      <c r="J196" s="2321">
        <f t="shared" si="215"/>
        <v>20.13</v>
      </c>
      <c r="K196" s="2321">
        <f t="shared" si="215"/>
        <v>20.13</v>
      </c>
      <c r="L196" s="2321">
        <f t="shared" si="215"/>
        <v>20.13</v>
      </c>
      <c r="M196" s="2321">
        <f t="shared" si="215"/>
        <v>20.13</v>
      </c>
      <c r="N196" s="2321">
        <f t="shared" si="215"/>
        <v>20.13</v>
      </c>
      <c r="O196" s="2321">
        <f t="shared" si="215"/>
        <v>20.13</v>
      </c>
      <c r="P196" s="2322">
        <f t="shared" si="215"/>
        <v>20.13</v>
      </c>
    </row>
    <row r="197" spans="1:16" s="759" customFormat="1" ht="13.5" customHeight="1">
      <c r="A197" s="2715"/>
      <c r="B197" s="2718"/>
      <c r="C197" s="2721"/>
      <c r="D197" s="2323"/>
      <c r="E197" s="1083"/>
      <c r="F197" s="2319" t="s">
        <v>4071</v>
      </c>
      <c r="G197" s="2321">
        <f>IF($F$99&lt;=10000000,ROUND(10.01,2),0)</f>
        <v>10.01</v>
      </c>
      <c r="H197" s="2321">
        <f t="shared" ref="H197:P197" si="216">IF($F$99&lt;=10000000,ROUND(10.01,2),0)</f>
        <v>10.01</v>
      </c>
      <c r="I197" s="2321">
        <f t="shared" si="216"/>
        <v>10.01</v>
      </c>
      <c r="J197" s="2321">
        <f t="shared" si="216"/>
        <v>10.01</v>
      </c>
      <c r="K197" s="2321">
        <f t="shared" si="216"/>
        <v>10.01</v>
      </c>
      <c r="L197" s="2321">
        <f t="shared" si="216"/>
        <v>10.01</v>
      </c>
      <c r="M197" s="2321">
        <f t="shared" si="216"/>
        <v>10.01</v>
      </c>
      <c r="N197" s="2321">
        <f t="shared" si="216"/>
        <v>10.01</v>
      </c>
      <c r="O197" s="2321">
        <f t="shared" si="216"/>
        <v>10.01</v>
      </c>
      <c r="P197" s="2322">
        <f t="shared" si="216"/>
        <v>10.01</v>
      </c>
    </row>
    <row r="198" spans="1:16" s="759" customFormat="1" ht="13.5" customHeight="1">
      <c r="A198" s="2715"/>
      <c r="B198" s="2718"/>
      <c r="C198" s="2720" t="s">
        <v>4083</v>
      </c>
      <c r="D198" s="2265"/>
      <c r="E198" s="2320"/>
      <c r="F198" s="2319" t="s">
        <v>4070</v>
      </c>
      <c r="G198" s="2324">
        <f>IF($F$99&gt;10000000,ROUND(75.97*($F$99/1000)^-0.1442,2),0)</f>
        <v>0</v>
      </c>
      <c r="H198" s="2324">
        <f t="shared" ref="H198:P198" si="217">IF($F$99&gt;10000000,ROUND(75.97*($F$99/1000)^-0.1442*0.95,2),0)</f>
        <v>0</v>
      </c>
      <c r="I198" s="2324">
        <f t="shared" si="217"/>
        <v>0</v>
      </c>
      <c r="J198" s="2324">
        <f t="shared" si="217"/>
        <v>0</v>
      </c>
      <c r="K198" s="2324">
        <f t="shared" si="217"/>
        <v>0</v>
      </c>
      <c r="L198" s="2324">
        <f t="shared" si="217"/>
        <v>0</v>
      </c>
      <c r="M198" s="2324">
        <f t="shared" si="217"/>
        <v>0</v>
      </c>
      <c r="N198" s="2324">
        <f t="shared" si="217"/>
        <v>0</v>
      </c>
      <c r="O198" s="2324">
        <f t="shared" si="217"/>
        <v>0</v>
      </c>
      <c r="P198" s="2325">
        <f t="shared" si="217"/>
        <v>0</v>
      </c>
    </row>
    <row r="199" spans="1:16" s="759" customFormat="1" ht="13.5" customHeight="1">
      <c r="A199" s="2716"/>
      <c r="B199" s="2719"/>
      <c r="C199" s="2721"/>
      <c r="D199" s="2323"/>
      <c r="E199" s="1083"/>
      <c r="F199" s="2319" t="s">
        <v>4071</v>
      </c>
      <c r="G199" s="2324">
        <f>IF($F$99&gt;10000000,ROUND(37.76*($F$99/1000)^-0.1442,2),0)</f>
        <v>0</v>
      </c>
      <c r="H199" s="2324">
        <f t="shared" ref="H199:P199" si="218">IF($F$99&gt;10000000,ROUND(37.76*($F$99/1000)^-0.1442,2),0)</f>
        <v>0</v>
      </c>
      <c r="I199" s="2324">
        <f t="shared" si="218"/>
        <v>0</v>
      </c>
      <c r="J199" s="2324">
        <f t="shared" si="218"/>
        <v>0</v>
      </c>
      <c r="K199" s="2324">
        <f t="shared" si="218"/>
        <v>0</v>
      </c>
      <c r="L199" s="2324">
        <f t="shared" si="218"/>
        <v>0</v>
      </c>
      <c r="M199" s="2324">
        <f t="shared" si="218"/>
        <v>0</v>
      </c>
      <c r="N199" s="2324">
        <f t="shared" si="218"/>
        <v>0</v>
      </c>
      <c r="O199" s="2324">
        <f t="shared" si="218"/>
        <v>0</v>
      </c>
      <c r="P199" s="2325">
        <f t="shared" si="218"/>
        <v>0</v>
      </c>
    </row>
    <row r="200" spans="1:16" s="1094" customFormat="1" ht="13.5" customHeight="1" thickBot="1">
      <c r="A200" s="2724" t="s">
        <v>4084</v>
      </c>
      <c r="B200" s="2725"/>
      <c r="C200" s="2725"/>
      <c r="D200" s="2726"/>
      <c r="E200" s="1089"/>
      <c r="F200" s="2328"/>
      <c r="G200" s="2329">
        <f>IF($F$99&lt;=10000000,IF(G$195&gt;G$196,G$196,IF(G$195&lt;G$197,G$197,G$195)),IF(G$195&gt;G$198,G$198,IF(G$195&lt;G$199,G$199,G$195)))</f>
        <v>20.13</v>
      </c>
      <c r="H200" s="2330">
        <f t="shared" ref="H200:P200" si="219">IF($F$99&lt;=10000000,IF(H$195&gt;H$196,H$196,IF(H$195&lt;H$197,H$197,H$195)),IF(H$195&gt;H$198,H$198,IF(H$195&lt;H$199,H$199,H$195)))</f>
        <v>20.13</v>
      </c>
      <c r="I200" s="2330">
        <f t="shared" si="219"/>
        <v>20.13</v>
      </c>
      <c r="J200" s="2330">
        <f t="shared" si="219"/>
        <v>20.13</v>
      </c>
      <c r="K200" s="2330">
        <f t="shared" si="219"/>
        <v>20.13</v>
      </c>
      <c r="L200" s="2330">
        <f t="shared" si="219"/>
        <v>20.13</v>
      </c>
      <c r="M200" s="2330">
        <f t="shared" si="219"/>
        <v>20.13</v>
      </c>
      <c r="N200" s="2330">
        <f t="shared" si="219"/>
        <v>20.13</v>
      </c>
      <c r="O200" s="2330">
        <f t="shared" si="219"/>
        <v>10.01</v>
      </c>
      <c r="P200" s="2331">
        <f t="shared" si="219"/>
        <v>10.01</v>
      </c>
    </row>
    <row r="201" spans="1:16" s="759" customFormat="1" ht="13.5" customHeight="1" thickBot="1">
      <c r="G201" s="1071"/>
      <c r="H201" s="1071"/>
      <c r="I201" s="1071"/>
      <c r="J201" s="1071"/>
      <c r="K201" s="1071"/>
      <c r="L201" s="1071"/>
      <c r="M201" s="1071"/>
      <c r="N201" s="1071"/>
      <c r="O201" s="1071"/>
      <c r="P201" s="1071"/>
    </row>
    <row r="202" spans="1:16" s="759" customFormat="1" ht="13.5" customHeight="1">
      <c r="A202" s="1072"/>
      <c r="B202" s="1073"/>
      <c r="C202" s="1074" t="s">
        <v>4079</v>
      </c>
      <c r="D202" s="1075"/>
      <c r="E202" s="1073"/>
      <c r="F202" s="1076" t="s">
        <v>4065</v>
      </c>
      <c r="G202" s="1052">
        <f>+G3</f>
        <v>16.600000000000001</v>
      </c>
      <c r="H202" s="1052">
        <f>+H3</f>
        <v>11</v>
      </c>
      <c r="I202" s="1052">
        <f t="shared" ref="I202:P202" si="220">+I3</f>
        <v>16.600000000000001</v>
      </c>
      <c r="J202" s="1052">
        <f t="shared" ref="J202" si="221">+J3</f>
        <v>16.600000000000001</v>
      </c>
      <c r="K202" s="1052">
        <f>+K3</f>
        <v>16.600000000000001</v>
      </c>
      <c r="L202" s="1052">
        <f t="shared" si="220"/>
        <v>16.600000000000001</v>
      </c>
      <c r="M202" s="1052">
        <f>+M3</f>
        <v>11</v>
      </c>
      <c r="N202" s="1052">
        <f t="shared" si="220"/>
        <v>16.600000000000001</v>
      </c>
      <c r="O202" s="1052">
        <f t="shared" si="220"/>
        <v>0</v>
      </c>
      <c r="P202" s="1053">
        <f t="shared" si="220"/>
        <v>0</v>
      </c>
    </row>
    <row r="203" spans="1:16" s="759" customFormat="1" ht="13.5" customHeight="1">
      <c r="A203" s="2714"/>
      <c r="B203" s="2717" t="s">
        <v>4075</v>
      </c>
      <c r="C203" s="2317" t="s">
        <v>4080</v>
      </c>
      <c r="D203" s="2300"/>
      <c r="E203" s="2318"/>
      <c r="F203" s="2319" t="s">
        <v>4081</v>
      </c>
      <c r="G203" s="2306">
        <f>IF($F$99&lt;=5000000,ROUND(356.2*((5000)^-0.4085)*(G202^0.5766),2),ROUND(356.2*(($F$99/1000)^-0.4085)*(G202^0.5766),2))</f>
        <v>55.49</v>
      </c>
      <c r="H203" s="2306">
        <f t="shared" ref="H203:P203" si="222">IF($F$99&lt;=5000000,ROUND(356.2*((5000)^-0.4085)*(H202^0.5766),2),ROUND(356.2*(($F$99/1000)^-0.4085)*(H202^0.5766),2))</f>
        <v>43.77</v>
      </c>
      <c r="I203" s="2306">
        <f t="shared" si="222"/>
        <v>55.49</v>
      </c>
      <c r="J203" s="2306">
        <f t="shared" ref="J203:K203" si="223">IF($F$99&lt;=5000000,ROUND(356.2*((5000)^-0.4085)*(J202^0.5766),2),ROUND(356.2*(($F$99/1000)^-0.4085)*(J202^0.5766),2))</f>
        <v>55.49</v>
      </c>
      <c r="K203" s="2306">
        <f t="shared" si="223"/>
        <v>55.49</v>
      </c>
      <c r="L203" s="2306">
        <f t="shared" si="222"/>
        <v>55.49</v>
      </c>
      <c r="M203" s="2306">
        <f t="shared" si="222"/>
        <v>43.77</v>
      </c>
      <c r="N203" s="2306">
        <f t="shared" si="222"/>
        <v>55.49</v>
      </c>
      <c r="O203" s="2306">
        <f t="shared" si="222"/>
        <v>0</v>
      </c>
      <c r="P203" s="2307">
        <f t="shared" si="222"/>
        <v>0</v>
      </c>
    </row>
    <row r="204" spans="1:16" s="759" customFormat="1" ht="13.5" customHeight="1">
      <c r="A204" s="2715"/>
      <c r="B204" s="2718"/>
      <c r="C204" s="2720" t="s">
        <v>4085</v>
      </c>
      <c r="D204" s="2265"/>
      <c r="E204" s="2320"/>
      <c r="F204" s="2319" t="s">
        <v>4070</v>
      </c>
      <c r="G204" s="2321">
        <f>IF($F$99&lt;=5000000,ROUND(26.86,2),0)</f>
        <v>26.86</v>
      </c>
      <c r="H204" s="2321">
        <f t="shared" ref="H204:P204" si="224">IF($F$99&lt;=5000000,ROUND(26.86,2),0)</f>
        <v>26.86</v>
      </c>
      <c r="I204" s="2321">
        <f t="shared" si="224"/>
        <v>26.86</v>
      </c>
      <c r="J204" s="2321">
        <f t="shared" si="224"/>
        <v>26.86</v>
      </c>
      <c r="K204" s="2321">
        <f t="shared" si="224"/>
        <v>26.86</v>
      </c>
      <c r="L204" s="2321">
        <f t="shared" si="224"/>
        <v>26.86</v>
      </c>
      <c r="M204" s="2321">
        <f t="shared" si="224"/>
        <v>26.86</v>
      </c>
      <c r="N204" s="2321">
        <f t="shared" si="224"/>
        <v>26.86</v>
      </c>
      <c r="O204" s="2321">
        <f t="shared" si="224"/>
        <v>26.86</v>
      </c>
      <c r="P204" s="2322">
        <f t="shared" si="224"/>
        <v>26.86</v>
      </c>
    </row>
    <row r="205" spans="1:16" s="759" customFormat="1" ht="13.5" customHeight="1">
      <c r="A205" s="2715"/>
      <c r="B205" s="2718"/>
      <c r="C205" s="2721"/>
      <c r="D205" s="2323"/>
      <c r="E205" s="1083"/>
      <c r="F205" s="2319" t="s">
        <v>4071</v>
      </c>
      <c r="G205" s="2321">
        <f>IF($F$99&lt;=5000000,ROUND(12.7,2),0)</f>
        <v>12.7</v>
      </c>
      <c r="H205" s="2321">
        <f t="shared" ref="H205:P205" si="225">IF($F$99&lt;=5000000,ROUND(12.7,2),0)</f>
        <v>12.7</v>
      </c>
      <c r="I205" s="2321">
        <f t="shared" si="225"/>
        <v>12.7</v>
      </c>
      <c r="J205" s="2321">
        <f t="shared" si="225"/>
        <v>12.7</v>
      </c>
      <c r="K205" s="2321">
        <f t="shared" si="225"/>
        <v>12.7</v>
      </c>
      <c r="L205" s="2321">
        <f t="shared" si="225"/>
        <v>12.7</v>
      </c>
      <c r="M205" s="2321">
        <f t="shared" si="225"/>
        <v>12.7</v>
      </c>
      <c r="N205" s="2321">
        <f t="shared" si="225"/>
        <v>12.7</v>
      </c>
      <c r="O205" s="2321">
        <f t="shared" si="225"/>
        <v>12.7</v>
      </c>
      <c r="P205" s="2322">
        <f t="shared" si="225"/>
        <v>12.7</v>
      </c>
    </row>
    <row r="206" spans="1:16" s="759" customFormat="1" ht="13.5" customHeight="1">
      <c r="A206" s="2715"/>
      <c r="B206" s="2718"/>
      <c r="C206" s="2720" t="s">
        <v>4086</v>
      </c>
      <c r="D206" s="2265"/>
      <c r="E206" s="2320"/>
      <c r="F206" s="2319" t="s">
        <v>4070</v>
      </c>
      <c r="G206" s="2324">
        <f>IF($F$99&gt;5000000,ROUND(184.58*($F$99/1000)^-0.2263,2),0)</f>
        <v>0</v>
      </c>
      <c r="H206" s="2324">
        <f t="shared" ref="H206:P206" si="226">IF($F$99&gt;5000000,ROUND(184.58*($F$99/1000)^-0.2263,2),0)</f>
        <v>0</v>
      </c>
      <c r="I206" s="2324">
        <f t="shared" si="226"/>
        <v>0</v>
      </c>
      <c r="J206" s="2324">
        <f t="shared" si="226"/>
        <v>0</v>
      </c>
      <c r="K206" s="2324">
        <f t="shared" si="226"/>
        <v>0</v>
      </c>
      <c r="L206" s="2324">
        <f t="shared" si="226"/>
        <v>0</v>
      </c>
      <c r="M206" s="2324">
        <f t="shared" si="226"/>
        <v>0</v>
      </c>
      <c r="N206" s="2324">
        <f t="shared" si="226"/>
        <v>0</v>
      </c>
      <c r="O206" s="2324">
        <f t="shared" si="226"/>
        <v>0</v>
      </c>
      <c r="P206" s="2325">
        <f t="shared" si="226"/>
        <v>0</v>
      </c>
    </row>
    <row r="207" spans="1:16" s="759" customFormat="1" ht="13.5" customHeight="1">
      <c r="A207" s="2716"/>
      <c r="B207" s="2719"/>
      <c r="C207" s="2721"/>
      <c r="D207" s="2323"/>
      <c r="E207" s="1083"/>
      <c r="F207" s="2319" t="s">
        <v>4071</v>
      </c>
      <c r="G207" s="2324">
        <f>IF($F$99&gt;5000000,ROUND(87.29*($F$99/1000)^-0.2263,2),0)</f>
        <v>0</v>
      </c>
      <c r="H207" s="2324">
        <f t="shared" ref="H207:P207" si="227">IF($F$99&gt;5000000,ROUND(87.29*($F$99/1000)^-0.2263,2),0)</f>
        <v>0</v>
      </c>
      <c r="I207" s="2324">
        <f t="shared" si="227"/>
        <v>0</v>
      </c>
      <c r="J207" s="2324">
        <f t="shared" si="227"/>
        <v>0</v>
      </c>
      <c r="K207" s="2324">
        <f t="shared" si="227"/>
        <v>0</v>
      </c>
      <c r="L207" s="2324">
        <f t="shared" si="227"/>
        <v>0</v>
      </c>
      <c r="M207" s="2324">
        <f t="shared" si="227"/>
        <v>0</v>
      </c>
      <c r="N207" s="2324">
        <f t="shared" si="227"/>
        <v>0</v>
      </c>
      <c r="O207" s="2324">
        <f t="shared" si="227"/>
        <v>0</v>
      </c>
      <c r="P207" s="2325">
        <f t="shared" si="227"/>
        <v>0</v>
      </c>
    </row>
    <row r="208" spans="1:16" s="1094" customFormat="1" ht="13.5" customHeight="1" thickBot="1">
      <c r="A208" s="2724" t="s">
        <v>4084</v>
      </c>
      <c r="B208" s="2725"/>
      <c r="C208" s="2725"/>
      <c r="D208" s="2725"/>
      <c r="E208" s="2332"/>
      <c r="F208" s="2328"/>
      <c r="G208" s="2330">
        <f>IF($F$99&lt;=5000000,IF(G$203&gt;G$204,G$204,IF(G$203&lt;G$205,G$205,G$203)),IF(G$203&gt;G$206,G$206,IF(G$203&lt;G$207,G$207,G$203)))</f>
        <v>26.86</v>
      </c>
      <c r="H208" s="2330">
        <f t="shared" ref="H208:P208" si="228">IF($F$99&lt;=5000000,IF(H$203&gt;H$204,H$204,IF(H$203&lt;H$205,H$205,H$203)),IF(H$203&gt;H$206,H$206,IF(H$203&lt;H$207,H$207,H$203)))</f>
        <v>26.86</v>
      </c>
      <c r="I208" s="2330">
        <f t="shared" si="228"/>
        <v>26.86</v>
      </c>
      <c r="J208" s="2330">
        <f t="shared" si="228"/>
        <v>26.86</v>
      </c>
      <c r="K208" s="2330">
        <f t="shared" si="228"/>
        <v>26.86</v>
      </c>
      <c r="L208" s="2330">
        <f t="shared" si="228"/>
        <v>26.86</v>
      </c>
      <c r="M208" s="2330">
        <f t="shared" si="228"/>
        <v>26.86</v>
      </c>
      <c r="N208" s="2330">
        <f t="shared" si="228"/>
        <v>26.86</v>
      </c>
      <c r="O208" s="2330">
        <f t="shared" si="228"/>
        <v>12.7</v>
      </c>
      <c r="P208" s="2331">
        <f t="shared" si="228"/>
        <v>12.7</v>
      </c>
    </row>
    <row r="209" spans="1:16" s="759" customFormat="1" ht="13.5" customHeight="1" thickBot="1">
      <c r="G209" s="1088"/>
      <c r="H209" s="1088"/>
      <c r="I209" s="1088"/>
      <c r="J209" s="1088"/>
      <c r="K209" s="1088"/>
      <c r="L209" s="1088"/>
      <c r="M209" s="1088"/>
      <c r="N209" s="1088"/>
      <c r="O209" s="1088"/>
      <c r="P209" s="1088"/>
    </row>
    <row r="210" spans="1:16" s="759" customFormat="1" ht="13.5" customHeight="1">
      <c r="A210" s="1072"/>
      <c r="B210" s="1073"/>
      <c r="C210" s="1074" t="s">
        <v>4087</v>
      </c>
      <c r="D210" s="1075"/>
      <c r="E210" s="1073"/>
      <c r="F210" s="1076"/>
      <c r="G210" s="1096"/>
      <c r="H210" s="1097"/>
      <c r="I210" s="1098"/>
      <c r="J210" s="1098"/>
      <c r="K210" s="1098"/>
      <c r="L210" s="1098"/>
      <c r="M210" s="1098"/>
      <c r="N210" s="1098"/>
      <c r="O210" s="1098"/>
      <c r="P210" s="1098"/>
    </row>
    <row r="211" spans="1:16" s="759" customFormat="1" ht="13.5" customHeight="1">
      <c r="A211" s="2714"/>
      <c r="B211" s="2717" t="s">
        <v>37</v>
      </c>
      <c r="C211" s="2317" t="s">
        <v>4088</v>
      </c>
      <c r="D211" s="2300"/>
      <c r="E211" s="2318"/>
      <c r="F211" s="2319" t="s">
        <v>4089</v>
      </c>
      <c r="G211" s="1099">
        <f>ROUND(28.978-3.173*LOG($F$142/1000),2)</f>
        <v>11.1</v>
      </c>
      <c r="H211" s="1100"/>
      <c r="I211" s="1101"/>
      <c r="J211" s="1101"/>
      <c r="K211" s="1101"/>
      <c r="L211" s="1101"/>
      <c r="M211" s="1101"/>
      <c r="N211" s="1101"/>
      <c r="O211" s="1101"/>
      <c r="P211" s="1101"/>
    </row>
    <row r="212" spans="1:16" s="759" customFormat="1" ht="13.5" customHeight="1">
      <c r="A212" s="2715"/>
      <c r="B212" s="2718"/>
      <c r="C212" s="2333" t="s">
        <v>4090</v>
      </c>
      <c r="D212" s="2265"/>
      <c r="E212" s="2265"/>
      <c r="F212" s="2334"/>
      <c r="G212" s="2335">
        <f>IF($F$142&lt;=5000000,17.24,0)</f>
        <v>0</v>
      </c>
      <c r="H212" s="1104"/>
      <c r="I212" s="1105"/>
      <c r="J212" s="118"/>
      <c r="K212" s="1105"/>
      <c r="L212" s="118"/>
      <c r="M212" s="1105"/>
      <c r="N212" s="1105"/>
      <c r="O212" s="1105"/>
      <c r="P212" s="1105"/>
    </row>
    <row r="213" spans="1:16" s="759" customFormat="1" ht="13.5" customHeight="1">
      <c r="A213" s="2715"/>
      <c r="B213" s="2718"/>
      <c r="C213" s="2333" t="s">
        <v>4091</v>
      </c>
      <c r="D213" s="2265"/>
      <c r="E213" s="2300"/>
      <c r="F213" s="2334"/>
      <c r="G213" s="2335">
        <f>IF($F$142&gt;3000000000,8.43,0)</f>
        <v>0</v>
      </c>
      <c r="H213" s="1106"/>
      <c r="I213" s="1107"/>
      <c r="J213" s="1107"/>
      <c r="K213" s="1107"/>
      <c r="L213" s="1107"/>
      <c r="M213" s="1107"/>
      <c r="N213" s="1107"/>
      <c r="O213" s="1107"/>
      <c r="P213" s="1107"/>
    </row>
    <row r="214" spans="1:16" s="1113" customFormat="1" ht="13.5" customHeight="1" thickBot="1">
      <c r="A214" s="2722" t="s">
        <v>4092</v>
      </c>
      <c r="B214" s="2723"/>
      <c r="C214" s="2723"/>
      <c r="D214" s="2723"/>
      <c r="E214" s="2336"/>
      <c r="F214" s="2337"/>
      <c r="G214" s="2338">
        <f>IF($F$142&lt;=5000000,G212,IF($F$142&gt;3000000000,G213,G211))</f>
        <v>11.1</v>
      </c>
      <c r="H214" s="1111"/>
      <c r="I214" s="1112"/>
      <c r="J214" s="1112"/>
      <c r="K214" s="1112"/>
      <c r="L214" s="1112"/>
      <c r="M214" s="1112"/>
      <c r="N214" s="1112"/>
      <c r="O214" s="1112"/>
      <c r="P214" s="1112"/>
    </row>
  </sheetData>
  <sheetProtection selectLockedCells="1" selectUnlockedCells="1"/>
  <mergeCells count="69">
    <mergeCell ref="A211:A213"/>
    <mergeCell ref="B211:B213"/>
    <mergeCell ref="A214:D214"/>
    <mergeCell ref="A200:D200"/>
    <mergeCell ref="A203:A207"/>
    <mergeCell ref="B203:B207"/>
    <mergeCell ref="C204:C205"/>
    <mergeCell ref="C206:C207"/>
    <mergeCell ref="A208:D208"/>
    <mergeCell ref="A191:F191"/>
    <mergeCell ref="A192:F192"/>
    <mergeCell ref="A195:A199"/>
    <mergeCell ref="B195:B199"/>
    <mergeCell ref="C196:C197"/>
    <mergeCell ref="C198:C199"/>
    <mergeCell ref="A182:F182"/>
    <mergeCell ref="A183:F183"/>
    <mergeCell ref="A186:A190"/>
    <mergeCell ref="B186:B190"/>
    <mergeCell ref="C187:C188"/>
    <mergeCell ref="C189:C190"/>
    <mergeCell ref="B160:B162"/>
    <mergeCell ref="B163:B164"/>
    <mergeCell ref="A177:A181"/>
    <mergeCell ref="B177:B181"/>
    <mergeCell ref="C178:C179"/>
    <mergeCell ref="C180:C181"/>
    <mergeCell ref="F143:G143"/>
    <mergeCell ref="A144:C144"/>
    <mergeCell ref="F144:G144"/>
    <mergeCell ref="A154:C154"/>
    <mergeCell ref="B156:B157"/>
    <mergeCell ref="A145:A152"/>
    <mergeCell ref="B146:B147"/>
    <mergeCell ref="B150:B152"/>
    <mergeCell ref="A138:C139"/>
    <mergeCell ref="C142:E142"/>
    <mergeCell ref="D97:D98"/>
    <mergeCell ref="E97:E98"/>
    <mergeCell ref="A98:C98"/>
    <mergeCell ref="A99:A113"/>
    <mergeCell ref="B100:B103"/>
    <mergeCell ref="B104:B112"/>
    <mergeCell ref="D114:D115"/>
    <mergeCell ref="E114:E115"/>
    <mergeCell ref="A115:C115"/>
    <mergeCell ref="A116:A133"/>
    <mergeCell ref="B116:B121"/>
    <mergeCell ref="B122:B130"/>
    <mergeCell ref="B131:B132"/>
    <mergeCell ref="D75:D76"/>
    <mergeCell ref="E75:E76"/>
    <mergeCell ref="A76:C76"/>
    <mergeCell ref="A77:A92"/>
    <mergeCell ref="B77:B82"/>
    <mergeCell ref="B83:B91"/>
    <mergeCell ref="D58:D59"/>
    <mergeCell ref="E58:E59"/>
    <mergeCell ref="A59:C59"/>
    <mergeCell ref="A60:A74"/>
    <mergeCell ref="B61:B64"/>
    <mergeCell ref="B65:B73"/>
    <mergeCell ref="C7:F7"/>
    <mergeCell ref="A8:F8"/>
    <mergeCell ref="A9:F9"/>
    <mergeCell ref="A36:A55"/>
    <mergeCell ref="B36:B39"/>
    <mergeCell ref="B40:B48"/>
    <mergeCell ref="B49:B55"/>
  </mergeCells>
  <phoneticPr fontId="2"/>
  <conditionalFormatting sqref="F6">
    <cfRule type="expression" dxfId="5" priority="1" stopIfTrue="1">
      <formula>AND($F$32&gt;5000000,OR($E$6="無し",$E$6="なし"))</formula>
    </cfRule>
  </conditionalFormatting>
  <dataValidations count="4">
    <dataValidation type="list" allowBlank="1" showInputMessage="1" showErrorMessage="1" sqref="G8:P8" xr:uid="{00000000-0002-0000-0400-000000000000}">
      <formula1>"駅施設,地上建物"</formula1>
    </dataValidation>
    <dataValidation type="list" allowBlank="1" showInputMessage="1" showErrorMessage="1" sqref="G4:P4" xr:uid="{00000000-0002-0000-0400-000001000000}">
      <formula1>"改修,新営"</formula1>
    </dataValidation>
    <dataValidation type="list" allowBlank="1" showInputMessage="1" showErrorMessage="1" sqref="G7:P7" xr:uid="{00000000-0002-0000-0400-000002000000}">
      <formula1>"積上げ,積上げ・率処理併用"</formula1>
    </dataValidation>
    <dataValidation type="list" allowBlank="1" showInputMessage="1" showErrorMessage="1" sqref="E5:E6 G9:P9" xr:uid="{00000000-0002-0000-0400-000003000000}">
      <formula1>"有り,無し"</formula1>
    </dataValidation>
  </dataValidations>
  <printOptions horizontalCentered="1"/>
  <pageMargins left="0.19685039370078741" right="0.19685039370078741" top="0.6692913385826772" bottom="0.19685039370078741" header="0.51181102362204722" footer="0.51181102362204722"/>
  <pageSetup paperSize="9" scale="73" fitToHeight="3" orientation="landscape" cellComments="asDisplayed" horizontalDpi="300" verticalDpi="300" r:id="rId1"/>
  <headerFooter alignWithMargins="0"/>
  <rowBreaks count="4" manualBreakCount="4">
    <brk id="55" max="13" man="1"/>
    <brk id="94" max="13" man="1"/>
    <brk id="135" max="13" man="1"/>
    <brk id="174" max="13" man="1"/>
  </row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CC66FF"/>
  </sheetPr>
  <dimension ref="A1:O214"/>
  <sheetViews>
    <sheetView view="pageBreakPreview" zoomScale="85" zoomScaleNormal="40" zoomScaleSheetLayoutView="85" workbookViewId="0"/>
  </sheetViews>
  <sheetFormatPr defaultColWidth="9" defaultRowHeight="13.5" customHeight="1"/>
  <cols>
    <col min="1" max="1" width="2.5" style="654" customWidth="1"/>
    <col min="2" max="2" width="3.5" style="654" customWidth="1"/>
    <col min="3" max="3" width="21.5" style="654" customWidth="1"/>
    <col min="4" max="4" width="4" style="654" customWidth="1"/>
    <col min="5" max="5" width="5.375" style="654" customWidth="1"/>
    <col min="6" max="6" width="17.625" style="654" customWidth="1"/>
    <col min="7" max="14" width="14.125" style="1046" customWidth="1"/>
    <col min="15" max="16384" width="9" style="654"/>
  </cols>
  <sheetData>
    <row r="1" spans="1:15" ht="13.5" customHeight="1">
      <c r="A1" s="645"/>
      <c r="B1" s="645"/>
      <c r="C1" s="646"/>
      <c r="D1" s="646"/>
      <c r="E1" s="647" t="s">
        <v>242</v>
      </c>
      <c r="F1" s="648" t="s">
        <v>4093</v>
      </c>
      <c r="G1" s="649"/>
      <c r="H1" s="650"/>
      <c r="I1" s="651"/>
      <c r="J1" s="651"/>
      <c r="K1" s="651"/>
      <c r="L1" s="651"/>
      <c r="M1" s="652" t="s">
        <v>3938</v>
      </c>
      <c r="N1" s="653" t="s">
        <v>3939</v>
      </c>
    </row>
    <row r="2" spans="1:15" ht="13.5" customHeight="1">
      <c r="A2" s="655"/>
      <c r="B2" s="655"/>
      <c r="C2" s="656" t="s">
        <v>3940</v>
      </c>
      <c r="D2" s="657"/>
      <c r="E2" s="646"/>
      <c r="F2" s="645"/>
      <c r="G2" s="658"/>
      <c r="H2" s="651"/>
      <c r="I2" s="654"/>
      <c r="J2" s="651"/>
      <c r="K2" s="651"/>
      <c r="L2" s="651"/>
      <c r="M2" s="645"/>
      <c r="N2" s="659"/>
    </row>
    <row r="3" spans="1:15" s="668" customFormat="1" ht="13.5" customHeight="1">
      <c r="A3" s="660"/>
      <c r="B3" s="661"/>
      <c r="C3" s="662" t="s">
        <v>3941</v>
      </c>
      <c r="D3" s="663"/>
      <c r="E3" s="664"/>
      <c r="F3" s="665" t="s">
        <v>3942</v>
      </c>
      <c r="G3" s="666">
        <v>16.600000000000001</v>
      </c>
      <c r="H3" s="666">
        <v>11</v>
      </c>
      <c r="I3" s="666">
        <v>16.600000000000001</v>
      </c>
      <c r="J3" s="666">
        <v>16.600000000000001</v>
      </c>
      <c r="K3" s="666">
        <v>16.600000000000001</v>
      </c>
      <c r="L3" s="666"/>
      <c r="M3" s="666"/>
      <c r="N3" s="667"/>
    </row>
    <row r="4" spans="1:15" s="668" customFormat="1" ht="13.5" customHeight="1">
      <c r="A4" s="669"/>
      <c r="B4" s="670"/>
      <c r="C4" s="2166" t="s">
        <v>3943</v>
      </c>
      <c r="D4" s="2167"/>
      <c r="E4" s="2168"/>
      <c r="F4" s="2169" t="s">
        <v>3944</v>
      </c>
      <c r="G4" s="2170" t="s">
        <v>3945</v>
      </c>
      <c r="H4" s="2170" t="s">
        <v>4094</v>
      </c>
      <c r="I4" s="2170" t="s">
        <v>4094</v>
      </c>
      <c r="J4" s="2170" t="s">
        <v>4094</v>
      </c>
      <c r="K4" s="2170" t="s">
        <v>4094</v>
      </c>
      <c r="L4" s="2170"/>
      <c r="M4" s="2170"/>
      <c r="N4" s="2171"/>
    </row>
    <row r="5" spans="1:15" ht="13.5" customHeight="1">
      <c r="A5" s="669"/>
      <c r="B5" s="670"/>
      <c r="C5" s="670" t="s">
        <v>3946</v>
      </c>
      <c r="D5" s="670"/>
      <c r="E5" s="677" t="s">
        <v>65</v>
      </c>
      <c r="F5" s="678" t="s">
        <v>3947</v>
      </c>
      <c r="G5" s="2339" t="s">
        <v>139</v>
      </c>
      <c r="H5" s="2339" t="s">
        <v>141</v>
      </c>
      <c r="I5" s="2339" t="s">
        <v>143</v>
      </c>
      <c r="J5" s="2339" t="s">
        <v>145</v>
      </c>
      <c r="K5" s="2339" t="s">
        <v>147</v>
      </c>
      <c r="L5" s="2339" t="s">
        <v>149</v>
      </c>
      <c r="M5" s="2339" t="s">
        <v>150</v>
      </c>
      <c r="N5" s="680" t="s">
        <v>151</v>
      </c>
    </row>
    <row r="6" spans="1:15" ht="13.5" customHeight="1">
      <c r="A6" s="669"/>
      <c r="B6" s="670"/>
      <c r="C6" s="670" t="s">
        <v>3948</v>
      </c>
      <c r="D6" s="670"/>
      <c r="E6" s="677" t="s">
        <v>40</v>
      </c>
      <c r="F6" s="681" t="s">
        <v>3949</v>
      </c>
      <c r="G6" s="682" t="s">
        <v>173</v>
      </c>
      <c r="H6" s="683" t="s">
        <v>4095</v>
      </c>
      <c r="I6" s="683" t="s">
        <v>4096</v>
      </c>
      <c r="J6" s="683" t="s">
        <v>4097</v>
      </c>
      <c r="K6" s="683" t="s">
        <v>235</v>
      </c>
      <c r="L6" s="683"/>
      <c r="M6" s="683"/>
      <c r="N6" s="684"/>
    </row>
    <row r="7" spans="1:15" s="689" customFormat="1" ht="13.5" customHeight="1">
      <c r="A7" s="685"/>
      <c r="B7" s="686"/>
      <c r="C7" s="2638" t="s">
        <v>3950</v>
      </c>
      <c r="D7" s="2638"/>
      <c r="E7" s="2638"/>
      <c r="F7" s="2639"/>
      <c r="G7" s="2173" t="s">
        <v>3951</v>
      </c>
      <c r="H7" s="2173" t="s">
        <v>3951</v>
      </c>
      <c r="I7" s="2173" t="s">
        <v>3951</v>
      </c>
      <c r="J7" s="2173" t="s">
        <v>3951</v>
      </c>
      <c r="K7" s="2173" t="s">
        <v>3951</v>
      </c>
      <c r="L7" s="2173" t="s">
        <v>3951</v>
      </c>
      <c r="M7" s="2173" t="s">
        <v>3951</v>
      </c>
      <c r="N7" s="2174" t="s">
        <v>3951</v>
      </c>
    </row>
    <row r="8" spans="1:15" s="689" customFormat="1" ht="30" customHeight="1">
      <c r="A8" s="2640" t="s">
        <v>3952</v>
      </c>
      <c r="B8" s="2641"/>
      <c r="C8" s="2641"/>
      <c r="D8" s="2641"/>
      <c r="E8" s="2641"/>
      <c r="F8" s="2642"/>
      <c r="G8" s="690" t="s">
        <v>3953</v>
      </c>
      <c r="H8" s="690" t="s">
        <v>3953</v>
      </c>
      <c r="I8" s="690" t="s">
        <v>3953</v>
      </c>
      <c r="J8" s="690" t="s">
        <v>3953</v>
      </c>
      <c r="K8" s="690" t="s">
        <v>3953</v>
      </c>
      <c r="L8" s="690" t="s">
        <v>3953</v>
      </c>
      <c r="M8" s="690" t="s">
        <v>3953</v>
      </c>
      <c r="N8" s="2175" t="s">
        <v>3953</v>
      </c>
      <c r="O8" s="689">
        <f>IF(AND(G8="有り",G9="無し"),0.72,IF(AND(G8="有り",G9="有り"),0.8,IF(AND(G8="無し",G9="無し"),0.9,IF(AND(G8="無し",G9="有り"),1,0))))</f>
        <v>0</v>
      </c>
    </row>
    <row r="9" spans="1:15" s="689" customFormat="1" ht="30" customHeight="1">
      <c r="A9" s="2643" t="s">
        <v>3954</v>
      </c>
      <c r="B9" s="2644"/>
      <c r="C9" s="2644"/>
      <c r="D9" s="2644"/>
      <c r="E9" s="2644"/>
      <c r="F9" s="2645"/>
      <c r="G9" s="692" t="s">
        <v>65</v>
      </c>
      <c r="H9" s="692" t="s">
        <v>65</v>
      </c>
      <c r="I9" s="692" t="s">
        <v>65</v>
      </c>
      <c r="J9" s="692" t="s">
        <v>65</v>
      </c>
      <c r="K9" s="692" t="s">
        <v>65</v>
      </c>
      <c r="L9" s="692" t="s">
        <v>65</v>
      </c>
      <c r="M9" s="692" t="s">
        <v>65</v>
      </c>
      <c r="N9" s="693" t="s">
        <v>65</v>
      </c>
    </row>
    <row r="10" spans="1:15" ht="13.5" customHeight="1">
      <c r="A10" s="660"/>
      <c r="B10" s="694" t="s">
        <v>3955</v>
      </c>
      <c r="C10" s="695"/>
      <c r="D10" s="695"/>
      <c r="E10" s="696"/>
      <c r="F10" s="697">
        <f>SUM(G10:N10)</f>
        <v>176014078</v>
      </c>
      <c r="G10" s="698">
        <f>+G11+G15</f>
        <v>33425885</v>
      </c>
      <c r="H10" s="698">
        <f t="shared" ref="H10:N10" si="0">+H11+H15</f>
        <v>22318883</v>
      </c>
      <c r="I10" s="698">
        <f t="shared" si="0"/>
        <v>2131661</v>
      </c>
      <c r="J10" s="698">
        <f>+J11+J15</f>
        <v>107929486</v>
      </c>
      <c r="K10" s="698">
        <f>+K11+K15</f>
        <v>10208163</v>
      </c>
      <c r="L10" s="698">
        <f t="shared" si="0"/>
        <v>0</v>
      </c>
      <c r="M10" s="698">
        <f t="shared" si="0"/>
        <v>0</v>
      </c>
      <c r="N10" s="699">
        <f t="shared" si="0"/>
        <v>0</v>
      </c>
    </row>
    <row r="11" spans="1:15" ht="13.5" customHeight="1">
      <c r="A11" s="669"/>
      <c r="B11" s="670"/>
      <c r="C11" s="700" t="s">
        <v>3956</v>
      </c>
      <c r="D11" s="701"/>
      <c r="E11" s="702"/>
      <c r="F11" s="703">
        <f>SUM(G11:N11)</f>
        <v>165827470</v>
      </c>
      <c r="G11" s="704">
        <f>+工事1!I16</f>
        <v>29215287</v>
      </c>
      <c r="H11" s="704">
        <f>+工事2!I16</f>
        <v>21555646</v>
      </c>
      <c r="I11" s="704">
        <f>+工事3!I16</f>
        <v>2052481</v>
      </c>
      <c r="J11" s="704">
        <f>+工事4!I16</f>
        <v>103212496</v>
      </c>
      <c r="K11" s="704">
        <f>+工事5!I16</f>
        <v>9791560</v>
      </c>
      <c r="L11" s="704"/>
      <c r="M11" s="704"/>
      <c r="N11" s="705"/>
    </row>
    <row r="12" spans="1:15" ht="13.5" customHeight="1">
      <c r="A12" s="669"/>
      <c r="B12" s="670"/>
      <c r="C12" s="2176"/>
      <c r="D12" s="2176"/>
      <c r="E12" s="2177"/>
      <c r="F12" s="2178" t="s">
        <v>3957</v>
      </c>
      <c r="G12" s="2179">
        <f>SUM(G104:G113)</f>
        <v>3455824</v>
      </c>
      <c r="H12" s="2179">
        <f t="shared" ref="H12:N12" si="1">SUM(H104:H113)</f>
        <v>10832</v>
      </c>
      <c r="I12" s="2179">
        <f t="shared" si="1"/>
        <v>342973</v>
      </c>
      <c r="J12" s="2179">
        <f>SUM(J104:J113)</f>
        <v>1481506</v>
      </c>
      <c r="K12" s="2179">
        <f>SUM(K104:K113)</f>
        <v>403697</v>
      </c>
      <c r="L12" s="2179">
        <f t="shared" si="1"/>
        <v>0</v>
      </c>
      <c r="M12" s="2179">
        <f t="shared" si="1"/>
        <v>0</v>
      </c>
      <c r="N12" s="2180">
        <f t="shared" si="1"/>
        <v>0</v>
      </c>
    </row>
    <row r="13" spans="1:15" ht="13.5" customHeight="1">
      <c r="A13" s="669"/>
      <c r="B13" s="670"/>
      <c r="C13" s="2176"/>
      <c r="D13" s="2176"/>
      <c r="E13" s="2177"/>
      <c r="F13" s="2178" t="s">
        <v>3958</v>
      </c>
      <c r="G13" s="2179">
        <f>SUM(G150:G152)</f>
        <v>0</v>
      </c>
      <c r="H13" s="2179">
        <f t="shared" ref="H13:N13" si="2">SUM(H150:H152)</f>
        <v>0</v>
      </c>
      <c r="I13" s="2179">
        <f t="shared" si="2"/>
        <v>0</v>
      </c>
      <c r="J13" s="2179">
        <f>SUM(J150:J152)</f>
        <v>0</v>
      </c>
      <c r="K13" s="2179">
        <f>SUM(K150:K152)</f>
        <v>0</v>
      </c>
      <c r="L13" s="2179">
        <f t="shared" si="2"/>
        <v>0</v>
      </c>
      <c r="M13" s="2179">
        <f t="shared" si="2"/>
        <v>0</v>
      </c>
      <c r="N13" s="2180">
        <f t="shared" si="2"/>
        <v>0</v>
      </c>
    </row>
    <row r="14" spans="1:15" ht="13.5" customHeight="1">
      <c r="A14" s="669"/>
      <c r="B14" s="670"/>
      <c r="C14" s="2176"/>
      <c r="D14" s="2176"/>
      <c r="E14" s="2177"/>
      <c r="F14" s="2181" t="s">
        <v>3959</v>
      </c>
      <c r="G14" s="2179">
        <f>+G53</f>
        <v>0</v>
      </c>
      <c r="H14" s="2179">
        <f t="shared" ref="H14:N14" si="3">+H53</f>
        <v>0</v>
      </c>
      <c r="I14" s="2179">
        <f t="shared" si="3"/>
        <v>0</v>
      </c>
      <c r="J14" s="2179">
        <f t="shared" si="3"/>
        <v>0</v>
      </c>
      <c r="K14" s="2179">
        <f>+K53</f>
        <v>0</v>
      </c>
      <c r="L14" s="2179">
        <f t="shared" si="3"/>
        <v>0</v>
      </c>
      <c r="M14" s="2179">
        <f t="shared" si="3"/>
        <v>0</v>
      </c>
      <c r="N14" s="2180">
        <f t="shared" si="3"/>
        <v>0</v>
      </c>
    </row>
    <row r="15" spans="1:15" s="719" customFormat="1" ht="13.5" customHeight="1">
      <c r="A15" s="712"/>
      <c r="B15" s="713"/>
      <c r="C15" s="2151" t="s">
        <v>3960</v>
      </c>
      <c r="D15" s="2151"/>
      <c r="E15" s="2182"/>
      <c r="F15" s="2183">
        <f t="shared" ref="F15:F32" si="4">SUM(G15:N15)</f>
        <v>10186608</v>
      </c>
      <c r="G15" s="2187">
        <f>G16+G17</f>
        <v>4210598</v>
      </c>
      <c r="H15" s="2187">
        <f t="shared" ref="H15:N15" si="5">H16+H17</f>
        <v>763237</v>
      </c>
      <c r="I15" s="2187">
        <f t="shared" si="5"/>
        <v>79180</v>
      </c>
      <c r="J15" s="2187">
        <f t="shared" si="5"/>
        <v>4716990</v>
      </c>
      <c r="K15" s="2187">
        <f>K16+K17</f>
        <v>416603</v>
      </c>
      <c r="L15" s="2184">
        <f t="shared" si="5"/>
        <v>0</v>
      </c>
      <c r="M15" s="2184">
        <f t="shared" si="5"/>
        <v>0</v>
      </c>
      <c r="N15" s="2185">
        <f t="shared" si="5"/>
        <v>0</v>
      </c>
    </row>
    <row r="16" spans="1:15" s="719" customFormat="1" ht="13.5" customHeight="1">
      <c r="A16" s="712"/>
      <c r="B16" s="713"/>
      <c r="C16" s="2186" t="s">
        <v>3961</v>
      </c>
      <c r="D16" s="2151"/>
      <c r="E16" s="2182"/>
      <c r="F16" s="2178">
        <f t="shared" si="4"/>
        <v>5168436</v>
      </c>
      <c r="G16" s="2340">
        <f t="shared" ref="G16:N16" si="6">IF(G7="積上げ",0,G93)</f>
        <v>869163</v>
      </c>
      <c r="H16" s="2340">
        <f t="shared" si="6"/>
        <v>624799</v>
      </c>
      <c r="I16" s="2340">
        <f t="shared" si="6"/>
        <v>58877</v>
      </c>
      <c r="J16" s="2340">
        <f t="shared" si="6"/>
        <v>3307304</v>
      </c>
      <c r="K16" s="2340">
        <f>IF(K7="積上げ",0,K93)</f>
        <v>308293</v>
      </c>
      <c r="L16" s="2184">
        <f t="shared" si="6"/>
        <v>0</v>
      </c>
      <c r="M16" s="2184">
        <f t="shared" si="6"/>
        <v>0</v>
      </c>
      <c r="N16" s="2185">
        <f t="shared" si="6"/>
        <v>0</v>
      </c>
    </row>
    <row r="17" spans="1:14" ht="13.5" customHeight="1">
      <c r="A17" s="669"/>
      <c r="B17" s="670"/>
      <c r="C17" s="2186" t="s">
        <v>3962</v>
      </c>
      <c r="D17" s="2151"/>
      <c r="E17" s="2177"/>
      <c r="F17" s="2178">
        <f t="shared" si="4"/>
        <v>5018172</v>
      </c>
      <c r="G17" s="2188">
        <f>+工事1!I45</f>
        <v>3341435</v>
      </c>
      <c r="H17" s="2188">
        <f>+工事2!I45</f>
        <v>138438</v>
      </c>
      <c r="I17" s="2188">
        <f>+工事3!I45</f>
        <v>20303</v>
      </c>
      <c r="J17" s="2188">
        <f>+工事4!I45</f>
        <v>1409686</v>
      </c>
      <c r="K17" s="2188">
        <f>+工事5!I45</f>
        <v>108310</v>
      </c>
      <c r="L17" s="2188"/>
      <c r="M17" s="2188"/>
      <c r="N17" s="2189"/>
    </row>
    <row r="18" spans="1:14" ht="13.5" customHeight="1">
      <c r="A18" s="669"/>
      <c r="B18" s="670"/>
      <c r="C18" s="2190" t="s">
        <v>3963</v>
      </c>
      <c r="D18" s="2151"/>
      <c r="E18" s="2177"/>
      <c r="F18" s="2178">
        <f t="shared" si="4"/>
        <v>0</v>
      </c>
      <c r="G18" s="2188"/>
      <c r="H18" s="2188"/>
      <c r="I18" s="2188"/>
      <c r="J18" s="2188"/>
      <c r="K18" s="2188"/>
      <c r="L18" s="2188"/>
      <c r="M18" s="2188"/>
      <c r="N18" s="2189"/>
    </row>
    <row r="19" spans="1:14" ht="13.5" customHeight="1">
      <c r="A19" s="669"/>
      <c r="B19" s="670"/>
      <c r="C19" s="724" t="s">
        <v>3964</v>
      </c>
      <c r="D19" s="725"/>
      <c r="E19" s="726"/>
      <c r="F19" s="727">
        <f t="shared" si="4"/>
        <v>0</v>
      </c>
      <c r="G19" s="728"/>
      <c r="H19" s="728"/>
      <c r="I19" s="728"/>
      <c r="J19" s="728"/>
      <c r="K19" s="728"/>
      <c r="L19" s="728"/>
      <c r="M19" s="728"/>
      <c r="N19" s="729"/>
    </row>
    <row r="20" spans="1:14" ht="13.5" customHeight="1">
      <c r="A20" s="730"/>
      <c r="B20" s="731"/>
      <c r="C20" s="2191" t="s">
        <v>3965</v>
      </c>
      <c r="D20" s="2192"/>
      <c r="E20" s="2193"/>
      <c r="F20" s="2194">
        <f t="shared" si="4"/>
        <v>0</v>
      </c>
      <c r="G20" s="2195">
        <f>+G54</f>
        <v>0</v>
      </c>
      <c r="H20" s="2195">
        <f t="shared" ref="H20:N20" si="7">+H54</f>
        <v>0</v>
      </c>
      <c r="I20" s="2195">
        <f t="shared" si="7"/>
        <v>0</v>
      </c>
      <c r="J20" s="2195">
        <f t="shared" si="7"/>
        <v>0</v>
      </c>
      <c r="K20" s="2195">
        <f>+K54</f>
        <v>0</v>
      </c>
      <c r="L20" s="2195">
        <f t="shared" si="7"/>
        <v>0</v>
      </c>
      <c r="M20" s="2195">
        <f t="shared" si="7"/>
        <v>0</v>
      </c>
      <c r="N20" s="2196">
        <f t="shared" si="7"/>
        <v>0</v>
      </c>
    </row>
    <row r="21" spans="1:14" ht="13.5" customHeight="1">
      <c r="A21" s="669"/>
      <c r="B21" s="725" t="s">
        <v>3966</v>
      </c>
      <c r="C21" s="725"/>
      <c r="D21" s="725"/>
      <c r="E21" s="726"/>
      <c r="F21" s="727">
        <f t="shared" si="4"/>
        <v>45285922</v>
      </c>
      <c r="G21" s="738">
        <f>G22+G27</f>
        <v>8416115</v>
      </c>
      <c r="H21" s="739">
        <f t="shared" ref="H21:N21" si="8">H22+H27</f>
        <v>5433117</v>
      </c>
      <c r="I21" s="739">
        <f t="shared" si="8"/>
        <v>522339</v>
      </c>
      <c r="J21" s="739">
        <f t="shared" si="8"/>
        <v>28269514</v>
      </c>
      <c r="K21" s="739">
        <f>K22+K27</f>
        <v>2644837</v>
      </c>
      <c r="L21" s="739">
        <f t="shared" si="8"/>
        <v>0</v>
      </c>
      <c r="M21" s="739">
        <f t="shared" si="8"/>
        <v>0</v>
      </c>
      <c r="N21" s="740">
        <f t="shared" si="8"/>
        <v>0</v>
      </c>
    </row>
    <row r="22" spans="1:14" s="719" customFormat="1" ht="13.5" customHeight="1">
      <c r="A22" s="712"/>
      <c r="B22" s="713"/>
      <c r="C22" s="741" t="s">
        <v>3967</v>
      </c>
      <c r="D22" s="741"/>
      <c r="E22" s="742"/>
      <c r="F22" s="743">
        <f t="shared" si="4"/>
        <v>20162722</v>
      </c>
      <c r="G22" s="1891">
        <f>G23+G26</f>
        <v>3667017</v>
      </c>
      <c r="H22" s="1891">
        <f t="shared" ref="H22:N22" si="9">H23+H26</f>
        <v>2282113</v>
      </c>
      <c r="I22" s="1891">
        <f t="shared" si="9"/>
        <v>221648</v>
      </c>
      <c r="J22" s="1891">
        <f t="shared" si="9"/>
        <v>12806355</v>
      </c>
      <c r="K22" s="1891">
        <f>K23+K26</f>
        <v>1185589</v>
      </c>
      <c r="L22" s="745">
        <f t="shared" si="9"/>
        <v>0</v>
      </c>
      <c r="M22" s="745">
        <f t="shared" si="9"/>
        <v>0</v>
      </c>
      <c r="N22" s="746">
        <f t="shared" si="9"/>
        <v>0</v>
      </c>
    </row>
    <row r="23" spans="1:14" s="719" customFormat="1" ht="13.5" customHeight="1">
      <c r="A23" s="712"/>
      <c r="B23" s="713"/>
      <c r="C23" s="2197" t="s">
        <v>3968</v>
      </c>
      <c r="D23" s="2197"/>
      <c r="E23" s="747"/>
      <c r="F23" s="2183">
        <f t="shared" si="4"/>
        <v>20162722</v>
      </c>
      <c r="G23" s="748">
        <f>SUM(G24:G25)-G26</f>
        <v>3667017</v>
      </c>
      <c r="H23" s="749">
        <f t="shared" ref="H23:N23" si="10">SUM(H24:H25)-H26</f>
        <v>2282113</v>
      </c>
      <c r="I23" s="749">
        <f t="shared" si="10"/>
        <v>221648</v>
      </c>
      <c r="J23" s="749">
        <f t="shared" si="10"/>
        <v>12806355</v>
      </c>
      <c r="K23" s="749">
        <f>SUM(K24:K25)-K26</f>
        <v>1185589</v>
      </c>
      <c r="L23" s="749">
        <f t="shared" si="10"/>
        <v>0</v>
      </c>
      <c r="M23" s="749">
        <f t="shared" si="10"/>
        <v>0</v>
      </c>
      <c r="N23" s="750">
        <f t="shared" si="10"/>
        <v>0</v>
      </c>
    </row>
    <row r="24" spans="1:14" s="719" customFormat="1" ht="12.75" customHeight="1">
      <c r="A24" s="712"/>
      <c r="B24" s="713"/>
      <c r="C24" s="2198" t="s">
        <v>3969</v>
      </c>
      <c r="D24" s="2198"/>
      <c r="E24" s="2182"/>
      <c r="F24" s="2183">
        <f t="shared" si="4"/>
        <v>20058256</v>
      </c>
      <c r="G24" s="2199">
        <f>SUM(G119:G121)+G117</f>
        <v>3599404</v>
      </c>
      <c r="H24" s="2184">
        <f t="shared" ref="H24:N24" si="11">SUM(H119:H121)+H117</f>
        <v>2282113</v>
      </c>
      <c r="I24" s="2184">
        <f t="shared" si="11"/>
        <v>214821</v>
      </c>
      <c r="J24" s="2184">
        <f t="shared" si="11"/>
        <v>12784402</v>
      </c>
      <c r="K24" s="2184">
        <f>SUM(K119:K121)+K117</f>
        <v>1177516</v>
      </c>
      <c r="L24" s="2184">
        <f t="shared" si="11"/>
        <v>0</v>
      </c>
      <c r="M24" s="2184">
        <f t="shared" si="11"/>
        <v>0</v>
      </c>
      <c r="N24" s="2185">
        <f t="shared" si="11"/>
        <v>0</v>
      </c>
    </row>
    <row r="25" spans="1:14" s="719" customFormat="1" ht="13.5" customHeight="1">
      <c r="A25" s="712"/>
      <c r="B25" s="713"/>
      <c r="C25" s="2198" t="s">
        <v>3970</v>
      </c>
      <c r="D25" s="2198"/>
      <c r="E25" s="2182"/>
      <c r="F25" s="2183">
        <f t="shared" si="4"/>
        <v>104466</v>
      </c>
      <c r="G25" s="2199">
        <f>SUM(G122:G133)</f>
        <v>67613</v>
      </c>
      <c r="H25" s="2184">
        <f t="shared" ref="H25:N25" si="12">SUM(H122:H133)</f>
        <v>0</v>
      </c>
      <c r="I25" s="2184">
        <f t="shared" si="12"/>
        <v>6827</v>
      </c>
      <c r="J25" s="2184">
        <f>SUM(J122:J133)</f>
        <v>21953</v>
      </c>
      <c r="K25" s="2184">
        <f>SUM(K122:K133)</f>
        <v>8073</v>
      </c>
      <c r="L25" s="2184">
        <f t="shared" si="12"/>
        <v>0</v>
      </c>
      <c r="M25" s="2184">
        <f t="shared" si="12"/>
        <v>0</v>
      </c>
      <c r="N25" s="2185">
        <f t="shared" si="12"/>
        <v>0</v>
      </c>
    </row>
    <row r="26" spans="1:14" ht="13.5" customHeight="1">
      <c r="A26" s="669"/>
      <c r="B26" s="670"/>
      <c r="C26" s="2198" t="s">
        <v>3971</v>
      </c>
      <c r="D26" s="2198"/>
      <c r="E26" s="2177"/>
      <c r="F26" s="2183">
        <f t="shared" si="4"/>
        <v>0</v>
      </c>
      <c r="G26" s="2199">
        <f>+G131</f>
        <v>0</v>
      </c>
      <c r="H26" s="2184">
        <f t="shared" ref="H26:N26" si="13">+H131</f>
        <v>0</v>
      </c>
      <c r="I26" s="2184">
        <f t="shared" si="13"/>
        <v>0</v>
      </c>
      <c r="J26" s="2184">
        <f t="shared" si="13"/>
        <v>0</v>
      </c>
      <c r="K26" s="2184">
        <f>+K131</f>
        <v>0</v>
      </c>
      <c r="L26" s="2184">
        <f t="shared" si="13"/>
        <v>0</v>
      </c>
      <c r="M26" s="2184">
        <f t="shared" si="13"/>
        <v>0</v>
      </c>
      <c r="N26" s="2185">
        <f t="shared" si="13"/>
        <v>0</v>
      </c>
    </row>
    <row r="27" spans="1:14" s="759" customFormat="1" ht="13.5" customHeight="1">
      <c r="A27" s="753"/>
      <c r="B27" s="754"/>
      <c r="C27" s="2147" t="s">
        <v>3972</v>
      </c>
      <c r="D27" s="2147"/>
      <c r="E27" s="2200"/>
      <c r="F27" s="2201">
        <f t="shared" si="4"/>
        <v>25123200</v>
      </c>
      <c r="G27" s="2199">
        <f>SUM(G28:G31)</f>
        <v>4749098</v>
      </c>
      <c r="H27" s="2199">
        <f t="shared" ref="H27:N27" si="14">SUM(H28:H31)</f>
        <v>3151004</v>
      </c>
      <c r="I27" s="2199">
        <f t="shared" si="14"/>
        <v>300691</v>
      </c>
      <c r="J27" s="2199">
        <f t="shared" si="14"/>
        <v>15463159</v>
      </c>
      <c r="K27" s="2199">
        <f t="shared" si="14"/>
        <v>1459248</v>
      </c>
      <c r="L27" s="2199">
        <f t="shared" si="14"/>
        <v>0</v>
      </c>
      <c r="M27" s="2199">
        <f t="shared" si="14"/>
        <v>0</v>
      </c>
      <c r="N27" s="2202">
        <f t="shared" si="14"/>
        <v>0</v>
      </c>
    </row>
    <row r="28" spans="1:14" s="759" customFormat="1" ht="13.5" customHeight="1">
      <c r="A28" s="753"/>
      <c r="B28" s="754"/>
      <c r="C28" s="2203" t="s">
        <v>3969</v>
      </c>
      <c r="D28" s="2203"/>
      <c r="E28" s="2200"/>
      <c r="F28" s="761">
        <f t="shared" si="4"/>
        <v>23850014</v>
      </c>
      <c r="G28" s="2199">
        <f>IF(G155=0,0,+G155-G172)</f>
        <v>4508365</v>
      </c>
      <c r="H28" s="2199">
        <f t="shared" ref="H28:N28" si="15">IF(H155=0,0,+H155-H172)</f>
        <v>2991344</v>
      </c>
      <c r="I28" s="2199">
        <f t="shared" si="15"/>
        <v>285418</v>
      </c>
      <c r="J28" s="2199">
        <f t="shared" si="15"/>
        <v>14679584</v>
      </c>
      <c r="K28" s="2199">
        <f t="shared" si="15"/>
        <v>1385303</v>
      </c>
      <c r="L28" s="2199">
        <f t="shared" si="15"/>
        <v>0</v>
      </c>
      <c r="M28" s="2199">
        <f t="shared" si="15"/>
        <v>0</v>
      </c>
      <c r="N28" s="2202">
        <f t="shared" si="15"/>
        <v>0</v>
      </c>
    </row>
    <row r="29" spans="1:14" ht="13.5" customHeight="1">
      <c r="A29" s="669"/>
      <c r="B29" s="670"/>
      <c r="C29" s="2198" t="s">
        <v>3973</v>
      </c>
      <c r="D29" s="2198"/>
      <c r="E29" s="2177"/>
      <c r="F29" s="2178">
        <f t="shared" si="4"/>
        <v>1273186</v>
      </c>
      <c r="G29" s="2199">
        <f>+G156+G157</f>
        <v>240733</v>
      </c>
      <c r="H29" s="2179">
        <f t="shared" ref="H29:N29" si="16">+H156+H157</f>
        <v>159660</v>
      </c>
      <c r="I29" s="2179">
        <f t="shared" si="16"/>
        <v>15273</v>
      </c>
      <c r="J29" s="2179">
        <f>+J156+J157</f>
        <v>783575</v>
      </c>
      <c r="K29" s="2179">
        <f>+K156+K157</f>
        <v>73945</v>
      </c>
      <c r="L29" s="2179">
        <f t="shared" si="16"/>
        <v>0</v>
      </c>
      <c r="M29" s="2179">
        <f t="shared" si="16"/>
        <v>0</v>
      </c>
      <c r="N29" s="2180">
        <f t="shared" si="16"/>
        <v>0</v>
      </c>
    </row>
    <row r="30" spans="1:14" ht="13.5" customHeight="1">
      <c r="A30" s="669"/>
      <c r="B30" s="670"/>
      <c r="C30" s="2198" t="s">
        <v>3974</v>
      </c>
      <c r="D30" s="2198"/>
      <c r="E30" s="2177"/>
      <c r="F30" s="2178">
        <f t="shared" si="4"/>
        <v>0</v>
      </c>
      <c r="G30" s="2199">
        <f>SUM(G158:G162)</f>
        <v>0</v>
      </c>
      <c r="H30" s="2179">
        <f t="shared" ref="H30:N30" si="17">SUM(H158:H162)</f>
        <v>0</v>
      </c>
      <c r="I30" s="2179">
        <f t="shared" si="17"/>
        <v>0</v>
      </c>
      <c r="J30" s="2179">
        <f>SUM(J158:J162)</f>
        <v>0</v>
      </c>
      <c r="K30" s="2179">
        <f>SUM(K158:K162)</f>
        <v>0</v>
      </c>
      <c r="L30" s="2179">
        <f t="shared" si="17"/>
        <v>0</v>
      </c>
      <c r="M30" s="2179">
        <f t="shared" si="17"/>
        <v>0</v>
      </c>
      <c r="N30" s="2180">
        <f t="shared" si="17"/>
        <v>0</v>
      </c>
    </row>
    <row r="31" spans="1:14" s="759" customFormat="1" ht="13.5" customHeight="1">
      <c r="A31" s="753"/>
      <c r="B31" s="754"/>
      <c r="C31" s="762" t="s">
        <v>3975</v>
      </c>
      <c r="D31" s="754"/>
      <c r="E31" s="763"/>
      <c r="F31" s="764">
        <f t="shared" si="4"/>
        <v>0</v>
      </c>
      <c r="G31" s="738">
        <f>IF(G163=0,0,+G163-G172)</f>
        <v>0</v>
      </c>
      <c r="H31" s="738">
        <f t="shared" ref="H31:N31" si="18">IF(H163=0,0,+H163-H172)</f>
        <v>0</v>
      </c>
      <c r="I31" s="738">
        <f t="shared" si="18"/>
        <v>0</v>
      </c>
      <c r="J31" s="738">
        <f t="shared" si="18"/>
        <v>0</v>
      </c>
      <c r="K31" s="738">
        <f t="shared" si="18"/>
        <v>0</v>
      </c>
      <c r="L31" s="738">
        <f t="shared" si="18"/>
        <v>0</v>
      </c>
      <c r="M31" s="738">
        <f t="shared" si="18"/>
        <v>0</v>
      </c>
      <c r="N31" s="765">
        <f t="shared" si="18"/>
        <v>0</v>
      </c>
    </row>
    <row r="32" spans="1:14" ht="13.5" customHeight="1">
      <c r="A32" s="766"/>
      <c r="B32" s="695" t="s">
        <v>3976</v>
      </c>
      <c r="C32" s="695"/>
      <c r="D32" s="695"/>
      <c r="E32" s="767"/>
      <c r="F32" s="697">
        <f t="shared" si="4"/>
        <v>221300000</v>
      </c>
      <c r="G32" s="698">
        <f>G10+G21</f>
        <v>41842000</v>
      </c>
      <c r="H32" s="768">
        <f t="shared" ref="H32:N32" si="19">H10+H21</f>
        <v>27752000</v>
      </c>
      <c r="I32" s="768">
        <f t="shared" si="19"/>
        <v>2654000</v>
      </c>
      <c r="J32" s="768">
        <f t="shared" si="19"/>
        <v>136199000</v>
      </c>
      <c r="K32" s="768">
        <f>K10+K21</f>
        <v>12853000</v>
      </c>
      <c r="L32" s="768">
        <f t="shared" si="19"/>
        <v>0</v>
      </c>
      <c r="M32" s="768">
        <f t="shared" si="19"/>
        <v>0</v>
      </c>
      <c r="N32" s="769">
        <f t="shared" si="19"/>
        <v>0</v>
      </c>
    </row>
    <row r="33" spans="1:14" ht="13.5" customHeight="1">
      <c r="A33" s="770"/>
      <c r="B33" s="670"/>
      <c r="C33" s="771" t="s">
        <v>3977</v>
      </c>
      <c r="D33" s="771"/>
      <c r="E33" s="772"/>
      <c r="F33" s="773"/>
      <c r="G33" s="774" t="s">
        <v>3978</v>
      </c>
      <c r="H33" s="719"/>
      <c r="I33" s="775"/>
      <c r="J33" s="775"/>
      <c r="K33" s="775"/>
      <c r="L33" s="775"/>
      <c r="M33" s="775"/>
      <c r="N33" s="776"/>
    </row>
    <row r="34" spans="1:14" ht="13.5" customHeight="1">
      <c r="A34" s="660"/>
      <c r="B34" s="661"/>
      <c r="C34" s="661"/>
      <c r="D34" s="661"/>
      <c r="E34" s="777"/>
      <c r="F34" s="778" t="s">
        <v>3979</v>
      </c>
      <c r="G34" s="779" t="str">
        <f t="shared" ref="G34:N34" si="20">+G5</f>
        <v>工事1</v>
      </c>
      <c r="H34" s="779" t="str">
        <f t="shared" si="20"/>
        <v>工事2</v>
      </c>
      <c r="I34" s="779" t="str">
        <f t="shared" si="20"/>
        <v>工事3</v>
      </c>
      <c r="J34" s="779" t="str">
        <f t="shared" si="20"/>
        <v>工事4</v>
      </c>
      <c r="K34" s="779" t="str">
        <f>+K5</f>
        <v>工事5</v>
      </c>
      <c r="L34" s="779" t="str">
        <f t="shared" si="20"/>
        <v>工事6</v>
      </c>
      <c r="M34" s="779" t="str">
        <f t="shared" si="20"/>
        <v>工事7</v>
      </c>
      <c r="N34" s="780" t="str">
        <f t="shared" si="20"/>
        <v>工事8</v>
      </c>
    </row>
    <row r="35" spans="1:14" ht="13.5" customHeight="1">
      <c r="A35" s="781" t="s">
        <v>3980</v>
      </c>
      <c r="B35" s="782"/>
      <c r="C35" s="783"/>
      <c r="D35" s="783"/>
      <c r="E35" s="784"/>
      <c r="F35" s="785"/>
      <c r="G35" s="786"/>
      <c r="H35" s="786"/>
      <c r="I35" s="786"/>
      <c r="J35" s="786"/>
      <c r="K35" s="786"/>
      <c r="L35" s="786"/>
      <c r="M35" s="786"/>
      <c r="N35" s="787"/>
    </row>
    <row r="36" spans="1:14" ht="13.5" customHeight="1">
      <c r="A36" s="2646"/>
      <c r="B36" s="2648" t="s">
        <v>3981</v>
      </c>
      <c r="C36" s="701" t="s">
        <v>3982</v>
      </c>
      <c r="D36" s="701"/>
      <c r="E36" s="742"/>
      <c r="F36" s="703">
        <f t="shared" ref="F36:F42" si="21">SUM(G36:N36)</f>
        <v>0</v>
      </c>
      <c r="G36" s="744">
        <f>IF(G$4="新営",(G11-SUM(G38:G49)-G53-G52),0)</f>
        <v>0</v>
      </c>
      <c r="H36" s="744">
        <f t="shared" ref="H36:N36" si="22">IF(H$4="新営",(H11-SUM(H38:H49)-H53-H52),0)</f>
        <v>0</v>
      </c>
      <c r="I36" s="744">
        <f t="shared" si="22"/>
        <v>0</v>
      </c>
      <c r="J36" s="744">
        <f t="shared" si="22"/>
        <v>0</v>
      </c>
      <c r="K36" s="744">
        <f t="shared" si="22"/>
        <v>0</v>
      </c>
      <c r="L36" s="744">
        <f t="shared" si="22"/>
        <v>0</v>
      </c>
      <c r="M36" s="744">
        <f t="shared" si="22"/>
        <v>0</v>
      </c>
      <c r="N36" s="788">
        <f t="shared" si="22"/>
        <v>0</v>
      </c>
    </row>
    <row r="37" spans="1:14" ht="13.5" customHeight="1">
      <c r="A37" s="2646"/>
      <c r="B37" s="2649"/>
      <c r="C37" s="2204" t="s">
        <v>3983</v>
      </c>
      <c r="D37" s="2204"/>
      <c r="E37" s="2177"/>
      <c r="F37" s="2178">
        <f t="shared" si="21"/>
        <v>160184355</v>
      </c>
      <c r="G37" s="2199">
        <f>IF(G$4="改修",(G11-SUM(G38:G49)-G53-G52),0)</f>
        <v>25792935</v>
      </c>
      <c r="H37" s="2199">
        <f t="shared" ref="H37:N37" si="23">IF(H$4="改修",(H11-SUM(H38:H49)-H53-H52),0)</f>
        <v>21544814</v>
      </c>
      <c r="I37" s="2199">
        <f t="shared" si="23"/>
        <v>1712888</v>
      </c>
      <c r="J37" s="2199">
        <f t="shared" si="23"/>
        <v>101741858</v>
      </c>
      <c r="K37" s="2199">
        <f t="shared" si="23"/>
        <v>9391860</v>
      </c>
      <c r="L37" s="2199">
        <f t="shared" si="23"/>
        <v>0</v>
      </c>
      <c r="M37" s="2199">
        <f t="shared" si="23"/>
        <v>0</v>
      </c>
      <c r="N37" s="2202">
        <f t="shared" si="23"/>
        <v>0</v>
      </c>
    </row>
    <row r="38" spans="1:14" ht="13.5" customHeight="1">
      <c r="A38" s="2646"/>
      <c r="B38" s="2649"/>
      <c r="C38" s="2205" t="s">
        <v>3984</v>
      </c>
      <c r="D38" s="2204"/>
      <c r="E38" s="2177"/>
      <c r="F38" s="2178">
        <f t="shared" si="21"/>
        <v>0</v>
      </c>
      <c r="G38" s="2206"/>
      <c r="H38" s="2206"/>
      <c r="I38" s="2206"/>
      <c r="J38" s="2206"/>
      <c r="K38" s="2206"/>
      <c r="L38" s="2206"/>
      <c r="M38" s="2206"/>
      <c r="N38" s="2207"/>
    </row>
    <row r="39" spans="1:14" ht="13.5" customHeight="1">
      <c r="A39" s="2646"/>
      <c r="B39" s="2649"/>
      <c r="C39" s="2205" t="s">
        <v>3985</v>
      </c>
      <c r="D39" s="2204"/>
      <c r="E39" s="2177"/>
      <c r="F39" s="2178">
        <f t="shared" si="21"/>
        <v>0</v>
      </c>
      <c r="G39" s="2206"/>
      <c r="H39" s="2206"/>
      <c r="I39" s="2206"/>
      <c r="J39" s="2206"/>
      <c r="K39" s="2206"/>
      <c r="L39" s="2206"/>
      <c r="M39" s="2206"/>
      <c r="N39" s="2207"/>
    </row>
    <row r="40" spans="1:14" ht="13.5" customHeight="1">
      <c r="A40" s="2646"/>
      <c r="B40" s="2649" t="s">
        <v>3986</v>
      </c>
      <c r="C40" s="2151" t="s">
        <v>3987</v>
      </c>
      <c r="D40" s="2204"/>
      <c r="E40" s="2177"/>
      <c r="F40" s="2178">
        <f t="shared" si="21"/>
        <v>0</v>
      </c>
      <c r="G40" s="2206"/>
      <c r="H40" s="2206"/>
      <c r="I40" s="2206"/>
      <c r="J40" s="2206"/>
      <c r="K40" s="2206"/>
      <c r="L40" s="2206"/>
      <c r="M40" s="2206"/>
      <c r="N40" s="2207"/>
    </row>
    <row r="41" spans="1:14" ht="13.5" customHeight="1">
      <c r="A41" s="2646"/>
      <c r="B41" s="2649"/>
      <c r="C41" s="2151" t="s">
        <v>3988</v>
      </c>
      <c r="D41" s="2204"/>
      <c r="E41" s="2177"/>
      <c r="F41" s="2178">
        <f t="shared" si="21"/>
        <v>0</v>
      </c>
      <c r="G41" s="2206"/>
      <c r="H41" s="2206"/>
      <c r="I41" s="2206"/>
      <c r="J41" s="2206"/>
      <c r="K41" s="2206"/>
      <c r="L41" s="2206"/>
      <c r="M41" s="2206"/>
      <c r="N41" s="2207"/>
    </row>
    <row r="42" spans="1:14" ht="13.5" customHeight="1">
      <c r="A42" s="2646"/>
      <c r="B42" s="2649"/>
      <c r="C42" s="2204" t="s">
        <v>3989</v>
      </c>
      <c r="D42" s="2204"/>
      <c r="E42" s="2177"/>
      <c r="F42" s="2178">
        <f t="shared" si="21"/>
        <v>5171700</v>
      </c>
      <c r="G42" s="2206">
        <f>+SUM(工事1!I171:I181)</f>
        <v>3347200</v>
      </c>
      <c r="H42" s="2206"/>
      <c r="I42" s="2206">
        <f>+工事3!I126</f>
        <v>338000</v>
      </c>
      <c r="J42" s="2206">
        <f>+工事4!I99+工事4!I101</f>
        <v>1086800</v>
      </c>
      <c r="K42" s="2206">
        <f>+工事5!I116</f>
        <v>399700</v>
      </c>
      <c r="L42" s="2206"/>
      <c r="M42" s="2206"/>
      <c r="N42" s="2207"/>
    </row>
    <row r="43" spans="1:14" ht="13.5" customHeight="1">
      <c r="A43" s="2646"/>
      <c r="B43" s="2649"/>
      <c r="C43" s="2204" t="s">
        <v>3990</v>
      </c>
      <c r="D43" s="2204"/>
      <c r="E43" s="2177"/>
      <c r="F43" s="2178"/>
      <c r="G43" s="2208"/>
      <c r="H43" s="2208"/>
      <c r="I43" s="2208"/>
      <c r="J43" s="2208"/>
      <c r="K43" s="2208"/>
      <c r="L43" s="2208"/>
      <c r="M43" s="2208"/>
      <c r="N43" s="2209"/>
    </row>
    <row r="44" spans="1:14" ht="13.5" customHeight="1">
      <c r="A44" s="2646"/>
      <c r="B44" s="2649"/>
      <c r="C44" s="2204" t="s">
        <v>3991</v>
      </c>
      <c r="D44" s="2204"/>
      <c r="E44" s="2177"/>
      <c r="F44" s="2178"/>
      <c r="G44" s="2208"/>
      <c r="H44" s="2208"/>
      <c r="I44" s="2208"/>
      <c r="J44" s="2208"/>
      <c r="K44" s="2208"/>
      <c r="L44" s="2208"/>
      <c r="M44" s="2208"/>
      <c r="N44" s="2209"/>
    </row>
    <row r="45" spans="1:14" ht="13.5" customHeight="1">
      <c r="A45" s="2646"/>
      <c r="B45" s="2649"/>
      <c r="C45" s="2204" t="s">
        <v>3992</v>
      </c>
      <c r="D45" s="2204"/>
      <c r="E45" s="2177"/>
      <c r="F45" s="2178">
        <f t="shared" ref="F45:F55" si="24">SUM(G45:N45)</f>
        <v>0</v>
      </c>
      <c r="G45" s="2206"/>
      <c r="H45" s="2206"/>
      <c r="I45" s="2206"/>
      <c r="J45" s="2206"/>
      <c r="K45" s="2206"/>
      <c r="L45" s="2206"/>
      <c r="M45" s="2206"/>
      <c r="N45" s="2207"/>
    </row>
    <row r="46" spans="1:14" ht="13.5" customHeight="1">
      <c r="A46" s="2646"/>
      <c r="B46" s="2649"/>
      <c r="C46" s="2210" t="s">
        <v>3993</v>
      </c>
      <c r="D46" s="2204"/>
      <c r="E46" s="2177"/>
      <c r="F46" s="2178">
        <f t="shared" si="24"/>
        <v>0</v>
      </c>
      <c r="G46" s="2206"/>
      <c r="H46" s="2206"/>
      <c r="I46" s="2206"/>
      <c r="J46" s="2206"/>
      <c r="K46" s="2206"/>
      <c r="L46" s="2206"/>
      <c r="M46" s="2206"/>
      <c r="N46" s="2207"/>
    </row>
    <row r="47" spans="1:14" ht="13.5" customHeight="1">
      <c r="A47" s="2646"/>
      <c r="B47" s="2649"/>
      <c r="C47" s="2211" t="s">
        <v>3994</v>
      </c>
      <c r="D47" s="2204"/>
      <c r="E47" s="2177"/>
      <c r="F47" s="2178">
        <f t="shared" si="24"/>
        <v>0</v>
      </c>
      <c r="G47" s="2206"/>
      <c r="H47" s="2206"/>
      <c r="I47" s="2206"/>
      <c r="J47" s="2206"/>
      <c r="K47" s="2206"/>
      <c r="L47" s="2206"/>
      <c r="M47" s="2206"/>
      <c r="N47" s="2207"/>
    </row>
    <row r="48" spans="1:14" ht="13.5" customHeight="1">
      <c r="A48" s="2646"/>
      <c r="B48" s="2649"/>
      <c r="C48" s="2204" t="s">
        <v>3995</v>
      </c>
      <c r="D48" s="2204"/>
      <c r="E48" s="2177"/>
      <c r="F48" s="2178">
        <f t="shared" si="24"/>
        <v>0</v>
      </c>
      <c r="G48" s="2206"/>
      <c r="H48" s="2206"/>
      <c r="I48" s="2206"/>
      <c r="J48" s="2206"/>
      <c r="K48" s="2206"/>
      <c r="L48" s="2206"/>
      <c r="M48" s="2206"/>
      <c r="N48" s="2207"/>
    </row>
    <row r="49" spans="1:14" ht="13.5" customHeight="1">
      <c r="A49" s="2646"/>
      <c r="B49" s="2649" t="s">
        <v>3996</v>
      </c>
      <c r="C49" s="2205" t="s">
        <v>3997</v>
      </c>
      <c r="D49" s="2204"/>
      <c r="E49" s="2177"/>
      <c r="F49" s="2178">
        <f t="shared" si="24"/>
        <v>471415</v>
      </c>
      <c r="G49" s="2206">
        <f>+SUM(工事1!I237:I241)+[2]直接仮設費算出!$X$72</f>
        <v>75152</v>
      </c>
      <c r="H49" s="2206">
        <f>+工事2!I154+工事2!I155</f>
        <v>10832</v>
      </c>
      <c r="I49" s="2206">
        <f>+工事3!I168+工事3!I169+工事3!I170</f>
        <v>1593</v>
      </c>
      <c r="J49" s="2206">
        <f>+工事4!I145+工事4!I146+工事4!I147</f>
        <v>383838</v>
      </c>
      <c r="K49" s="2206"/>
      <c r="L49" s="2206"/>
      <c r="M49" s="2206"/>
      <c r="N49" s="2207"/>
    </row>
    <row r="50" spans="1:14" ht="13.5" customHeight="1">
      <c r="A50" s="2646"/>
      <c r="B50" s="2649"/>
      <c r="C50" s="2205" t="s">
        <v>3998</v>
      </c>
      <c r="D50" s="2204"/>
      <c r="E50" s="2177"/>
      <c r="F50" s="2178">
        <f t="shared" si="24"/>
        <v>0</v>
      </c>
      <c r="G50" s="2208">
        <f t="shared" ref="G50:N50" si="25">+G19</f>
        <v>0</v>
      </c>
      <c r="H50" s="2208">
        <f t="shared" si="25"/>
        <v>0</v>
      </c>
      <c r="I50" s="2208">
        <f t="shared" si="25"/>
        <v>0</v>
      </c>
      <c r="J50" s="2208">
        <f>+J19</f>
        <v>0</v>
      </c>
      <c r="K50" s="2208">
        <f>+K19</f>
        <v>0</v>
      </c>
      <c r="L50" s="2208">
        <f t="shared" si="25"/>
        <v>0</v>
      </c>
      <c r="M50" s="2208">
        <f t="shared" si="25"/>
        <v>0</v>
      </c>
      <c r="N50" s="2209">
        <f t="shared" si="25"/>
        <v>0</v>
      </c>
    </row>
    <row r="51" spans="1:14" ht="13.5" customHeight="1">
      <c r="A51" s="2646"/>
      <c r="B51" s="2649"/>
      <c r="C51" s="2147" t="s">
        <v>3999</v>
      </c>
      <c r="D51" s="2148"/>
      <c r="E51" s="2177"/>
      <c r="F51" s="2178">
        <f t="shared" si="24"/>
        <v>0</v>
      </c>
      <c r="G51" s="2208">
        <f t="shared" ref="G51:N51" si="26">+G18</f>
        <v>0</v>
      </c>
      <c r="H51" s="2208">
        <f t="shared" si="26"/>
        <v>0</v>
      </c>
      <c r="I51" s="2208">
        <f t="shared" si="26"/>
        <v>0</v>
      </c>
      <c r="J51" s="2208">
        <f>+J18</f>
        <v>0</v>
      </c>
      <c r="K51" s="2208">
        <f>+K18</f>
        <v>0</v>
      </c>
      <c r="L51" s="2208">
        <f t="shared" si="26"/>
        <v>0</v>
      </c>
      <c r="M51" s="2208">
        <f t="shared" si="26"/>
        <v>0</v>
      </c>
      <c r="N51" s="2209">
        <f t="shared" si="26"/>
        <v>0</v>
      </c>
    </row>
    <row r="52" spans="1:14" ht="13.5" customHeight="1">
      <c r="A52" s="2646"/>
      <c r="B52" s="2649"/>
      <c r="C52" s="2147" t="s">
        <v>4000</v>
      </c>
      <c r="D52" s="2148"/>
      <c r="E52" s="2177"/>
      <c r="F52" s="2178">
        <f t="shared" si="24"/>
        <v>0</v>
      </c>
      <c r="G52" s="2206"/>
      <c r="H52" s="2206"/>
      <c r="I52" s="2206"/>
      <c r="J52" s="2206"/>
      <c r="K52" s="2206"/>
      <c r="L52" s="2206"/>
      <c r="M52" s="2206"/>
      <c r="N52" s="2207"/>
    </row>
    <row r="53" spans="1:14" ht="13.5" customHeight="1">
      <c r="A53" s="2646"/>
      <c r="B53" s="2729"/>
      <c r="C53" s="2212" t="s">
        <v>4001</v>
      </c>
      <c r="D53" s="2212"/>
      <c r="E53" s="2341"/>
      <c r="F53" s="2178">
        <f t="shared" si="24"/>
        <v>0</v>
      </c>
      <c r="G53" s="2214"/>
      <c r="H53" s="2214"/>
      <c r="I53" s="2214"/>
      <c r="J53" s="2214"/>
      <c r="K53" s="2214"/>
      <c r="L53" s="2214"/>
      <c r="M53" s="2214"/>
      <c r="N53" s="2215"/>
    </row>
    <row r="54" spans="1:14" ht="13.5" customHeight="1">
      <c r="A54" s="2646"/>
      <c r="B54" s="2729"/>
      <c r="C54" s="2212" t="s">
        <v>4002</v>
      </c>
      <c r="D54" s="2212"/>
      <c r="E54" s="2341"/>
      <c r="F54" s="2178">
        <f t="shared" si="24"/>
        <v>0</v>
      </c>
      <c r="G54" s="2214"/>
      <c r="H54" s="2214"/>
      <c r="I54" s="2214"/>
      <c r="J54" s="2214"/>
      <c r="K54" s="2214"/>
      <c r="L54" s="2214"/>
      <c r="M54" s="2214"/>
      <c r="N54" s="2215"/>
    </row>
    <row r="55" spans="1:14" ht="13.5" customHeight="1">
      <c r="A55" s="2647"/>
      <c r="B55" s="2651"/>
      <c r="C55" s="2216" t="s">
        <v>4003</v>
      </c>
      <c r="D55" s="2216"/>
      <c r="E55" s="2193"/>
      <c r="F55" s="2194">
        <f t="shared" si="24"/>
        <v>0</v>
      </c>
      <c r="G55" s="2217"/>
      <c r="H55" s="2217"/>
      <c r="I55" s="2217"/>
      <c r="J55" s="2217"/>
      <c r="K55" s="2217"/>
      <c r="L55" s="2217"/>
      <c r="M55" s="2217"/>
      <c r="N55" s="2218"/>
    </row>
    <row r="56" spans="1:14" s="810" customFormat="1" ht="14.25" customHeight="1">
      <c r="A56" s="805"/>
      <c r="B56" s="805"/>
      <c r="C56" s="806" t="s">
        <v>4004</v>
      </c>
      <c r="D56" s="806"/>
      <c r="E56" s="807"/>
      <c r="F56" s="807"/>
      <c r="G56" s="808"/>
      <c r="H56" s="808"/>
      <c r="I56" s="808"/>
      <c r="J56" s="808"/>
      <c r="K56" s="808"/>
      <c r="L56" s="808"/>
      <c r="M56" s="808"/>
      <c r="N56" s="809" t="s">
        <v>4005</v>
      </c>
    </row>
    <row r="57" spans="1:14" s="810" customFormat="1" ht="14.25" customHeight="1">
      <c r="A57" s="805"/>
      <c r="B57" s="805"/>
      <c r="C57" s="811" t="s">
        <v>4006</v>
      </c>
      <c r="D57" s="811"/>
      <c r="E57" s="807"/>
      <c r="F57" s="807"/>
      <c r="G57" s="808"/>
      <c r="H57" s="808"/>
      <c r="I57" s="808"/>
      <c r="J57" s="808"/>
      <c r="K57" s="808"/>
      <c r="L57" s="808"/>
      <c r="M57" s="808"/>
      <c r="N57" s="809"/>
    </row>
    <row r="58" spans="1:14" s="810" customFormat="1" ht="14.25" customHeight="1">
      <c r="A58" s="812"/>
      <c r="B58" s="813"/>
      <c r="C58" s="813"/>
      <c r="D58" s="2652" t="s">
        <v>4007</v>
      </c>
      <c r="E58" s="2652" t="s">
        <v>4008</v>
      </c>
      <c r="F58" s="814" t="s">
        <v>3979</v>
      </c>
      <c r="G58" s="815" t="str">
        <f t="shared" ref="G58:N58" si="27">+G5</f>
        <v>工事1</v>
      </c>
      <c r="H58" s="815" t="str">
        <f t="shared" si="27"/>
        <v>工事2</v>
      </c>
      <c r="I58" s="815" t="str">
        <f t="shared" si="27"/>
        <v>工事3</v>
      </c>
      <c r="J58" s="815" t="str">
        <f t="shared" si="27"/>
        <v>工事4</v>
      </c>
      <c r="K58" s="815" t="str">
        <f>+K5</f>
        <v>工事5</v>
      </c>
      <c r="L58" s="815" t="str">
        <f t="shared" si="27"/>
        <v>工事6</v>
      </c>
      <c r="M58" s="815" t="str">
        <f t="shared" si="27"/>
        <v>工事7</v>
      </c>
      <c r="N58" s="816" t="str">
        <f t="shared" si="27"/>
        <v>工事8</v>
      </c>
    </row>
    <row r="59" spans="1:14" s="810" customFormat="1" ht="14.25" customHeight="1">
      <c r="A59" s="2654" t="s">
        <v>4009</v>
      </c>
      <c r="B59" s="2655"/>
      <c r="C59" s="2655"/>
      <c r="D59" s="2653"/>
      <c r="E59" s="2653"/>
      <c r="F59" s="817"/>
      <c r="G59" s="818"/>
      <c r="H59" s="818"/>
      <c r="I59" s="818"/>
      <c r="J59" s="818"/>
      <c r="K59" s="818"/>
      <c r="L59" s="818"/>
      <c r="M59" s="818"/>
      <c r="N59" s="819"/>
    </row>
    <row r="60" spans="1:14" s="810" customFormat="1" ht="14.25" customHeight="1">
      <c r="A60" s="2656"/>
      <c r="B60" s="820" t="s">
        <v>4010</v>
      </c>
      <c r="C60" s="821"/>
      <c r="D60" s="821"/>
      <c r="E60" s="822"/>
      <c r="F60" s="823">
        <f t="shared" ref="F60:F67" si="28">SUM(G60:N60)</f>
        <v>165356055</v>
      </c>
      <c r="G60" s="824">
        <f>SUM(G36:G48)+SUM(G52)</f>
        <v>29140135</v>
      </c>
      <c r="H60" s="824">
        <f t="shared" ref="H60:N60" si="29">SUM(H36:H48)+SUM(H52)</f>
        <v>21544814</v>
      </c>
      <c r="I60" s="824">
        <f t="shared" si="29"/>
        <v>2050888</v>
      </c>
      <c r="J60" s="824">
        <f t="shared" si="29"/>
        <v>102828658</v>
      </c>
      <c r="K60" s="824">
        <f t="shared" si="29"/>
        <v>9791560</v>
      </c>
      <c r="L60" s="824">
        <f t="shared" si="29"/>
        <v>0</v>
      </c>
      <c r="M60" s="824">
        <f t="shared" si="29"/>
        <v>0</v>
      </c>
      <c r="N60" s="825">
        <f t="shared" si="29"/>
        <v>0</v>
      </c>
    </row>
    <row r="61" spans="1:14" s="810" customFormat="1" ht="14.25" customHeight="1">
      <c r="A61" s="2657"/>
      <c r="B61" s="2659" t="s">
        <v>3981</v>
      </c>
      <c r="C61" s="2219" t="s">
        <v>3982</v>
      </c>
      <c r="D61" s="2220">
        <v>1</v>
      </c>
      <c r="E61" s="2221" t="s">
        <v>4011</v>
      </c>
      <c r="F61" s="2222">
        <f t="shared" si="28"/>
        <v>0</v>
      </c>
      <c r="G61" s="2223">
        <f>IF(G7="積上げ",0,+G36)</f>
        <v>0</v>
      </c>
      <c r="H61" s="2223">
        <f t="shared" ref="H61:N61" si="30">IF(H7="積上げ",0,+H36)</f>
        <v>0</v>
      </c>
      <c r="I61" s="2223">
        <f t="shared" si="30"/>
        <v>0</v>
      </c>
      <c r="J61" s="2223">
        <f t="shared" si="30"/>
        <v>0</v>
      </c>
      <c r="K61" s="2223">
        <f t="shared" si="30"/>
        <v>0</v>
      </c>
      <c r="L61" s="2223">
        <f t="shared" si="30"/>
        <v>0</v>
      </c>
      <c r="M61" s="2223">
        <f t="shared" si="30"/>
        <v>0</v>
      </c>
      <c r="N61" s="2224">
        <f t="shared" si="30"/>
        <v>0</v>
      </c>
    </row>
    <row r="62" spans="1:14" s="810" customFormat="1" ht="14.25" customHeight="1">
      <c r="A62" s="2657"/>
      <c r="B62" s="2659"/>
      <c r="C62" s="2219" t="s">
        <v>3983</v>
      </c>
      <c r="D62" s="2220">
        <v>1</v>
      </c>
      <c r="E62" s="2221" t="s">
        <v>4011</v>
      </c>
      <c r="F62" s="2222">
        <f t="shared" si="28"/>
        <v>160184355</v>
      </c>
      <c r="G62" s="2223">
        <f>IF(G7="積上げ",0,+G37)</f>
        <v>25792935</v>
      </c>
      <c r="H62" s="2223">
        <f t="shared" ref="H62:N62" si="31">IF(H7="積上げ",0,+H37)</f>
        <v>21544814</v>
      </c>
      <c r="I62" s="2223">
        <f t="shared" si="31"/>
        <v>1712888</v>
      </c>
      <c r="J62" s="2223">
        <f t="shared" si="31"/>
        <v>101741858</v>
      </c>
      <c r="K62" s="2223">
        <f t="shared" si="31"/>
        <v>9391860</v>
      </c>
      <c r="L62" s="2223">
        <f t="shared" si="31"/>
        <v>0</v>
      </c>
      <c r="M62" s="2223">
        <f t="shared" si="31"/>
        <v>0</v>
      </c>
      <c r="N62" s="2224">
        <f t="shared" si="31"/>
        <v>0</v>
      </c>
    </row>
    <row r="63" spans="1:14" s="810" customFormat="1" ht="14.25" customHeight="1">
      <c r="A63" s="2657"/>
      <c r="B63" s="2659"/>
      <c r="C63" s="2219" t="s">
        <v>4012</v>
      </c>
      <c r="D63" s="2220">
        <v>0.9</v>
      </c>
      <c r="E63" s="2221" t="s">
        <v>4011</v>
      </c>
      <c r="F63" s="2222">
        <f t="shared" si="28"/>
        <v>0</v>
      </c>
      <c r="G63" s="2223">
        <f>IF(G7="積上げ",0,+G38)</f>
        <v>0</v>
      </c>
      <c r="H63" s="2223">
        <f t="shared" ref="H63:N63" si="32">IF(H7="積上げ",0,+H38)</f>
        <v>0</v>
      </c>
      <c r="I63" s="2223">
        <f t="shared" si="32"/>
        <v>0</v>
      </c>
      <c r="J63" s="2223">
        <f t="shared" si="32"/>
        <v>0</v>
      </c>
      <c r="K63" s="2223">
        <f>IF(K7="積上げ",0,+K38)</f>
        <v>0</v>
      </c>
      <c r="L63" s="2223">
        <f t="shared" si="32"/>
        <v>0</v>
      </c>
      <c r="M63" s="2223">
        <f t="shared" si="32"/>
        <v>0</v>
      </c>
      <c r="N63" s="2224">
        <f t="shared" si="32"/>
        <v>0</v>
      </c>
    </row>
    <row r="64" spans="1:14" s="810" customFormat="1" ht="14.25" customHeight="1">
      <c r="A64" s="2657"/>
      <c r="B64" s="2659"/>
      <c r="C64" s="2219" t="s">
        <v>4013</v>
      </c>
      <c r="D64" s="2220">
        <v>0.9</v>
      </c>
      <c r="E64" s="2221" t="s">
        <v>4011</v>
      </c>
      <c r="F64" s="2222">
        <f t="shared" si="28"/>
        <v>0</v>
      </c>
      <c r="G64" s="2223">
        <f>IF(G7="積上げ",0,+G39)</f>
        <v>0</v>
      </c>
      <c r="H64" s="2223">
        <f t="shared" ref="H64:N64" si="33">IF(H7="積上げ",0,+H39)</f>
        <v>0</v>
      </c>
      <c r="I64" s="2223">
        <f t="shared" si="33"/>
        <v>0</v>
      </c>
      <c r="J64" s="2223">
        <f t="shared" si="33"/>
        <v>0</v>
      </c>
      <c r="K64" s="2223">
        <f>IF(K7="積上げ",0,+K39)</f>
        <v>0</v>
      </c>
      <c r="L64" s="2223">
        <f t="shared" si="33"/>
        <v>0</v>
      </c>
      <c r="M64" s="2223">
        <f t="shared" si="33"/>
        <v>0</v>
      </c>
      <c r="N64" s="2224">
        <f t="shared" si="33"/>
        <v>0</v>
      </c>
    </row>
    <row r="65" spans="1:14" s="810" customFormat="1" ht="14.25" customHeight="1">
      <c r="A65" s="2657"/>
      <c r="B65" s="2659" t="s">
        <v>3986</v>
      </c>
      <c r="C65" s="2225" t="s">
        <v>4014</v>
      </c>
      <c r="D65" s="2220">
        <v>1</v>
      </c>
      <c r="E65" s="2226">
        <v>0.01</v>
      </c>
      <c r="F65" s="2222">
        <f t="shared" si="28"/>
        <v>0</v>
      </c>
      <c r="G65" s="2223">
        <f>IF(G7="積上げ",0,+G40)</f>
        <v>0</v>
      </c>
      <c r="H65" s="2223">
        <f t="shared" ref="H65:N65" si="34">IF(H7="積上げ",0,+H40)</f>
        <v>0</v>
      </c>
      <c r="I65" s="2223">
        <f t="shared" si="34"/>
        <v>0</v>
      </c>
      <c r="J65" s="2223">
        <f t="shared" si="34"/>
        <v>0</v>
      </c>
      <c r="K65" s="2223">
        <f>IF(K7="積上げ",0,+K40)</f>
        <v>0</v>
      </c>
      <c r="L65" s="2223">
        <f t="shared" si="34"/>
        <v>0</v>
      </c>
      <c r="M65" s="2223">
        <f t="shared" si="34"/>
        <v>0</v>
      </c>
      <c r="N65" s="2224">
        <f t="shared" si="34"/>
        <v>0</v>
      </c>
    </row>
    <row r="66" spans="1:14" s="810" customFormat="1" ht="14.25" customHeight="1">
      <c r="A66" s="2657"/>
      <c r="B66" s="2659"/>
      <c r="C66" s="2225" t="s">
        <v>4015</v>
      </c>
      <c r="D66" s="2220">
        <v>1</v>
      </c>
      <c r="E66" s="2226">
        <v>0.01</v>
      </c>
      <c r="F66" s="2222">
        <f t="shared" si="28"/>
        <v>0</v>
      </c>
      <c r="G66" s="2223">
        <f>IF(G7="積上げ",0,G41)</f>
        <v>0</v>
      </c>
      <c r="H66" s="2223">
        <f t="shared" ref="H66:N66" si="35">IF(H7="積上げ",0,H41)</f>
        <v>0</v>
      </c>
      <c r="I66" s="2223">
        <f t="shared" si="35"/>
        <v>0</v>
      </c>
      <c r="J66" s="2223">
        <f t="shared" si="35"/>
        <v>0</v>
      </c>
      <c r="K66" s="2223">
        <f>IF(K7="積上げ",0,K41)</f>
        <v>0</v>
      </c>
      <c r="L66" s="2223">
        <f t="shared" si="35"/>
        <v>0</v>
      </c>
      <c r="M66" s="2223">
        <f t="shared" si="35"/>
        <v>0</v>
      </c>
      <c r="N66" s="2224">
        <f t="shared" si="35"/>
        <v>0</v>
      </c>
    </row>
    <row r="67" spans="1:14" s="810" customFormat="1" ht="14.25" customHeight="1">
      <c r="A67" s="2657"/>
      <c r="B67" s="2659"/>
      <c r="C67" s="2225" t="s">
        <v>3989</v>
      </c>
      <c r="D67" s="2220">
        <v>1</v>
      </c>
      <c r="E67" s="2226">
        <v>0.01</v>
      </c>
      <c r="F67" s="2222">
        <f t="shared" si="28"/>
        <v>5171700</v>
      </c>
      <c r="G67" s="2223">
        <f>IF(G7="積上げ",0,G42)</f>
        <v>3347200</v>
      </c>
      <c r="H67" s="2223">
        <f t="shared" ref="H67:N67" si="36">IF(H7="積上げ",0,H42)</f>
        <v>0</v>
      </c>
      <c r="I67" s="2223">
        <f t="shared" si="36"/>
        <v>338000</v>
      </c>
      <c r="J67" s="2223">
        <f t="shared" si="36"/>
        <v>1086800</v>
      </c>
      <c r="K67" s="2223">
        <f>IF(K7="積上げ",0,K42)</f>
        <v>399700</v>
      </c>
      <c r="L67" s="2223">
        <f t="shared" si="36"/>
        <v>0</v>
      </c>
      <c r="M67" s="2223">
        <f t="shared" si="36"/>
        <v>0</v>
      </c>
      <c r="N67" s="2224">
        <f t="shared" si="36"/>
        <v>0</v>
      </c>
    </row>
    <row r="68" spans="1:14" s="810" customFormat="1" ht="14.25" customHeight="1">
      <c r="A68" s="2657"/>
      <c r="B68" s="2659"/>
      <c r="C68" s="2225" t="s">
        <v>3990</v>
      </c>
      <c r="D68" s="2220"/>
      <c r="E68" s="2226"/>
      <c r="F68" s="2222"/>
      <c r="G68" s="2223"/>
      <c r="H68" s="2223"/>
      <c r="I68" s="2223"/>
      <c r="J68" s="2223"/>
      <c r="K68" s="2223"/>
      <c r="L68" s="2223"/>
      <c r="M68" s="2223"/>
      <c r="N68" s="2224"/>
    </row>
    <row r="69" spans="1:14" s="810" customFormat="1" ht="14.25" customHeight="1">
      <c r="A69" s="2657"/>
      <c r="B69" s="2659"/>
      <c r="C69" s="2225" t="s">
        <v>3991</v>
      </c>
      <c r="D69" s="2220"/>
      <c r="E69" s="2226"/>
      <c r="F69" s="2222"/>
      <c r="G69" s="2223"/>
      <c r="H69" s="2223"/>
      <c r="I69" s="2223"/>
      <c r="J69" s="2223"/>
      <c r="K69" s="2223"/>
      <c r="L69" s="2223"/>
      <c r="M69" s="2223"/>
      <c r="N69" s="2224"/>
    </row>
    <row r="70" spans="1:14" s="810" customFormat="1" ht="14.25" customHeight="1">
      <c r="A70" s="2657"/>
      <c r="B70" s="2659"/>
      <c r="C70" s="2225" t="s">
        <v>3992</v>
      </c>
      <c r="D70" s="2220">
        <v>1</v>
      </c>
      <c r="E70" s="2226">
        <v>0.01</v>
      </c>
      <c r="F70" s="2222">
        <f>SUM(G70:N70)</f>
        <v>0</v>
      </c>
      <c r="G70" s="2223">
        <f>IF(G7="積上げ",0,+G45)</f>
        <v>0</v>
      </c>
      <c r="H70" s="2223">
        <f t="shared" ref="H70:N70" si="37">IF(H7="積上げ",0,+H45)</f>
        <v>0</v>
      </c>
      <c r="I70" s="2223">
        <f t="shared" si="37"/>
        <v>0</v>
      </c>
      <c r="J70" s="2223">
        <f t="shared" si="37"/>
        <v>0</v>
      </c>
      <c r="K70" s="2223">
        <f>IF(K7="積上げ",0,+K45)</f>
        <v>0</v>
      </c>
      <c r="L70" s="2223">
        <f t="shared" si="37"/>
        <v>0</v>
      </c>
      <c r="M70" s="2223">
        <f t="shared" si="37"/>
        <v>0</v>
      </c>
      <c r="N70" s="2224">
        <f t="shared" si="37"/>
        <v>0</v>
      </c>
    </row>
    <row r="71" spans="1:14" s="810" customFormat="1" ht="14.25" customHeight="1">
      <c r="A71" s="2657"/>
      <c r="B71" s="2659"/>
      <c r="C71" s="2227" t="s">
        <v>3993</v>
      </c>
      <c r="D71" s="2220">
        <v>1</v>
      </c>
      <c r="E71" s="2226">
        <v>0.01</v>
      </c>
      <c r="F71" s="2222">
        <f>SUM(G71:N71)</f>
        <v>0</v>
      </c>
      <c r="G71" s="2223">
        <f>IF(G7="積上げ",0,+G46)</f>
        <v>0</v>
      </c>
      <c r="H71" s="2223">
        <f t="shared" ref="H71:N71" si="38">IF(H7="積上げ",0,+H46)</f>
        <v>0</v>
      </c>
      <c r="I71" s="2223">
        <f t="shared" si="38"/>
        <v>0</v>
      </c>
      <c r="J71" s="2223">
        <f t="shared" si="38"/>
        <v>0</v>
      </c>
      <c r="K71" s="2223">
        <f>IF(K7="積上げ",0,+K46)</f>
        <v>0</v>
      </c>
      <c r="L71" s="2223">
        <f t="shared" si="38"/>
        <v>0</v>
      </c>
      <c r="M71" s="2223">
        <f t="shared" si="38"/>
        <v>0</v>
      </c>
      <c r="N71" s="2224">
        <f t="shared" si="38"/>
        <v>0</v>
      </c>
    </row>
    <row r="72" spans="1:14" s="810" customFormat="1" ht="14.25" customHeight="1">
      <c r="A72" s="2657"/>
      <c r="B72" s="2659"/>
      <c r="C72" s="2227" t="s">
        <v>3994</v>
      </c>
      <c r="D72" s="2220">
        <v>1</v>
      </c>
      <c r="E72" s="2226">
        <v>0.01</v>
      </c>
      <c r="F72" s="2222">
        <f>SUM(G72:N72)</f>
        <v>0</v>
      </c>
      <c r="G72" s="2223">
        <f>IF(G7="積上げ",0,+G47)</f>
        <v>0</v>
      </c>
      <c r="H72" s="2223">
        <f t="shared" ref="H72:N72" si="39">IF(H7="積上げ",0,+H47)</f>
        <v>0</v>
      </c>
      <c r="I72" s="2223">
        <f t="shared" si="39"/>
        <v>0</v>
      </c>
      <c r="J72" s="2223">
        <f t="shared" si="39"/>
        <v>0</v>
      </c>
      <c r="K72" s="2223">
        <f>IF(K7="積上げ",0,+K47)</f>
        <v>0</v>
      </c>
      <c r="L72" s="2223">
        <f t="shared" si="39"/>
        <v>0</v>
      </c>
      <c r="M72" s="2223">
        <f t="shared" si="39"/>
        <v>0</v>
      </c>
      <c r="N72" s="2224">
        <f t="shared" si="39"/>
        <v>0</v>
      </c>
    </row>
    <row r="73" spans="1:14" s="810" customFormat="1" ht="14.25" customHeight="1">
      <c r="A73" s="2657"/>
      <c r="B73" s="2659"/>
      <c r="C73" s="2225" t="s">
        <v>3995</v>
      </c>
      <c r="D73" s="2220">
        <v>1</v>
      </c>
      <c r="E73" s="2226">
        <v>0.01</v>
      </c>
      <c r="F73" s="2222">
        <f>SUM(G73:N73)</f>
        <v>0</v>
      </c>
      <c r="G73" s="2223">
        <f>IF(G7="積上げ",0,+G48)</f>
        <v>0</v>
      </c>
      <c r="H73" s="2223">
        <f t="shared" ref="H73:N73" si="40">IF(H7="積上げ",0,+H48)</f>
        <v>0</v>
      </c>
      <c r="I73" s="2223">
        <f t="shared" si="40"/>
        <v>0</v>
      </c>
      <c r="J73" s="2223">
        <f t="shared" si="40"/>
        <v>0</v>
      </c>
      <c r="K73" s="2223">
        <f>IF(K7="積上げ",0,+K48)</f>
        <v>0</v>
      </c>
      <c r="L73" s="2223">
        <f t="shared" si="40"/>
        <v>0</v>
      </c>
      <c r="M73" s="2223">
        <f t="shared" si="40"/>
        <v>0</v>
      </c>
      <c r="N73" s="2224">
        <f t="shared" si="40"/>
        <v>0</v>
      </c>
    </row>
    <row r="74" spans="1:14" s="810" customFormat="1" ht="14.25" customHeight="1">
      <c r="A74" s="2658"/>
      <c r="B74" s="2228" t="s">
        <v>4016</v>
      </c>
      <c r="C74" s="2229" t="s">
        <v>4017</v>
      </c>
      <c r="D74" s="2230">
        <v>1</v>
      </c>
      <c r="E74" s="2231">
        <v>0</v>
      </c>
      <c r="F74" s="2232">
        <f>SUM(G74:N74)</f>
        <v>471415</v>
      </c>
      <c r="G74" s="2233">
        <f>IF(G7="積上げ",0,(SUM(G52:G55)+G49))</f>
        <v>75152</v>
      </c>
      <c r="H74" s="2233">
        <f t="shared" ref="H74:N74" si="41">IF(H7="積上げ",0,(SUM(H52:H55)+H49))</f>
        <v>10832</v>
      </c>
      <c r="I74" s="2233">
        <f t="shared" si="41"/>
        <v>1593</v>
      </c>
      <c r="J74" s="2233">
        <f t="shared" si="41"/>
        <v>383838</v>
      </c>
      <c r="K74" s="2233">
        <f t="shared" si="41"/>
        <v>0</v>
      </c>
      <c r="L74" s="2233">
        <f t="shared" si="41"/>
        <v>0</v>
      </c>
      <c r="M74" s="2233">
        <f t="shared" si="41"/>
        <v>0</v>
      </c>
      <c r="N74" s="2234">
        <f t="shared" si="41"/>
        <v>0</v>
      </c>
    </row>
    <row r="75" spans="1:14" s="810" customFormat="1" ht="14.25" customHeight="1">
      <c r="A75" s="842"/>
      <c r="B75" s="843"/>
      <c r="C75" s="844"/>
      <c r="D75" s="2660"/>
      <c r="E75" s="2660"/>
      <c r="F75" s="823"/>
      <c r="G75" s="845"/>
      <c r="H75" s="845"/>
      <c r="I75" s="845"/>
      <c r="J75" s="845"/>
      <c r="K75" s="845"/>
      <c r="L75" s="845"/>
      <c r="M75" s="845"/>
      <c r="N75" s="846"/>
    </row>
    <row r="76" spans="1:14" s="810" customFormat="1" ht="14.25" customHeight="1">
      <c r="A76" s="2662" t="s">
        <v>4018</v>
      </c>
      <c r="B76" s="2662"/>
      <c r="C76" s="2654"/>
      <c r="D76" s="2661"/>
      <c r="E76" s="2661"/>
      <c r="F76" s="817"/>
      <c r="G76" s="818"/>
      <c r="H76" s="818"/>
      <c r="I76" s="818"/>
      <c r="J76" s="818"/>
      <c r="K76" s="818"/>
      <c r="L76" s="818"/>
      <c r="M76" s="818"/>
      <c r="N76" s="819"/>
    </row>
    <row r="77" spans="1:14" s="810" customFormat="1" ht="14.25" customHeight="1">
      <c r="A77" s="2656"/>
      <c r="B77" s="2664" t="s">
        <v>3981</v>
      </c>
      <c r="C77" s="847" t="s">
        <v>3982</v>
      </c>
      <c r="D77" s="848"/>
      <c r="E77" s="849" t="s">
        <v>4011</v>
      </c>
      <c r="F77" s="850" t="s">
        <v>4019</v>
      </c>
      <c r="G77" s="851">
        <f>IF(G61=0,0,G183/100)</f>
        <v>0</v>
      </c>
      <c r="H77" s="851">
        <f t="shared" ref="H77:N77" si="42">IF(H61=0,0,H183/100)</f>
        <v>0</v>
      </c>
      <c r="I77" s="851">
        <f t="shared" si="42"/>
        <v>0</v>
      </c>
      <c r="J77" s="851">
        <f t="shared" si="42"/>
        <v>0</v>
      </c>
      <c r="K77" s="851">
        <f t="shared" si="42"/>
        <v>0</v>
      </c>
      <c r="L77" s="851">
        <f t="shared" si="42"/>
        <v>0</v>
      </c>
      <c r="M77" s="851">
        <f t="shared" si="42"/>
        <v>0</v>
      </c>
      <c r="N77" s="852">
        <f t="shared" si="42"/>
        <v>0</v>
      </c>
    </row>
    <row r="78" spans="1:14" s="810" customFormat="1" ht="14.25" customHeight="1">
      <c r="A78" s="2657"/>
      <c r="B78" s="2665"/>
      <c r="C78" s="853"/>
      <c r="D78" s="854">
        <f>+D61</f>
        <v>1</v>
      </c>
      <c r="E78" s="2235" t="s">
        <v>4011</v>
      </c>
      <c r="F78" s="2222">
        <f>SUM(G78:N78)</f>
        <v>0</v>
      </c>
      <c r="G78" s="856">
        <f>ROUNDDOWN(G61*G77*$D78,0)</f>
        <v>0</v>
      </c>
      <c r="H78" s="856">
        <f t="shared" ref="H78:N78" si="43">ROUNDDOWN(H61*H77*$D78,0)</f>
        <v>0</v>
      </c>
      <c r="I78" s="856">
        <f t="shared" si="43"/>
        <v>0</v>
      </c>
      <c r="J78" s="856">
        <f t="shared" si="43"/>
        <v>0</v>
      </c>
      <c r="K78" s="856">
        <f>ROUNDDOWN(K61*K77*$D78,0)</f>
        <v>0</v>
      </c>
      <c r="L78" s="856">
        <f t="shared" si="43"/>
        <v>0</v>
      </c>
      <c r="M78" s="856">
        <f t="shared" si="43"/>
        <v>0</v>
      </c>
      <c r="N78" s="857">
        <f t="shared" si="43"/>
        <v>0</v>
      </c>
    </row>
    <row r="79" spans="1:14" s="810" customFormat="1" ht="14.25" customHeight="1">
      <c r="A79" s="2657"/>
      <c r="B79" s="2659"/>
      <c r="C79" s="2342" t="s">
        <v>3983</v>
      </c>
      <c r="D79" s="2237"/>
      <c r="E79" s="2235" t="s">
        <v>4011</v>
      </c>
      <c r="F79" s="2238" t="s">
        <v>4019</v>
      </c>
      <c r="G79" s="2239">
        <f>IF(G62=0,0,G192/100)</f>
        <v>3.2400000000000005E-2</v>
      </c>
      <c r="H79" s="2239">
        <f t="shared" ref="H79:N79" si="44">IF(H62=0,0,H192/100)</f>
        <v>2.8999999999999998E-2</v>
      </c>
      <c r="I79" s="2239">
        <f t="shared" si="44"/>
        <v>3.2400000000000005E-2</v>
      </c>
      <c r="J79" s="2239">
        <f t="shared" si="44"/>
        <v>3.2400000000000005E-2</v>
      </c>
      <c r="K79" s="2239">
        <f t="shared" si="44"/>
        <v>3.2400000000000005E-2</v>
      </c>
      <c r="L79" s="2239">
        <f t="shared" si="44"/>
        <v>0</v>
      </c>
      <c r="M79" s="2239">
        <f t="shared" si="44"/>
        <v>0</v>
      </c>
      <c r="N79" s="2240">
        <f t="shared" si="44"/>
        <v>0</v>
      </c>
    </row>
    <row r="80" spans="1:14" s="810" customFormat="1" ht="14.25" customHeight="1">
      <c r="A80" s="2657"/>
      <c r="B80" s="2659"/>
      <c r="C80" s="853"/>
      <c r="D80" s="863">
        <f t="shared" ref="D80:D85" si="45">+D62</f>
        <v>1</v>
      </c>
      <c r="E80" s="2235" t="s">
        <v>4011</v>
      </c>
      <c r="F80" s="2222">
        <f>SUM(G80:N80)</f>
        <v>5116719</v>
      </c>
      <c r="G80" s="856">
        <f>ROUNDDOWN(G62*G79*$D80,0)</f>
        <v>835691</v>
      </c>
      <c r="H80" s="856">
        <f t="shared" ref="H80:N80" si="46">ROUNDDOWN(H62*H79*$D80,0)</f>
        <v>624799</v>
      </c>
      <c r="I80" s="856">
        <f t="shared" si="46"/>
        <v>55497</v>
      </c>
      <c r="J80" s="856">
        <f t="shared" si="46"/>
        <v>3296436</v>
      </c>
      <c r="K80" s="856">
        <f>ROUNDDOWN(K62*K79*$D80,0)</f>
        <v>304296</v>
      </c>
      <c r="L80" s="856">
        <f t="shared" si="46"/>
        <v>0</v>
      </c>
      <c r="M80" s="856">
        <f t="shared" si="46"/>
        <v>0</v>
      </c>
      <c r="N80" s="857">
        <f t="shared" si="46"/>
        <v>0</v>
      </c>
    </row>
    <row r="81" spans="1:14" s="810" customFormat="1" ht="14.25" customHeight="1">
      <c r="A81" s="2657"/>
      <c r="B81" s="2659"/>
      <c r="C81" s="2219" t="s">
        <v>4020</v>
      </c>
      <c r="D81" s="2241">
        <v>0.9</v>
      </c>
      <c r="E81" s="2235" t="s">
        <v>4011</v>
      </c>
      <c r="F81" s="2222">
        <f>SUM(G81:N81)</f>
        <v>0</v>
      </c>
      <c r="G81" s="856">
        <f>ROUNDDOWN(G63*G77*$D81,0)</f>
        <v>0</v>
      </c>
      <c r="H81" s="856">
        <f t="shared" ref="H81:N81" si="47">ROUNDDOWN(H63*H77*$D81,0)</f>
        <v>0</v>
      </c>
      <c r="I81" s="856">
        <f t="shared" si="47"/>
        <v>0</v>
      </c>
      <c r="J81" s="856">
        <f t="shared" si="47"/>
        <v>0</v>
      </c>
      <c r="K81" s="856">
        <f>ROUNDDOWN(K63*K77*$D81,0)</f>
        <v>0</v>
      </c>
      <c r="L81" s="856">
        <f t="shared" si="47"/>
        <v>0</v>
      </c>
      <c r="M81" s="856">
        <f t="shared" si="47"/>
        <v>0</v>
      </c>
      <c r="N81" s="857">
        <f t="shared" si="47"/>
        <v>0</v>
      </c>
    </row>
    <row r="82" spans="1:14" s="810" customFormat="1" ht="14.25" customHeight="1">
      <c r="A82" s="2657"/>
      <c r="B82" s="2659"/>
      <c r="C82" s="2219" t="s">
        <v>4021</v>
      </c>
      <c r="D82" s="2241">
        <v>0.9</v>
      </c>
      <c r="E82" s="2235" t="s">
        <v>4011</v>
      </c>
      <c r="F82" s="2222">
        <f>SUM(G82:N82)</f>
        <v>0</v>
      </c>
      <c r="G82" s="856">
        <f>ROUNDDOWN(G64*G79*$D82,0)</f>
        <v>0</v>
      </c>
      <c r="H82" s="856">
        <f t="shared" ref="H82:N82" si="48">ROUNDDOWN(H64*H79*$D82,0)</f>
        <v>0</v>
      </c>
      <c r="I82" s="856">
        <f t="shared" si="48"/>
        <v>0</v>
      </c>
      <c r="J82" s="856">
        <f t="shared" si="48"/>
        <v>0</v>
      </c>
      <c r="K82" s="856">
        <f>ROUNDDOWN(K64*K79*$D82,0)</f>
        <v>0</v>
      </c>
      <c r="L82" s="856">
        <f t="shared" si="48"/>
        <v>0</v>
      </c>
      <c r="M82" s="856">
        <f t="shared" si="48"/>
        <v>0</v>
      </c>
      <c r="N82" s="857">
        <f t="shared" si="48"/>
        <v>0</v>
      </c>
    </row>
    <row r="83" spans="1:14" s="810" customFormat="1" ht="14.25" customHeight="1">
      <c r="A83" s="2657"/>
      <c r="B83" s="2659" t="s">
        <v>3986</v>
      </c>
      <c r="C83" s="2225" t="s">
        <v>4014</v>
      </c>
      <c r="D83" s="2241">
        <f>+D65</f>
        <v>1</v>
      </c>
      <c r="E83" s="2226">
        <f>+E65</f>
        <v>0.01</v>
      </c>
      <c r="F83" s="2222">
        <f>IF('東梅田　諸'!$C$2="共通費集計表",ROUNDDOWN(D83*E83*F65,0),#REF!)</f>
        <v>0</v>
      </c>
      <c r="G83" s="856">
        <f t="shared" ref="G83:N92" si="49">ROUNDDOWN(G65*$E83*$D83,0)</f>
        <v>0</v>
      </c>
      <c r="H83" s="856">
        <f t="shared" si="49"/>
        <v>0</v>
      </c>
      <c r="I83" s="856">
        <f t="shared" si="49"/>
        <v>0</v>
      </c>
      <c r="J83" s="856">
        <f t="shared" si="49"/>
        <v>0</v>
      </c>
      <c r="K83" s="856">
        <f t="shared" si="49"/>
        <v>0</v>
      </c>
      <c r="L83" s="856">
        <f t="shared" si="49"/>
        <v>0</v>
      </c>
      <c r="M83" s="856">
        <f t="shared" si="49"/>
        <v>0</v>
      </c>
      <c r="N83" s="857">
        <f t="shared" si="49"/>
        <v>0</v>
      </c>
    </row>
    <row r="84" spans="1:14" s="810" customFormat="1" ht="14.25" customHeight="1">
      <c r="A84" s="2657"/>
      <c r="B84" s="2659"/>
      <c r="C84" s="2225" t="s">
        <v>4022</v>
      </c>
      <c r="D84" s="2241">
        <f t="shared" si="45"/>
        <v>1</v>
      </c>
      <c r="E84" s="2226">
        <f>+E66</f>
        <v>0.01</v>
      </c>
      <c r="F84" s="2222">
        <f>IF('東梅田　諸'!$C$2="共通費集計表",ROUNDDOWN(D84*E84*F66,0),#REF!)</f>
        <v>0</v>
      </c>
      <c r="G84" s="856">
        <f t="shared" si="49"/>
        <v>0</v>
      </c>
      <c r="H84" s="856">
        <f t="shared" si="49"/>
        <v>0</v>
      </c>
      <c r="I84" s="856">
        <f t="shared" si="49"/>
        <v>0</v>
      </c>
      <c r="J84" s="856">
        <f t="shared" si="49"/>
        <v>0</v>
      </c>
      <c r="K84" s="856">
        <f t="shared" si="49"/>
        <v>0</v>
      </c>
      <c r="L84" s="856">
        <f t="shared" si="49"/>
        <v>0</v>
      </c>
      <c r="M84" s="856">
        <f t="shared" si="49"/>
        <v>0</v>
      </c>
      <c r="N84" s="857">
        <f t="shared" si="49"/>
        <v>0</v>
      </c>
    </row>
    <row r="85" spans="1:14" s="810" customFormat="1" ht="14.25" customHeight="1">
      <c r="A85" s="2657"/>
      <c r="B85" s="2659"/>
      <c r="C85" s="2225" t="s">
        <v>3989</v>
      </c>
      <c r="D85" s="2241">
        <f t="shared" si="45"/>
        <v>1</v>
      </c>
      <c r="E85" s="2226">
        <f>+E67</f>
        <v>0.01</v>
      </c>
      <c r="F85" s="2222">
        <f>IF('東梅田　諸'!$C$2="共通費集計表",ROUNDDOWN(D85*E85*F67,0),#REF!)</f>
        <v>51717</v>
      </c>
      <c r="G85" s="856">
        <f t="shared" si="49"/>
        <v>33472</v>
      </c>
      <c r="H85" s="856">
        <f t="shared" si="49"/>
        <v>0</v>
      </c>
      <c r="I85" s="856">
        <f t="shared" si="49"/>
        <v>3380</v>
      </c>
      <c r="J85" s="856">
        <f t="shared" si="49"/>
        <v>10868</v>
      </c>
      <c r="K85" s="856">
        <f t="shared" si="49"/>
        <v>3997</v>
      </c>
      <c r="L85" s="856">
        <f t="shared" si="49"/>
        <v>0</v>
      </c>
      <c r="M85" s="856">
        <f t="shared" si="49"/>
        <v>0</v>
      </c>
      <c r="N85" s="857">
        <f t="shared" si="49"/>
        <v>0</v>
      </c>
    </row>
    <row r="86" spans="1:14" s="810" customFormat="1" ht="14.25" customHeight="1">
      <c r="A86" s="2657"/>
      <c r="B86" s="2659"/>
      <c r="C86" s="2225" t="s">
        <v>4023</v>
      </c>
      <c r="D86" s="2241"/>
      <c r="E86" s="2226"/>
      <c r="F86" s="2222"/>
      <c r="G86" s="856"/>
      <c r="H86" s="856"/>
      <c r="I86" s="856"/>
      <c r="J86" s="856"/>
      <c r="K86" s="856"/>
      <c r="L86" s="856"/>
      <c r="M86" s="856"/>
      <c r="N86" s="857"/>
    </row>
    <row r="87" spans="1:14" s="810" customFormat="1" ht="14.25" customHeight="1">
      <c r="A87" s="2657"/>
      <c r="B87" s="2659"/>
      <c r="C87" s="2242" t="s">
        <v>3991</v>
      </c>
      <c r="D87" s="2241"/>
      <c r="E87" s="2226"/>
      <c r="F87" s="2222"/>
      <c r="G87" s="856"/>
      <c r="H87" s="856"/>
      <c r="I87" s="856"/>
      <c r="J87" s="856"/>
      <c r="K87" s="856"/>
      <c r="L87" s="856"/>
      <c r="M87" s="856"/>
      <c r="N87" s="857"/>
    </row>
    <row r="88" spans="1:14" s="810" customFormat="1" ht="14.25" customHeight="1">
      <c r="A88" s="2657"/>
      <c r="B88" s="2659"/>
      <c r="C88" s="2225" t="s">
        <v>3992</v>
      </c>
      <c r="D88" s="2241">
        <f t="shared" ref="D88:E92" si="50">+D70</f>
        <v>1</v>
      </c>
      <c r="E88" s="2226">
        <f t="shared" si="50"/>
        <v>0.01</v>
      </c>
      <c r="F88" s="2222">
        <f>IF('東梅田　諸'!$C$2="共通費集計表",ROUNDDOWN(D88*E88*F70,0),#REF!)</f>
        <v>0</v>
      </c>
      <c r="G88" s="856">
        <f t="shared" si="49"/>
        <v>0</v>
      </c>
      <c r="H88" s="856">
        <f t="shared" si="49"/>
        <v>0</v>
      </c>
      <c r="I88" s="856">
        <f t="shared" si="49"/>
        <v>0</v>
      </c>
      <c r="J88" s="856">
        <f t="shared" si="49"/>
        <v>0</v>
      </c>
      <c r="K88" s="856">
        <f t="shared" si="49"/>
        <v>0</v>
      </c>
      <c r="L88" s="856">
        <f t="shared" si="49"/>
        <v>0</v>
      </c>
      <c r="M88" s="856">
        <f t="shared" si="49"/>
        <v>0</v>
      </c>
      <c r="N88" s="857">
        <f t="shared" si="49"/>
        <v>0</v>
      </c>
    </row>
    <row r="89" spans="1:14" s="810" customFormat="1" ht="14.25" customHeight="1">
      <c r="A89" s="2657"/>
      <c r="B89" s="2659"/>
      <c r="C89" s="2227" t="s">
        <v>4024</v>
      </c>
      <c r="D89" s="2241">
        <f t="shared" si="50"/>
        <v>1</v>
      </c>
      <c r="E89" s="2226">
        <f t="shared" si="50"/>
        <v>0.01</v>
      </c>
      <c r="F89" s="2222">
        <f>IF('東梅田　諸'!$C$2="共通費集計表",ROUNDDOWN(D89*E89*F71,0),#REF!)</f>
        <v>0</v>
      </c>
      <c r="G89" s="856">
        <f t="shared" si="49"/>
        <v>0</v>
      </c>
      <c r="H89" s="856">
        <f t="shared" si="49"/>
        <v>0</v>
      </c>
      <c r="I89" s="856">
        <f t="shared" si="49"/>
        <v>0</v>
      </c>
      <c r="J89" s="856">
        <f t="shared" si="49"/>
        <v>0</v>
      </c>
      <c r="K89" s="856">
        <f t="shared" si="49"/>
        <v>0</v>
      </c>
      <c r="L89" s="856">
        <f t="shared" si="49"/>
        <v>0</v>
      </c>
      <c r="M89" s="856">
        <f t="shared" si="49"/>
        <v>0</v>
      </c>
      <c r="N89" s="856">
        <f t="shared" si="49"/>
        <v>0</v>
      </c>
    </row>
    <row r="90" spans="1:14" s="810" customFormat="1" ht="14.25" customHeight="1">
      <c r="A90" s="2657"/>
      <c r="B90" s="2659"/>
      <c r="C90" s="2227" t="s">
        <v>4025</v>
      </c>
      <c r="D90" s="2241">
        <f t="shared" si="50"/>
        <v>1</v>
      </c>
      <c r="E90" s="2226">
        <f t="shared" si="50"/>
        <v>0.01</v>
      </c>
      <c r="F90" s="2222">
        <f>IF('東梅田　諸'!$C$2="共通費集計表",ROUNDDOWN(D90*E90*F72,0),#REF!)</f>
        <v>0</v>
      </c>
      <c r="G90" s="856">
        <f t="shared" si="49"/>
        <v>0</v>
      </c>
      <c r="H90" s="856">
        <f t="shared" si="49"/>
        <v>0</v>
      </c>
      <c r="I90" s="856">
        <f t="shared" si="49"/>
        <v>0</v>
      </c>
      <c r="J90" s="856">
        <f t="shared" si="49"/>
        <v>0</v>
      </c>
      <c r="K90" s="856">
        <f t="shared" si="49"/>
        <v>0</v>
      </c>
      <c r="L90" s="856">
        <f t="shared" si="49"/>
        <v>0</v>
      </c>
      <c r="M90" s="856">
        <f t="shared" si="49"/>
        <v>0</v>
      </c>
      <c r="N90" s="856">
        <f t="shared" si="49"/>
        <v>0</v>
      </c>
    </row>
    <row r="91" spans="1:14" s="810" customFormat="1" ht="14.25" customHeight="1">
      <c r="A91" s="2657"/>
      <c r="B91" s="2659"/>
      <c r="C91" s="2225" t="s">
        <v>3995</v>
      </c>
      <c r="D91" s="2241">
        <f t="shared" si="50"/>
        <v>1</v>
      </c>
      <c r="E91" s="2226">
        <f t="shared" si="50"/>
        <v>0.01</v>
      </c>
      <c r="F91" s="2222">
        <f>IF('東梅田　諸'!$C$2="共通費集計表",ROUNDDOWN(D91*E91*F73,0),#REF!)</f>
        <v>0</v>
      </c>
      <c r="G91" s="856">
        <f t="shared" si="49"/>
        <v>0</v>
      </c>
      <c r="H91" s="856">
        <f t="shared" si="49"/>
        <v>0</v>
      </c>
      <c r="I91" s="856">
        <f t="shared" si="49"/>
        <v>0</v>
      </c>
      <c r="J91" s="856">
        <f t="shared" si="49"/>
        <v>0</v>
      </c>
      <c r="K91" s="856">
        <f t="shared" si="49"/>
        <v>0</v>
      </c>
      <c r="L91" s="856">
        <f t="shared" si="49"/>
        <v>0</v>
      </c>
      <c r="M91" s="856">
        <f t="shared" si="49"/>
        <v>0</v>
      </c>
      <c r="N91" s="856">
        <f t="shared" si="49"/>
        <v>0</v>
      </c>
    </row>
    <row r="92" spans="1:14" s="810" customFormat="1" ht="14.25" customHeight="1" thickBot="1">
      <c r="A92" s="2663"/>
      <c r="B92" s="866" t="s">
        <v>4016</v>
      </c>
      <c r="C92" s="2243" t="s">
        <v>4026</v>
      </c>
      <c r="D92" s="868">
        <f t="shared" si="50"/>
        <v>1</v>
      </c>
      <c r="E92" s="869">
        <f t="shared" si="50"/>
        <v>0</v>
      </c>
      <c r="F92" s="870">
        <f>ROUNDDOWN(D92*E92*F74,0)</f>
        <v>0</v>
      </c>
      <c r="G92" s="856">
        <f>ROUNDDOWN(G74*$E92*$D92,0)</f>
        <v>0</v>
      </c>
      <c r="H92" s="856">
        <f>ROUNDDOWN(H74*$E92*$D92,0)</f>
        <v>0</v>
      </c>
      <c r="I92" s="856">
        <f t="shared" si="49"/>
        <v>0</v>
      </c>
      <c r="J92" s="856">
        <f t="shared" si="49"/>
        <v>0</v>
      </c>
      <c r="K92" s="856">
        <f t="shared" si="49"/>
        <v>0</v>
      </c>
      <c r="L92" s="856">
        <f t="shared" si="49"/>
        <v>0</v>
      </c>
      <c r="M92" s="856">
        <f t="shared" si="49"/>
        <v>0</v>
      </c>
      <c r="N92" s="856">
        <f t="shared" si="49"/>
        <v>0</v>
      </c>
    </row>
    <row r="93" spans="1:14" s="810" customFormat="1" ht="14.25" customHeight="1" thickTop="1">
      <c r="A93" s="871"/>
      <c r="B93" s="872"/>
      <c r="C93" s="873" t="s">
        <v>4027</v>
      </c>
      <c r="D93" s="874"/>
      <c r="E93" s="875"/>
      <c r="F93" s="876">
        <f>SUM(G93:N93)</f>
        <v>5168436</v>
      </c>
      <c r="G93" s="877">
        <f>SUM(G80:G92)+G78</f>
        <v>869163</v>
      </c>
      <c r="H93" s="877">
        <f t="shared" ref="H93:N93" si="51">SUM(H80:H92)+H78</f>
        <v>624799</v>
      </c>
      <c r="I93" s="877">
        <f t="shared" si="51"/>
        <v>58877</v>
      </c>
      <c r="J93" s="877">
        <f t="shared" si="51"/>
        <v>3307304</v>
      </c>
      <c r="K93" s="877">
        <f>SUM(K80:K92)+K78</f>
        <v>308293</v>
      </c>
      <c r="L93" s="877">
        <f t="shared" si="51"/>
        <v>0</v>
      </c>
      <c r="M93" s="877">
        <f t="shared" si="51"/>
        <v>0</v>
      </c>
      <c r="N93" s="878">
        <f t="shared" si="51"/>
        <v>0</v>
      </c>
    </row>
    <row r="94" spans="1:14" s="759" customFormat="1" ht="14.25" customHeight="1">
      <c r="A94" s="754"/>
      <c r="B94" s="754"/>
      <c r="C94" s="762"/>
      <c r="D94" s="762"/>
      <c r="E94" s="754"/>
      <c r="F94" s="879"/>
      <c r="G94" s="880"/>
      <c r="H94" s="880"/>
      <c r="I94" s="880"/>
      <c r="J94" s="880"/>
      <c r="K94" s="880"/>
      <c r="L94" s="880"/>
      <c r="M94" s="880"/>
      <c r="N94" s="880"/>
    </row>
    <row r="95" spans="1:14" s="759" customFormat="1" ht="14.25" customHeight="1">
      <c r="A95" s="754"/>
      <c r="B95" s="754"/>
      <c r="C95" s="881" t="s">
        <v>4028</v>
      </c>
      <c r="D95" s="881"/>
      <c r="E95" s="882"/>
      <c r="F95" s="646"/>
      <c r="G95" s="651"/>
      <c r="H95" s="651"/>
      <c r="I95" s="651"/>
      <c r="J95" s="651"/>
      <c r="K95" s="651"/>
      <c r="L95" s="651"/>
      <c r="M95" s="651"/>
      <c r="N95" s="653" t="s">
        <v>4029</v>
      </c>
    </row>
    <row r="96" spans="1:14" s="759" customFormat="1" ht="14.25" customHeight="1">
      <c r="A96" s="754"/>
      <c r="B96" s="754"/>
      <c r="C96" s="883" t="s">
        <v>4030</v>
      </c>
      <c r="D96" s="883"/>
      <c r="E96" s="882"/>
      <c r="F96" s="646"/>
      <c r="G96" s="651"/>
      <c r="H96" s="651"/>
      <c r="I96" s="651"/>
      <c r="J96" s="651"/>
      <c r="K96" s="651"/>
      <c r="L96" s="651"/>
      <c r="M96" s="651"/>
      <c r="N96" s="653"/>
    </row>
    <row r="97" spans="1:14" s="759" customFormat="1" ht="14.25" customHeight="1">
      <c r="A97" s="884"/>
      <c r="B97" s="885"/>
      <c r="C97" s="885"/>
      <c r="D97" s="2673" t="s">
        <v>4007</v>
      </c>
      <c r="E97" s="2673" t="s">
        <v>4008</v>
      </c>
      <c r="F97" s="886" t="s">
        <v>3979</v>
      </c>
      <c r="G97" s="887" t="str">
        <f t="shared" ref="G97:N97" si="52">+G5</f>
        <v>工事1</v>
      </c>
      <c r="H97" s="887" t="str">
        <f t="shared" si="52"/>
        <v>工事2</v>
      </c>
      <c r="I97" s="887" t="str">
        <f t="shared" si="52"/>
        <v>工事3</v>
      </c>
      <c r="J97" s="887" t="str">
        <f t="shared" si="52"/>
        <v>工事4</v>
      </c>
      <c r="K97" s="887" t="str">
        <f>+K5</f>
        <v>工事5</v>
      </c>
      <c r="L97" s="887" t="str">
        <f t="shared" si="52"/>
        <v>工事6</v>
      </c>
      <c r="M97" s="887" t="str">
        <f t="shared" si="52"/>
        <v>工事7</v>
      </c>
      <c r="N97" s="888" t="str">
        <f t="shared" si="52"/>
        <v>工事8</v>
      </c>
    </row>
    <row r="98" spans="1:14" s="759" customFormat="1" ht="14.25" customHeight="1">
      <c r="A98" s="2675" t="s">
        <v>4031</v>
      </c>
      <c r="B98" s="2676"/>
      <c r="C98" s="2676"/>
      <c r="D98" s="2674"/>
      <c r="E98" s="2674"/>
      <c r="F98" s="889"/>
      <c r="G98" s="890"/>
      <c r="H98" s="890"/>
      <c r="I98" s="890"/>
      <c r="J98" s="890"/>
      <c r="K98" s="890"/>
      <c r="L98" s="890"/>
      <c r="M98" s="890"/>
      <c r="N98" s="891"/>
    </row>
    <row r="99" spans="1:14" s="759" customFormat="1" ht="14.25" customHeight="1">
      <c r="A99" s="2677"/>
      <c r="B99" s="892" t="s">
        <v>4032</v>
      </c>
      <c r="C99" s="893"/>
      <c r="D99" s="894"/>
      <c r="E99" s="895"/>
      <c r="F99" s="896">
        <f t="shared" ref="F99:F106" si="53">SUM(G99:N99)</f>
        <v>175542663</v>
      </c>
      <c r="G99" s="897">
        <f>+G10-G54-G53-G49-G50</f>
        <v>33350733</v>
      </c>
      <c r="H99" s="897">
        <f t="shared" ref="H99:N99" si="54">+H10-H54-H53-H49-H50</f>
        <v>22308051</v>
      </c>
      <c r="I99" s="898">
        <f t="shared" si="54"/>
        <v>2130068</v>
      </c>
      <c r="J99" s="898">
        <f t="shared" si="54"/>
        <v>107545648</v>
      </c>
      <c r="K99" s="898">
        <f>+K10-K54-K53-K49-K50</f>
        <v>10208163</v>
      </c>
      <c r="L99" s="898">
        <f t="shared" si="54"/>
        <v>0</v>
      </c>
      <c r="M99" s="898">
        <f t="shared" si="54"/>
        <v>0</v>
      </c>
      <c r="N99" s="899">
        <f t="shared" si="54"/>
        <v>0</v>
      </c>
    </row>
    <row r="100" spans="1:14" s="759" customFormat="1" ht="14.25" customHeight="1">
      <c r="A100" s="2678"/>
      <c r="B100" s="2680" t="s">
        <v>3981</v>
      </c>
      <c r="C100" s="2244" t="s">
        <v>3982</v>
      </c>
      <c r="D100" s="2245">
        <v>1</v>
      </c>
      <c r="E100" s="2246" t="s">
        <v>4011</v>
      </c>
      <c r="F100" s="2201">
        <f t="shared" si="53"/>
        <v>0</v>
      </c>
      <c r="G100" s="2208">
        <f>IF(G36&gt;G37,+G36+G78+G17-G18-G19-G54,G36+G78)</f>
        <v>0</v>
      </c>
      <c r="H100" s="2208">
        <f t="shared" ref="H100:N100" si="55">IF(H36&gt;H37,+H36+H78+H17-H18-H19-H54,H36+H78)</f>
        <v>0</v>
      </c>
      <c r="I100" s="2208">
        <f t="shared" si="55"/>
        <v>0</v>
      </c>
      <c r="J100" s="2208">
        <f t="shared" si="55"/>
        <v>0</v>
      </c>
      <c r="K100" s="2208">
        <f t="shared" si="55"/>
        <v>0</v>
      </c>
      <c r="L100" s="2208">
        <f t="shared" si="55"/>
        <v>0</v>
      </c>
      <c r="M100" s="2208">
        <f t="shared" si="55"/>
        <v>0</v>
      </c>
      <c r="N100" s="2209">
        <f t="shared" si="55"/>
        <v>0</v>
      </c>
    </row>
    <row r="101" spans="1:14" s="719" customFormat="1" ht="14.25" customHeight="1">
      <c r="A101" s="2678"/>
      <c r="B101" s="2680"/>
      <c r="C101" s="2247" t="s">
        <v>3983</v>
      </c>
      <c r="D101" s="2248">
        <v>1</v>
      </c>
      <c r="E101" s="2249" t="s">
        <v>4011</v>
      </c>
      <c r="F101" s="2201">
        <f t="shared" si="53"/>
        <v>170319246</v>
      </c>
      <c r="G101" s="2208">
        <f>IF(G36&gt;G37,+G37+G80,G37+G80+G17-G18-G19-G54)</f>
        <v>29970061</v>
      </c>
      <c r="H101" s="2208">
        <f t="shared" ref="H101:N101" si="56">IF(H36&gt;H37,+H37+H80,H37+H80+H17-H18-H19-H54)</f>
        <v>22308051</v>
      </c>
      <c r="I101" s="2208">
        <f t="shared" si="56"/>
        <v>1788688</v>
      </c>
      <c r="J101" s="2208">
        <f t="shared" si="56"/>
        <v>106447980</v>
      </c>
      <c r="K101" s="2208">
        <f t="shared" si="56"/>
        <v>9804466</v>
      </c>
      <c r="L101" s="2208">
        <f t="shared" si="56"/>
        <v>0</v>
      </c>
      <c r="M101" s="2208">
        <f t="shared" si="56"/>
        <v>0</v>
      </c>
      <c r="N101" s="2209">
        <f t="shared" si="56"/>
        <v>0</v>
      </c>
    </row>
    <row r="102" spans="1:14" s="759" customFormat="1" ht="14.25" customHeight="1">
      <c r="A102" s="2678"/>
      <c r="B102" s="2680"/>
      <c r="C102" s="2244" t="s">
        <v>4012</v>
      </c>
      <c r="D102" s="2245">
        <v>1</v>
      </c>
      <c r="E102" s="2246" t="s">
        <v>4011</v>
      </c>
      <c r="F102" s="2201">
        <f t="shared" si="53"/>
        <v>0</v>
      </c>
      <c r="G102" s="2208">
        <f>+G38+G81</f>
        <v>0</v>
      </c>
      <c r="H102" s="2208">
        <f t="shared" ref="H102:N106" si="57">+H38+H81</f>
        <v>0</v>
      </c>
      <c r="I102" s="2250">
        <f t="shared" si="57"/>
        <v>0</v>
      </c>
      <c r="J102" s="2250">
        <f t="shared" si="57"/>
        <v>0</v>
      </c>
      <c r="K102" s="2250">
        <f t="shared" si="57"/>
        <v>0</v>
      </c>
      <c r="L102" s="2250">
        <f t="shared" si="57"/>
        <v>0</v>
      </c>
      <c r="M102" s="2250">
        <f t="shared" si="57"/>
        <v>0</v>
      </c>
      <c r="N102" s="2251">
        <f t="shared" si="57"/>
        <v>0</v>
      </c>
    </row>
    <row r="103" spans="1:14" s="759" customFormat="1" ht="14.25" customHeight="1">
      <c r="A103" s="2678"/>
      <c r="B103" s="2680"/>
      <c r="C103" s="2244" t="s">
        <v>4013</v>
      </c>
      <c r="D103" s="2245">
        <v>1</v>
      </c>
      <c r="E103" s="2246" t="s">
        <v>4011</v>
      </c>
      <c r="F103" s="2201">
        <f t="shared" si="53"/>
        <v>0</v>
      </c>
      <c r="G103" s="2250">
        <f>+G39+G82</f>
        <v>0</v>
      </c>
      <c r="H103" s="2250">
        <f t="shared" si="57"/>
        <v>0</v>
      </c>
      <c r="I103" s="2250">
        <f t="shared" si="57"/>
        <v>0</v>
      </c>
      <c r="J103" s="2250">
        <f t="shared" si="57"/>
        <v>0</v>
      </c>
      <c r="K103" s="2250">
        <f t="shared" si="57"/>
        <v>0</v>
      </c>
      <c r="L103" s="2250">
        <f t="shared" si="57"/>
        <v>0</v>
      </c>
      <c r="M103" s="2250">
        <f t="shared" si="57"/>
        <v>0</v>
      </c>
      <c r="N103" s="2251">
        <f t="shared" si="57"/>
        <v>0</v>
      </c>
    </row>
    <row r="104" spans="1:14" s="759" customFormat="1" ht="14.25" customHeight="1">
      <c r="A104" s="2678"/>
      <c r="B104" s="2680" t="s">
        <v>3986</v>
      </c>
      <c r="C104" s="2252" t="s">
        <v>4014</v>
      </c>
      <c r="D104" s="2245">
        <v>1</v>
      </c>
      <c r="E104" s="2253">
        <v>0.02</v>
      </c>
      <c r="F104" s="2201">
        <f t="shared" si="53"/>
        <v>0</v>
      </c>
      <c r="G104" s="2250">
        <f>+G40+G83</f>
        <v>0</v>
      </c>
      <c r="H104" s="2250">
        <f t="shared" si="57"/>
        <v>0</v>
      </c>
      <c r="I104" s="2250">
        <f t="shared" si="57"/>
        <v>0</v>
      </c>
      <c r="J104" s="2250">
        <f t="shared" si="57"/>
        <v>0</v>
      </c>
      <c r="K104" s="2250">
        <f t="shared" si="57"/>
        <v>0</v>
      </c>
      <c r="L104" s="2250">
        <f t="shared" si="57"/>
        <v>0</v>
      </c>
      <c r="M104" s="2250">
        <f t="shared" si="57"/>
        <v>0</v>
      </c>
      <c r="N104" s="2251">
        <f t="shared" si="57"/>
        <v>0</v>
      </c>
    </row>
    <row r="105" spans="1:14" s="759" customFormat="1" ht="14.25" customHeight="1">
      <c r="A105" s="2678"/>
      <c r="B105" s="2680"/>
      <c r="C105" s="2252" t="s">
        <v>4015</v>
      </c>
      <c r="D105" s="2245">
        <v>1</v>
      </c>
      <c r="E105" s="2253">
        <v>0.02</v>
      </c>
      <c r="F105" s="2201">
        <f t="shared" si="53"/>
        <v>0</v>
      </c>
      <c r="G105" s="2250">
        <f>+G41+G84</f>
        <v>0</v>
      </c>
      <c r="H105" s="2250">
        <f t="shared" si="57"/>
        <v>0</v>
      </c>
      <c r="I105" s="2250">
        <f t="shared" si="57"/>
        <v>0</v>
      </c>
      <c r="J105" s="2250">
        <f t="shared" si="57"/>
        <v>0</v>
      </c>
      <c r="K105" s="2250">
        <f t="shared" si="57"/>
        <v>0</v>
      </c>
      <c r="L105" s="2250">
        <f t="shared" si="57"/>
        <v>0</v>
      </c>
      <c r="M105" s="2250">
        <f t="shared" si="57"/>
        <v>0</v>
      </c>
      <c r="N105" s="2251">
        <f t="shared" si="57"/>
        <v>0</v>
      </c>
    </row>
    <row r="106" spans="1:14" s="759" customFormat="1" ht="14.25" customHeight="1">
      <c r="A106" s="2678"/>
      <c r="B106" s="2680"/>
      <c r="C106" s="2252" t="s">
        <v>3989</v>
      </c>
      <c r="D106" s="2245">
        <v>1</v>
      </c>
      <c r="E106" s="2253">
        <v>0.02</v>
      </c>
      <c r="F106" s="2201">
        <f t="shared" si="53"/>
        <v>5223417</v>
      </c>
      <c r="G106" s="2250">
        <f>+G42+G85</f>
        <v>3380672</v>
      </c>
      <c r="H106" s="2250">
        <f t="shared" si="57"/>
        <v>0</v>
      </c>
      <c r="I106" s="2250">
        <f t="shared" si="57"/>
        <v>341380</v>
      </c>
      <c r="J106" s="2250">
        <f t="shared" si="57"/>
        <v>1097668</v>
      </c>
      <c r="K106" s="2250">
        <f t="shared" si="57"/>
        <v>403697</v>
      </c>
      <c r="L106" s="2250">
        <f t="shared" si="57"/>
        <v>0</v>
      </c>
      <c r="M106" s="2250">
        <f t="shared" si="57"/>
        <v>0</v>
      </c>
      <c r="N106" s="2251">
        <f t="shared" si="57"/>
        <v>0</v>
      </c>
    </row>
    <row r="107" spans="1:14" s="759" customFormat="1" ht="14.25" customHeight="1">
      <c r="A107" s="2678"/>
      <c r="B107" s="2680"/>
      <c r="C107" s="2252" t="s">
        <v>3990</v>
      </c>
      <c r="D107" s="2245"/>
      <c r="E107" s="2253"/>
      <c r="F107" s="2201"/>
      <c r="G107" s="2250"/>
      <c r="H107" s="2250"/>
      <c r="I107" s="2250"/>
      <c r="J107" s="2250"/>
      <c r="K107" s="2250"/>
      <c r="L107" s="2250"/>
      <c r="M107" s="2250"/>
      <c r="N107" s="2251"/>
    </row>
    <row r="108" spans="1:14" s="759" customFormat="1" ht="14.25" customHeight="1">
      <c r="A108" s="2678"/>
      <c r="B108" s="2680"/>
      <c r="C108" s="2252" t="s">
        <v>3991</v>
      </c>
      <c r="D108" s="2245"/>
      <c r="E108" s="2253"/>
      <c r="F108" s="2201"/>
      <c r="G108" s="2250"/>
      <c r="H108" s="2250"/>
      <c r="I108" s="2250"/>
      <c r="J108" s="2250"/>
      <c r="K108" s="2250"/>
      <c r="L108" s="2250"/>
      <c r="M108" s="2250"/>
      <c r="N108" s="2251"/>
    </row>
    <row r="109" spans="1:14" s="759" customFormat="1" ht="14.25" customHeight="1">
      <c r="A109" s="2678"/>
      <c r="B109" s="2680"/>
      <c r="C109" s="2252" t="s">
        <v>3992</v>
      </c>
      <c r="D109" s="2245">
        <v>1</v>
      </c>
      <c r="E109" s="2253">
        <v>0.02</v>
      </c>
      <c r="F109" s="2201">
        <f>SUM(G109:N109)</f>
        <v>0</v>
      </c>
      <c r="G109" s="2250">
        <f t="shared" ref="G109:N112" si="58">+G45+G88</f>
        <v>0</v>
      </c>
      <c r="H109" s="2250">
        <f t="shared" si="58"/>
        <v>0</v>
      </c>
      <c r="I109" s="2250">
        <f t="shared" si="58"/>
        <v>0</v>
      </c>
      <c r="J109" s="2250">
        <f t="shared" si="58"/>
        <v>0</v>
      </c>
      <c r="K109" s="2250">
        <f t="shared" si="58"/>
        <v>0</v>
      </c>
      <c r="L109" s="2250">
        <f t="shared" si="58"/>
        <v>0</v>
      </c>
      <c r="M109" s="2250">
        <f t="shared" si="58"/>
        <v>0</v>
      </c>
      <c r="N109" s="2251">
        <f t="shared" si="58"/>
        <v>0</v>
      </c>
    </row>
    <row r="110" spans="1:14" s="759" customFormat="1" ht="14.25" customHeight="1">
      <c r="A110" s="2678"/>
      <c r="B110" s="2680"/>
      <c r="C110" s="2254" t="s">
        <v>3993</v>
      </c>
      <c r="D110" s="2245">
        <v>1</v>
      </c>
      <c r="E110" s="2253">
        <v>0.02</v>
      </c>
      <c r="F110" s="2201">
        <f>SUM(G110:N110)</f>
        <v>0</v>
      </c>
      <c r="G110" s="2250">
        <f t="shared" si="58"/>
        <v>0</v>
      </c>
      <c r="H110" s="2250">
        <f t="shared" si="58"/>
        <v>0</v>
      </c>
      <c r="I110" s="2250">
        <f t="shared" si="58"/>
        <v>0</v>
      </c>
      <c r="J110" s="2250">
        <f t="shared" si="58"/>
        <v>0</v>
      </c>
      <c r="K110" s="2250">
        <f t="shared" si="58"/>
        <v>0</v>
      </c>
      <c r="L110" s="2250">
        <f t="shared" si="58"/>
        <v>0</v>
      </c>
      <c r="M110" s="2250">
        <f t="shared" si="58"/>
        <v>0</v>
      </c>
      <c r="N110" s="2251">
        <f t="shared" si="58"/>
        <v>0</v>
      </c>
    </row>
    <row r="111" spans="1:14" s="759" customFormat="1" ht="14.25" customHeight="1">
      <c r="A111" s="2678"/>
      <c r="B111" s="2680"/>
      <c r="C111" s="2254" t="s">
        <v>3994</v>
      </c>
      <c r="D111" s="2245">
        <v>1</v>
      </c>
      <c r="E111" s="2253">
        <v>0.02</v>
      </c>
      <c r="F111" s="2201">
        <f>SUM(G111:N111)</f>
        <v>0</v>
      </c>
      <c r="G111" s="2250">
        <f t="shared" si="58"/>
        <v>0</v>
      </c>
      <c r="H111" s="2250">
        <f t="shared" si="58"/>
        <v>0</v>
      </c>
      <c r="I111" s="2250">
        <f t="shared" si="58"/>
        <v>0</v>
      </c>
      <c r="J111" s="2250">
        <f t="shared" si="58"/>
        <v>0</v>
      </c>
      <c r="K111" s="2250">
        <f t="shared" si="58"/>
        <v>0</v>
      </c>
      <c r="L111" s="2250">
        <f t="shared" si="58"/>
        <v>0</v>
      </c>
      <c r="M111" s="2250">
        <f t="shared" si="58"/>
        <v>0</v>
      </c>
      <c r="N111" s="2251">
        <f t="shared" si="58"/>
        <v>0</v>
      </c>
    </row>
    <row r="112" spans="1:14" s="759" customFormat="1" ht="14.25" customHeight="1">
      <c r="A112" s="2678"/>
      <c r="B112" s="2680"/>
      <c r="C112" s="2252" t="s">
        <v>3995</v>
      </c>
      <c r="D112" s="2245">
        <v>1</v>
      </c>
      <c r="E112" s="2253">
        <v>0.02</v>
      </c>
      <c r="F112" s="2201">
        <f>SUM(G112:N112)</f>
        <v>0</v>
      </c>
      <c r="G112" s="2250">
        <f t="shared" si="58"/>
        <v>0</v>
      </c>
      <c r="H112" s="2250">
        <f t="shared" si="58"/>
        <v>0</v>
      </c>
      <c r="I112" s="2250">
        <f t="shared" si="58"/>
        <v>0</v>
      </c>
      <c r="J112" s="2250">
        <f t="shared" si="58"/>
        <v>0</v>
      </c>
      <c r="K112" s="2250">
        <f t="shared" si="58"/>
        <v>0</v>
      </c>
      <c r="L112" s="2250">
        <f t="shared" si="58"/>
        <v>0</v>
      </c>
      <c r="M112" s="2250">
        <f t="shared" si="58"/>
        <v>0</v>
      </c>
      <c r="N112" s="2251">
        <f t="shared" si="58"/>
        <v>0</v>
      </c>
    </row>
    <row r="113" spans="1:14" s="759" customFormat="1" ht="14.25" customHeight="1">
      <c r="A113" s="2679"/>
      <c r="B113" s="2255" t="s">
        <v>4016</v>
      </c>
      <c r="C113" s="2256" t="s">
        <v>4033</v>
      </c>
      <c r="D113" s="2257">
        <v>1</v>
      </c>
      <c r="E113" s="2258">
        <v>0</v>
      </c>
      <c r="F113" s="2259">
        <f>SUM(G113:N113)</f>
        <v>471415</v>
      </c>
      <c r="G113" s="2260">
        <f>SUM(G49:G55)</f>
        <v>75152</v>
      </c>
      <c r="H113" s="2260">
        <f t="shared" ref="H113:N113" si="59">SUM(H49:H55)</f>
        <v>10832</v>
      </c>
      <c r="I113" s="2260">
        <f t="shared" si="59"/>
        <v>1593</v>
      </c>
      <c r="J113" s="2260">
        <f t="shared" si="59"/>
        <v>383838</v>
      </c>
      <c r="K113" s="2260">
        <f>SUM(K49:K55)</f>
        <v>0</v>
      </c>
      <c r="L113" s="2260">
        <f t="shared" si="59"/>
        <v>0</v>
      </c>
      <c r="M113" s="2260">
        <f t="shared" si="59"/>
        <v>0</v>
      </c>
      <c r="N113" s="2261">
        <f t="shared" si="59"/>
        <v>0</v>
      </c>
    </row>
    <row r="114" spans="1:14" s="759" customFormat="1" ht="14.25" customHeight="1">
      <c r="A114" s="918"/>
      <c r="B114" s="919"/>
      <c r="C114" s="920"/>
      <c r="D114" s="2681"/>
      <c r="E114" s="2681"/>
      <c r="F114" s="896"/>
      <c r="G114" s="897"/>
      <c r="H114" s="897"/>
      <c r="I114" s="897"/>
      <c r="J114" s="897"/>
      <c r="K114" s="897"/>
      <c r="L114" s="897"/>
      <c r="M114" s="897"/>
      <c r="N114" s="921"/>
    </row>
    <row r="115" spans="1:14" s="759" customFormat="1" ht="14.25" customHeight="1">
      <c r="A115" s="2683" t="s">
        <v>4034</v>
      </c>
      <c r="B115" s="2683"/>
      <c r="C115" s="2675"/>
      <c r="D115" s="2682"/>
      <c r="E115" s="2682"/>
      <c r="F115" s="889"/>
      <c r="G115" s="890"/>
      <c r="H115" s="890"/>
      <c r="I115" s="890"/>
      <c r="J115" s="890"/>
      <c r="K115" s="890"/>
      <c r="L115" s="890"/>
      <c r="M115" s="890"/>
      <c r="N115" s="891"/>
    </row>
    <row r="116" spans="1:14" s="759" customFormat="1" ht="14.25" customHeight="1">
      <c r="A116" s="2677"/>
      <c r="B116" s="2684" t="s">
        <v>3981</v>
      </c>
      <c r="C116" s="922" t="s">
        <v>3982</v>
      </c>
      <c r="D116" s="923"/>
      <c r="E116" s="924" t="s">
        <v>4011</v>
      </c>
      <c r="F116" s="925" t="s">
        <v>4019</v>
      </c>
      <c r="G116" s="926">
        <f>IF(G100=0,0,+G200/100)</f>
        <v>0</v>
      </c>
      <c r="H116" s="926">
        <f t="shared" ref="H116:N116" si="60">IF(H100=0,0,+H200/100)</f>
        <v>0</v>
      </c>
      <c r="I116" s="926">
        <f t="shared" si="60"/>
        <v>0</v>
      </c>
      <c r="J116" s="926">
        <f t="shared" si="60"/>
        <v>0</v>
      </c>
      <c r="K116" s="926">
        <f>IF(K100=0,0,+K200/100)</f>
        <v>0</v>
      </c>
      <c r="L116" s="926">
        <f t="shared" si="60"/>
        <v>0</v>
      </c>
      <c r="M116" s="926">
        <f t="shared" si="60"/>
        <v>0</v>
      </c>
      <c r="N116" s="927">
        <f t="shared" si="60"/>
        <v>0</v>
      </c>
    </row>
    <row r="117" spans="1:14" s="759" customFormat="1" ht="14.25" customHeight="1">
      <c r="A117" s="2678"/>
      <c r="B117" s="2685"/>
      <c r="C117" s="928"/>
      <c r="D117" s="929">
        <f>+D100</f>
        <v>1</v>
      </c>
      <c r="E117" s="2262" t="s">
        <v>4011</v>
      </c>
      <c r="F117" s="2263">
        <f>SUM(G117:N117)</f>
        <v>0</v>
      </c>
      <c r="G117" s="748">
        <f>ROUNDDOWN(G100*G116*$D117,0)</f>
        <v>0</v>
      </c>
      <c r="H117" s="748">
        <f t="shared" ref="H117:N117" si="61">ROUNDDOWN(H100*H116*$D117,0)</f>
        <v>0</v>
      </c>
      <c r="I117" s="748">
        <f t="shared" si="61"/>
        <v>0</v>
      </c>
      <c r="J117" s="748">
        <f t="shared" si="61"/>
        <v>0</v>
      </c>
      <c r="K117" s="748">
        <f>ROUNDDOWN(K100*K116*$D117,0)</f>
        <v>0</v>
      </c>
      <c r="L117" s="748">
        <f t="shared" si="61"/>
        <v>0</v>
      </c>
      <c r="M117" s="748">
        <f t="shared" si="61"/>
        <v>0</v>
      </c>
      <c r="N117" s="932">
        <f t="shared" si="61"/>
        <v>0</v>
      </c>
    </row>
    <row r="118" spans="1:14" s="759" customFormat="1" ht="14.25" customHeight="1">
      <c r="A118" s="2678"/>
      <c r="B118" s="2680"/>
      <c r="C118" s="2343" t="s">
        <v>3983</v>
      </c>
      <c r="D118" s="2265"/>
      <c r="E118" s="2262" t="s">
        <v>4011</v>
      </c>
      <c r="F118" s="2266" t="s">
        <v>4019</v>
      </c>
      <c r="G118" s="2267">
        <f>IF(G101=0,0,+G208/100)</f>
        <v>0.1201</v>
      </c>
      <c r="H118" s="2268">
        <f t="shared" ref="H118:N118" si="62">IF(H101=0,0,+H208/100)</f>
        <v>0.1023</v>
      </c>
      <c r="I118" s="2268">
        <f t="shared" si="62"/>
        <v>0.1201</v>
      </c>
      <c r="J118" s="2268">
        <f t="shared" si="62"/>
        <v>0.1201</v>
      </c>
      <c r="K118" s="2268">
        <f>IF(K101=0,0,+K208/100)</f>
        <v>0.1201</v>
      </c>
      <c r="L118" s="2268">
        <f t="shared" si="62"/>
        <v>0</v>
      </c>
      <c r="M118" s="2268">
        <f t="shared" si="62"/>
        <v>0</v>
      </c>
      <c r="N118" s="2269">
        <f t="shared" si="62"/>
        <v>0</v>
      </c>
    </row>
    <row r="119" spans="1:14" s="759" customFormat="1" ht="14.25" customHeight="1">
      <c r="A119" s="2678"/>
      <c r="B119" s="2680"/>
      <c r="C119" s="928"/>
      <c r="D119" s="939">
        <f t="shared" ref="D119:D124" si="63">+D101</f>
        <v>1</v>
      </c>
      <c r="E119" s="2262" t="s">
        <v>4011</v>
      </c>
      <c r="F119" s="2263">
        <f t="shared" ref="F119:F124" si="64">SUM(G119:N119)</f>
        <v>20058256</v>
      </c>
      <c r="G119" s="748">
        <f>ROUNDDOWN(G101*G118*$D119,0)</f>
        <v>3599404</v>
      </c>
      <c r="H119" s="748">
        <f t="shared" ref="H119:N119" si="65">ROUNDDOWN(H101*H118*$D119,0)</f>
        <v>2282113</v>
      </c>
      <c r="I119" s="748">
        <f t="shared" si="65"/>
        <v>214821</v>
      </c>
      <c r="J119" s="748">
        <f t="shared" si="65"/>
        <v>12784402</v>
      </c>
      <c r="K119" s="748">
        <f>ROUNDDOWN(K101*K118*$D119,0)</f>
        <v>1177516</v>
      </c>
      <c r="L119" s="748">
        <f t="shared" si="65"/>
        <v>0</v>
      </c>
      <c r="M119" s="748">
        <f t="shared" si="65"/>
        <v>0</v>
      </c>
      <c r="N119" s="932">
        <f t="shared" si="65"/>
        <v>0</v>
      </c>
    </row>
    <row r="120" spans="1:14" s="759" customFormat="1" ht="14.25" customHeight="1">
      <c r="A120" s="2678"/>
      <c r="B120" s="2680"/>
      <c r="C120" s="2244" t="s">
        <v>4020</v>
      </c>
      <c r="D120" s="2270">
        <f t="shared" si="63"/>
        <v>1</v>
      </c>
      <c r="E120" s="2262" t="s">
        <v>4011</v>
      </c>
      <c r="F120" s="2263">
        <f t="shared" si="64"/>
        <v>0</v>
      </c>
      <c r="G120" s="748">
        <f t="shared" ref="G120:N120" si="66">ROUNDDOWN(G102*G116*$D120,0)</f>
        <v>0</v>
      </c>
      <c r="H120" s="748">
        <f t="shared" si="66"/>
        <v>0</v>
      </c>
      <c r="I120" s="748">
        <f t="shared" si="66"/>
        <v>0</v>
      </c>
      <c r="J120" s="748">
        <f t="shared" si="66"/>
        <v>0</v>
      </c>
      <c r="K120" s="748">
        <f>ROUNDDOWN(K102*K116*$D120,0)</f>
        <v>0</v>
      </c>
      <c r="L120" s="748">
        <f t="shared" si="66"/>
        <v>0</v>
      </c>
      <c r="M120" s="748">
        <f t="shared" si="66"/>
        <v>0</v>
      </c>
      <c r="N120" s="932">
        <f t="shared" si="66"/>
        <v>0</v>
      </c>
    </row>
    <row r="121" spans="1:14" s="759" customFormat="1" ht="14.25" customHeight="1">
      <c r="A121" s="2678"/>
      <c r="B121" s="2680"/>
      <c r="C121" s="2244" t="s">
        <v>4021</v>
      </c>
      <c r="D121" s="2270">
        <f t="shared" si="63"/>
        <v>1</v>
      </c>
      <c r="E121" s="2262" t="s">
        <v>4011</v>
      </c>
      <c r="F121" s="2263">
        <f t="shared" si="64"/>
        <v>0</v>
      </c>
      <c r="G121" s="748">
        <f>ROUNDDOWN(G103*G118*$D121,0)</f>
        <v>0</v>
      </c>
      <c r="H121" s="748">
        <f t="shared" ref="H121:N121" si="67">ROUNDDOWN(H103*H118*$D121,0)</f>
        <v>0</v>
      </c>
      <c r="I121" s="748">
        <f t="shared" si="67"/>
        <v>0</v>
      </c>
      <c r="J121" s="748">
        <f t="shared" si="67"/>
        <v>0</v>
      </c>
      <c r="K121" s="748">
        <f>ROUNDDOWN(K103*K118*$D121,0)</f>
        <v>0</v>
      </c>
      <c r="L121" s="748">
        <f t="shared" si="67"/>
        <v>0</v>
      </c>
      <c r="M121" s="748">
        <f t="shared" si="67"/>
        <v>0</v>
      </c>
      <c r="N121" s="932">
        <f t="shared" si="67"/>
        <v>0</v>
      </c>
    </row>
    <row r="122" spans="1:14" s="759" customFormat="1" ht="14.25" customHeight="1">
      <c r="A122" s="2678"/>
      <c r="B122" s="2680" t="s">
        <v>3986</v>
      </c>
      <c r="C122" s="2252" t="s">
        <v>4014</v>
      </c>
      <c r="D122" s="2270">
        <f t="shared" si="63"/>
        <v>1</v>
      </c>
      <c r="E122" s="2253">
        <f>+E104</f>
        <v>0.02</v>
      </c>
      <c r="F122" s="2263">
        <f t="shared" si="64"/>
        <v>0</v>
      </c>
      <c r="G122" s="748">
        <f t="shared" ref="G122:N124" si="68">ROUNDDOWN(G104*$E122*$D122,0)</f>
        <v>0</v>
      </c>
      <c r="H122" s="748">
        <f t="shared" si="68"/>
        <v>0</v>
      </c>
      <c r="I122" s="748">
        <f t="shared" si="68"/>
        <v>0</v>
      </c>
      <c r="J122" s="748">
        <f t="shared" si="68"/>
        <v>0</v>
      </c>
      <c r="K122" s="748">
        <f t="shared" si="68"/>
        <v>0</v>
      </c>
      <c r="L122" s="748">
        <f t="shared" si="68"/>
        <v>0</v>
      </c>
      <c r="M122" s="748">
        <f t="shared" si="68"/>
        <v>0</v>
      </c>
      <c r="N122" s="932">
        <f t="shared" si="68"/>
        <v>0</v>
      </c>
    </row>
    <row r="123" spans="1:14" s="759" customFormat="1" ht="14.25" customHeight="1">
      <c r="A123" s="2678"/>
      <c r="B123" s="2680"/>
      <c r="C123" s="2252" t="s">
        <v>4022</v>
      </c>
      <c r="D123" s="2270">
        <f t="shared" si="63"/>
        <v>1</v>
      </c>
      <c r="E123" s="2253">
        <f>+E105</f>
        <v>0.02</v>
      </c>
      <c r="F123" s="2263">
        <f t="shared" si="64"/>
        <v>0</v>
      </c>
      <c r="G123" s="748">
        <f t="shared" si="68"/>
        <v>0</v>
      </c>
      <c r="H123" s="748">
        <f t="shared" si="68"/>
        <v>0</v>
      </c>
      <c r="I123" s="748">
        <f t="shared" si="68"/>
        <v>0</v>
      </c>
      <c r="J123" s="748">
        <f t="shared" si="68"/>
        <v>0</v>
      </c>
      <c r="K123" s="748">
        <f>ROUNDDOWN(K105*$E123*$D123,0)</f>
        <v>0</v>
      </c>
      <c r="L123" s="748">
        <f t="shared" si="68"/>
        <v>0</v>
      </c>
      <c r="M123" s="748">
        <f t="shared" si="68"/>
        <v>0</v>
      </c>
      <c r="N123" s="932">
        <f t="shared" si="68"/>
        <v>0</v>
      </c>
    </row>
    <row r="124" spans="1:14" s="759" customFormat="1" ht="14.25" customHeight="1">
      <c r="A124" s="2678"/>
      <c r="B124" s="2680"/>
      <c r="C124" s="2252" t="s">
        <v>3989</v>
      </c>
      <c r="D124" s="2270">
        <f t="shared" si="63"/>
        <v>1</v>
      </c>
      <c r="E124" s="2253">
        <f>+E106</f>
        <v>0.02</v>
      </c>
      <c r="F124" s="2263">
        <f t="shared" si="64"/>
        <v>104466</v>
      </c>
      <c r="G124" s="748">
        <f>ROUNDDOWN(G106*$E124*$D124,0)</f>
        <v>67613</v>
      </c>
      <c r="H124" s="748">
        <f t="shared" si="68"/>
        <v>0</v>
      </c>
      <c r="I124" s="748">
        <f t="shared" si="68"/>
        <v>6827</v>
      </c>
      <c r="J124" s="748">
        <f t="shared" si="68"/>
        <v>21953</v>
      </c>
      <c r="K124" s="748">
        <f>ROUNDDOWN(K106*$E124*$D124,0)</f>
        <v>8073</v>
      </c>
      <c r="L124" s="748">
        <f t="shared" si="68"/>
        <v>0</v>
      </c>
      <c r="M124" s="748">
        <f t="shared" si="68"/>
        <v>0</v>
      </c>
      <c r="N124" s="932">
        <f t="shared" si="68"/>
        <v>0</v>
      </c>
    </row>
    <row r="125" spans="1:14" s="759" customFormat="1" ht="14.25" customHeight="1">
      <c r="A125" s="2678"/>
      <c r="B125" s="2680"/>
      <c r="C125" s="2252" t="s">
        <v>3990</v>
      </c>
      <c r="D125" s="2270"/>
      <c r="E125" s="2253"/>
      <c r="F125" s="2263"/>
      <c r="G125" s="748"/>
      <c r="H125" s="748"/>
      <c r="I125" s="748"/>
      <c r="J125" s="748"/>
      <c r="K125" s="748"/>
      <c r="L125" s="748"/>
      <c r="M125" s="748"/>
      <c r="N125" s="932"/>
    </row>
    <row r="126" spans="1:14" s="759" customFormat="1" ht="14.25" customHeight="1">
      <c r="A126" s="2678"/>
      <c r="B126" s="2680"/>
      <c r="C126" s="2271"/>
      <c r="D126" s="2270"/>
      <c r="E126" s="2253"/>
      <c r="F126" s="2263"/>
      <c r="G126" s="748"/>
      <c r="H126" s="748"/>
      <c r="I126" s="748"/>
      <c r="J126" s="748"/>
      <c r="K126" s="748"/>
      <c r="L126" s="748"/>
      <c r="M126" s="748"/>
      <c r="N126" s="932"/>
    </row>
    <row r="127" spans="1:14" s="759" customFormat="1" ht="14.25" customHeight="1">
      <c r="A127" s="2678"/>
      <c r="B127" s="2680"/>
      <c r="C127" s="2252" t="s">
        <v>3992</v>
      </c>
      <c r="D127" s="2270">
        <f t="shared" ref="D127:E130" si="69">+D109</f>
        <v>1</v>
      </c>
      <c r="E127" s="2253">
        <f t="shared" si="69"/>
        <v>0.02</v>
      </c>
      <c r="F127" s="2263">
        <f t="shared" ref="F127:F135" si="70">SUM(G127:N127)</f>
        <v>0</v>
      </c>
      <c r="G127" s="748">
        <f t="shared" ref="G127:N130" si="71">ROUNDDOWN(G109*$E127*$D127,0)</f>
        <v>0</v>
      </c>
      <c r="H127" s="748">
        <f t="shared" si="71"/>
        <v>0</v>
      </c>
      <c r="I127" s="748">
        <f t="shared" si="71"/>
        <v>0</v>
      </c>
      <c r="J127" s="748">
        <f t="shared" si="71"/>
        <v>0</v>
      </c>
      <c r="K127" s="748">
        <f>ROUNDDOWN(K109*$E127*$D127,0)</f>
        <v>0</v>
      </c>
      <c r="L127" s="748">
        <f t="shared" si="71"/>
        <v>0</v>
      </c>
      <c r="M127" s="748">
        <f t="shared" si="71"/>
        <v>0</v>
      </c>
      <c r="N127" s="932">
        <f t="shared" si="71"/>
        <v>0</v>
      </c>
    </row>
    <row r="128" spans="1:14" s="759" customFormat="1" ht="14.25" customHeight="1">
      <c r="A128" s="2678"/>
      <c r="B128" s="2680"/>
      <c r="C128" s="2254" t="s">
        <v>3993</v>
      </c>
      <c r="D128" s="2270">
        <f t="shared" si="69"/>
        <v>1</v>
      </c>
      <c r="E128" s="2253">
        <f t="shared" si="69"/>
        <v>0.02</v>
      </c>
      <c r="F128" s="2263">
        <f t="shared" si="70"/>
        <v>0</v>
      </c>
      <c r="G128" s="748">
        <f t="shared" si="71"/>
        <v>0</v>
      </c>
      <c r="H128" s="748">
        <f t="shared" si="71"/>
        <v>0</v>
      </c>
      <c r="I128" s="748">
        <f t="shared" si="71"/>
        <v>0</v>
      </c>
      <c r="J128" s="748">
        <f t="shared" si="71"/>
        <v>0</v>
      </c>
      <c r="K128" s="748">
        <f>ROUNDDOWN(K110*$E128*$D128,0)</f>
        <v>0</v>
      </c>
      <c r="L128" s="748">
        <f t="shared" si="71"/>
        <v>0</v>
      </c>
      <c r="M128" s="748">
        <f t="shared" si="71"/>
        <v>0</v>
      </c>
      <c r="N128" s="932">
        <f t="shared" si="71"/>
        <v>0</v>
      </c>
    </row>
    <row r="129" spans="1:14" s="759" customFormat="1" ht="14.25" customHeight="1">
      <c r="A129" s="2678"/>
      <c r="B129" s="2680"/>
      <c r="C129" s="2254" t="s">
        <v>3994</v>
      </c>
      <c r="D129" s="2270">
        <f t="shared" si="69"/>
        <v>1</v>
      </c>
      <c r="E129" s="2253">
        <f t="shared" si="69"/>
        <v>0.02</v>
      </c>
      <c r="F129" s="2263">
        <f t="shared" si="70"/>
        <v>0</v>
      </c>
      <c r="G129" s="748">
        <f t="shared" si="71"/>
        <v>0</v>
      </c>
      <c r="H129" s="748">
        <f t="shared" si="71"/>
        <v>0</v>
      </c>
      <c r="I129" s="748">
        <f t="shared" si="71"/>
        <v>0</v>
      </c>
      <c r="J129" s="748">
        <f t="shared" si="71"/>
        <v>0</v>
      </c>
      <c r="K129" s="748">
        <f>ROUNDDOWN(K111*$E129*$D129,0)</f>
        <v>0</v>
      </c>
      <c r="L129" s="748">
        <f t="shared" si="71"/>
        <v>0</v>
      </c>
      <c r="M129" s="748">
        <f t="shared" si="71"/>
        <v>0</v>
      </c>
      <c r="N129" s="932">
        <f t="shared" si="71"/>
        <v>0</v>
      </c>
    </row>
    <row r="130" spans="1:14" s="759" customFormat="1" ht="14.25" customHeight="1">
      <c r="A130" s="2678"/>
      <c r="B130" s="2680"/>
      <c r="C130" s="2252" t="s">
        <v>4035</v>
      </c>
      <c r="D130" s="2270">
        <f t="shared" si="69"/>
        <v>1</v>
      </c>
      <c r="E130" s="2253">
        <f t="shared" si="69"/>
        <v>0.02</v>
      </c>
      <c r="F130" s="2263">
        <f t="shared" si="70"/>
        <v>0</v>
      </c>
      <c r="G130" s="748">
        <f>ROUNDDOWN(G112*$E130*$D130,0)</f>
        <v>0</v>
      </c>
      <c r="H130" s="748">
        <f t="shared" si="71"/>
        <v>0</v>
      </c>
      <c r="I130" s="748">
        <f t="shared" si="71"/>
        <v>0</v>
      </c>
      <c r="J130" s="748">
        <f t="shared" si="71"/>
        <v>0</v>
      </c>
      <c r="K130" s="748">
        <f>ROUNDDOWN(K112*$E130*$D130,0)</f>
        <v>0</v>
      </c>
      <c r="L130" s="748">
        <f t="shared" si="71"/>
        <v>0</v>
      </c>
      <c r="M130" s="748">
        <f t="shared" si="71"/>
        <v>0</v>
      </c>
      <c r="N130" s="932">
        <f t="shared" si="71"/>
        <v>0</v>
      </c>
    </row>
    <row r="131" spans="1:14" s="759" customFormat="1" ht="14.25" customHeight="1">
      <c r="A131" s="2678"/>
      <c r="B131" s="2728" t="s">
        <v>4036</v>
      </c>
      <c r="C131" s="2272" t="s">
        <v>4037</v>
      </c>
      <c r="D131" s="2344"/>
      <c r="E131" s="2345"/>
      <c r="F131" s="2263">
        <f t="shared" si="70"/>
        <v>0</v>
      </c>
      <c r="G131" s="2214"/>
      <c r="H131" s="2214"/>
      <c r="I131" s="2214"/>
      <c r="J131" s="2214"/>
      <c r="K131" s="2214"/>
      <c r="L131" s="2214"/>
      <c r="M131" s="2214"/>
      <c r="N131" s="2215"/>
    </row>
    <row r="132" spans="1:14" s="759" customFormat="1" ht="14.25" customHeight="1">
      <c r="A132" s="2678"/>
      <c r="B132" s="2687"/>
      <c r="C132" s="2275" t="s">
        <v>4038</v>
      </c>
      <c r="D132" s="2344"/>
      <c r="E132" s="2345"/>
      <c r="F132" s="2263">
        <f t="shared" si="70"/>
        <v>0</v>
      </c>
      <c r="G132" s="2208"/>
      <c r="H132" s="2208"/>
      <c r="I132" s="2208"/>
      <c r="J132" s="2208"/>
      <c r="K132" s="2208"/>
      <c r="L132" s="2208"/>
      <c r="M132" s="2208"/>
      <c r="N132" s="2209"/>
    </row>
    <row r="133" spans="1:14" s="759" customFormat="1" ht="14.25" customHeight="1" thickBot="1">
      <c r="A133" s="2678"/>
      <c r="B133" s="2276" t="s">
        <v>4016</v>
      </c>
      <c r="C133" s="2256" t="s">
        <v>4033</v>
      </c>
      <c r="D133" s="2344">
        <f>+D113</f>
        <v>1</v>
      </c>
      <c r="E133" s="2345">
        <f>+E113</f>
        <v>0</v>
      </c>
      <c r="F133" s="2263">
        <f t="shared" si="70"/>
        <v>0</v>
      </c>
      <c r="G133" s="748">
        <f>ROUNDDOWN(G113*$E133*$D133,0)</f>
        <v>0</v>
      </c>
      <c r="H133" s="748">
        <f t="shared" ref="H133:N133" si="72">ROUNDDOWN(H113*$E133*$D133,0)</f>
        <v>0</v>
      </c>
      <c r="I133" s="748">
        <f t="shared" si="72"/>
        <v>0</v>
      </c>
      <c r="J133" s="748">
        <f t="shared" si="72"/>
        <v>0</v>
      </c>
      <c r="K133" s="748">
        <f>ROUNDDOWN(K113*$E133*$D133,0)</f>
        <v>0</v>
      </c>
      <c r="L133" s="748">
        <f t="shared" si="72"/>
        <v>0</v>
      </c>
      <c r="M133" s="748">
        <f t="shared" si="72"/>
        <v>0</v>
      </c>
      <c r="N133" s="947">
        <f t="shared" si="72"/>
        <v>0</v>
      </c>
    </row>
    <row r="134" spans="1:14" s="759" customFormat="1" ht="14.25" customHeight="1" thickTop="1">
      <c r="A134" s="948"/>
      <c r="B134" s="949"/>
      <c r="C134" s="950" t="s">
        <v>4039</v>
      </c>
      <c r="D134" s="951"/>
      <c r="E134" s="952"/>
      <c r="F134" s="953">
        <f t="shared" si="70"/>
        <v>20162722</v>
      </c>
      <c r="G134" s="954">
        <f t="shared" ref="G134:N134" si="73">SUM(G119:G133)+G117</f>
        <v>3667017</v>
      </c>
      <c r="H134" s="954">
        <f t="shared" si="73"/>
        <v>2282113</v>
      </c>
      <c r="I134" s="954">
        <f t="shared" si="73"/>
        <v>221648</v>
      </c>
      <c r="J134" s="954">
        <f t="shared" si="73"/>
        <v>12806355</v>
      </c>
      <c r="K134" s="954">
        <f t="shared" si="73"/>
        <v>1185589</v>
      </c>
      <c r="L134" s="954">
        <f t="shared" si="73"/>
        <v>0</v>
      </c>
      <c r="M134" s="954">
        <f t="shared" si="73"/>
        <v>0</v>
      </c>
      <c r="N134" s="955">
        <f t="shared" si="73"/>
        <v>0</v>
      </c>
    </row>
    <row r="135" spans="1:14" s="759" customFormat="1" ht="14.25" customHeight="1">
      <c r="A135" s="2277"/>
      <c r="B135" s="2278"/>
      <c r="C135" s="2279" t="s">
        <v>4040</v>
      </c>
      <c r="D135" s="2280"/>
      <c r="E135" s="2281"/>
      <c r="F135" s="2259">
        <f t="shared" si="70"/>
        <v>196176800</v>
      </c>
      <c r="G135" s="2260">
        <f>+G10+G134</f>
        <v>37092902</v>
      </c>
      <c r="H135" s="2260">
        <f>+H10+H134</f>
        <v>24600996</v>
      </c>
      <c r="I135" s="2260">
        <f t="shared" ref="I135:N135" si="74">+I10+I134</f>
        <v>2353309</v>
      </c>
      <c r="J135" s="2260">
        <f t="shared" si="74"/>
        <v>120735841</v>
      </c>
      <c r="K135" s="2260">
        <f>+K10+K134</f>
        <v>11393752</v>
      </c>
      <c r="L135" s="2260">
        <f t="shared" si="74"/>
        <v>0</v>
      </c>
      <c r="M135" s="2260">
        <f t="shared" si="74"/>
        <v>0</v>
      </c>
      <c r="N135" s="2261">
        <f t="shared" si="74"/>
        <v>0</v>
      </c>
    </row>
    <row r="136" spans="1:14" s="759" customFormat="1" ht="14.25" customHeight="1">
      <c r="A136" s="884"/>
      <c r="B136" s="885"/>
      <c r="C136" s="961" t="s">
        <v>4041</v>
      </c>
      <c r="D136" s="961"/>
      <c r="E136" s="962"/>
      <c r="F136" s="963"/>
      <c r="G136" s="964"/>
      <c r="H136" s="965"/>
      <c r="I136" s="965"/>
      <c r="J136" s="965"/>
      <c r="K136" s="965"/>
      <c r="L136" s="965"/>
      <c r="M136" s="965"/>
      <c r="N136" s="966" t="s">
        <v>4042</v>
      </c>
    </row>
    <row r="137" spans="1:14" s="759" customFormat="1" ht="14.25" customHeight="1">
      <c r="A137" s="753"/>
      <c r="B137" s="754"/>
      <c r="C137" s="754"/>
      <c r="D137" s="754"/>
      <c r="E137" s="754"/>
      <c r="F137" s="645"/>
      <c r="G137" s="651"/>
      <c r="H137" s="651"/>
      <c r="I137" s="651"/>
      <c r="J137" s="651"/>
      <c r="K137" s="651"/>
      <c r="L137" s="651"/>
      <c r="M137" s="651"/>
      <c r="N137" s="967"/>
    </row>
    <row r="138" spans="1:14" s="759" customFormat="1" ht="14.25" customHeight="1">
      <c r="A138" s="2666"/>
      <c r="B138" s="2667"/>
      <c r="C138" s="2667"/>
      <c r="D138" s="968"/>
      <c r="E138" s="969" t="s">
        <v>4043</v>
      </c>
      <c r="F138" s="886" t="s">
        <v>3979</v>
      </c>
      <c r="G138" s="887" t="str">
        <f>+G5</f>
        <v>工事1</v>
      </c>
      <c r="H138" s="887" t="str">
        <f t="shared" ref="H138:N138" si="75">+H5</f>
        <v>工事2</v>
      </c>
      <c r="I138" s="887" t="str">
        <f t="shared" si="75"/>
        <v>工事3</v>
      </c>
      <c r="J138" s="887" t="str">
        <f t="shared" si="75"/>
        <v>工事4</v>
      </c>
      <c r="K138" s="887" t="str">
        <f>+K5</f>
        <v>工事5</v>
      </c>
      <c r="L138" s="887" t="str">
        <f t="shared" si="75"/>
        <v>工事6</v>
      </c>
      <c r="M138" s="887" t="str">
        <f t="shared" si="75"/>
        <v>工事7</v>
      </c>
      <c r="N138" s="888" t="str">
        <f t="shared" si="75"/>
        <v>工事8</v>
      </c>
    </row>
    <row r="139" spans="1:14" s="759" customFormat="1" ht="14.25" customHeight="1" thickBot="1">
      <c r="A139" s="2668"/>
      <c r="B139" s="2669"/>
      <c r="C139" s="2669"/>
      <c r="D139" s="970"/>
      <c r="E139" s="971"/>
      <c r="F139" s="972"/>
      <c r="G139" s="973"/>
      <c r="H139" s="973"/>
      <c r="I139" s="973"/>
      <c r="J139" s="973"/>
      <c r="K139" s="973"/>
      <c r="L139" s="973"/>
      <c r="M139" s="973"/>
      <c r="N139" s="974"/>
    </row>
    <row r="140" spans="1:14" s="759" customFormat="1" ht="14.25" customHeight="1" thickBot="1">
      <c r="A140" s="975"/>
      <c r="B140" s="976"/>
      <c r="C140" s="977" t="s">
        <v>4044</v>
      </c>
      <c r="D140" s="978"/>
      <c r="E140" s="979"/>
      <c r="F140" s="980">
        <f>SUM(G140:N140)</f>
        <v>196176800</v>
      </c>
      <c r="G140" s="981">
        <f t="shared" ref="G140:N140" si="76">IF(G141="",+G135,0)</f>
        <v>37092902</v>
      </c>
      <c r="H140" s="981">
        <f t="shared" si="76"/>
        <v>24600996</v>
      </c>
      <c r="I140" s="981">
        <f t="shared" si="76"/>
        <v>2353309</v>
      </c>
      <c r="J140" s="981">
        <f t="shared" si="76"/>
        <v>120735841</v>
      </c>
      <c r="K140" s="981">
        <f t="shared" si="76"/>
        <v>11393752</v>
      </c>
      <c r="L140" s="981">
        <f t="shared" si="76"/>
        <v>0</v>
      </c>
      <c r="M140" s="981">
        <f t="shared" si="76"/>
        <v>0</v>
      </c>
      <c r="N140" s="982">
        <f t="shared" si="76"/>
        <v>0</v>
      </c>
    </row>
    <row r="141" spans="1:14" s="759" customFormat="1" ht="14.25" customHeight="1">
      <c r="A141" s="753"/>
      <c r="B141" s="754"/>
      <c r="C141" s="983" t="s">
        <v>4045</v>
      </c>
      <c r="D141" s="984"/>
      <c r="E141" s="985"/>
      <c r="F141" s="764">
        <f>SUM(G141:N141)</f>
        <v>0</v>
      </c>
      <c r="G141" s="764" t="str">
        <f>IF(G163="","",G135)</f>
        <v/>
      </c>
      <c r="H141" s="764" t="str">
        <f t="shared" ref="H141:N141" si="77">IF(H163="","",H135)</f>
        <v/>
      </c>
      <c r="I141" s="764" t="str">
        <f>IF(I163="","",I135)</f>
        <v/>
      </c>
      <c r="J141" s="764" t="str">
        <f t="shared" si="77"/>
        <v/>
      </c>
      <c r="K141" s="764" t="str">
        <f t="shared" si="77"/>
        <v/>
      </c>
      <c r="L141" s="764" t="str">
        <f t="shared" si="77"/>
        <v/>
      </c>
      <c r="M141" s="764" t="str">
        <f t="shared" si="77"/>
        <v/>
      </c>
      <c r="N141" s="764" t="str">
        <f t="shared" si="77"/>
        <v/>
      </c>
    </row>
    <row r="142" spans="1:14" s="759" customFormat="1" ht="14.25" customHeight="1">
      <c r="A142" s="2277"/>
      <c r="B142" s="2278"/>
      <c r="C142" s="2670" t="s">
        <v>4046</v>
      </c>
      <c r="D142" s="2671"/>
      <c r="E142" s="2672"/>
      <c r="F142" s="2259">
        <f>F140+F141-F150</f>
        <v>196176800</v>
      </c>
      <c r="G142" s="2260"/>
      <c r="H142" s="2260"/>
      <c r="I142" s="2260"/>
      <c r="J142" s="2260"/>
      <c r="K142" s="2260"/>
      <c r="L142" s="2260"/>
      <c r="M142" s="2260"/>
      <c r="N142" s="2261"/>
    </row>
    <row r="143" spans="1:14" s="759" customFormat="1" ht="14.25" customHeight="1">
      <c r="A143" s="884"/>
      <c r="B143" s="885"/>
      <c r="C143" s="885"/>
      <c r="D143" s="986"/>
      <c r="E143" s="664" t="str">
        <f>E5</f>
        <v>無し</v>
      </c>
      <c r="F143" s="2688" t="s">
        <v>4047</v>
      </c>
      <c r="G143" s="2688"/>
      <c r="H143" s="987"/>
      <c r="I143" s="987"/>
      <c r="J143" s="987"/>
      <c r="K143" s="987"/>
      <c r="L143" s="987"/>
      <c r="M143" s="987"/>
      <c r="N143" s="988"/>
    </row>
    <row r="144" spans="1:14" s="759" customFormat="1" ht="14.25" customHeight="1">
      <c r="A144" s="2689" t="s">
        <v>4048</v>
      </c>
      <c r="B144" s="2689"/>
      <c r="C144" s="2690"/>
      <c r="D144" s="989"/>
      <c r="E144" s="2282" t="str">
        <f>+E6</f>
        <v>有り</v>
      </c>
      <c r="F144" s="2691" t="s">
        <v>4049</v>
      </c>
      <c r="G144" s="2691"/>
      <c r="H144" s="2260"/>
      <c r="I144" s="2260"/>
      <c r="J144" s="2260"/>
      <c r="K144" s="2260"/>
      <c r="L144" s="2260"/>
      <c r="M144" s="2260"/>
      <c r="N144" s="2261"/>
    </row>
    <row r="145" spans="1:14" s="759" customFormat="1" ht="14.25" customHeight="1">
      <c r="A145" s="2694"/>
      <c r="B145" s="991" t="s">
        <v>4050</v>
      </c>
      <c r="C145" s="992" t="s">
        <v>4051</v>
      </c>
      <c r="D145" s="993">
        <v>1</v>
      </c>
      <c r="E145" s="994">
        <f>+G214/100</f>
        <v>0.12179999999999999</v>
      </c>
      <c r="F145" s="995">
        <f>SUM(G145:N145)</f>
        <v>196176800</v>
      </c>
      <c r="G145" s="987">
        <f>+G140-G150</f>
        <v>37092902</v>
      </c>
      <c r="H145" s="987">
        <f t="shared" ref="H145:N145" si="78">+H140-H150</f>
        <v>24600996</v>
      </c>
      <c r="I145" s="987">
        <f>+I140-I150</f>
        <v>2353309</v>
      </c>
      <c r="J145" s="987">
        <f t="shared" si="78"/>
        <v>120735841</v>
      </c>
      <c r="K145" s="987">
        <f t="shared" si="78"/>
        <v>11393752</v>
      </c>
      <c r="L145" s="987">
        <f t="shared" si="78"/>
        <v>0</v>
      </c>
      <c r="M145" s="987">
        <f t="shared" si="78"/>
        <v>0</v>
      </c>
      <c r="N145" s="988">
        <f t="shared" si="78"/>
        <v>0</v>
      </c>
    </row>
    <row r="146" spans="1:14" s="759" customFormat="1" ht="14.25" customHeight="1">
      <c r="A146" s="2695"/>
      <c r="B146" s="2693" t="s">
        <v>4052</v>
      </c>
      <c r="C146" s="2200" t="s">
        <v>4053</v>
      </c>
      <c r="D146" s="2270">
        <v>0.05</v>
      </c>
      <c r="E146" s="2253">
        <f>IF(E143="無し",E145,0)</f>
        <v>0.12179999999999999</v>
      </c>
      <c r="F146" s="2201">
        <f>SUM(G146:N146)</f>
        <v>196176800</v>
      </c>
      <c r="G146" s="2208">
        <f>IF(G163=0,+G145,0)</f>
        <v>37092902</v>
      </c>
      <c r="H146" s="2208">
        <f>IF(H163=0,+H145,0)</f>
        <v>24600996</v>
      </c>
      <c r="I146" s="2208">
        <f t="shared" ref="I146:N146" si="79">IF(I163=0,+I145,0)</f>
        <v>2353309</v>
      </c>
      <c r="J146" s="2208">
        <f t="shared" si="79"/>
        <v>120735841</v>
      </c>
      <c r="K146" s="2208">
        <f t="shared" si="79"/>
        <v>11393752</v>
      </c>
      <c r="L146" s="2208">
        <f t="shared" si="79"/>
        <v>0</v>
      </c>
      <c r="M146" s="2208">
        <f t="shared" si="79"/>
        <v>0</v>
      </c>
      <c r="N146" s="2209">
        <f t="shared" si="79"/>
        <v>0</v>
      </c>
    </row>
    <row r="147" spans="1:14" s="759" customFormat="1" ht="14.25" customHeight="1">
      <c r="A147" s="2695"/>
      <c r="B147" s="2693"/>
      <c r="C147" s="2200" t="s">
        <v>4054</v>
      </c>
      <c r="D147" s="2283">
        <v>1</v>
      </c>
      <c r="E147" s="2253">
        <f>IF(OR(E144="無し",E144="なし"),0,0.0004)</f>
        <v>4.0000000000000002E-4</v>
      </c>
      <c r="F147" s="2201">
        <f>SUM(G147:N147)</f>
        <v>196176800</v>
      </c>
      <c r="G147" s="2208">
        <f>IF(G163=0,+G145,0)</f>
        <v>37092902</v>
      </c>
      <c r="H147" s="2208">
        <f t="shared" ref="H147:N147" si="80">IF(H163=0,+H145,0)</f>
        <v>24600996</v>
      </c>
      <c r="I147" s="2208">
        <f t="shared" si="80"/>
        <v>2353309</v>
      </c>
      <c r="J147" s="2208">
        <f t="shared" si="80"/>
        <v>120735841</v>
      </c>
      <c r="K147" s="2208">
        <f t="shared" si="80"/>
        <v>11393752</v>
      </c>
      <c r="L147" s="2208">
        <f t="shared" si="80"/>
        <v>0</v>
      </c>
      <c r="M147" s="2208">
        <f t="shared" si="80"/>
        <v>0</v>
      </c>
      <c r="N147" s="2209">
        <f t="shared" si="80"/>
        <v>0</v>
      </c>
    </row>
    <row r="148" spans="1:14" s="759" customFormat="1" ht="14.25" customHeight="1">
      <c r="A148" s="2695"/>
      <c r="B148" s="2168"/>
      <c r="C148" s="2200"/>
      <c r="D148" s="2284"/>
      <c r="E148" s="2284"/>
      <c r="F148" s="2201"/>
      <c r="G148" s="2208"/>
      <c r="H148" s="2208"/>
      <c r="I148" s="2208"/>
      <c r="J148" s="2208"/>
      <c r="K148" s="2208"/>
      <c r="L148" s="2208"/>
      <c r="M148" s="2208"/>
      <c r="N148" s="2209"/>
    </row>
    <row r="149" spans="1:14" s="759" customFormat="1" ht="14.25" customHeight="1">
      <c r="A149" s="2695"/>
      <c r="B149" s="2168"/>
      <c r="C149" s="2200"/>
      <c r="D149" s="2284"/>
      <c r="E149" s="2284"/>
      <c r="F149" s="2201"/>
      <c r="G149" s="2208"/>
      <c r="H149" s="2208"/>
      <c r="I149" s="2208"/>
      <c r="J149" s="2208"/>
      <c r="K149" s="2208"/>
      <c r="L149" s="2208"/>
      <c r="M149" s="2208"/>
      <c r="N149" s="2209"/>
    </row>
    <row r="150" spans="1:14" s="759" customFormat="1" ht="14.25" customHeight="1">
      <c r="A150" s="2695"/>
      <c r="B150" s="2693" t="s">
        <v>4055</v>
      </c>
      <c r="C150" s="2244" t="str">
        <f>+C55</f>
        <v>(17)下水道使用料、各種負担金（共通仮設）</v>
      </c>
      <c r="D150" s="2285">
        <v>1</v>
      </c>
      <c r="E150" s="2286">
        <v>0</v>
      </c>
      <c r="F150" s="2201">
        <f>SUM(G150:N150)</f>
        <v>0</v>
      </c>
      <c r="G150" s="2208">
        <f>+G55</f>
        <v>0</v>
      </c>
      <c r="H150" s="2208">
        <f t="shared" ref="H150:N150" si="81">+H55</f>
        <v>0</v>
      </c>
      <c r="I150" s="2208">
        <f t="shared" si="81"/>
        <v>0</v>
      </c>
      <c r="J150" s="2208">
        <f t="shared" si="81"/>
        <v>0</v>
      </c>
      <c r="K150" s="2208">
        <f>+K55</f>
        <v>0</v>
      </c>
      <c r="L150" s="2208">
        <f t="shared" si="81"/>
        <v>0</v>
      </c>
      <c r="M150" s="2208">
        <f t="shared" si="81"/>
        <v>0</v>
      </c>
      <c r="N150" s="2209">
        <f t="shared" si="81"/>
        <v>0</v>
      </c>
    </row>
    <row r="151" spans="1:14" s="759" customFormat="1" ht="14.25" customHeight="1">
      <c r="A151" s="2695"/>
      <c r="B151" s="2693"/>
      <c r="C151" s="2287"/>
      <c r="D151" s="2244"/>
      <c r="E151" s="2286"/>
      <c r="F151" s="2201"/>
      <c r="G151" s="2208"/>
      <c r="H151" s="2208"/>
      <c r="I151" s="2208"/>
      <c r="J151" s="2208"/>
      <c r="K151" s="2208"/>
      <c r="L151" s="2208"/>
      <c r="M151" s="2208"/>
      <c r="N151" s="2209"/>
    </row>
    <row r="152" spans="1:14" s="759" customFormat="1" ht="14.25" customHeight="1">
      <c r="A152" s="2695"/>
      <c r="B152" s="2727"/>
      <c r="C152" s="2346"/>
      <c r="D152" s="2289"/>
      <c r="E152" s="2290"/>
      <c r="F152" s="2259"/>
      <c r="G152" s="2260"/>
      <c r="H152" s="2260"/>
      <c r="I152" s="2260"/>
      <c r="J152" s="2260"/>
      <c r="K152" s="2260"/>
      <c r="L152" s="2260"/>
      <c r="M152" s="2260"/>
      <c r="N152" s="2261"/>
    </row>
    <row r="153" spans="1:14" s="759" customFormat="1" ht="14.25" customHeight="1">
      <c r="A153" s="884"/>
      <c r="B153" s="885"/>
      <c r="C153" s="1004"/>
      <c r="D153" s="1005"/>
      <c r="E153" s="1006"/>
      <c r="F153" s="995"/>
      <c r="G153" s="987"/>
      <c r="H153" s="987"/>
      <c r="I153" s="987"/>
      <c r="J153" s="987"/>
      <c r="K153" s="987"/>
      <c r="L153" s="987"/>
      <c r="M153" s="987"/>
      <c r="N153" s="988"/>
    </row>
    <row r="154" spans="1:14" s="759" customFormat="1" ht="14.25" customHeight="1">
      <c r="A154" s="2689" t="s">
        <v>4056</v>
      </c>
      <c r="B154" s="2689"/>
      <c r="C154" s="2692"/>
      <c r="D154" s="1007"/>
      <c r="E154" s="2291"/>
      <c r="F154" s="2292"/>
      <c r="G154" s="2260"/>
      <c r="H154" s="2260"/>
      <c r="I154" s="2260"/>
      <c r="J154" s="2260"/>
      <c r="K154" s="2260"/>
      <c r="L154" s="2260"/>
      <c r="M154" s="2260"/>
      <c r="N154" s="2261"/>
    </row>
    <row r="155" spans="1:14" s="759" customFormat="1" ht="14.25" customHeight="1">
      <c r="A155" s="753"/>
      <c r="B155" s="1010" t="s">
        <v>4050</v>
      </c>
      <c r="C155" s="992" t="s">
        <v>4051</v>
      </c>
      <c r="D155" s="993">
        <f t="shared" ref="D155:E157" si="82">+D145</f>
        <v>1</v>
      </c>
      <c r="E155" s="1011">
        <f>+E145</f>
        <v>0.12179999999999999</v>
      </c>
      <c r="F155" s="2201">
        <f>INT(D155*E155*F145)</f>
        <v>23894334</v>
      </c>
      <c r="G155" s="987">
        <f>F155-SUM(H155:N155)</f>
        <v>4517916</v>
      </c>
      <c r="H155" s="987">
        <f t="shared" ref="H155:N157" si="83">IF(H145=0,0,ROUND($F155/$F145*H145,0))</f>
        <v>2996401</v>
      </c>
      <c r="I155" s="987">
        <f t="shared" si="83"/>
        <v>286633</v>
      </c>
      <c r="J155" s="987">
        <f t="shared" si="83"/>
        <v>14705625</v>
      </c>
      <c r="K155" s="987">
        <f t="shared" si="83"/>
        <v>1387759</v>
      </c>
      <c r="L155" s="987">
        <f t="shared" si="83"/>
        <v>0</v>
      </c>
      <c r="M155" s="987">
        <f t="shared" si="83"/>
        <v>0</v>
      </c>
      <c r="N155" s="988">
        <f t="shared" si="83"/>
        <v>0</v>
      </c>
    </row>
    <row r="156" spans="1:14" s="759" customFormat="1" ht="14.25" customHeight="1">
      <c r="A156" s="753"/>
      <c r="B156" s="2693" t="s">
        <v>4052</v>
      </c>
      <c r="C156" s="2200" t="s">
        <v>4053</v>
      </c>
      <c r="D156" s="2285">
        <f t="shared" si="82"/>
        <v>0.05</v>
      </c>
      <c r="E156" s="2253">
        <f t="shared" si="82"/>
        <v>0.12179999999999999</v>
      </c>
      <c r="F156" s="2201">
        <f>INT(D156*E156*F146)</f>
        <v>1194716</v>
      </c>
      <c r="G156" s="2208">
        <f>F156-SUM(H156:N156)</f>
        <v>225895</v>
      </c>
      <c r="H156" s="2208">
        <f t="shared" si="83"/>
        <v>149820</v>
      </c>
      <c r="I156" s="2208">
        <f t="shared" si="83"/>
        <v>14332</v>
      </c>
      <c r="J156" s="2208">
        <f t="shared" si="83"/>
        <v>735281</v>
      </c>
      <c r="K156" s="2208">
        <f t="shared" si="83"/>
        <v>69388</v>
      </c>
      <c r="L156" s="2208">
        <f t="shared" si="83"/>
        <v>0</v>
      </c>
      <c r="M156" s="2208">
        <f t="shared" si="83"/>
        <v>0</v>
      </c>
      <c r="N156" s="2209">
        <f t="shared" si="83"/>
        <v>0</v>
      </c>
    </row>
    <row r="157" spans="1:14" s="759" customFormat="1" ht="14.25" customHeight="1">
      <c r="A157" s="753"/>
      <c r="B157" s="2693"/>
      <c r="C157" s="2200" t="s">
        <v>4054</v>
      </c>
      <c r="D157" s="2285">
        <f t="shared" si="82"/>
        <v>1</v>
      </c>
      <c r="E157" s="2253">
        <f t="shared" si="82"/>
        <v>4.0000000000000002E-4</v>
      </c>
      <c r="F157" s="2201">
        <f>INT(D157*E157*F147)</f>
        <v>78470</v>
      </c>
      <c r="G157" s="2208">
        <f>F157-SUM(H157:N157)</f>
        <v>14838</v>
      </c>
      <c r="H157" s="2208">
        <f>IF(H147=0,0,ROUND($F157/$F147*H147,0))</f>
        <v>9840</v>
      </c>
      <c r="I157" s="2208">
        <f t="shared" si="83"/>
        <v>941</v>
      </c>
      <c r="J157" s="2208">
        <f t="shared" si="83"/>
        <v>48294</v>
      </c>
      <c r="K157" s="2208">
        <f t="shared" si="83"/>
        <v>4557</v>
      </c>
      <c r="L157" s="2208">
        <f t="shared" si="83"/>
        <v>0</v>
      </c>
      <c r="M157" s="2208">
        <f t="shared" si="83"/>
        <v>0</v>
      </c>
      <c r="N157" s="2209">
        <f t="shared" si="83"/>
        <v>0</v>
      </c>
    </row>
    <row r="158" spans="1:14" s="759" customFormat="1" ht="14.25" customHeight="1">
      <c r="A158" s="753"/>
      <c r="B158" s="2168"/>
      <c r="C158" s="2200"/>
      <c r="D158" s="2284"/>
      <c r="E158" s="2284"/>
      <c r="F158" s="2201"/>
      <c r="G158" s="2208"/>
      <c r="H158" s="2208"/>
      <c r="I158" s="2208"/>
      <c r="J158" s="2208"/>
      <c r="K158" s="2208"/>
      <c r="L158" s="2208"/>
      <c r="M158" s="2208"/>
      <c r="N158" s="2209"/>
    </row>
    <row r="159" spans="1:14" s="759" customFormat="1" ht="14.25" customHeight="1">
      <c r="A159" s="753"/>
      <c r="B159" s="2168"/>
      <c r="C159" s="2200"/>
      <c r="D159" s="2284"/>
      <c r="E159" s="2284"/>
      <c r="F159" s="2201"/>
      <c r="G159" s="2208"/>
      <c r="H159" s="2208"/>
      <c r="I159" s="2208"/>
      <c r="J159" s="2208"/>
      <c r="K159" s="2208"/>
      <c r="L159" s="2208"/>
      <c r="M159" s="2208"/>
      <c r="N159" s="2209"/>
    </row>
    <row r="160" spans="1:14" s="759" customFormat="1" ht="14.25" customHeight="1">
      <c r="A160" s="753"/>
      <c r="B160" s="2693" t="s">
        <v>4055</v>
      </c>
      <c r="C160" s="2244" t="str">
        <f>+C55</f>
        <v>(17)下水道使用料、各種負担金（共通仮設）</v>
      </c>
      <c r="D160" s="2285">
        <f>+D150</f>
        <v>1</v>
      </c>
      <c r="E160" s="2253">
        <f>+E150</f>
        <v>0</v>
      </c>
      <c r="F160" s="2201">
        <f>INT(D160*E160*F150)</f>
        <v>0</v>
      </c>
      <c r="G160" s="2208">
        <f>F160-SUM(H160:N160)</f>
        <v>0</v>
      </c>
      <c r="H160" s="2208">
        <f t="shared" ref="H160:N160" si="84">IF(H150=0,0,ROUND($F160/$F150*H150,0))</f>
        <v>0</v>
      </c>
      <c r="I160" s="2208">
        <f t="shared" si="84"/>
        <v>0</v>
      </c>
      <c r="J160" s="2208">
        <f t="shared" si="84"/>
        <v>0</v>
      </c>
      <c r="K160" s="2208">
        <f>IF(K150=0,0,ROUND($F160/$F150*K150,0))</f>
        <v>0</v>
      </c>
      <c r="L160" s="2208">
        <f t="shared" si="84"/>
        <v>0</v>
      </c>
      <c r="M160" s="2208">
        <f t="shared" si="84"/>
        <v>0</v>
      </c>
      <c r="N160" s="2209">
        <f t="shared" si="84"/>
        <v>0</v>
      </c>
    </row>
    <row r="161" spans="1:14" s="759" customFormat="1" ht="14.25" customHeight="1">
      <c r="A161" s="753"/>
      <c r="B161" s="2693"/>
      <c r="C161" s="2287"/>
      <c r="D161" s="2244"/>
      <c r="E161" s="2284">
        <f>+G152</f>
        <v>0</v>
      </c>
      <c r="F161" s="2201"/>
      <c r="G161" s="2208"/>
      <c r="H161" s="2208"/>
      <c r="I161" s="2208"/>
      <c r="J161" s="2208"/>
      <c r="K161" s="2208"/>
      <c r="L161" s="2208"/>
      <c r="M161" s="2208"/>
      <c r="N161" s="2209"/>
    </row>
    <row r="162" spans="1:14" s="759" customFormat="1" ht="14.25" customHeight="1">
      <c r="A162" s="1012"/>
      <c r="B162" s="2693"/>
      <c r="C162" s="2287"/>
      <c r="D162" s="2244"/>
      <c r="E162" s="2284">
        <f>+G153</f>
        <v>0</v>
      </c>
      <c r="F162" s="2201"/>
      <c r="G162" s="2208"/>
      <c r="H162" s="2208"/>
      <c r="I162" s="2208"/>
      <c r="J162" s="2208"/>
      <c r="K162" s="2208"/>
      <c r="L162" s="2208"/>
      <c r="M162" s="2208"/>
      <c r="N162" s="2209"/>
    </row>
    <row r="163" spans="1:14" s="759" customFormat="1" ht="14.25" customHeight="1">
      <c r="A163" s="1012"/>
      <c r="B163" s="2697" t="s">
        <v>4036</v>
      </c>
      <c r="C163" s="1013" t="s">
        <v>4057</v>
      </c>
      <c r="D163" s="1014"/>
      <c r="E163" s="1015"/>
      <c r="F163" s="1016">
        <f>SUM(G163:N163)</f>
        <v>0</v>
      </c>
      <c r="G163" s="1017"/>
      <c r="H163" s="1017"/>
      <c r="I163" s="1017"/>
      <c r="J163" s="1017"/>
      <c r="K163" s="1017"/>
      <c r="L163" s="1017"/>
      <c r="M163" s="1017"/>
      <c r="N163" s="1018"/>
    </row>
    <row r="164" spans="1:14" s="759" customFormat="1" ht="14.25" customHeight="1">
      <c r="A164" s="753"/>
      <c r="B164" s="2687"/>
      <c r="C164" s="2293" t="s">
        <v>4058</v>
      </c>
      <c r="D164" s="2344"/>
      <c r="E164" s="2345"/>
      <c r="F164" s="2263"/>
      <c r="G164" s="2208"/>
      <c r="H164" s="2208"/>
      <c r="I164" s="2208"/>
      <c r="J164" s="2208"/>
      <c r="K164" s="2208"/>
      <c r="L164" s="2208"/>
      <c r="M164" s="2208"/>
      <c r="N164" s="2209"/>
    </row>
    <row r="165" spans="1:14" s="759" customFormat="1" ht="14.25" customHeight="1">
      <c r="A165" s="975"/>
      <c r="B165" s="976"/>
      <c r="C165" s="976"/>
      <c r="D165" s="665"/>
      <c r="E165" s="665"/>
      <c r="F165" s="995"/>
      <c r="G165" s="987"/>
      <c r="H165" s="987"/>
      <c r="I165" s="987"/>
      <c r="J165" s="987"/>
      <c r="K165" s="987"/>
      <c r="L165" s="987"/>
      <c r="M165" s="987"/>
      <c r="N165" s="988"/>
    </row>
    <row r="166" spans="1:14" s="759" customFormat="1" ht="14.25" customHeight="1">
      <c r="A166" s="2294"/>
      <c r="B166" s="2203"/>
      <c r="C166" s="2147" t="s">
        <v>4059</v>
      </c>
      <c r="D166" s="2287"/>
      <c r="E166" s="2200"/>
      <c r="F166" s="2201">
        <f>SUM(G166:N166)</f>
        <v>25167520</v>
      </c>
      <c r="G166" s="2208">
        <f t="shared" ref="G166:N166" si="85">SUM(G155:G164)</f>
        <v>4758649</v>
      </c>
      <c r="H166" s="2208">
        <f t="shared" si="85"/>
        <v>3156061</v>
      </c>
      <c r="I166" s="2208">
        <f t="shared" si="85"/>
        <v>301906</v>
      </c>
      <c r="J166" s="2208">
        <f t="shared" si="85"/>
        <v>15489200</v>
      </c>
      <c r="K166" s="2208">
        <f t="shared" si="85"/>
        <v>1461704</v>
      </c>
      <c r="L166" s="2208">
        <f t="shared" si="85"/>
        <v>0</v>
      </c>
      <c r="M166" s="2208">
        <f t="shared" si="85"/>
        <v>0</v>
      </c>
      <c r="N166" s="2209">
        <f t="shared" si="85"/>
        <v>0</v>
      </c>
    </row>
    <row r="167" spans="1:14" s="759" customFormat="1" ht="14.25" customHeight="1">
      <c r="A167" s="2294"/>
      <c r="B167" s="2203"/>
      <c r="C167" s="2147" t="s">
        <v>4040</v>
      </c>
      <c r="D167" s="2287"/>
      <c r="E167" s="2200"/>
      <c r="F167" s="2201">
        <f>SUM(G167:N167)</f>
        <v>196176800</v>
      </c>
      <c r="G167" s="2208">
        <f>+G135</f>
        <v>37092902</v>
      </c>
      <c r="H167" s="2208">
        <f t="shared" ref="H167:N167" si="86">+H135</f>
        <v>24600996</v>
      </c>
      <c r="I167" s="2208">
        <f t="shared" si="86"/>
        <v>2353309</v>
      </c>
      <c r="J167" s="2208">
        <f t="shared" si="86"/>
        <v>120735841</v>
      </c>
      <c r="K167" s="2208">
        <f t="shared" si="86"/>
        <v>11393752</v>
      </c>
      <c r="L167" s="2208">
        <f t="shared" si="86"/>
        <v>0</v>
      </c>
      <c r="M167" s="2208">
        <f t="shared" si="86"/>
        <v>0</v>
      </c>
      <c r="N167" s="2208">
        <f t="shared" si="86"/>
        <v>0</v>
      </c>
    </row>
    <row r="168" spans="1:14" s="759" customFormat="1" ht="14.25" customHeight="1" thickBot="1">
      <c r="A168" s="1021"/>
      <c r="B168" s="1022"/>
      <c r="C168" s="1023" t="s">
        <v>4060</v>
      </c>
      <c r="D168" s="1024"/>
      <c r="E168" s="1025"/>
      <c r="F168" s="1026">
        <f>SUM(G168:N168)</f>
        <v>221344320</v>
      </c>
      <c r="G168" s="1027">
        <f t="shared" ref="G168:N168" si="87">SUM(G166:G167)</f>
        <v>41851551</v>
      </c>
      <c r="H168" s="1027">
        <f t="shared" si="87"/>
        <v>27757057</v>
      </c>
      <c r="I168" s="1027">
        <f t="shared" si="87"/>
        <v>2655215</v>
      </c>
      <c r="J168" s="1027">
        <f t="shared" si="87"/>
        <v>136225041</v>
      </c>
      <c r="K168" s="1027">
        <f>SUM(K166:K167)</f>
        <v>12855456</v>
      </c>
      <c r="L168" s="1027">
        <f t="shared" si="87"/>
        <v>0</v>
      </c>
      <c r="M168" s="1027">
        <f t="shared" si="87"/>
        <v>0</v>
      </c>
      <c r="N168" s="2295">
        <f t="shared" si="87"/>
        <v>0</v>
      </c>
    </row>
    <row r="169" spans="1:14" s="759" customFormat="1" ht="14.25" customHeight="1" thickTop="1">
      <c r="A169" s="753"/>
      <c r="B169" s="754"/>
      <c r="C169" s="754"/>
      <c r="D169" s="763"/>
      <c r="E169" s="763"/>
      <c r="F169" s="764"/>
      <c r="G169" s="1029">
        <f>ROUNDDOWN(G168,-3)</f>
        <v>41851000</v>
      </c>
      <c r="H169" s="1029">
        <f t="shared" ref="H169:N169" si="88">ROUNDDOWN(H168,-3)</f>
        <v>27757000</v>
      </c>
      <c r="I169" s="1029">
        <f>ROUNDDOWN(I168,-3)</f>
        <v>2655000</v>
      </c>
      <c r="J169" s="1029">
        <f t="shared" si="88"/>
        <v>136225000</v>
      </c>
      <c r="K169" s="1029">
        <f>ROUNDDOWN(K168,-3)</f>
        <v>12855000</v>
      </c>
      <c r="L169" s="1029">
        <f t="shared" si="88"/>
        <v>0</v>
      </c>
      <c r="M169" s="1029">
        <f t="shared" si="88"/>
        <v>0</v>
      </c>
      <c r="N169" s="1030">
        <f t="shared" si="88"/>
        <v>0</v>
      </c>
    </row>
    <row r="170" spans="1:14" s="759" customFormat="1" ht="14.25" customHeight="1">
      <c r="A170" s="2294"/>
      <c r="B170" s="2203"/>
      <c r="C170" s="2147" t="s">
        <v>4040</v>
      </c>
      <c r="D170" s="2287"/>
      <c r="E170" s="2200"/>
      <c r="F170" s="2201">
        <f>SUM(G170:N170)</f>
        <v>196176800</v>
      </c>
      <c r="G170" s="2208">
        <f t="shared" ref="G170:N170" si="89">+G167</f>
        <v>37092902</v>
      </c>
      <c r="H170" s="2208">
        <f t="shared" si="89"/>
        <v>24600996</v>
      </c>
      <c r="I170" s="2208">
        <f>+I167</f>
        <v>2353309</v>
      </c>
      <c r="J170" s="2208">
        <f>+J167</f>
        <v>120735841</v>
      </c>
      <c r="K170" s="2208">
        <f>+K167</f>
        <v>11393752</v>
      </c>
      <c r="L170" s="2208">
        <f t="shared" si="89"/>
        <v>0</v>
      </c>
      <c r="M170" s="2208">
        <f t="shared" si="89"/>
        <v>0</v>
      </c>
      <c r="N170" s="2209">
        <f t="shared" si="89"/>
        <v>0</v>
      </c>
    </row>
    <row r="171" spans="1:14" s="759" customFormat="1" ht="14.25" customHeight="1">
      <c r="A171" s="2294"/>
      <c r="B171" s="2203"/>
      <c r="C171" s="2147" t="s">
        <v>4061</v>
      </c>
      <c r="D171" s="2287"/>
      <c r="E171" s="2284"/>
      <c r="F171" s="2201">
        <f>SUM(G171:N171)</f>
        <v>25123200</v>
      </c>
      <c r="G171" s="2208">
        <f t="shared" ref="G171:N171" si="90">+G166-(G168-G173)</f>
        <v>4749098</v>
      </c>
      <c r="H171" s="2208">
        <f t="shared" si="90"/>
        <v>3151004</v>
      </c>
      <c r="I171" s="2208">
        <f t="shared" si="90"/>
        <v>300691</v>
      </c>
      <c r="J171" s="2208">
        <f t="shared" si="90"/>
        <v>15463159</v>
      </c>
      <c r="K171" s="2208">
        <f t="shared" si="90"/>
        <v>1459248</v>
      </c>
      <c r="L171" s="2208">
        <f t="shared" si="90"/>
        <v>0</v>
      </c>
      <c r="M171" s="2208">
        <f t="shared" si="90"/>
        <v>0</v>
      </c>
      <c r="N171" s="2209">
        <f t="shared" si="90"/>
        <v>0</v>
      </c>
    </row>
    <row r="172" spans="1:14" s="759" customFormat="1" ht="14.25" customHeight="1">
      <c r="A172" s="2294"/>
      <c r="B172" s="2203"/>
      <c r="C172" s="2203"/>
      <c r="D172" s="2200"/>
      <c r="E172" s="2296">
        <f>SUM(G169:O169)</f>
        <v>221343000</v>
      </c>
      <c r="F172" s="2201" t="s">
        <v>4062</v>
      </c>
      <c r="G172" s="2208">
        <f>+G166-G171</f>
        <v>9551</v>
      </c>
      <c r="H172" s="2208">
        <f t="shared" ref="H172:N172" si="91">+H166-H171</f>
        <v>5057</v>
      </c>
      <c r="I172" s="2208">
        <f>+I166-I171</f>
        <v>1215</v>
      </c>
      <c r="J172" s="2208">
        <f t="shared" si="91"/>
        <v>26041</v>
      </c>
      <c r="K172" s="2208">
        <f>+K166-K171</f>
        <v>2456</v>
      </c>
      <c r="L172" s="2208">
        <f t="shared" si="91"/>
        <v>0</v>
      </c>
      <c r="M172" s="2297">
        <f t="shared" si="91"/>
        <v>0</v>
      </c>
      <c r="N172" s="2298">
        <f t="shared" si="91"/>
        <v>0</v>
      </c>
    </row>
    <row r="173" spans="1:14" s="759" customFormat="1" ht="14.25" customHeight="1">
      <c r="A173" s="2299"/>
      <c r="B173" s="2300"/>
      <c r="C173" s="2300" t="s">
        <v>4063</v>
      </c>
      <c r="D173" s="2301"/>
      <c r="E173" s="2296">
        <f>ROUNDDOWN(E172,4-LEN(E172))</f>
        <v>221300000</v>
      </c>
      <c r="F173" s="2302">
        <f>+E173</f>
        <v>221300000</v>
      </c>
      <c r="G173" s="2297">
        <f>IF(F174+SUM(H173:O173)=F173,F174,F173-SUM(H173:O173))</f>
        <v>41842000</v>
      </c>
      <c r="H173" s="2297">
        <f>IF(H163="",+H169-ROUND($E$174*H168/$F$168,-3),H168)</f>
        <v>27752000</v>
      </c>
      <c r="I173" s="2297">
        <f t="shared" ref="I173:N173" si="92">IF(I163="",+I169-ROUND($E$174*I168/$F$168,-3),I168)</f>
        <v>2654000</v>
      </c>
      <c r="J173" s="2297">
        <f t="shared" si="92"/>
        <v>136199000</v>
      </c>
      <c r="K173" s="2297">
        <f t="shared" si="92"/>
        <v>12853000</v>
      </c>
      <c r="L173" s="2297">
        <f>IF(L163="",+L169-ROUND($E$174*L168/$F$168,-3),L168)</f>
        <v>0</v>
      </c>
      <c r="M173" s="2297">
        <f t="shared" si="92"/>
        <v>0</v>
      </c>
      <c r="N173" s="2297">
        <f t="shared" si="92"/>
        <v>0</v>
      </c>
    </row>
    <row r="174" spans="1:14" s="759" customFormat="1" ht="14.25" customHeight="1">
      <c r="A174" s="1038"/>
      <c r="B174" s="1039"/>
      <c r="C174" s="1039"/>
      <c r="D174" s="1040"/>
      <c r="E174" s="1041">
        <f>E172-E173</f>
        <v>43000</v>
      </c>
      <c r="F174" s="1042">
        <f>+G169-ROUND($E$174*G168/$F$168,-3)</f>
        <v>41843000</v>
      </c>
      <c r="G174" s="1041">
        <f t="shared" ref="G174:N174" si="93">IF(LEN(G168)&lt;=7,-3,IF(LEN(G168)=8,-4,IF(LEN(G168)&gt;=9,-5,-6)))</f>
        <v>-4</v>
      </c>
      <c r="H174" s="1041">
        <f t="shared" si="93"/>
        <v>-4</v>
      </c>
      <c r="I174" s="1041">
        <f t="shared" si="93"/>
        <v>-3</v>
      </c>
      <c r="J174" s="1041">
        <f>IF(LEN(J168)&lt;=7,-3,IF(LEN(J168)=8,-4,IF(LEN(J168)&gt;=9,-5,-6)))</f>
        <v>-5</v>
      </c>
      <c r="K174" s="1041">
        <f>IF(LEN(K168)&lt;=7,-3,IF(LEN(K168)=8,-4,IF(LEN(K168)&gt;=9,-5,-6)))</f>
        <v>-4</v>
      </c>
      <c r="L174" s="1041">
        <f t="shared" si="93"/>
        <v>-3</v>
      </c>
      <c r="M174" s="1041">
        <f t="shared" si="93"/>
        <v>-3</v>
      </c>
      <c r="N174" s="1043">
        <f t="shared" si="93"/>
        <v>-3</v>
      </c>
    </row>
    <row r="175" spans="1:14" ht="13.5" customHeight="1" thickBot="1">
      <c r="F175" s="1044"/>
      <c r="G175" s="1045"/>
    </row>
    <row r="176" spans="1:14" ht="13.5" customHeight="1">
      <c r="A176" s="1047"/>
      <c r="B176" s="1048"/>
      <c r="C176" s="1049" t="s">
        <v>4064</v>
      </c>
      <c r="D176" s="1050"/>
      <c r="E176" s="1048"/>
      <c r="F176" s="1051" t="s">
        <v>4065</v>
      </c>
      <c r="G176" s="1052">
        <f t="shared" ref="G176:N176" si="94">+G3</f>
        <v>16.600000000000001</v>
      </c>
      <c r="H176" s="1052">
        <f t="shared" si="94"/>
        <v>11</v>
      </c>
      <c r="I176" s="1052">
        <f t="shared" si="94"/>
        <v>16.600000000000001</v>
      </c>
      <c r="J176" s="1052">
        <f t="shared" si="94"/>
        <v>16.600000000000001</v>
      </c>
      <c r="K176" s="1052">
        <f>+K3</f>
        <v>16.600000000000001</v>
      </c>
      <c r="L176" s="1052">
        <f t="shared" si="94"/>
        <v>0</v>
      </c>
      <c r="M176" s="1052">
        <f t="shared" si="94"/>
        <v>0</v>
      </c>
      <c r="N176" s="1053">
        <f t="shared" si="94"/>
        <v>0</v>
      </c>
    </row>
    <row r="177" spans="1:14" ht="13.5" customHeight="1">
      <c r="A177" s="2698"/>
      <c r="B177" s="2701" t="s">
        <v>4066</v>
      </c>
      <c r="C177" s="2303" t="s">
        <v>4067</v>
      </c>
      <c r="D177" s="2176"/>
      <c r="E177" s="2304"/>
      <c r="F177" s="2305" t="s">
        <v>4068</v>
      </c>
      <c r="G177" s="2306">
        <f>IF($F$60&lt;=10000000,ROUND(7.56*(10000^-0.1105)*(G176^0.2389),2),ROUND(7.56*(($F$60/1000)^-0.1105)*(G176^0.2389),2))</f>
        <v>3.92</v>
      </c>
      <c r="H177" s="2306">
        <f t="shared" ref="H177:N177" si="95">IF($F$60&lt;=10000000,ROUND(7.56*(10000^-0.1105)*(H176^0.2389),2),ROUND(7.56*(($F$60/1000)^-0.1105)*(H176^0.2389),2))</f>
        <v>3.55</v>
      </c>
      <c r="I177" s="2306">
        <f t="shared" si="95"/>
        <v>3.92</v>
      </c>
      <c r="J177" s="2306">
        <f t="shared" si="95"/>
        <v>3.92</v>
      </c>
      <c r="K177" s="2306">
        <f t="shared" si="95"/>
        <v>3.92</v>
      </c>
      <c r="L177" s="2306">
        <f t="shared" si="95"/>
        <v>0</v>
      </c>
      <c r="M177" s="2306">
        <f t="shared" si="95"/>
        <v>0</v>
      </c>
      <c r="N177" s="2307">
        <f t="shared" si="95"/>
        <v>0</v>
      </c>
    </row>
    <row r="178" spans="1:14" ht="13.5" customHeight="1">
      <c r="A178" s="2699"/>
      <c r="B178" s="2702"/>
      <c r="C178" s="2704" t="s">
        <v>4069</v>
      </c>
      <c r="D178" s="2308"/>
      <c r="E178" s="2309"/>
      <c r="F178" s="2305" t="s">
        <v>4070</v>
      </c>
      <c r="G178" s="2310">
        <f>IF($F$60&lt;=10000000,ROUND(4.33,2),0)</f>
        <v>0</v>
      </c>
      <c r="H178" s="2310">
        <f t="shared" ref="H178:N178" si="96">IF($F$60&lt;=10000000,ROUND(4.33,2),0)</f>
        <v>0</v>
      </c>
      <c r="I178" s="2310">
        <f t="shared" si="96"/>
        <v>0</v>
      </c>
      <c r="J178" s="2310">
        <f t="shared" si="96"/>
        <v>0</v>
      </c>
      <c r="K178" s="2310">
        <f t="shared" si="96"/>
        <v>0</v>
      </c>
      <c r="L178" s="2310">
        <f t="shared" si="96"/>
        <v>0</v>
      </c>
      <c r="M178" s="2310">
        <f t="shared" si="96"/>
        <v>0</v>
      </c>
      <c r="N178" s="2311">
        <f t="shared" si="96"/>
        <v>0</v>
      </c>
    </row>
    <row r="179" spans="1:14" ht="13.5" customHeight="1">
      <c r="A179" s="2699"/>
      <c r="B179" s="2702"/>
      <c r="C179" s="2705"/>
      <c r="D179" s="2312"/>
      <c r="E179" s="1063"/>
      <c r="F179" s="2305" t="s">
        <v>4071</v>
      </c>
      <c r="G179" s="2310">
        <f>IF($F$60&lt;=10000000,ROUND(3.25,2),0)</f>
        <v>0</v>
      </c>
      <c r="H179" s="2310">
        <f t="shared" ref="H179:N179" si="97">IF($F$60&lt;=10000000,ROUND(3.25,2),0)</f>
        <v>0</v>
      </c>
      <c r="I179" s="2310">
        <f t="shared" si="97"/>
        <v>0</v>
      </c>
      <c r="J179" s="2310">
        <f t="shared" si="97"/>
        <v>0</v>
      </c>
      <c r="K179" s="2310">
        <f t="shared" si="97"/>
        <v>0</v>
      </c>
      <c r="L179" s="2310">
        <f t="shared" si="97"/>
        <v>0</v>
      </c>
      <c r="M179" s="2310">
        <f t="shared" si="97"/>
        <v>0</v>
      </c>
      <c r="N179" s="2311">
        <f t="shared" si="97"/>
        <v>0</v>
      </c>
    </row>
    <row r="180" spans="1:14" ht="13.5" customHeight="1">
      <c r="A180" s="2699"/>
      <c r="B180" s="2702"/>
      <c r="C180" s="2704" t="s">
        <v>4072</v>
      </c>
      <c r="D180" s="2308"/>
      <c r="E180" s="2309"/>
      <c r="F180" s="2305" t="s">
        <v>4070</v>
      </c>
      <c r="G180" s="2313">
        <f>IF($F$60&gt;10000000,ROUND(5.78*($F$60/1000)^-0.0313,2),0)</f>
        <v>3.97</v>
      </c>
      <c r="H180" s="2313">
        <f t="shared" ref="H180:N180" si="98">IF($F$60&gt;10000000,ROUND(5.78*($F$60/1000)^-0.0313,2),0)</f>
        <v>3.97</v>
      </c>
      <c r="I180" s="2313">
        <f t="shared" si="98"/>
        <v>3.97</v>
      </c>
      <c r="J180" s="2313">
        <f t="shared" si="98"/>
        <v>3.97</v>
      </c>
      <c r="K180" s="2313">
        <f t="shared" si="98"/>
        <v>3.97</v>
      </c>
      <c r="L180" s="2313">
        <f t="shared" si="98"/>
        <v>3.97</v>
      </c>
      <c r="M180" s="2313">
        <f t="shared" si="98"/>
        <v>3.97</v>
      </c>
      <c r="N180" s="2314">
        <f t="shared" si="98"/>
        <v>3.97</v>
      </c>
    </row>
    <row r="181" spans="1:14" ht="13.5" customHeight="1">
      <c r="A181" s="2700"/>
      <c r="B181" s="2703"/>
      <c r="C181" s="2705"/>
      <c r="D181" s="2312"/>
      <c r="E181" s="1063"/>
      <c r="F181" s="2305" t="s">
        <v>4071</v>
      </c>
      <c r="G181" s="2313">
        <f>IF($F$60&gt;10000000,ROUND(4.34*($F$60/1000)^-0.0313,2),0)</f>
        <v>2.98</v>
      </c>
      <c r="H181" s="2313">
        <f t="shared" ref="H181:N181" si="99">IF($F$60&gt;10000000,ROUND(4.34*($F$60/1000)^-0.0313,2),0)</f>
        <v>2.98</v>
      </c>
      <c r="I181" s="2313">
        <f t="shared" si="99"/>
        <v>2.98</v>
      </c>
      <c r="J181" s="2313">
        <f t="shared" si="99"/>
        <v>2.98</v>
      </c>
      <c r="K181" s="2313">
        <f t="shared" si="99"/>
        <v>2.98</v>
      </c>
      <c r="L181" s="2313">
        <f t="shared" si="99"/>
        <v>2.98</v>
      </c>
      <c r="M181" s="2313">
        <f t="shared" si="99"/>
        <v>2.98</v>
      </c>
      <c r="N181" s="2314">
        <f t="shared" si="99"/>
        <v>2.98</v>
      </c>
    </row>
    <row r="182" spans="1:14" s="1068" customFormat="1" ht="13.5" customHeight="1">
      <c r="A182" s="2706" t="s">
        <v>4073</v>
      </c>
      <c r="B182" s="2707"/>
      <c r="C182" s="2707"/>
      <c r="D182" s="2707"/>
      <c r="E182" s="2708"/>
      <c r="F182" s="2709"/>
      <c r="G182" s="2315">
        <f t="shared" ref="G182:N182" si="100">IF($F$60&lt;=10000000,IF(G$177&gt;G$178,G$178,IF(G$177&lt;G$179,G$179,G$177)),IF(G$177&gt;G$180,G$180,IF(G$177&lt;G$181,G$181,G$177)))</f>
        <v>3.92</v>
      </c>
      <c r="H182" s="2315">
        <f>IF($F$60&lt;=10000000,IF(H$177&gt;H$178,H$178,IF(H$177&lt;H$179,H$179,H$177)),IF(H$177&gt;H$180,H$180,IF(H$177&lt;H$181,H$181,H$177)))</f>
        <v>3.55</v>
      </c>
      <c r="I182" s="2315">
        <f t="shared" si="100"/>
        <v>3.92</v>
      </c>
      <c r="J182" s="2315">
        <f t="shared" si="100"/>
        <v>3.92</v>
      </c>
      <c r="K182" s="2315">
        <f t="shared" si="100"/>
        <v>3.92</v>
      </c>
      <c r="L182" s="2315">
        <f t="shared" si="100"/>
        <v>2.98</v>
      </c>
      <c r="M182" s="2315">
        <f t="shared" si="100"/>
        <v>2.98</v>
      </c>
      <c r="N182" s="2316">
        <f t="shared" si="100"/>
        <v>2.98</v>
      </c>
    </row>
    <row r="183" spans="1:14" s="1068" customFormat="1" ht="13.5" customHeight="1" thickBot="1">
      <c r="A183" s="2710" t="s">
        <v>4074</v>
      </c>
      <c r="B183" s="2711"/>
      <c r="C183" s="2711"/>
      <c r="D183" s="2711"/>
      <c r="E183" s="2712"/>
      <c r="F183" s="2713"/>
      <c r="G183" s="1069">
        <f>ROUND(G182*IF(AND(G8="駅施設",G9="無し"),0.7,IF(AND(G8="駅施設",G9="有り"),0.7,IF(AND(G8="地上建物",G9="無し"),0.9,IF(AND(G8="地上建物",G9="有り"),1,0)))),2)</f>
        <v>2.74</v>
      </c>
      <c r="H183" s="1069">
        <f t="shared" ref="H183:N183" si="101">ROUND(H182*IF(AND(H8="駅施設",H9="無し"),0.7,IF(AND(H8="駅施設",H9="有り"),0.7,IF(AND(H8="地上建物",H9="無し"),0.9,IF(AND(H8="地上建物",H9="有り"),1,0)))),2)</f>
        <v>2.4900000000000002</v>
      </c>
      <c r="I183" s="1069">
        <f t="shared" si="101"/>
        <v>2.74</v>
      </c>
      <c r="J183" s="1069">
        <f t="shared" si="101"/>
        <v>2.74</v>
      </c>
      <c r="K183" s="1069">
        <f t="shared" si="101"/>
        <v>2.74</v>
      </c>
      <c r="L183" s="1069">
        <f t="shared" si="101"/>
        <v>2.09</v>
      </c>
      <c r="M183" s="1069">
        <f t="shared" si="101"/>
        <v>2.09</v>
      </c>
      <c r="N183" s="1070">
        <f t="shared" si="101"/>
        <v>2.09</v>
      </c>
    </row>
    <row r="184" spans="1:14" s="759" customFormat="1" ht="13.5" customHeight="1" thickBot="1">
      <c r="G184" s="1071"/>
      <c r="H184" s="1071"/>
      <c r="I184" s="1071"/>
      <c r="J184" s="1071"/>
      <c r="K184" s="1071"/>
      <c r="L184" s="1071"/>
      <c r="M184" s="1071"/>
      <c r="N184" s="1071"/>
    </row>
    <row r="185" spans="1:14" s="759" customFormat="1" ht="13.5" customHeight="1">
      <c r="A185" s="1072"/>
      <c r="B185" s="1073"/>
      <c r="C185" s="1074" t="s">
        <v>4064</v>
      </c>
      <c r="D185" s="1075"/>
      <c r="E185" s="1073"/>
      <c r="F185" s="1076" t="s">
        <v>4065</v>
      </c>
      <c r="G185" s="1052">
        <f t="shared" ref="G185:N185" si="102">+G3</f>
        <v>16.600000000000001</v>
      </c>
      <c r="H185" s="1052">
        <f t="shared" si="102"/>
        <v>11</v>
      </c>
      <c r="I185" s="1052">
        <f t="shared" si="102"/>
        <v>16.600000000000001</v>
      </c>
      <c r="J185" s="1052">
        <f t="shared" si="102"/>
        <v>16.600000000000001</v>
      </c>
      <c r="K185" s="1052">
        <f>+K3</f>
        <v>16.600000000000001</v>
      </c>
      <c r="L185" s="1052">
        <f t="shared" si="102"/>
        <v>0</v>
      </c>
      <c r="M185" s="1052">
        <f t="shared" si="102"/>
        <v>0</v>
      </c>
      <c r="N185" s="1053">
        <f t="shared" si="102"/>
        <v>0</v>
      </c>
    </row>
    <row r="186" spans="1:14" s="759" customFormat="1" ht="13.5" customHeight="1">
      <c r="A186" s="2714"/>
      <c r="B186" s="2717" t="s">
        <v>4075</v>
      </c>
      <c r="C186" s="2317" t="s">
        <v>4067</v>
      </c>
      <c r="D186" s="2300"/>
      <c r="E186" s="2318"/>
      <c r="F186" s="2319" t="s">
        <v>4076</v>
      </c>
      <c r="G186" s="2306">
        <f>IF($F$60&lt;=5000000,ROUND(18.03*(5000^-0.2027)*(G185^0.4017),2),ROUND(18.03*(($F$60/1000)^-0.2027)*(G185^0.4017),2))</f>
        <v>4.88</v>
      </c>
      <c r="H186" s="2306">
        <f t="shared" ref="H186:N186" si="103">IF($F$60&lt;=5000000,ROUND(18.03*(5000^-0.2027)*(H185^0.4017),2),ROUND(18.03*(($F$60/1000)^-0.2027)*(H185^0.4017),2))</f>
        <v>4.1399999999999997</v>
      </c>
      <c r="I186" s="2306">
        <f t="shared" si="103"/>
        <v>4.88</v>
      </c>
      <c r="J186" s="2306">
        <f t="shared" si="103"/>
        <v>4.88</v>
      </c>
      <c r="K186" s="2306">
        <f t="shared" si="103"/>
        <v>4.88</v>
      </c>
      <c r="L186" s="2306">
        <f t="shared" si="103"/>
        <v>0</v>
      </c>
      <c r="M186" s="2306">
        <f t="shared" si="103"/>
        <v>0</v>
      </c>
      <c r="N186" s="2307">
        <f t="shared" si="103"/>
        <v>0</v>
      </c>
    </row>
    <row r="187" spans="1:14" s="759" customFormat="1" ht="13.5" customHeight="1">
      <c r="A187" s="2715"/>
      <c r="B187" s="2718"/>
      <c r="C187" s="2720" t="s">
        <v>4077</v>
      </c>
      <c r="D187" s="2265"/>
      <c r="E187" s="2320"/>
      <c r="F187" s="2319" t="s">
        <v>4070</v>
      </c>
      <c r="G187" s="2321">
        <f>IF($F$60&lt;=5000000,ROUND(6.07,2),0)</f>
        <v>0</v>
      </c>
      <c r="H187" s="2321">
        <f t="shared" ref="H187:N187" si="104">IF($F$60&lt;=5000000,ROUND(6.07,2),0)</f>
        <v>0</v>
      </c>
      <c r="I187" s="2321">
        <f t="shared" si="104"/>
        <v>0</v>
      </c>
      <c r="J187" s="2321">
        <f t="shared" si="104"/>
        <v>0</v>
      </c>
      <c r="K187" s="2321">
        <f t="shared" si="104"/>
        <v>0</v>
      </c>
      <c r="L187" s="2321">
        <f t="shared" si="104"/>
        <v>0</v>
      </c>
      <c r="M187" s="2321">
        <f t="shared" si="104"/>
        <v>0</v>
      </c>
      <c r="N187" s="2322">
        <f t="shared" si="104"/>
        <v>0</v>
      </c>
    </row>
    <row r="188" spans="1:14" s="759" customFormat="1" ht="13.5" customHeight="1">
      <c r="A188" s="2715"/>
      <c r="B188" s="2718"/>
      <c r="C188" s="2721"/>
      <c r="D188" s="2323"/>
      <c r="E188" s="1083"/>
      <c r="F188" s="2319" t="s">
        <v>4071</v>
      </c>
      <c r="G188" s="2321">
        <f>IF($F$60&lt;=5000000,ROUND(3.59,2),0)</f>
        <v>0</v>
      </c>
      <c r="H188" s="2321">
        <f t="shared" ref="H188:N188" si="105">IF($F$60&lt;=5000000,ROUND(3.59,2),0)</f>
        <v>0</v>
      </c>
      <c r="I188" s="2321">
        <f t="shared" si="105"/>
        <v>0</v>
      </c>
      <c r="J188" s="2321">
        <f t="shared" si="105"/>
        <v>0</v>
      </c>
      <c r="K188" s="2321">
        <f t="shared" si="105"/>
        <v>0</v>
      </c>
      <c r="L188" s="2321">
        <f t="shared" si="105"/>
        <v>0</v>
      </c>
      <c r="M188" s="2321">
        <f t="shared" si="105"/>
        <v>0</v>
      </c>
      <c r="N188" s="2322">
        <f t="shared" si="105"/>
        <v>0</v>
      </c>
    </row>
    <row r="189" spans="1:14" s="759" customFormat="1" ht="13.5" customHeight="1">
      <c r="A189" s="2715"/>
      <c r="B189" s="2718"/>
      <c r="C189" s="2720" t="s">
        <v>4078</v>
      </c>
      <c r="D189" s="2265"/>
      <c r="E189" s="2320"/>
      <c r="F189" s="2319" t="s">
        <v>4070</v>
      </c>
      <c r="G189" s="2324">
        <f>IF($F$60&gt;5000000,ROUND(11.74*($F$60/1000)^-0.0774,2),0)</f>
        <v>4.63</v>
      </c>
      <c r="H189" s="2324">
        <f t="shared" ref="H189:N189" si="106">IF($F$60&gt;5000000,ROUND(11.74*($F$60/1000)^-0.0774,2),0)</f>
        <v>4.63</v>
      </c>
      <c r="I189" s="2324">
        <f t="shared" si="106"/>
        <v>4.63</v>
      </c>
      <c r="J189" s="2324">
        <f t="shared" si="106"/>
        <v>4.63</v>
      </c>
      <c r="K189" s="2324">
        <f t="shared" si="106"/>
        <v>4.63</v>
      </c>
      <c r="L189" s="2324">
        <f t="shared" si="106"/>
        <v>4.63</v>
      </c>
      <c r="M189" s="2324">
        <f t="shared" si="106"/>
        <v>4.63</v>
      </c>
      <c r="N189" s="2325">
        <f t="shared" si="106"/>
        <v>4.63</v>
      </c>
    </row>
    <row r="190" spans="1:14" s="759" customFormat="1" ht="13.5" customHeight="1">
      <c r="A190" s="2716"/>
      <c r="B190" s="2719"/>
      <c r="C190" s="2721"/>
      <c r="D190" s="2323"/>
      <c r="E190" s="1083"/>
      <c r="F190" s="2319" t="s">
        <v>4071</v>
      </c>
      <c r="G190" s="2324">
        <f>IF($F$60&gt;5000000,ROUND(6.94*($F$60/1000)^-0.0774,2),0)</f>
        <v>2.74</v>
      </c>
      <c r="H190" s="2324">
        <f t="shared" ref="H190:N190" si="107">IF($F$60&gt;5000000,ROUND(6.94*($F$60/1000)^-0.0774,2),0)</f>
        <v>2.74</v>
      </c>
      <c r="I190" s="2324">
        <f t="shared" si="107"/>
        <v>2.74</v>
      </c>
      <c r="J190" s="2324">
        <f t="shared" si="107"/>
        <v>2.74</v>
      </c>
      <c r="K190" s="2324">
        <f t="shared" si="107"/>
        <v>2.74</v>
      </c>
      <c r="L190" s="2324">
        <f t="shared" si="107"/>
        <v>2.74</v>
      </c>
      <c r="M190" s="2324">
        <f t="shared" si="107"/>
        <v>2.74</v>
      </c>
      <c r="N190" s="2325">
        <f t="shared" si="107"/>
        <v>2.74</v>
      </c>
    </row>
    <row r="191" spans="1:14" s="1068" customFormat="1" ht="13.5" customHeight="1">
      <c r="A191" s="2706" t="s">
        <v>4073</v>
      </c>
      <c r="B191" s="2707"/>
      <c r="C191" s="2707"/>
      <c r="D191" s="2707"/>
      <c r="E191" s="2708"/>
      <c r="F191" s="2709"/>
      <c r="G191" s="2326">
        <f>IF($F$60&lt;=5000000,IF(G$186&gt;G$187,G$187,IF(G$186&lt;G$188,G$188,G$186)),IF(G$186&gt;G$189,G$189,IF(G$186&lt;G$190,G$190,G$186)))</f>
        <v>4.63</v>
      </c>
      <c r="H191" s="2326">
        <f t="shared" ref="H191:N191" si="108">IF($F$60&lt;=5000000,IF(H$186&gt;H$187,H$187,IF(H$186&lt;H$188,H$188,H$186)),IF(H$186&gt;H$189,H$189,IF(H$186&lt;H$190,H$190,H$186)))</f>
        <v>4.1399999999999997</v>
      </c>
      <c r="I191" s="2326">
        <f t="shared" si="108"/>
        <v>4.63</v>
      </c>
      <c r="J191" s="2326">
        <f t="shared" si="108"/>
        <v>4.63</v>
      </c>
      <c r="K191" s="2326">
        <f t="shared" si="108"/>
        <v>4.63</v>
      </c>
      <c r="L191" s="2326">
        <f t="shared" si="108"/>
        <v>2.74</v>
      </c>
      <c r="M191" s="2326">
        <f t="shared" si="108"/>
        <v>2.74</v>
      </c>
      <c r="N191" s="2327">
        <f t="shared" si="108"/>
        <v>2.74</v>
      </c>
    </row>
    <row r="192" spans="1:14" s="1068" customFormat="1" ht="13.5" customHeight="1" thickBot="1">
      <c r="A192" s="2710" t="s">
        <v>4074</v>
      </c>
      <c r="B192" s="2711"/>
      <c r="C192" s="2711"/>
      <c r="D192" s="2711"/>
      <c r="E192" s="2712"/>
      <c r="F192" s="2713"/>
      <c r="G192" s="1069">
        <f>ROUND(G191*IF(AND(G8="駅施設",G9="無し"),0.7,IF(AND(G8="駅施設",G9="有り"),0.7,IF(AND(G8="地上建物",G9="無し"),0.9,IF(AND(G8="地上建物",G9="有り"),1,0)))),2)</f>
        <v>3.24</v>
      </c>
      <c r="H192" s="1069">
        <f t="shared" ref="H192:N192" si="109">ROUND(H191*IF(AND(H8="駅施設",H9="無し"),0.7,IF(AND(H8="駅施設",H9="有り"),0.7,IF(AND(H8="地上建物",H9="無し"),0.9,IF(AND(H8="地上建物",H9="有り"),1,0)))),2)</f>
        <v>2.9</v>
      </c>
      <c r="I192" s="1069">
        <f t="shared" si="109"/>
        <v>3.24</v>
      </c>
      <c r="J192" s="1069">
        <f t="shared" si="109"/>
        <v>3.24</v>
      </c>
      <c r="K192" s="1069">
        <f t="shared" si="109"/>
        <v>3.24</v>
      </c>
      <c r="L192" s="1069">
        <f t="shared" si="109"/>
        <v>1.92</v>
      </c>
      <c r="M192" s="1069">
        <f t="shared" si="109"/>
        <v>1.92</v>
      </c>
      <c r="N192" s="1070">
        <f t="shared" si="109"/>
        <v>1.92</v>
      </c>
    </row>
    <row r="193" spans="1:14" s="759" customFormat="1" ht="13.5" customHeight="1" thickBot="1">
      <c r="G193" s="1088"/>
      <c r="H193" s="1088"/>
      <c r="I193" s="1088"/>
      <c r="J193" s="1088"/>
      <c r="K193" s="1088"/>
      <c r="L193" s="1088"/>
      <c r="M193" s="1088"/>
      <c r="N193" s="1088"/>
    </row>
    <row r="194" spans="1:14" s="759" customFormat="1" ht="13.5" customHeight="1">
      <c r="A194" s="1072"/>
      <c r="B194" s="1073"/>
      <c r="C194" s="1074" t="s">
        <v>4079</v>
      </c>
      <c r="D194" s="1075"/>
      <c r="E194" s="1073"/>
      <c r="F194" s="1076" t="s">
        <v>4065</v>
      </c>
      <c r="G194" s="1052">
        <f>+G202</f>
        <v>16.600000000000001</v>
      </c>
      <c r="H194" s="1052">
        <f t="shared" ref="H194:N194" si="110">+H202</f>
        <v>11</v>
      </c>
      <c r="I194" s="1052">
        <f t="shared" si="110"/>
        <v>16.600000000000001</v>
      </c>
      <c r="J194" s="1052">
        <f t="shared" si="110"/>
        <v>16.600000000000001</v>
      </c>
      <c r="K194" s="1052">
        <f>+K202</f>
        <v>16.600000000000001</v>
      </c>
      <c r="L194" s="1052">
        <f t="shared" si="110"/>
        <v>0</v>
      </c>
      <c r="M194" s="1052">
        <f t="shared" si="110"/>
        <v>0</v>
      </c>
      <c r="N194" s="1053">
        <f t="shared" si="110"/>
        <v>0</v>
      </c>
    </row>
    <row r="195" spans="1:14" s="759" customFormat="1" ht="13.5" customHeight="1">
      <c r="A195" s="2714"/>
      <c r="B195" s="2717" t="s">
        <v>4066</v>
      </c>
      <c r="C195" s="2317" t="s">
        <v>4080</v>
      </c>
      <c r="D195" s="2300"/>
      <c r="E195" s="2318"/>
      <c r="F195" s="2319" t="s">
        <v>4081</v>
      </c>
      <c r="G195" s="2306">
        <f>IF($F$99&lt;=10000000,ROUND(151.08*((10000)^-0.3396)*(G194^0.586),2),ROUND(151.08*(($F$99/1000)^-0.3396)*(G194^0.586),2))</f>
        <v>12.98</v>
      </c>
      <c r="H195" s="2306">
        <f t="shared" ref="H195:N195" si="111">IF($F$99&lt;=10000000,ROUND(151.08*((10000)^-0.3396)*(H194^0.586),2),ROUND(151.08*(($F$99/1000)^-0.3396)*(H194^0.586),2))</f>
        <v>10.199999999999999</v>
      </c>
      <c r="I195" s="2306">
        <f t="shared" si="111"/>
        <v>12.98</v>
      </c>
      <c r="J195" s="2306">
        <f t="shared" si="111"/>
        <v>12.98</v>
      </c>
      <c r="K195" s="2306">
        <f t="shared" si="111"/>
        <v>12.98</v>
      </c>
      <c r="L195" s="2306">
        <f t="shared" si="111"/>
        <v>0</v>
      </c>
      <c r="M195" s="2306">
        <f t="shared" si="111"/>
        <v>0</v>
      </c>
      <c r="N195" s="2307">
        <f t="shared" si="111"/>
        <v>0</v>
      </c>
    </row>
    <row r="196" spans="1:14" s="759" customFormat="1" ht="13.5" customHeight="1">
      <c r="A196" s="2715"/>
      <c r="B196" s="2718"/>
      <c r="C196" s="2720" t="s">
        <v>4082</v>
      </c>
      <c r="D196" s="2265"/>
      <c r="E196" s="2320"/>
      <c r="F196" s="2319" t="s">
        <v>4070</v>
      </c>
      <c r="G196" s="2321">
        <f>IF($F$99&lt;=10000000,ROUND(20.13,2),0)</f>
        <v>0</v>
      </c>
      <c r="H196" s="2321">
        <f t="shared" ref="H196:N196" si="112">IF($F$99&lt;=10000000,ROUND(20.13,2),0)</f>
        <v>0</v>
      </c>
      <c r="I196" s="2321">
        <f t="shared" si="112"/>
        <v>0</v>
      </c>
      <c r="J196" s="2321">
        <f t="shared" si="112"/>
        <v>0</v>
      </c>
      <c r="K196" s="2321">
        <f t="shared" si="112"/>
        <v>0</v>
      </c>
      <c r="L196" s="2321">
        <f t="shared" si="112"/>
        <v>0</v>
      </c>
      <c r="M196" s="2321">
        <f t="shared" si="112"/>
        <v>0</v>
      </c>
      <c r="N196" s="2322">
        <f t="shared" si="112"/>
        <v>0</v>
      </c>
    </row>
    <row r="197" spans="1:14" s="759" customFormat="1" ht="13.5" customHeight="1">
      <c r="A197" s="2715"/>
      <c r="B197" s="2718"/>
      <c r="C197" s="2721"/>
      <c r="D197" s="2323"/>
      <c r="E197" s="1083"/>
      <c r="F197" s="2319" t="s">
        <v>4071</v>
      </c>
      <c r="G197" s="2321">
        <f>IF($F$99&lt;=10000000,ROUND(10.01,2),0)</f>
        <v>0</v>
      </c>
      <c r="H197" s="2321">
        <f t="shared" ref="H197:N197" si="113">IF($F$99&lt;=10000000,ROUND(10.01,2),0)</f>
        <v>0</v>
      </c>
      <c r="I197" s="2321">
        <f t="shared" si="113"/>
        <v>0</v>
      </c>
      <c r="J197" s="2321">
        <f t="shared" si="113"/>
        <v>0</v>
      </c>
      <c r="K197" s="2321">
        <f t="shared" si="113"/>
        <v>0</v>
      </c>
      <c r="L197" s="2321">
        <f t="shared" si="113"/>
        <v>0</v>
      </c>
      <c r="M197" s="2321">
        <f t="shared" si="113"/>
        <v>0</v>
      </c>
      <c r="N197" s="2322">
        <f t="shared" si="113"/>
        <v>0</v>
      </c>
    </row>
    <row r="198" spans="1:14" s="759" customFormat="1" ht="13.5" customHeight="1">
      <c r="A198" s="2715"/>
      <c r="B198" s="2718"/>
      <c r="C198" s="2720" t="s">
        <v>4083</v>
      </c>
      <c r="D198" s="2265"/>
      <c r="E198" s="2320"/>
      <c r="F198" s="2319" t="s">
        <v>4070</v>
      </c>
      <c r="G198" s="2324">
        <f>IF($F$99&gt;10000000,ROUND(75.97*($F$99/1000)^-0.1442,2),0)</f>
        <v>13.32</v>
      </c>
      <c r="H198" s="2324">
        <f t="shared" ref="H198:N198" si="114">IF($F$99&gt;10000000,ROUND(75.97*($F$99/1000)^-0.1442*0.95,2),0)</f>
        <v>12.65</v>
      </c>
      <c r="I198" s="2324">
        <f t="shared" si="114"/>
        <v>12.65</v>
      </c>
      <c r="J198" s="2324">
        <f t="shared" si="114"/>
        <v>12.65</v>
      </c>
      <c r="K198" s="2324">
        <f t="shared" si="114"/>
        <v>12.65</v>
      </c>
      <c r="L198" s="2324">
        <f t="shared" si="114"/>
        <v>12.65</v>
      </c>
      <c r="M198" s="2324">
        <f t="shared" si="114"/>
        <v>12.65</v>
      </c>
      <c r="N198" s="2325">
        <f t="shared" si="114"/>
        <v>12.65</v>
      </c>
    </row>
    <row r="199" spans="1:14" s="759" customFormat="1" ht="13.5" customHeight="1">
      <c r="A199" s="2716"/>
      <c r="B199" s="2719"/>
      <c r="C199" s="2721"/>
      <c r="D199" s="2323"/>
      <c r="E199" s="1083"/>
      <c r="F199" s="2319" t="s">
        <v>4071</v>
      </c>
      <c r="G199" s="2324">
        <f>IF($F$99&gt;10000000,ROUND(37.76*($F$99/1000)^-0.1442,2),0)</f>
        <v>6.62</v>
      </c>
      <c r="H199" s="2324">
        <f t="shared" ref="H199:N199" si="115">IF($F$99&gt;10000000,ROUND(37.76*($F$99/1000)^-0.1442,2),0)</f>
        <v>6.62</v>
      </c>
      <c r="I199" s="2324">
        <f t="shared" si="115"/>
        <v>6.62</v>
      </c>
      <c r="J199" s="2324">
        <f t="shared" si="115"/>
        <v>6.62</v>
      </c>
      <c r="K199" s="2324">
        <f t="shared" si="115"/>
        <v>6.62</v>
      </c>
      <c r="L199" s="2324">
        <f t="shared" si="115"/>
        <v>6.62</v>
      </c>
      <c r="M199" s="2324">
        <f t="shared" si="115"/>
        <v>6.62</v>
      </c>
      <c r="N199" s="2325">
        <f t="shared" si="115"/>
        <v>6.62</v>
      </c>
    </row>
    <row r="200" spans="1:14" s="1094" customFormat="1" ht="13.5" customHeight="1" thickBot="1">
      <c r="A200" s="2724" t="s">
        <v>4084</v>
      </c>
      <c r="B200" s="2725"/>
      <c r="C200" s="2725"/>
      <c r="D200" s="2726"/>
      <c r="E200" s="1089"/>
      <c r="F200" s="2328"/>
      <c r="G200" s="2329">
        <f>IF($F$99&lt;=10000000,IF(G$195&gt;G$196,G$196,IF(G$195&lt;G$197,G$197,G$195)),IF(G$195&gt;G$198,G$198,IF(G$195&lt;G$199,G$199,G$195)))</f>
        <v>12.98</v>
      </c>
      <c r="H200" s="2330">
        <f t="shared" ref="H200:N200" si="116">IF($F$99&lt;=10000000,IF(H$195&gt;H$196,H$196,IF(H$195&lt;H$197,H$197,H$195)),IF(H$195&gt;H$198,H$198,IF(H$195&lt;H$199,H$199,H$195)))</f>
        <v>10.199999999999999</v>
      </c>
      <c r="I200" s="2330">
        <f t="shared" si="116"/>
        <v>12.65</v>
      </c>
      <c r="J200" s="2330">
        <f t="shared" si="116"/>
        <v>12.65</v>
      </c>
      <c r="K200" s="2330">
        <f t="shared" si="116"/>
        <v>12.65</v>
      </c>
      <c r="L200" s="2330">
        <f t="shared" si="116"/>
        <v>6.62</v>
      </c>
      <c r="M200" s="2330">
        <f t="shared" si="116"/>
        <v>6.62</v>
      </c>
      <c r="N200" s="2331">
        <f t="shared" si="116"/>
        <v>6.62</v>
      </c>
    </row>
    <row r="201" spans="1:14" s="759" customFormat="1" ht="13.5" customHeight="1" thickBot="1">
      <c r="G201" s="1071"/>
      <c r="H201" s="1071"/>
      <c r="I201" s="1071"/>
      <c r="J201" s="1071"/>
      <c r="K201" s="1071"/>
      <c r="L201" s="1071"/>
      <c r="M201" s="1071"/>
      <c r="N201" s="1071"/>
    </row>
    <row r="202" spans="1:14" s="759" customFormat="1" ht="13.5" customHeight="1">
      <c r="A202" s="1072"/>
      <c r="B202" s="1073"/>
      <c r="C202" s="1074" t="s">
        <v>4079</v>
      </c>
      <c r="D202" s="1075"/>
      <c r="E202" s="1073"/>
      <c r="F202" s="1076" t="s">
        <v>4065</v>
      </c>
      <c r="G202" s="1052">
        <f>+G3</f>
        <v>16.600000000000001</v>
      </c>
      <c r="H202" s="1052">
        <f>+H3</f>
        <v>11</v>
      </c>
      <c r="I202" s="1052">
        <f t="shared" ref="I202:N202" si="117">+I3</f>
        <v>16.600000000000001</v>
      </c>
      <c r="J202" s="1052">
        <f t="shared" si="117"/>
        <v>16.600000000000001</v>
      </c>
      <c r="K202" s="1052">
        <f>+K3</f>
        <v>16.600000000000001</v>
      </c>
      <c r="L202" s="1052">
        <f t="shared" si="117"/>
        <v>0</v>
      </c>
      <c r="M202" s="1052">
        <f t="shared" si="117"/>
        <v>0</v>
      </c>
      <c r="N202" s="1053">
        <f t="shared" si="117"/>
        <v>0</v>
      </c>
    </row>
    <row r="203" spans="1:14" s="759" customFormat="1" ht="13.5" customHeight="1">
      <c r="A203" s="2714"/>
      <c r="B203" s="2717" t="s">
        <v>4075</v>
      </c>
      <c r="C203" s="2317" t="s">
        <v>4080</v>
      </c>
      <c r="D203" s="2300"/>
      <c r="E203" s="2318"/>
      <c r="F203" s="2319" t="s">
        <v>4081</v>
      </c>
      <c r="G203" s="2306">
        <f>IF($F$99&lt;=5000000,ROUND(356.2*((5000)^-0.4085)*(G202^0.5766),2),ROUND(356.2*(($F$99/1000)^-0.4085)*(G202^0.5766),2))</f>
        <v>12.97</v>
      </c>
      <c r="H203" s="2306">
        <f t="shared" ref="H203:N203" si="118">IF($F$99&lt;=5000000,ROUND(356.2*((5000)^-0.4085)*(H202^0.5766),2),ROUND(356.2*(($F$99/1000)^-0.4085)*(H202^0.5766),2))</f>
        <v>10.23</v>
      </c>
      <c r="I203" s="2306">
        <f t="shared" si="118"/>
        <v>12.97</v>
      </c>
      <c r="J203" s="2306">
        <f t="shared" si="118"/>
        <v>12.97</v>
      </c>
      <c r="K203" s="2306">
        <f t="shared" si="118"/>
        <v>12.97</v>
      </c>
      <c r="L203" s="2306">
        <f t="shared" si="118"/>
        <v>0</v>
      </c>
      <c r="M203" s="2306">
        <f t="shared" si="118"/>
        <v>0</v>
      </c>
      <c r="N203" s="2307">
        <f t="shared" si="118"/>
        <v>0</v>
      </c>
    </row>
    <row r="204" spans="1:14" s="759" customFormat="1" ht="13.5" customHeight="1">
      <c r="A204" s="2715"/>
      <c r="B204" s="2718"/>
      <c r="C204" s="2720" t="s">
        <v>4085</v>
      </c>
      <c r="D204" s="2265"/>
      <c r="E204" s="2320"/>
      <c r="F204" s="2319" t="s">
        <v>4070</v>
      </c>
      <c r="G204" s="2321">
        <f>IF($F$99&lt;=5000000,ROUND(26.86,2),0)</f>
        <v>0</v>
      </c>
      <c r="H204" s="2321">
        <f t="shared" ref="H204:N204" si="119">IF($F$99&lt;=5000000,ROUND(26.86,2),0)</f>
        <v>0</v>
      </c>
      <c r="I204" s="2321">
        <f t="shared" si="119"/>
        <v>0</v>
      </c>
      <c r="J204" s="2321">
        <f t="shared" si="119"/>
        <v>0</v>
      </c>
      <c r="K204" s="2321">
        <f t="shared" si="119"/>
        <v>0</v>
      </c>
      <c r="L204" s="2321">
        <f t="shared" si="119"/>
        <v>0</v>
      </c>
      <c r="M204" s="2321">
        <f t="shared" si="119"/>
        <v>0</v>
      </c>
      <c r="N204" s="2322">
        <f t="shared" si="119"/>
        <v>0</v>
      </c>
    </row>
    <row r="205" spans="1:14" s="759" customFormat="1" ht="13.5" customHeight="1">
      <c r="A205" s="2715"/>
      <c r="B205" s="2718"/>
      <c r="C205" s="2721"/>
      <c r="D205" s="2323"/>
      <c r="E205" s="1083"/>
      <c r="F205" s="2319" t="s">
        <v>4071</v>
      </c>
      <c r="G205" s="2321">
        <f>IF($F$99&lt;=5000000,ROUND(12.7,2),0)</f>
        <v>0</v>
      </c>
      <c r="H205" s="2321">
        <f t="shared" ref="H205:N205" si="120">IF($F$99&lt;=5000000,ROUND(12.7,2),0)</f>
        <v>0</v>
      </c>
      <c r="I205" s="2321">
        <f t="shared" si="120"/>
        <v>0</v>
      </c>
      <c r="J205" s="2321">
        <f t="shared" si="120"/>
        <v>0</v>
      </c>
      <c r="K205" s="2321">
        <f t="shared" si="120"/>
        <v>0</v>
      </c>
      <c r="L205" s="2321">
        <f t="shared" si="120"/>
        <v>0</v>
      </c>
      <c r="M205" s="2321">
        <f t="shared" si="120"/>
        <v>0</v>
      </c>
      <c r="N205" s="2322">
        <f t="shared" si="120"/>
        <v>0</v>
      </c>
    </row>
    <row r="206" spans="1:14" s="759" customFormat="1" ht="13.5" customHeight="1">
      <c r="A206" s="2715"/>
      <c r="B206" s="2718"/>
      <c r="C206" s="2720" t="s">
        <v>4086</v>
      </c>
      <c r="D206" s="2265"/>
      <c r="E206" s="2320"/>
      <c r="F206" s="2319" t="s">
        <v>4070</v>
      </c>
      <c r="G206" s="2324">
        <f>IF($F$99&gt;5000000,ROUND(184.58*($F$99/1000)^-0.2263,2),0)</f>
        <v>12.01</v>
      </c>
      <c r="H206" s="2324">
        <f t="shared" ref="H206:N206" si="121">IF($F$99&gt;5000000,ROUND(184.58*($F$99/1000)^-0.2263,2),0)</f>
        <v>12.01</v>
      </c>
      <c r="I206" s="2324">
        <f t="shared" si="121"/>
        <v>12.01</v>
      </c>
      <c r="J206" s="2324">
        <f t="shared" si="121"/>
        <v>12.01</v>
      </c>
      <c r="K206" s="2324">
        <f t="shared" si="121"/>
        <v>12.01</v>
      </c>
      <c r="L206" s="2324">
        <f t="shared" si="121"/>
        <v>12.01</v>
      </c>
      <c r="M206" s="2324">
        <f t="shared" si="121"/>
        <v>12.01</v>
      </c>
      <c r="N206" s="2325">
        <f t="shared" si="121"/>
        <v>12.01</v>
      </c>
    </row>
    <row r="207" spans="1:14" s="759" customFormat="1" ht="13.5" customHeight="1">
      <c r="A207" s="2716"/>
      <c r="B207" s="2719"/>
      <c r="C207" s="2721"/>
      <c r="D207" s="2323"/>
      <c r="E207" s="1083"/>
      <c r="F207" s="2319" t="s">
        <v>4071</v>
      </c>
      <c r="G207" s="2324">
        <f>IF($F$99&gt;5000000,ROUND(87.29*($F$99/1000)^-0.2263,2),0)</f>
        <v>5.68</v>
      </c>
      <c r="H207" s="2324">
        <f t="shared" ref="H207:N207" si="122">IF($F$99&gt;5000000,ROUND(87.29*($F$99/1000)^-0.2263,2),0)</f>
        <v>5.68</v>
      </c>
      <c r="I207" s="2324">
        <f t="shared" si="122"/>
        <v>5.68</v>
      </c>
      <c r="J207" s="2324">
        <f t="shared" si="122"/>
        <v>5.68</v>
      </c>
      <c r="K207" s="2324">
        <f t="shared" si="122"/>
        <v>5.68</v>
      </c>
      <c r="L207" s="2324">
        <f t="shared" si="122"/>
        <v>5.68</v>
      </c>
      <c r="M207" s="2324">
        <f t="shared" si="122"/>
        <v>5.68</v>
      </c>
      <c r="N207" s="2325">
        <f t="shared" si="122"/>
        <v>5.68</v>
      </c>
    </row>
    <row r="208" spans="1:14" s="1094" customFormat="1" ht="13.5" customHeight="1" thickBot="1">
      <c r="A208" s="2724" t="s">
        <v>4084</v>
      </c>
      <c r="B208" s="2725"/>
      <c r="C208" s="2725"/>
      <c r="D208" s="2725"/>
      <c r="E208" s="2332"/>
      <c r="F208" s="2328"/>
      <c r="G208" s="2330">
        <f>IF($F$99&lt;=5000000,IF(G$203&gt;G$204,G$204,IF(G$203&lt;G$205,G$205,G$203)),IF(G$203&gt;G$206,G$206,IF(G$203&lt;G$207,G$207,G$203)))</f>
        <v>12.01</v>
      </c>
      <c r="H208" s="2330">
        <f t="shared" ref="H208:N208" si="123">IF($F$99&lt;=5000000,IF(H$203&gt;H$204,H$204,IF(H$203&lt;H$205,H$205,H$203)),IF(H$203&gt;H$206,H$206,IF(H$203&lt;H$207,H$207,H$203)))</f>
        <v>10.23</v>
      </c>
      <c r="I208" s="2330">
        <f t="shared" si="123"/>
        <v>12.01</v>
      </c>
      <c r="J208" s="2330">
        <f t="shared" si="123"/>
        <v>12.01</v>
      </c>
      <c r="K208" s="2330">
        <f t="shared" si="123"/>
        <v>12.01</v>
      </c>
      <c r="L208" s="2330">
        <f t="shared" si="123"/>
        <v>5.68</v>
      </c>
      <c r="M208" s="2330">
        <f t="shared" si="123"/>
        <v>5.68</v>
      </c>
      <c r="N208" s="2331">
        <f t="shared" si="123"/>
        <v>5.68</v>
      </c>
    </row>
    <row r="209" spans="1:14" s="759" customFormat="1" ht="13.5" customHeight="1" thickBot="1">
      <c r="G209" s="1088"/>
      <c r="H209" s="1088"/>
      <c r="I209" s="1088"/>
      <c r="J209" s="1088"/>
      <c r="K209" s="1088"/>
      <c r="L209" s="1088"/>
      <c r="M209" s="1088"/>
      <c r="N209" s="1088"/>
    </row>
    <row r="210" spans="1:14" s="759" customFormat="1" ht="13.5" customHeight="1">
      <c r="A210" s="1072"/>
      <c r="B210" s="1073"/>
      <c r="C210" s="1074" t="s">
        <v>4087</v>
      </c>
      <c r="D210" s="1075"/>
      <c r="E210" s="1073"/>
      <c r="F210" s="1076"/>
      <c r="G210" s="1096"/>
      <c r="H210" s="1097"/>
      <c r="I210" s="1098"/>
      <c r="J210" s="1098"/>
      <c r="K210" s="1098"/>
      <c r="L210" s="1098"/>
      <c r="M210" s="1098"/>
      <c r="N210" s="1098"/>
    </row>
    <row r="211" spans="1:14" s="759" customFormat="1" ht="13.5" customHeight="1">
      <c r="A211" s="2714"/>
      <c r="B211" s="2717" t="s">
        <v>37</v>
      </c>
      <c r="C211" s="2317" t="s">
        <v>4088</v>
      </c>
      <c r="D211" s="2300"/>
      <c r="E211" s="2318"/>
      <c r="F211" s="2319" t="s">
        <v>4089</v>
      </c>
      <c r="G211" s="1099">
        <f>ROUND(28.978-3.173*LOG($F$142/1000),2)</f>
        <v>12.18</v>
      </c>
      <c r="H211" s="1100"/>
      <c r="I211" s="1101"/>
      <c r="J211" s="1101"/>
      <c r="K211" s="1101"/>
      <c r="L211" s="1101"/>
      <c r="M211" s="1101"/>
      <c r="N211" s="1101"/>
    </row>
    <row r="212" spans="1:14" s="759" customFormat="1" ht="13.5" customHeight="1">
      <c r="A212" s="2715"/>
      <c r="B212" s="2718"/>
      <c r="C212" s="2333" t="s">
        <v>4090</v>
      </c>
      <c r="D212" s="2265"/>
      <c r="E212" s="2265"/>
      <c r="F212" s="2334"/>
      <c r="G212" s="2335">
        <f>IF($F$142&lt;=5000000,17.24,0)</f>
        <v>0</v>
      </c>
      <c r="H212" s="1104"/>
      <c r="I212" s="1105"/>
      <c r="J212" s="118"/>
      <c r="K212" s="1105"/>
      <c r="L212" s="1105"/>
      <c r="M212" s="1105"/>
      <c r="N212" s="1105"/>
    </row>
    <row r="213" spans="1:14" s="759" customFormat="1" ht="13.5" customHeight="1">
      <c r="A213" s="2715"/>
      <c r="B213" s="2718"/>
      <c r="C213" s="2333" t="s">
        <v>4091</v>
      </c>
      <c r="D213" s="2265"/>
      <c r="E213" s="2300"/>
      <c r="F213" s="2334"/>
      <c r="G213" s="2335">
        <f>IF($F$142&gt;3000000000,8.43,0)</f>
        <v>0</v>
      </c>
      <c r="H213" s="1106"/>
      <c r="I213" s="1107"/>
      <c r="J213" s="1107"/>
      <c r="K213" s="1107"/>
      <c r="L213" s="1107"/>
      <c r="M213" s="1107"/>
      <c r="N213" s="1107"/>
    </row>
    <row r="214" spans="1:14" s="1113" customFormat="1" ht="13.5" customHeight="1" thickBot="1">
      <c r="A214" s="2722" t="s">
        <v>4092</v>
      </c>
      <c r="B214" s="2723"/>
      <c r="C214" s="2723"/>
      <c r="D214" s="2723"/>
      <c r="E214" s="2336"/>
      <c r="F214" s="2337"/>
      <c r="G214" s="2338">
        <f>IF($F$142&lt;=5000000,G212,IF($F$142&gt;3000000000,G213,G211))</f>
        <v>12.18</v>
      </c>
      <c r="H214" s="1111"/>
      <c r="I214" s="1112"/>
      <c r="J214" s="1112"/>
      <c r="K214" s="1112"/>
      <c r="L214" s="1112"/>
      <c r="M214" s="1112"/>
      <c r="N214" s="1112"/>
    </row>
  </sheetData>
  <sheetProtection selectLockedCells="1" selectUnlockedCells="1"/>
  <mergeCells count="69">
    <mergeCell ref="C7:F7"/>
    <mergeCell ref="A8:F8"/>
    <mergeCell ref="A9:F9"/>
    <mergeCell ref="A36:A55"/>
    <mergeCell ref="B36:B39"/>
    <mergeCell ref="B40:B48"/>
    <mergeCell ref="B49:B55"/>
    <mergeCell ref="D58:D59"/>
    <mergeCell ref="E58:E59"/>
    <mergeCell ref="A59:C59"/>
    <mergeCell ref="A60:A74"/>
    <mergeCell ref="B61:B64"/>
    <mergeCell ref="B65:B73"/>
    <mergeCell ref="D75:D76"/>
    <mergeCell ref="E75:E76"/>
    <mergeCell ref="A76:C76"/>
    <mergeCell ref="A77:A92"/>
    <mergeCell ref="B77:B82"/>
    <mergeCell ref="B83:B91"/>
    <mergeCell ref="A138:C139"/>
    <mergeCell ref="C142:E142"/>
    <mergeCell ref="D97:D98"/>
    <mergeCell ref="E97:E98"/>
    <mergeCell ref="A98:C98"/>
    <mergeCell ref="A99:A113"/>
    <mergeCell ref="B100:B103"/>
    <mergeCell ref="B104:B112"/>
    <mergeCell ref="D114:D115"/>
    <mergeCell ref="E114:E115"/>
    <mergeCell ref="A115:C115"/>
    <mergeCell ref="A116:A133"/>
    <mergeCell ref="B116:B121"/>
    <mergeCell ref="B122:B130"/>
    <mergeCell ref="B131:B132"/>
    <mergeCell ref="F143:G143"/>
    <mergeCell ref="A144:C144"/>
    <mergeCell ref="F144:G144"/>
    <mergeCell ref="A154:C154"/>
    <mergeCell ref="B156:B157"/>
    <mergeCell ref="A145:A152"/>
    <mergeCell ref="B146:B147"/>
    <mergeCell ref="B150:B152"/>
    <mergeCell ref="B160:B162"/>
    <mergeCell ref="B163:B164"/>
    <mergeCell ref="A177:A181"/>
    <mergeCell ref="B177:B181"/>
    <mergeCell ref="C178:C179"/>
    <mergeCell ref="C180:C181"/>
    <mergeCell ref="A182:F182"/>
    <mergeCell ref="A183:F183"/>
    <mergeCell ref="A186:A190"/>
    <mergeCell ref="B186:B190"/>
    <mergeCell ref="C187:C188"/>
    <mergeCell ref="C189:C190"/>
    <mergeCell ref="A191:F191"/>
    <mergeCell ref="A192:F192"/>
    <mergeCell ref="A195:A199"/>
    <mergeCell ref="B195:B199"/>
    <mergeCell ref="C196:C197"/>
    <mergeCell ref="C198:C199"/>
    <mergeCell ref="A211:A213"/>
    <mergeCell ref="B211:B213"/>
    <mergeCell ref="A214:D214"/>
    <mergeCell ref="A200:D200"/>
    <mergeCell ref="A203:A207"/>
    <mergeCell ref="B203:B207"/>
    <mergeCell ref="C204:C205"/>
    <mergeCell ref="C206:C207"/>
    <mergeCell ref="A208:D208"/>
  </mergeCells>
  <phoneticPr fontId="2"/>
  <conditionalFormatting sqref="F6">
    <cfRule type="expression" dxfId="4" priority="1" stopIfTrue="1">
      <formula>AND($F$32&gt;5000000,OR($E$6="無し",$E$6="なし"))</formula>
    </cfRule>
  </conditionalFormatting>
  <dataValidations count="4">
    <dataValidation type="list" allowBlank="1" showInputMessage="1" showErrorMessage="1" sqref="E5:E6 G9:N9" xr:uid="{00000000-0002-0000-0500-000000000000}">
      <formula1>"有り,無し"</formula1>
    </dataValidation>
    <dataValidation type="list" allowBlank="1" showInputMessage="1" showErrorMessage="1" sqref="G7:N7" xr:uid="{00000000-0002-0000-0500-000001000000}">
      <formula1>"積上げ,積上げ・率処理併用"</formula1>
    </dataValidation>
    <dataValidation type="list" allowBlank="1" showInputMessage="1" showErrorMessage="1" sqref="G4:N4" xr:uid="{00000000-0002-0000-0500-000002000000}">
      <formula1>"改修,新営"</formula1>
    </dataValidation>
    <dataValidation type="list" allowBlank="1" showInputMessage="1" showErrorMessage="1" sqref="G8:N8" xr:uid="{00000000-0002-0000-0500-000003000000}">
      <formula1>"駅施設,地上建物"</formula1>
    </dataValidation>
  </dataValidations>
  <printOptions horizontalCentered="1"/>
  <pageMargins left="0.19685039370078741" right="0.19685039370078741" top="0.6692913385826772" bottom="0.19685039370078741" header="0.51181102362204722" footer="0.51181102362204722"/>
  <pageSetup paperSize="9" scale="73" fitToHeight="3" orientation="landscape" cellComments="asDisplayed" horizontalDpi="300" verticalDpi="300" r:id="rId1"/>
  <headerFooter alignWithMargins="0"/>
  <rowBreaks count="4" manualBreakCount="4">
    <brk id="55" max="13" man="1"/>
    <brk id="94" max="13" man="1"/>
    <brk id="135" max="13" man="1"/>
    <brk id="174" max="1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CC66FF"/>
    <pageSetUpPr fitToPage="1"/>
  </sheetPr>
  <dimension ref="A1:AI276"/>
  <sheetViews>
    <sheetView zoomScale="75" zoomScaleNormal="75" zoomScaleSheetLayoutView="80" workbookViewId="0">
      <pane xSplit="13" topLeftCell="N1" activePane="topRight" state="frozen"/>
      <selection activeCell="C73" sqref="C7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5.625" style="1" bestFit="1" customWidth="1"/>
    <col min="14" max="14" width="19.625" style="1" bestFit="1"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4906</v>
      </c>
      <c r="E2" s="34" t="s">
        <v>153</v>
      </c>
      <c r="F2" s="81">
        <f>VLOOKUP("EOL",資産管理明細書!$M$72:$N$65549,2,FALSE)</f>
        <v>7</v>
      </c>
      <c r="G2" s="1" t="s">
        <v>154</v>
      </c>
      <c r="H2" s="4">
        <f>表紙!H25</f>
        <v>69</v>
      </c>
      <c r="I2" s="4" t="s">
        <v>155</v>
      </c>
      <c r="J2" s="37">
        <f>VLOOKUP("EOL",$M$25:$N$65674,2,FALSE)</f>
        <v>18</v>
      </c>
      <c r="K2" s="2514">
        <v>44197</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ア)東梅田駅の部-可動式ホーム柵設置に伴う建築工事</v>
      </c>
      <c r="D5" s="2348"/>
      <c r="E5" s="632"/>
      <c r="F5" s="1889"/>
      <c r="G5" s="2349"/>
      <c r="H5" s="2061" t="s">
        <v>117</v>
      </c>
      <c r="I5" s="2061" t="s">
        <v>117</v>
      </c>
      <c r="J5" s="2732"/>
      <c r="K5" s="2733"/>
      <c r="L5" s="2734"/>
      <c r="M5" s="37"/>
      <c r="N5" s="37"/>
      <c r="O5" s="186"/>
      <c r="P5" s="187"/>
      <c r="Q5" s="188"/>
      <c r="R5" s="188"/>
      <c r="S5" s="188"/>
      <c r="T5" s="188"/>
      <c r="U5" s="188"/>
      <c r="V5" s="188"/>
      <c r="W5" s="188"/>
      <c r="X5" s="189"/>
      <c r="Y5" s="189"/>
      <c r="Z5" s="189"/>
      <c r="AA5" s="189"/>
      <c r="AB5" s="189"/>
      <c r="AC5" s="188"/>
      <c r="AD5" s="309"/>
      <c r="AE5" s="310"/>
      <c r="AF5" s="188"/>
      <c r="AG5" s="188"/>
      <c r="AH5" s="188"/>
      <c r="AI5" s="557"/>
    </row>
    <row r="6" spans="1:35" ht="24" customHeight="1">
      <c r="A6" s="36"/>
      <c r="B6" s="36"/>
      <c r="C6" s="2350" t="s">
        <v>4119</v>
      </c>
      <c r="D6" s="2351"/>
      <c r="E6" s="2352"/>
      <c r="F6" s="2353"/>
      <c r="G6" s="2354"/>
      <c r="H6" s="2355"/>
      <c r="I6" s="2355"/>
      <c r="J6" s="2351"/>
      <c r="K6" s="2351"/>
      <c r="L6" s="2356"/>
      <c r="M6" s="37"/>
      <c r="N6" s="37"/>
      <c r="O6" s="186"/>
      <c r="P6" s="187"/>
      <c r="Q6" s="188"/>
      <c r="R6" s="188"/>
      <c r="S6" s="188"/>
      <c r="T6" s="188"/>
      <c r="U6" s="188"/>
      <c r="V6" s="188"/>
      <c r="W6" s="188"/>
      <c r="X6" s="189"/>
      <c r="Y6" s="189"/>
      <c r="Z6" s="189"/>
      <c r="AA6" s="189"/>
      <c r="AB6" s="189"/>
      <c r="AC6" s="188"/>
      <c r="AD6" s="309"/>
      <c r="AE6" s="310"/>
      <c r="AF6" s="188"/>
      <c r="AG6" s="188"/>
      <c r="AH6" s="188"/>
      <c r="AI6" s="557"/>
    </row>
    <row r="7" spans="1:35" ht="24" customHeight="1">
      <c r="A7" s="36"/>
      <c r="B7" s="36"/>
      <c r="C7" s="2357"/>
      <c r="D7" s="2351" t="s">
        <v>4120</v>
      </c>
      <c r="E7" s="2352"/>
      <c r="F7" s="2353">
        <v>1</v>
      </c>
      <c r="G7" s="2354" t="s">
        <v>119</v>
      </c>
      <c r="H7" s="2355"/>
      <c r="I7" s="2355">
        <f>I70</f>
        <v>546687</v>
      </c>
      <c r="J7" s="2351"/>
      <c r="K7" s="2351"/>
      <c r="L7" s="2356"/>
      <c r="M7" s="37"/>
      <c r="N7" s="37"/>
      <c r="O7" s="186"/>
      <c r="P7" s="187"/>
      <c r="Q7" s="188"/>
      <c r="R7" s="188"/>
      <c r="S7" s="188"/>
      <c r="T7" s="188"/>
      <c r="U7" s="188"/>
      <c r="V7" s="188"/>
      <c r="W7" s="188"/>
      <c r="X7" s="189"/>
      <c r="Y7" s="189"/>
      <c r="Z7" s="189"/>
      <c r="AA7" s="189"/>
      <c r="AB7" s="189"/>
      <c r="AC7" s="188"/>
      <c r="AD7" s="309"/>
      <c r="AE7" s="310"/>
      <c r="AF7" s="188"/>
      <c r="AG7" s="188"/>
      <c r="AH7" s="188"/>
      <c r="AI7" s="557"/>
    </row>
    <row r="8" spans="1:35" ht="24" customHeight="1">
      <c r="A8" s="36"/>
      <c r="B8" s="36"/>
      <c r="C8" s="2357"/>
      <c r="D8" s="2351" t="s">
        <v>4121</v>
      </c>
      <c r="E8" s="2352"/>
      <c r="F8" s="2353">
        <v>1</v>
      </c>
      <c r="G8" s="2354" t="s">
        <v>119</v>
      </c>
      <c r="H8" s="2355"/>
      <c r="I8" s="2355">
        <f>I93</f>
        <v>7689240</v>
      </c>
      <c r="J8" s="2351"/>
      <c r="K8" s="2351"/>
      <c r="L8" s="2356"/>
      <c r="M8" s="37"/>
      <c r="N8" s="37"/>
      <c r="O8" s="186"/>
      <c r="P8" s="187"/>
      <c r="Q8" s="188"/>
      <c r="R8" s="188"/>
      <c r="S8" s="188"/>
      <c r="T8" s="188"/>
      <c r="U8" s="188"/>
      <c r="V8" s="188"/>
      <c r="W8" s="188"/>
      <c r="X8" s="189"/>
      <c r="Y8" s="189"/>
      <c r="Z8" s="189"/>
      <c r="AA8" s="189"/>
      <c r="AB8" s="189"/>
      <c r="AC8" s="188"/>
      <c r="AD8" s="309"/>
      <c r="AE8" s="310"/>
      <c r="AF8" s="188"/>
      <c r="AG8" s="188"/>
      <c r="AH8" s="188"/>
      <c r="AI8" s="557"/>
    </row>
    <row r="9" spans="1:35" ht="24" customHeight="1">
      <c r="A9" s="36"/>
      <c r="B9" s="36"/>
      <c r="C9" s="2357"/>
      <c r="D9" s="2351" t="s">
        <v>4122</v>
      </c>
      <c r="E9" s="2352"/>
      <c r="F9" s="2353">
        <v>1</v>
      </c>
      <c r="G9" s="2354" t="s">
        <v>119</v>
      </c>
      <c r="H9" s="2355"/>
      <c r="I9" s="2355">
        <f>I116</f>
        <v>7971920</v>
      </c>
      <c r="J9" s="2351"/>
      <c r="K9" s="2351"/>
      <c r="L9" s="2356"/>
      <c r="M9" s="37"/>
      <c r="N9" s="37"/>
      <c r="O9" s="186"/>
      <c r="P9" s="187"/>
      <c r="Q9" s="188"/>
      <c r="R9" s="188"/>
      <c r="S9" s="188"/>
      <c r="T9" s="188"/>
      <c r="U9" s="188"/>
      <c r="V9" s="188"/>
      <c r="W9" s="188"/>
      <c r="X9" s="189"/>
      <c r="Y9" s="189"/>
      <c r="Z9" s="189"/>
      <c r="AA9" s="189"/>
      <c r="AB9" s="189"/>
      <c r="AC9" s="188"/>
      <c r="AD9" s="309"/>
      <c r="AE9" s="310"/>
      <c r="AF9" s="188"/>
      <c r="AG9" s="188"/>
      <c r="AH9" s="188"/>
      <c r="AI9" s="557"/>
    </row>
    <row r="10" spans="1:35" ht="24" customHeight="1">
      <c r="A10" s="36"/>
      <c r="B10" s="36"/>
      <c r="C10" s="2357"/>
      <c r="D10" s="2351" t="s">
        <v>4123</v>
      </c>
      <c r="E10" s="2352"/>
      <c r="F10" s="2353">
        <v>1</v>
      </c>
      <c r="G10" s="2354" t="s">
        <v>119</v>
      </c>
      <c r="H10" s="2355"/>
      <c r="I10" s="2355">
        <f>I139</f>
        <v>543212</v>
      </c>
      <c r="J10" s="2351"/>
      <c r="K10" s="2351"/>
      <c r="L10" s="2356"/>
      <c r="M10" s="37"/>
      <c r="N10" s="37"/>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ht="24" customHeight="1">
      <c r="A11" s="36"/>
      <c r="B11" s="36"/>
      <c r="C11" s="2357"/>
      <c r="D11" s="2351" t="s">
        <v>4124</v>
      </c>
      <c r="E11" s="2352"/>
      <c r="F11" s="2353">
        <v>1</v>
      </c>
      <c r="G11" s="2354" t="s">
        <v>119</v>
      </c>
      <c r="H11" s="2355"/>
      <c r="I11" s="2355">
        <f>I162</f>
        <v>141406</v>
      </c>
      <c r="J11" s="2351"/>
      <c r="K11" s="2351"/>
      <c r="L11" s="2356"/>
      <c r="M11" s="37"/>
      <c r="N11" s="37"/>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2357"/>
      <c r="D12" s="2351" t="s">
        <v>4125</v>
      </c>
      <c r="E12" s="2352"/>
      <c r="F12" s="2353">
        <v>1</v>
      </c>
      <c r="G12" s="2354" t="s">
        <v>119</v>
      </c>
      <c r="H12" s="2355"/>
      <c r="I12" s="2355">
        <f>I185</f>
        <v>3543781</v>
      </c>
      <c r="J12" s="2351"/>
      <c r="K12" s="2351"/>
      <c r="L12" s="2356"/>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ht="24" customHeight="1">
      <c r="A13" s="36"/>
      <c r="B13" s="36"/>
      <c r="C13" s="2357"/>
      <c r="D13" s="2351" t="s">
        <v>4126</v>
      </c>
      <c r="E13" s="2352"/>
      <c r="F13" s="2353">
        <v>1</v>
      </c>
      <c r="G13" s="2354" t="s">
        <v>119</v>
      </c>
      <c r="H13" s="2355"/>
      <c r="I13" s="2355">
        <f>I254</f>
        <v>8779041</v>
      </c>
      <c r="J13" s="2351"/>
      <c r="K13" s="2351"/>
      <c r="L13" s="2356"/>
      <c r="M13" s="37"/>
      <c r="N13" s="37"/>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ht="24" customHeight="1">
      <c r="A14" s="36"/>
      <c r="B14" s="36"/>
      <c r="C14" s="2357"/>
      <c r="D14" s="2351"/>
      <c r="E14" s="2352"/>
      <c r="F14" s="2353"/>
      <c r="G14" s="2354"/>
      <c r="H14" s="2355"/>
      <c r="I14" s="2355"/>
      <c r="J14" s="2351"/>
      <c r="K14" s="2351"/>
      <c r="L14" s="2356"/>
      <c r="M14" s="37"/>
      <c r="N14" s="37"/>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2357"/>
      <c r="D15" s="2351"/>
      <c r="E15" s="2352"/>
      <c r="F15" s="2353"/>
      <c r="G15" s="2354"/>
      <c r="H15" s="2355"/>
      <c r="I15" s="2355"/>
      <c r="J15" s="2351"/>
      <c r="K15" s="2351"/>
      <c r="L15" s="2356"/>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ht="24" customHeight="1">
      <c r="A16" s="36"/>
      <c r="B16" s="36"/>
      <c r="C16" s="2357"/>
      <c r="D16" s="2351" t="s">
        <v>126</v>
      </c>
      <c r="E16" s="2352"/>
      <c r="F16" s="2353"/>
      <c r="G16" s="2354"/>
      <c r="H16" s="2355"/>
      <c r="I16" s="2355">
        <f>SUM(I7:I15)</f>
        <v>29215287</v>
      </c>
      <c r="J16" s="2358" t="str">
        <f>IF(COUNTIF(N:N,"費用")=0,"","うち費用")</f>
        <v>うち費用</v>
      </c>
      <c r="K16" s="2359">
        <f>IF(COUNTIF(N:N,"費用")=0,"",SUMIF(N:N,"費用",I:I))</f>
        <v>8779041</v>
      </c>
      <c r="L16" s="2356"/>
      <c r="M16" s="37"/>
      <c r="N16" s="37"/>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2357"/>
      <c r="D17" s="2360"/>
      <c r="E17" s="2352"/>
      <c r="F17" s="2353"/>
      <c r="G17" s="2354"/>
      <c r="H17" s="2355"/>
      <c r="I17" s="2355"/>
      <c r="J17" s="2351"/>
      <c r="K17" s="2351"/>
      <c r="L17" s="2356"/>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ht="24" customHeight="1">
      <c r="A18" s="36"/>
      <c r="B18" s="36"/>
      <c r="C18" s="2350" t="s">
        <v>4127</v>
      </c>
      <c r="D18" s="2351"/>
      <c r="E18" s="2352"/>
      <c r="F18" s="2353"/>
      <c r="G18" s="2354"/>
      <c r="H18" s="2355"/>
      <c r="I18" s="2355"/>
      <c r="J18" s="2351"/>
      <c r="K18" s="2351"/>
      <c r="L18" s="2356"/>
      <c r="M18" s="37"/>
      <c r="N18" s="37"/>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ht="24" customHeight="1">
      <c r="A19" s="36"/>
      <c r="B19" s="36"/>
      <c r="C19" s="2357"/>
      <c r="D19" s="2351" t="s">
        <v>4128</v>
      </c>
      <c r="E19" s="2352"/>
      <c r="F19" s="2353">
        <v>1</v>
      </c>
      <c r="G19" s="2354" t="s">
        <v>119</v>
      </c>
      <c r="H19" s="2355"/>
      <c r="I19" s="2355">
        <f>+I47</f>
        <v>4210598</v>
      </c>
      <c r="J19" s="2351"/>
      <c r="K19" s="2351"/>
      <c r="L19" s="2356"/>
      <c r="M19" s="37"/>
      <c r="N19" s="37"/>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ht="24" customHeight="1">
      <c r="A20" s="36"/>
      <c r="B20" s="36"/>
      <c r="C20" s="2357"/>
      <c r="D20" s="2351" t="s">
        <v>4129</v>
      </c>
      <c r="E20" s="2352"/>
      <c r="F20" s="2353">
        <v>1</v>
      </c>
      <c r="G20" s="2354" t="s">
        <v>119</v>
      </c>
      <c r="H20" s="2355"/>
      <c r="I20" s="2355">
        <f>+諸経費表!G21</f>
        <v>7996115</v>
      </c>
      <c r="J20" s="2361"/>
      <c r="K20" s="2351"/>
      <c r="L20" s="2356"/>
      <c r="M20" s="37"/>
      <c r="N20" s="37"/>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ht="24" customHeight="1">
      <c r="A21" s="36"/>
      <c r="B21" s="36"/>
      <c r="C21" s="2357"/>
      <c r="D21" s="2351"/>
      <c r="E21" s="2352"/>
      <c r="F21" s="2353"/>
      <c r="G21" s="2354"/>
      <c r="H21" s="2355"/>
      <c r="I21" s="2355"/>
      <c r="J21" s="2351"/>
      <c r="K21" s="2351"/>
      <c r="L21" s="2356"/>
      <c r="M21" s="37"/>
      <c r="N21" s="37"/>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ht="24" customHeight="1">
      <c r="A22" s="36"/>
      <c r="B22" s="36"/>
      <c r="C22" s="2357"/>
      <c r="D22" s="2351" t="s">
        <v>126</v>
      </c>
      <c r="E22" s="2352"/>
      <c r="F22" s="2353"/>
      <c r="G22" s="2354"/>
      <c r="H22" s="2355"/>
      <c r="I22" s="2355">
        <f>+I19+I20</f>
        <v>12206713</v>
      </c>
      <c r="J22" s="2351"/>
      <c r="K22" s="2351"/>
      <c r="L22" s="2356"/>
      <c r="M22" s="37"/>
      <c r="N22" s="37"/>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2357"/>
      <c r="D23" s="2351"/>
      <c r="E23" s="2352"/>
      <c r="F23" s="2353"/>
      <c r="G23" s="2354"/>
      <c r="H23" s="2355"/>
      <c r="I23" s="2355"/>
      <c r="J23" s="2351"/>
      <c r="K23" s="2351"/>
      <c r="L23" s="2356"/>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362"/>
      <c r="D24" s="2363" t="s">
        <v>4130</v>
      </c>
      <c r="E24" s="2364"/>
      <c r="F24" s="2365"/>
      <c r="G24" s="2366"/>
      <c r="H24" s="2367" t="s">
        <v>4131</v>
      </c>
      <c r="I24" s="2368">
        <f>+I22+I16</f>
        <v>41422000</v>
      </c>
      <c r="J24" s="2363" t="s">
        <v>4132</v>
      </c>
      <c r="K24" s="2363"/>
      <c r="L24" s="2369"/>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8</v>
      </c>
      <c r="G25" s="103" t="s">
        <v>131</v>
      </c>
      <c r="H25" s="104">
        <f>H2</f>
        <v>69</v>
      </c>
      <c r="M25" s="31" t="str">
        <f>IF(A27="","EOL","")</f>
        <v/>
      </c>
      <c r="N25" s="1">
        <f>+F25</f>
        <v>8</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82" t="s">
        <v>110</v>
      </c>
      <c r="D27" s="83"/>
      <c r="E27" s="64" t="s">
        <v>111</v>
      </c>
      <c r="F27" s="62" t="s">
        <v>112</v>
      </c>
      <c r="G27" s="62" t="s">
        <v>113</v>
      </c>
      <c r="H27" s="63" t="s">
        <v>114</v>
      </c>
      <c r="I27" s="63" t="s">
        <v>115</v>
      </c>
      <c r="J27" s="83" t="s">
        <v>116</v>
      </c>
      <c r="K27" s="83"/>
      <c r="L27" s="84"/>
      <c r="M27" s="37"/>
      <c r="N27" s="37"/>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2357"/>
      <c r="D29" s="2351" t="s">
        <v>4134</v>
      </c>
      <c r="E29" s="2352"/>
      <c r="F29" s="2353"/>
      <c r="G29" s="2354"/>
      <c r="H29" s="2372"/>
      <c r="I29" s="2355" t="str">
        <f t="shared" ref="I29:I46" si="0">IF(F29="","",INT(F29*H29))</f>
        <v/>
      </c>
      <c r="J29" s="2351"/>
      <c r="K29" s="2351"/>
      <c r="L29" s="2356"/>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2357"/>
      <c r="D30" s="2351" t="s">
        <v>4135</v>
      </c>
      <c r="E30" s="2352"/>
      <c r="F30" s="2353">
        <v>1</v>
      </c>
      <c r="G30" s="2354" t="s">
        <v>122</v>
      </c>
      <c r="H30" s="2372">
        <f>+'東梅田　諸'!G16</f>
        <v>869163</v>
      </c>
      <c r="I30" s="2355">
        <f t="shared" si="0"/>
        <v>869163</v>
      </c>
      <c r="J30" s="2351"/>
      <c r="K30" s="2351"/>
      <c r="L30" s="2356"/>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2357"/>
      <c r="D31" s="2351"/>
      <c r="E31" s="2352"/>
      <c r="F31" s="2353"/>
      <c r="G31" s="2354"/>
      <c r="H31" s="2372"/>
      <c r="I31" s="2355" t="str">
        <f t="shared" si="0"/>
        <v/>
      </c>
      <c r="J31" s="2351"/>
      <c r="K31" s="2351"/>
      <c r="L31" s="2356"/>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373"/>
      <c r="D32" s="2374" t="s">
        <v>4136</v>
      </c>
      <c r="E32" s="2375"/>
      <c r="F32" s="2376"/>
      <c r="G32" s="2377"/>
      <c r="H32" s="2378"/>
      <c r="I32" s="2379">
        <f>SUM(I30:I31)</f>
        <v>869163</v>
      </c>
      <c r="J32" s="2374"/>
      <c r="K32" s="2374"/>
      <c r="L32" s="2380"/>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2357"/>
      <c r="D34" s="2351" t="s">
        <v>4137</v>
      </c>
      <c r="E34" s="2352"/>
      <c r="F34" s="2353"/>
      <c r="G34" s="2354"/>
      <c r="H34" s="2372"/>
      <c r="I34" s="2355" t="str">
        <f t="shared" si="0"/>
        <v/>
      </c>
      <c r="J34" s="2351"/>
      <c r="K34" s="2351"/>
      <c r="L34" s="2356"/>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2357"/>
      <c r="D35" s="2351"/>
      <c r="E35" s="2352"/>
      <c r="F35" s="2353"/>
      <c r="G35" s="2354"/>
      <c r="H35" s="2372"/>
      <c r="I35" s="2355" t="str">
        <f t="shared" si="0"/>
        <v/>
      </c>
      <c r="J35" s="2351"/>
      <c r="K35" s="2351"/>
      <c r="L35" s="2356"/>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2357"/>
      <c r="D36" s="2351" t="s">
        <v>4138</v>
      </c>
      <c r="E36" s="2352"/>
      <c r="F36" s="2353">
        <v>1</v>
      </c>
      <c r="G36" s="2354" t="s">
        <v>119</v>
      </c>
      <c r="H36" s="2372">
        <f>+[3]集計!$D$20</f>
        <v>141084</v>
      </c>
      <c r="I36" s="2355">
        <f t="shared" si="0"/>
        <v>141084</v>
      </c>
      <c r="J36" s="2351"/>
      <c r="K36" s="2351"/>
      <c r="L36" s="2356"/>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2357"/>
      <c r="D37" s="2351" t="s">
        <v>4139</v>
      </c>
      <c r="E37" s="2352"/>
      <c r="F37" s="2353">
        <v>1</v>
      </c>
      <c r="G37" s="2354" t="s">
        <v>119</v>
      </c>
      <c r="H37" s="2372">
        <f>+[3]集計!$D$21</f>
        <v>18414</v>
      </c>
      <c r="I37" s="2355">
        <f t="shared" si="0"/>
        <v>18414</v>
      </c>
      <c r="J37" s="2351"/>
      <c r="K37" s="2351"/>
      <c r="L37" s="2356"/>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2357"/>
      <c r="D38" s="2351" t="s">
        <v>4140</v>
      </c>
      <c r="E38" s="2352"/>
      <c r="F38" s="2353">
        <v>1</v>
      </c>
      <c r="G38" s="2354" t="s">
        <v>119</v>
      </c>
      <c r="H38" s="2372">
        <f>+[3]集計!$D$22</f>
        <v>670112</v>
      </c>
      <c r="I38" s="2355">
        <f t="shared" si="0"/>
        <v>670112</v>
      </c>
      <c r="J38" s="2351"/>
      <c r="K38" s="2351"/>
      <c r="L38" s="2356"/>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2357"/>
      <c r="D39" s="2351" t="s">
        <v>4141</v>
      </c>
      <c r="E39" s="2352"/>
      <c r="F39" s="2353">
        <v>1</v>
      </c>
      <c r="G39" s="2354" t="s">
        <v>119</v>
      </c>
      <c r="H39" s="2372">
        <f>+[3]集計!$D$24</f>
        <v>5223</v>
      </c>
      <c r="I39" s="2355">
        <f t="shared" si="0"/>
        <v>5223</v>
      </c>
      <c r="J39" s="2351"/>
      <c r="K39" s="2351"/>
      <c r="L39" s="2356"/>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2357"/>
      <c r="D40" s="2351" t="s">
        <v>4142</v>
      </c>
      <c r="E40" s="2352"/>
      <c r="F40" s="2353">
        <v>1</v>
      </c>
      <c r="G40" s="2354" t="s">
        <v>119</v>
      </c>
      <c r="H40" s="2372">
        <f>+[3]集計!$D$25</f>
        <v>2506602</v>
      </c>
      <c r="I40" s="2355">
        <f t="shared" si="0"/>
        <v>2506602</v>
      </c>
      <c r="J40" s="2351"/>
      <c r="K40" s="2351"/>
      <c r="L40" s="2356"/>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2357"/>
      <c r="D41" s="2351"/>
      <c r="E41" s="2352"/>
      <c r="F41" s="2353"/>
      <c r="G41" s="2354"/>
      <c r="H41" s="2372"/>
      <c r="I41" s="2355" t="str">
        <f t="shared" si="0"/>
        <v/>
      </c>
      <c r="J41" s="2351"/>
      <c r="K41" s="2351"/>
      <c r="L41" s="2356"/>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2357"/>
      <c r="D42" s="2351"/>
      <c r="E42" s="2352"/>
      <c r="F42" s="2353"/>
      <c r="G42" s="2354"/>
      <c r="H42" s="2372"/>
      <c r="I42" s="2355" t="str">
        <f t="shared" si="0"/>
        <v/>
      </c>
      <c r="J42" s="2351"/>
      <c r="K42" s="2351"/>
      <c r="L42" s="2356"/>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2357"/>
      <c r="D43" s="2351"/>
      <c r="E43" s="2352"/>
      <c r="F43" s="2353"/>
      <c r="G43" s="2354"/>
      <c r="H43" s="2372"/>
      <c r="I43" s="2355" t="str">
        <f t="shared" si="0"/>
        <v/>
      </c>
      <c r="J43" s="2351"/>
      <c r="K43" s="2351"/>
      <c r="L43" s="2356"/>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2357"/>
      <c r="D44" s="2351"/>
      <c r="E44" s="2352"/>
      <c r="F44" s="2353"/>
      <c r="G44" s="2354"/>
      <c r="H44" s="2372"/>
      <c r="I44" s="2355" t="str">
        <f t="shared" si="0"/>
        <v/>
      </c>
      <c r="J44" s="2351"/>
      <c r="K44" s="2351"/>
      <c r="L44" s="2356"/>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381"/>
      <c r="D45" s="2374" t="s">
        <v>4143</v>
      </c>
      <c r="E45" s="2375"/>
      <c r="F45" s="2376"/>
      <c r="G45" s="2377"/>
      <c r="H45" s="2378"/>
      <c r="I45" s="2379">
        <f>SUM(I35:I44)</f>
        <v>3341435</v>
      </c>
      <c r="J45" s="2374"/>
      <c r="K45" s="2374"/>
      <c r="L45" s="2380"/>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43"/>
      <c r="D46" s="631"/>
      <c r="E46" s="632"/>
      <c r="F46" s="633"/>
      <c r="G46" s="634"/>
      <c r="H46" s="635"/>
      <c r="I46" s="636" t="str">
        <f t="shared" si="0"/>
        <v/>
      </c>
      <c r="J46" s="631"/>
      <c r="K46" s="631"/>
      <c r="L46" s="637"/>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362"/>
      <c r="D47" s="2363" t="s">
        <v>4144</v>
      </c>
      <c r="E47" s="2364"/>
      <c r="F47" s="2365"/>
      <c r="G47" s="2366"/>
      <c r="H47" s="2382" t="s">
        <v>4131</v>
      </c>
      <c r="I47" s="2368">
        <f>I32+I45</f>
        <v>4210598</v>
      </c>
      <c r="J47" s="2363" t="s">
        <v>4132</v>
      </c>
      <c r="K47" s="2383" t="str">
        <f>IF(C28="部分撤去工事",(K24+L47),"")</f>
        <v/>
      </c>
      <c r="L47" s="2384">
        <f>IF(C28="部分撤去工事",SUMIF(N29:N46,"費用",I29:I46),0)</f>
        <v>0</v>
      </c>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C48" s="128"/>
      <c r="D48" s="128"/>
      <c r="E48" s="101" t="s">
        <v>130</v>
      </c>
      <c r="F48" s="102">
        <f>+F25+1</f>
        <v>9</v>
      </c>
      <c r="G48" s="103" t="s">
        <v>131</v>
      </c>
      <c r="H48" s="104">
        <f>+H25</f>
        <v>69</v>
      </c>
      <c r="I48" s="104"/>
      <c r="M48" s="31" t="str">
        <f>IF(A50="","EOL","")</f>
        <v/>
      </c>
      <c r="N48" s="1">
        <f>+F48</f>
        <v>9</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1.25" customHeight="1">
      <c r="A50" s="5" t="s">
        <v>108</v>
      </c>
      <c r="B50" s="5" t="s">
        <v>4145</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4120</v>
      </c>
      <c r="D51" s="2385"/>
      <c r="E51" s="623"/>
      <c r="F51" s="1889"/>
      <c r="G51" s="1890"/>
      <c r="H51" s="2386" t="s">
        <v>117</v>
      </c>
      <c r="I51" s="2386" t="s">
        <v>117</v>
      </c>
      <c r="J51" s="2732"/>
      <c r="K51" s="2733"/>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2387"/>
      <c r="D52" s="2388"/>
      <c r="E52" s="2389"/>
      <c r="F52" s="2353"/>
      <c r="G52" s="2354"/>
      <c r="H52" s="2390"/>
      <c r="I52" s="2355" t="str">
        <f t="shared" ref="I52:I69" si="1">IF(F52="","",INT(F52*H52))</f>
        <v/>
      </c>
      <c r="J52" s="2391"/>
      <c r="K52" s="2351"/>
      <c r="L52" s="2356"/>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2357"/>
      <c r="D53" s="2392" t="s">
        <v>4146</v>
      </c>
      <c r="E53" s="2352"/>
      <c r="F53" s="2353">
        <v>1</v>
      </c>
      <c r="G53" s="2354" t="s">
        <v>119</v>
      </c>
      <c r="H53" s="2372">
        <f>+[2]集計!$D$17</f>
        <v>90400</v>
      </c>
      <c r="I53" s="2355">
        <f t="shared" si="1"/>
        <v>90400</v>
      </c>
      <c r="J53" s="2351" t="s">
        <v>4147</v>
      </c>
      <c r="K53" s="2351"/>
      <c r="L53" s="2356"/>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2357"/>
      <c r="D54" s="2392" t="s">
        <v>4148</v>
      </c>
      <c r="E54" s="2352"/>
      <c r="F54" s="2353">
        <v>1</v>
      </c>
      <c r="G54" s="2354" t="s">
        <v>119</v>
      </c>
      <c r="H54" s="2372">
        <f>+[2]集計!$D$18</f>
        <v>101699</v>
      </c>
      <c r="I54" s="2355">
        <f t="shared" si="1"/>
        <v>101699</v>
      </c>
      <c r="J54" s="2351" t="s">
        <v>4149</v>
      </c>
      <c r="K54" s="2351"/>
      <c r="L54" s="2356"/>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2357"/>
      <c r="D55" s="2392" t="s">
        <v>4150</v>
      </c>
      <c r="E55" s="2352"/>
      <c r="F55" s="2353">
        <v>1</v>
      </c>
      <c r="G55" s="2354" t="s">
        <v>119</v>
      </c>
      <c r="H55" s="2372">
        <f>+[2]集計!$D$19</f>
        <v>281022</v>
      </c>
      <c r="I55" s="2355">
        <f t="shared" si="1"/>
        <v>281022</v>
      </c>
      <c r="J55" s="2351" t="s">
        <v>4149</v>
      </c>
      <c r="K55" s="2351"/>
      <c r="L55" s="2356"/>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2357"/>
      <c r="D56" s="2392" t="s">
        <v>4151</v>
      </c>
      <c r="E56" s="2352"/>
      <c r="F56" s="2353">
        <v>1</v>
      </c>
      <c r="G56" s="2354" t="s">
        <v>119</v>
      </c>
      <c r="H56" s="2372">
        <f>+[2]集計!$D$20</f>
        <v>0</v>
      </c>
      <c r="I56" s="2355">
        <f t="shared" si="1"/>
        <v>0</v>
      </c>
      <c r="J56" s="2351" t="s">
        <v>4149</v>
      </c>
      <c r="K56" s="2351"/>
      <c r="L56" s="2356"/>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2357"/>
      <c r="D57" s="2392" t="s">
        <v>4152</v>
      </c>
      <c r="E57" s="2352"/>
      <c r="F57" s="2353">
        <v>1</v>
      </c>
      <c r="G57" s="2354" t="s">
        <v>119</v>
      </c>
      <c r="H57" s="2372">
        <f>+[2]集計!$D$21</f>
        <v>65498</v>
      </c>
      <c r="I57" s="2355">
        <f t="shared" si="1"/>
        <v>65498</v>
      </c>
      <c r="J57" s="2351" t="s">
        <v>4149</v>
      </c>
      <c r="K57" s="2351"/>
      <c r="L57" s="2356"/>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2357"/>
      <c r="D58" s="2392" t="s">
        <v>4153</v>
      </c>
      <c r="E58" s="2352"/>
      <c r="F58" s="2353">
        <v>1</v>
      </c>
      <c r="G58" s="2354" t="s">
        <v>119</v>
      </c>
      <c r="H58" s="2372">
        <f>+[2]集計!$D$22</f>
        <v>8068</v>
      </c>
      <c r="I58" s="2355">
        <f t="shared" si="1"/>
        <v>8068</v>
      </c>
      <c r="J58" s="2351" t="s">
        <v>4149</v>
      </c>
      <c r="K58" s="2351"/>
      <c r="L58" s="2356"/>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2387"/>
      <c r="D59" s="2388"/>
      <c r="E59" s="2389"/>
      <c r="F59" s="2353"/>
      <c r="G59" s="2354"/>
      <c r="H59" s="2390"/>
      <c r="I59" s="2355" t="str">
        <f t="shared" si="1"/>
        <v/>
      </c>
      <c r="J59" s="2391"/>
      <c r="K59" s="2351"/>
      <c r="L59" s="2356"/>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2387"/>
      <c r="D60" s="2388"/>
      <c r="E60" s="2389"/>
      <c r="F60" s="2353"/>
      <c r="G60" s="2354"/>
      <c r="H60" s="2390"/>
      <c r="I60" s="2355" t="str">
        <f t="shared" si="1"/>
        <v/>
      </c>
      <c r="J60" s="2391"/>
      <c r="K60" s="2351"/>
      <c r="L60" s="2356"/>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2387"/>
      <c r="D61" s="2388"/>
      <c r="E61" s="2389"/>
      <c r="F61" s="2353"/>
      <c r="G61" s="2354"/>
      <c r="H61" s="2390"/>
      <c r="I61" s="2355" t="str">
        <f t="shared" si="1"/>
        <v/>
      </c>
      <c r="J61" s="2391"/>
      <c r="K61" s="2351"/>
      <c r="L61" s="2356"/>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2387"/>
      <c r="D62" s="2388"/>
      <c r="E62" s="2389"/>
      <c r="F62" s="2353"/>
      <c r="G62" s="2354"/>
      <c r="H62" s="2390"/>
      <c r="I62" s="2355" t="str">
        <f t="shared" si="1"/>
        <v/>
      </c>
      <c r="J62" s="2391"/>
      <c r="K62" s="2351"/>
      <c r="L62" s="2356"/>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2387"/>
      <c r="D63" s="2388"/>
      <c r="E63" s="2389"/>
      <c r="F63" s="2353"/>
      <c r="G63" s="2354"/>
      <c r="H63" s="2390"/>
      <c r="I63" s="2355" t="str">
        <f t="shared" si="1"/>
        <v/>
      </c>
      <c r="J63" s="2391"/>
      <c r="K63" s="2351"/>
      <c r="L63" s="2356"/>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2387"/>
      <c r="D64" s="2388"/>
      <c r="E64" s="2389"/>
      <c r="F64" s="2353"/>
      <c r="G64" s="2354"/>
      <c r="H64" s="2390"/>
      <c r="I64" s="2355" t="str">
        <f t="shared" si="1"/>
        <v/>
      </c>
      <c r="J64" s="2391"/>
      <c r="K64" s="2351"/>
      <c r="L64" s="2356"/>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2387"/>
      <c r="D65" s="2388"/>
      <c r="E65" s="2389"/>
      <c r="F65" s="2353"/>
      <c r="G65" s="2354"/>
      <c r="H65" s="2390"/>
      <c r="I65" s="2355" t="str">
        <f t="shared" si="1"/>
        <v/>
      </c>
      <c r="J65" s="2391"/>
      <c r="K65" s="2351"/>
      <c r="L65" s="2356"/>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2387"/>
      <c r="D66" s="2388"/>
      <c r="E66" s="2389"/>
      <c r="F66" s="2353"/>
      <c r="G66" s="2354"/>
      <c r="H66" s="2390"/>
      <c r="I66" s="2355" t="str">
        <f t="shared" si="1"/>
        <v/>
      </c>
      <c r="J66" s="2391"/>
      <c r="K66" s="2351"/>
      <c r="L66" s="2356"/>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2387"/>
      <c r="D67" s="2388"/>
      <c r="E67" s="2389"/>
      <c r="F67" s="2353"/>
      <c r="G67" s="2354"/>
      <c r="H67" s="2390"/>
      <c r="I67" s="2355" t="str">
        <f t="shared" si="1"/>
        <v/>
      </c>
      <c r="J67" s="2391"/>
      <c r="K67" s="2351"/>
      <c r="L67" s="2356"/>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2387"/>
      <c r="D68" s="2388"/>
      <c r="E68" s="2389"/>
      <c r="F68" s="2353"/>
      <c r="G68" s="2354"/>
      <c r="H68" s="2390"/>
      <c r="I68" s="2355" t="str">
        <f t="shared" si="1"/>
        <v/>
      </c>
      <c r="J68" s="2391"/>
      <c r="K68" s="2351"/>
      <c r="L68" s="2356"/>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2387"/>
      <c r="D69" s="2388"/>
      <c r="E69" s="2389"/>
      <c r="F69" s="2353"/>
      <c r="G69" s="2354"/>
      <c r="H69" s="2390"/>
      <c r="I69" s="2355" t="str">
        <f t="shared" si="1"/>
        <v/>
      </c>
      <c r="J69" s="2391"/>
      <c r="K69" s="2351"/>
      <c r="L69" s="2356"/>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362"/>
      <c r="D70" s="2363" t="s">
        <v>4144</v>
      </c>
      <c r="E70" s="2364"/>
      <c r="F70" s="2365"/>
      <c r="G70" s="2366"/>
      <c r="H70" s="2382" t="s">
        <v>4131</v>
      </c>
      <c r="I70" s="2368">
        <f>SUM(I52:I69)</f>
        <v>546687</v>
      </c>
      <c r="J70" s="2383" t="str">
        <f>IF(C51="部分撤去工事","）うち費用",")")</f>
        <v>)</v>
      </c>
      <c r="K70" s="2393">
        <f>IF(C51="部分撤去工事",(K47+L70),0)</f>
        <v>0</v>
      </c>
      <c r="L70" s="2384">
        <f>IF(C51="部分撤去工事",SUMIF(N52:N69,"費用",I52:I69),0)</f>
        <v>0</v>
      </c>
      <c r="M70" s="2394"/>
      <c r="N70"/>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E71" s="101" t="s">
        <v>130</v>
      </c>
      <c r="F71" s="102">
        <f>+F48+1</f>
        <v>10</v>
      </c>
      <c r="G71" s="103" t="s">
        <v>131</v>
      </c>
      <c r="H71" s="104">
        <f>+H48</f>
        <v>69</v>
      </c>
      <c r="I71" s="104"/>
      <c r="M71" s="598" t="str">
        <f>IF(A73="","EOL","")</f>
        <v/>
      </c>
      <c r="N71" s="1">
        <f>+F71</f>
        <v>10</v>
      </c>
      <c r="Q71" s="37"/>
      <c r="R71" s="37"/>
      <c r="S71" s="37"/>
      <c r="T71" s="37"/>
      <c r="U71" s="37"/>
      <c r="V71" s="37"/>
      <c r="W71" s="37"/>
      <c r="X71" s="37"/>
      <c r="Y71" s="37"/>
      <c r="Z71" s="37"/>
    </row>
    <row r="72" spans="1:35" ht="26.1" customHeight="1" thickBot="1">
      <c r="C72" s="2517" t="s">
        <v>107</v>
      </c>
      <c r="D72" s="2517"/>
      <c r="E72" s="2517"/>
      <c r="F72" s="2517"/>
      <c r="G72" s="2517"/>
      <c r="H72" s="2517"/>
      <c r="I72" s="2517"/>
      <c r="J72" s="2517"/>
      <c r="K72" s="2517"/>
      <c r="L72" s="2517"/>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32"/>
      <c r="K74" s="2733"/>
      <c r="L74" s="2734"/>
      <c r="M74" s="2395"/>
      <c r="N74" s="2396"/>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2387"/>
      <c r="D75" s="2388"/>
      <c r="E75" s="2389"/>
      <c r="F75" s="2353"/>
      <c r="G75" s="2354"/>
      <c r="H75" s="2390"/>
      <c r="I75" s="2355" t="str">
        <f t="shared" ref="I75:I92" si="2">IF(F75="","",INT(F75*H75))</f>
        <v/>
      </c>
      <c r="J75" s="2391"/>
      <c r="K75" s="2351"/>
      <c r="L75" s="2356"/>
      <c r="M75" s="2397"/>
      <c r="N75" s="2398"/>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2387">
        <v>300</v>
      </c>
      <c r="D76" s="2399" t="s">
        <v>4155</v>
      </c>
      <c r="E76" s="2389" t="s">
        <v>4156</v>
      </c>
      <c r="F76" s="2353">
        <v>39.700000000000003</v>
      </c>
      <c r="G76" s="2354" t="s">
        <v>4157</v>
      </c>
      <c r="H76" s="2390">
        <f>見積比較!O$5</f>
        <v>34200</v>
      </c>
      <c r="I76" s="2355">
        <f>IF(F76="","",INT(F76*H76))</f>
        <v>1357740</v>
      </c>
      <c r="J76" s="2391" t="s">
        <v>4158</v>
      </c>
      <c r="K76" s="2351"/>
      <c r="L76" s="2356" t="s">
        <v>4901</v>
      </c>
      <c r="M76" s="2397"/>
      <c r="N76" s="2398"/>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2387"/>
      <c r="D77" s="2388"/>
      <c r="E77" s="2389"/>
      <c r="F77" s="2353"/>
      <c r="G77" s="2354"/>
      <c r="H77" s="2390"/>
      <c r="I77" s="2355" t="str">
        <f t="shared" ref="I77:I80" si="3">IF(F77="","",INT(F77*H77))</f>
        <v/>
      </c>
      <c r="J77" s="2391"/>
      <c r="K77" s="2351"/>
      <c r="L77" s="2356"/>
      <c r="M77" s="2397"/>
      <c r="N77" s="2398"/>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v>4</v>
      </c>
      <c r="B78" s="36">
        <v>4</v>
      </c>
      <c r="C78" s="2387">
        <v>301</v>
      </c>
      <c r="D78" s="2399" t="s">
        <v>4159</v>
      </c>
      <c r="E78" s="2389" t="s">
        <v>4160</v>
      </c>
      <c r="F78" s="2353">
        <v>105</v>
      </c>
      <c r="G78" s="2354" t="s">
        <v>4157</v>
      </c>
      <c r="H78" s="2390">
        <f>見積比較!O$64</f>
        <v>21900</v>
      </c>
      <c r="I78" s="2355">
        <f>IF(F78="","",INT(F78*H78))</f>
        <v>2299500</v>
      </c>
      <c r="J78" s="2391" t="s">
        <v>4161</v>
      </c>
      <c r="K78" s="2351"/>
      <c r="L78" s="2356" t="s">
        <v>4901</v>
      </c>
      <c r="M78" s="2397"/>
      <c r="N78" s="2398"/>
      <c r="O78" s="597">
        <v>0</v>
      </c>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v>4</v>
      </c>
      <c r="B79" s="36">
        <v>4</v>
      </c>
      <c r="C79" s="2387">
        <v>25011</v>
      </c>
      <c r="D79" s="2399" t="s">
        <v>4162</v>
      </c>
      <c r="E79" s="2389" t="s">
        <v>4163</v>
      </c>
      <c r="F79" s="2353">
        <v>105</v>
      </c>
      <c r="G79" s="2354" t="s">
        <v>4164</v>
      </c>
      <c r="H79" s="2390">
        <v>38400</v>
      </c>
      <c r="I79" s="2355">
        <f>IF(F79="","",INT(F79*H79))</f>
        <v>4032000</v>
      </c>
      <c r="J79" s="2391" t="s">
        <v>4165</v>
      </c>
      <c r="K79" s="2351"/>
      <c r="L79" s="2356" t="s">
        <v>4901</v>
      </c>
      <c r="M79" s="2397"/>
      <c r="N79" s="2398"/>
      <c r="O79" s="597">
        <v>0</v>
      </c>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2387"/>
      <c r="D80" s="2388"/>
      <c r="E80" s="2389"/>
      <c r="F80" s="2353"/>
      <c r="G80" s="2354"/>
      <c r="H80" s="2390"/>
      <c r="I80" s="2355" t="str">
        <f t="shared" si="3"/>
        <v/>
      </c>
      <c r="J80" s="2391"/>
      <c r="K80" s="2351"/>
      <c r="L80" s="2356"/>
      <c r="M80" s="2397"/>
      <c r="N80" s="2398"/>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2387"/>
      <c r="D81" s="2388"/>
      <c r="E81" s="2389"/>
      <c r="F81" s="2353"/>
      <c r="G81" s="2354"/>
      <c r="H81" s="2390"/>
      <c r="I81" s="2355" t="str">
        <f t="shared" si="2"/>
        <v/>
      </c>
      <c r="J81" s="2391"/>
      <c r="K81" s="2351"/>
      <c r="L81" s="2356"/>
      <c r="M81" s="2397"/>
      <c r="N81" s="2398"/>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2387"/>
      <c r="D82" s="2388"/>
      <c r="E82" s="2389"/>
      <c r="F82" s="2353"/>
      <c r="G82" s="2354"/>
      <c r="H82" s="2390"/>
      <c r="I82" s="2355" t="str">
        <f t="shared" si="2"/>
        <v/>
      </c>
      <c r="J82" s="2391"/>
      <c r="K82" s="2351"/>
      <c r="L82" s="2356"/>
      <c r="M82" s="2397"/>
      <c r="N82" s="2398"/>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2387"/>
      <c r="D83" s="2388"/>
      <c r="E83" s="2389"/>
      <c r="F83" s="2353"/>
      <c r="G83" s="2354"/>
      <c r="H83" s="2390"/>
      <c r="I83" s="2355" t="str">
        <f t="shared" si="2"/>
        <v/>
      </c>
      <c r="J83" s="2391"/>
      <c r="K83" s="2351"/>
      <c r="L83" s="2356"/>
      <c r="M83" s="2397"/>
      <c r="N83" s="2398"/>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2387"/>
      <c r="D84" s="2388"/>
      <c r="E84" s="2389"/>
      <c r="F84" s="2353"/>
      <c r="G84" s="2354"/>
      <c r="H84" s="2390"/>
      <c r="I84" s="2355" t="str">
        <f t="shared" si="2"/>
        <v/>
      </c>
      <c r="J84" s="2391"/>
      <c r="K84" s="2351"/>
      <c r="L84" s="2356"/>
      <c r="M84" s="2397"/>
      <c r="N84" s="2398"/>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2387"/>
      <c r="D85" s="2388"/>
      <c r="E85" s="2389"/>
      <c r="F85" s="2353"/>
      <c r="G85" s="2354"/>
      <c r="H85" s="2390"/>
      <c r="I85" s="2355" t="str">
        <f t="shared" si="2"/>
        <v/>
      </c>
      <c r="J85" s="2391"/>
      <c r="K85" s="2351"/>
      <c r="L85" s="2356"/>
      <c r="M85" s="2397"/>
      <c r="N85" s="2398"/>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2387"/>
      <c r="D86" s="2388"/>
      <c r="E86" s="2389"/>
      <c r="F86" s="2353"/>
      <c r="G86" s="2354"/>
      <c r="H86" s="2390"/>
      <c r="I86" s="2355" t="str">
        <f t="shared" si="2"/>
        <v/>
      </c>
      <c r="J86" s="2391"/>
      <c r="K86" s="2351"/>
      <c r="L86" s="2356"/>
      <c r="M86" s="2397"/>
      <c r="N86" s="2398"/>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2387"/>
      <c r="D87" s="2388"/>
      <c r="E87" s="2389"/>
      <c r="F87" s="2353"/>
      <c r="G87" s="2354"/>
      <c r="H87" s="2390"/>
      <c r="I87" s="2355" t="str">
        <f t="shared" si="2"/>
        <v/>
      </c>
      <c r="J87" s="2391"/>
      <c r="K87" s="2351"/>
      <c r="L87" s="2356"/>
      <c r="M87" s="2397"/>
      <c r="N87" s="2398"/>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2387"/>
      <c r="D88" s="2388"/>
      <c r="E88" s="2389"/>
      <c r="F88" s="2353"/>
      <c r="G88" s="2354"/>
      <c r="H88" s="2390"/>
      <c r="I88" s="2355" t="str">
        <f t="shared" si="2"/>
        <v/>
      </c>
      <c r="J88" s="2391"/>
      <c r="K88" s="2351"/>
      <c r="L88" s="2356"/>
      <c r="M88" s="2397"/>
      <c r="N88" s="2398"/>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2387"/>
      <c r="D89" s="2388"/>
      <c r="E89" s="2389"/>
      <c r="F89" s="2353"/>
      <c r="G89" s="2354"/>
      <c r="H89" s="2390"/>
      <c r="I89" s="2355" t="str">
        <f t="shared" si="2"/>
        <v/>
      </c>
      <c r="J89" s="2391"/>
      <c r="K89" s="2351"/>
      <c r="L89" s="2356"/>
      <c r="M89" s="2397"/>
      <c r="N89" s="2398"/>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2387"/>
      <c r="D90" s="2388"/>
      <c r="E90" s="2389"/>
      <c r="F90" s="2353"/>
      <c r="G90" s="2354"/>
      <c r="H90" s="2390"/>
      <c r="I90" s="2355" t="str">
        <f t="shared" si="2"/>
        <v/>
      </c>
      <c r="J90" s="2391"/>
      <c r="K90" s="2351"/>
      <c r="L90" s="2356"/>
      <c r="M90" s="2397"/>
      <c r="N90" s="2398"/>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2387"/>
      <c r="D91" s="2388"/>
      <c r="E91" s="2389"/>
      <c r="F91" s="2353"/>
      <c r="G91" s="2354"/>
      <c r="H91" s="2390"/>
      <c r="I91" s="2355" t="str">
        <f t="shared" si="2"/>
        <v/>
      </c>
      <c r="J91" s="2391"/>
      <c r="K91" s="2351"/>
      <c r="L91" s="2356"/>
      <c r="M91" s="2397"/>
      <c r="N91" s="2398"/>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2387"/>
      <c r="D92" s="2388"/>
      <c r="E92" s="2389"/>
      <c r="F92" s="2353"/>
      <c r="G92" s="2354"/>
      <c r="H92" s="2390"/>
      <c r="I92" s="2355" t="str">
        <f t="shared" si="2"/>
        <v/>
      </c>
      <c r="J92" s="2391"/>
      <c r="K92" s="2351"/>
      <c r="L92" s="2356"/>
      <c r="M92" s="2397"/>
      <c r="N92" s="2398"/>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362"/>
      <c r="D93" s="2363" t="s">
        <v>4144</v>
      </c>
      <c r="E93" s="2364"/>
      <c r="F93" s="2365"/>
      <c r="G93" s="2366"/>
      <c r="H93" s="2382" t="s">
        <v>4131</v>
      </c>
      <c r="I93" s="2368">
        <f>SUM(I75:I92)</f>
        <v>7689240</v>
      </c>
      <c r="J93" s="2383" t="str">
        <f>IF(C74="部分撤去工事","）うち費用",")")</f>
        <v>)</v>
      </c>
      <c r="K93" s="2393">
        <f>IF(C74="部分撤去工事",(K70+L93),0)</f>
        <v>0</v>
      </c>
      <c r="L93" s="2384">
        <f>IF(C74="部分撤去工事",SUMIF(N75:N92,"費用",I75:I92),0)</f>
        <v>0</v>
      </c>
      <c r="M93" s="2394"/>
      <c r="N93" s="2400"/>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11</v>
      </c>
      <c r="G94" s="103" t="s">
        <v>131</v>
      </c>
      <c r="H94" s="104">
        <f>+H71</f>
        <v>69</v>
      </c>
      <c r="I94" s="104"/>
      <c r="M94" s="598" t="str">
        <f>IF(A96="","EOL","")</f>
        <v/>
      </c>
      <c r="N94" s="1">
        <f>+F94</f>
        <v>11</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4122</v>
      </c>
      <c r="D97" s="2385"/>
      <c r="E97" s="623"/>
      <c r="F97" s="1889"/>
      <c r="G97" s="1890"/>
      <c r="H97" s="2386" t="s">
        <v>117</v>
      </c>
      <c r="I97" s="2386" t="s">
        <v>117</v>
      </c>
      <c r="J97" s="2732"/>
      <c r="K97" s="2733"/>
      <c r="L97" s="2734"/>
      <c r="M97" s="2395"/>
      <c r="N97" s="2396"/>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2387"/>
      <c r="D98" s="2388"/>
      <c r="E98" s="2389"/>
      <c r="F98" s="2353"/>
      <c r="G98" s="2354"/>
      <c r="H98" s="2390"/>
      <c r="I98" s="2355" t="str">
        <f t="shared" ref="I98:I115" si="4">IF(F98="","",INT(F98*H98))</f>
        <v/>
      </c>
      <c r="J98" s="2391"/>
      <c r="K98" s="2351"/>
      <c r="L98" s="2356"/>
      <c r="M98" s="2397"/>
      <c r="N98" s="2398"/>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2387">
        <v>400</v>
      </c>
      <c r="D99" s="2399" t="s">
        <v>4166</v>
      </c>
      <c r="E99" s="2389" t="s">
        <v>4167</v>
      </c>
      <c r="F99" s="2353">
        <v>1</v>
      </c>
      <c r="G99" s="2354" t="s">
        <v>4168</v>
      </c>
      <c r="H99" s="2390">
        <f>見積比較!O$90</f>
        <v>1792400</v>
      </c>
      <c r="I99" s="2355">
        <f>IF(F99="","",INT(F99*H99))</f>
        <v>1792400</v>
      </c>
      <c r="J99" s="2391" t="s">
        <v>4169</v>
      </c>
      <c r="K99" s="2351"/>
      <c r="L99" s="2356" t="s">
        <v>4901</v>
      </c>
      <c r="M99" s="2397"/>
      <c r="N99" s="2398"/>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2387"/>
      <c r="D100" s="2388"/>
      <c r="E100" s="2389"/>
      <c r="F100" s="2353"/>
      <c r="G100" s="2354"/>
      <c r="H100" s="2390"/>
      <c r="I100" s="2355" t="str">
        <f t="shared" ref="I100:I105" si="5">IF(F100="","",INT(F100*H100))</f>
        <v/>
      </c>
      <c r="J100" s="2391"/>
      <c r="K100" s="2351"/>
      <c r="L100" s="2356"/>
      <c r="M100" s="2397"/>
      <c r="N100" s="2398"/>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v>4</v>
      </c>
      <c r="B101" s="36">
        <v>4</v>
      </c>
      <c r="C101" s="2387">
        <v>401</v>
      </c>
      <c r="D101" s="2399" t="s">
        <v>4166</v>
      </c>
      <c r="E101" s="2389" t="s">
        <v>4170</v>
      </c>
      <c r="F101" s="2353">
        <v>1</v>
      </c>
      <c r="G101" s="2354" t="s">
        <v>4168</v>
      </c>
      <c r="H101" s="2390">
        <f>見積比較!O$92</f>
        <v>3360700</v>
      </c>
      <c r="I101" s="2355">
        <f>IF(F101="","",INT(F101*H101))</f>
        <v>3360700</v>
      </c>
      <c r="J101" s="2391" t="s">
        <v>4169</v>
      </c>
      <c r="K101" s="2351"/>
      <c r="L101" s="2356" t="s">
        <v>4901</v>
      </c>
      <c r="M101" s="2397"/>
      <c r="N101" s="2398"/>
      <c r="O101" s="597">
        <v>0</v>
      </c>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2387"/>
      <c r="D102" s="2388"/>
      <c r="E102" s="2389"/>
      <c r="F102" s="2353"/>
      <c r="G102" s="2354"/>
      <c r="H102" s="2390"/>
      <c r="I102" s="2355" t="str">
        <f t="shared" si="5"/>
        <v/>
      </c>
      <c r="J102" s="2391"/>
      <c r="K102" s="2351"/>
      <c r="L102" s="2356"/>
      <c r="M102" s="2397"/>
      <c r="N102" s="2398"/>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v>4</v>
      </c>
      <c r="B103" s="36">
        <v>4</v>
      </c>
      <c r="C103" s="2387">
        <v>402</v>
      </c>
      <c r="D103" s="2399" t="s">
        <v>4166</v>
      </c>
      <c r="E103" s="2389" t="s">
        <v>4171</v>
      </c>
      <c r="F103" s="2353">
        <v>1</v>
      </c>
      <c r="G103" s="2354" t="s">
        <v>4168</v>
      </c>
      <c r="H103" s="2390">
        <f>見積比較!O$94</f>
        <v>2662700</v>
      </c>
      <c r="I103" s="2355">
        <f>IF(F103="","",INT(F103*H103))</f>
        <v>2662700</v>
      </c>
      <c r="J103" s="2391" t="s">
        <v>4169</v>
      </c>
      <c r="K103" s="2351"/>
      <c r="L103" s="2356" t="s">
        <v>4901</v>
      </c>
      <c r="M103" s="2397"/>
      <c r="N103" s="2398"/>
      <c r="O103" s="597">
        <v>0</v>
      </c>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2387"/>
      <c r="D104" s="2388"/>
      <c r="E104" s="2389"/>
      <c r="F104" s="2353"/>
      <c r="G104" s="2354"/>
      <c r="H104" s="2390"/>
      <c r="I104" s="2355" t="str">
        <f t="shared" si="5"/>
        <v/>
      </c>
      <c r="J104" s="2391"/>
      <c r="K104" s="2351"/>
      <c r="L104" s="2356"/>
      <c r="M104" s="2397"/>
      <c r="N104" s="2398"/>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c r="B105" s="36"/>
      <c r="C105" s="2387"/>
      <c r="D105" s="2388"/>
      <c r="E105" s="2389"/>
      <c r="F105" s="2353"/>
      <c r="G105" s="2354"/>
      <c r="H105" s="2390"/>
      <c r="I105" s="2355" t="str">
        <f t="shared" si="5"/>
        <v/>
      </c>
      <c r="J105" s="2391"/>
      <c r="K105" s="2351"/>
      <c r="L105" s="2356"/>
      <c r="M105" s="2397"/>
      <c r="N105" s="2398"/>
      <c r="O105" s="597"/>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v>3</v>
      </c>
      <c r="B106" s="36">
        <v>3</v>
      </c>
      <c r="C106" s="2387">
        <v>13041020</v>
      </c>
      <c r="D106" s="2399" t="s">
        <v>4172</v>
      </c>
      <c r="E106" s="2389" t="s">
        <v>4173</v>
      </c>
      <c r="F106" s="2353">
        <v>6</v>
      </c>
      <c r="G106" s="2354" t="s">
        <v>4174</v>
      </c>
      <c r="H106" s="2390">
        <v>2370</v>
      </c>
      <c r="I106" s="2355">
        <f>IF(F106="","",INT(F106*H106))</f>
        <v>14220</v>
      </c>
      <c r="J106" s="2391" t="s">
        <v>4175</v>
      </c>
      <c r="K106" s="2351"/>
      <c r="L106" s="2356" t="s">
        <v>4901</v>
      </c>
      <c r="M106" s="2397"/>
      <c r="N106" s="2398"/>
      <c r="O106" s="597">
        <v>1</v>
      </c>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v>3</v>
      </c>
      <c r="B107" s="36">
        <v>3</v>
      </c>
      <c r="C107" s="2387">
        <v>14087</v>
      </c>
      <c r="D107" s="2399" t="s">
        <v>4176</v>
      </c>
      <c r="E107" s="2389" t="s">
        <v>4177</v>
      </c>
      <c r="F107" s="2353">
        <v>6</v>
      </c>
      <c r="G107" s="2354" t="s">
        <v>4174</v>
      </c>
      <c r="H107" s="2390">
        <v>8130</v>
      </c>
      <c r="I107" s="2355">
        <f>IF(F107="","",INT(F107*H107))</f>
        <v>48780</v>
      </c>
      <c r="J107" s="2391"/>
      <c r="K107" s="2351"/>
      <c r="L107" s="2356" t="s">
        <v>4901</v>
      </c>
      <c r="M107" s="2397"/>
      <c r="N107" s="2398"/>
      <c r="O107" s="597">
        <v>2</v>
      </c>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v>3</v>
      </c>
      <c r="B108" s="36">
        <v>3</v>
      </c>
      <c r="C108" s="2387">
        <v>14081</v>
      </c>
      <c r="D108" s="2399" t="s">
        <v>4178</v>
      </c>
      <c r="E108" s="2389" t="s">
        <v>4179</v>
      </c>
      <c r="F108" s="2353">
        <v>6</v>
      </c>
      <c r="G108" s="2354" t="s">
        <v>4174</v>
      </c>
      <c r="H108" s="2390">
        <v>9210</v>
      </c>
      <c r="I108" s="2355">
        <f>IF(F108="","",INT(F108*H108))</f>
        <v>55260</v>
      </c>
      <c r="J108" s="2391"/>
      <c r="K108" s="2351"/>
      <c r="L108" s="2356" t="s">
        <v>4901</v>
      </c>
      <c r="M108" s="2397"/>
      <c r="N108" s="2398"/>
      <c r="O108" s="597">
        <v>0</v>
      </c>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v>3</v>
      </c>
      <c r="B109" s="36">
        <v>3</v>
      </c>
      <c r="C109" s="2387">
        <v>1346005</v>
      </c>
      <c r="D109" s="2399" t="s">
        <v>4180</v>
      </c>
      <c r="E109" s="2389" t="s">
        <v>4181</v>
      </c>
      <c r="F109" s="2353">
        <v>6</v>
      </c>
      <c r="G109" s="2354" t="s">
        <v>4182</v>
      </c>
      <c r="H109" s="2390">
        <v>1510</v>
      </c>
      <c r="I109" s="2355">
        <f>IF(F109="","",INT(F109*H109))</f>
        <v>9060</v>
      </c>
      <c r="J109" s="2391" t="s">
        <v>4183</v>
      </c>
      <c r="K109" s="2351"/>
      <c r="L109" s="2356" t="s">
        <v>4901</v>
      </c>
      <c r="M109" s="2397"/>
      <c r="N109" s="2398"/>
      <c r="O109" s="597">
        <v>0</v>
      </c>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2387"/>
      <c r="D110" s="2399"/>
      <c r="E110" s="2389"/>
      <c r="F110" s="2353"/>
      <c r="G110" s="2354"/>
      <c r="H110" s="2390"/>
      <c r="I110" s="2355"/>
      <c r="J110" s="2391"/>
      <c r="K110" s="2351"/>
      <c r="L110" s="2356"/>
      <c r="M110" s="2397"/>
      <c r="N110" s="2398"/>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v>3</v>
      </c>
      <c r="B111" s="36">
        <v>3</v>
      </c>
      <c r="C111" s="2387">
        <v>30472</v>
      </c>
      <c r="D111" s="2399" t="s">
        <v>4184</v>
      </c>
      <c r="E111" s="2389" t="s">
        <v>4185</v>
      </c>
      <c r="F111" s="2353">
        <v>6</v>
      </c>
      <c r="G111" s="2354" t="s">
        <v>4174</v>
      </c>
      <c r="H111" s="2390">
        <v>4800</v>
      </c>
      <c r="I111" s="2355">
        <f>IF(F111="","",INT(F111*H111))</f>
        <v>28800</v>
      </c>
      <c r="J111" s="2391" t="s">
        <v>4186</v>
      </c>
      <c r="K111" s="2351"/>
      <c r="L111" s="2356" t="s">
        <v>4901</v>
      </c>
      <c r="M111" s="2397"/>
      <c r="N111" s="2398"/>
      <c r="O111" s="597">
        <v>0</v>
      </c>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2387"/>
      <c r="D112" s="2399"/>
      <c r="E112" s="2389"/>
      <c r="F112" s="2353"/>
      <c r="G112" s="2354"/>
      <c r="H112" s="2390"/>
      <c r="I112" s="2355"/>
      <c r="J112" s="2391"/>
      <c r="K112" s="2351"/>
      <c r="L112" s="2356"/>
      <c r="M112" s="2397"/>
      <c r="N112" s="2398"/>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2387"/>
      <c r="D113" s="2388"/>
      <c r="E113" s="2389"/>
      <c r="F113" s="2353"/>
      <c r="G113" s="2354"/>
      <c r="H113" s="2390"/>
      <c r="I113" s="2355" t="str">
        <f t="shared" ref="I113" si="6">IF(F113="","",INT(F113*H113))</f>
        <v/>
      </c>
      <c r="J113" s="2391"/>
      <c r="K113" s="2351"/>
      <c r="L113" s="2356"/>
      <c r="M113" s="2397"/>
      <c r="N113" s="2398"/>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2387"/>
      <c r="D114" s="2399"/>
      <c r="E114" s="2389"/>
      <c r="F114" s="2353"/>
      <c r="G114" s="2354"/>
      <c r="H114" s="2390"/>
      <c r="I114" s="2355"/>
      <c r="J114" s="2391"/>
      <c r="K114" s="2351"/>
      <c r="L114" s="2356"/>
      <c r="M114" s="2397"/>
      <c r="N114" s="2398"/>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2387"/>
      <c r="D115" s="2388"/>
      <c r="E115" s="2389"/>
      <c r="F115" s="2353"/>
      <c r="G115" s="2354"/>
      <c r="H115" s="2390"/>
      <c r="I115" s="2355" t="str">
        <f t="shared" si="4"/>
        <v/>
      </c>
      <c r="J115" s="2391"/>
      <c r="K115" s="2351"/>
      <c r="L115" s="2356"/>
      <c r="M115" s="2397"/>
      <c r="N115" s="2398"/>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362"/>
      <c r="D116" s="2363" t="s">
        <v>4144</v>
      </c>
      <c r="E116" s="2364"/>
      <c r="F116" s="2365"/>
      <c r="G116" s="2366"/>
      <c r="H116" s="2382" t="s">
        <v>4131</v>
      </c>
      <c r="I116" s="2368">
        <f>SUM(I98:I115)</f>
        <v>7971920</v>
      </c>
      <c r="J116" s="2383" t="str">
        <f>IF(C97="部分撤去工事","）うち費用",")")</f>
        <v>)</v>
      </c>
      <c r="K116" s="2393">
        <f>IF(C97="部分撤去工事",(K93+L116),0)</f>
        <v>0</v>
      </c>
      <c r="L116" s="2384">
        <f>IF(C97="部分撤去工事",SUMIF(N98:N115,"費用",I98:I115),0)</f>
        <v>0</v>
      </c>
      <c r="M116" s="2394"/>
      <c r="N116" s="2400"/>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12</v>
      </c>
      <c r="G117" s="103" t="s">
        <v>131</v>
      </c>
      <c r="H117" s="104">
        <f>+H94</f>
        <v>69</v>
      </c>
      <c r="I117" s="104"/>
      <c r="M117" s="598" t="str">
        <f>IF(A119="","EOL","")</f>
        <v/>
      </c>
      <c r="N117" s="1">
        <f>+F117</f>
        <v>12</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4123</v>
      </c>
      <c r="D120" s="2385"/>
      <c r="E120" s="623"/>
      <c r="F120" s="1889"/>
      <c r="G120" s="1890"/>
      <c r="H120" s="2386" t="s">
        <v>117</v>
      </c>
      <c r="I120" s="2386" t="s">
        <v>117</v>
      </c>
      <c r="J120" s="2732"/>
      <c r="K120" s="2733"/>
      <c r="L120" s="2734"/>
      <c r="M120" s="2395"/>
      <c r="N120" s="2396"/>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2387"/>
      <c r="D121" s="2388"/>
      <c r="E121" s="2389"/>
      <c r="F121" s="2353"/>
      <c r="G121" s="2354"/>
      <c r="H121" s="2390"/>
      <c r="I121" s="2355" t="str">
        <f t="shared" ref="I121:I138" si="7">IF(F121="","",INT(F121*H121))</f>
        <v/>
      </c>
      <c r="J121" s="2391"/>
      <c r="K121" s="2351"/>
      <c r="L121" s="2356"/>
      <c r="M121" s="2397"/>
      <c r="N121" s="2398"/>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2401"/>
      <c r="D122" s="2402" t="s">
        <v>4187</v>
      </c>
      <c r="E122" s="2403" t="s">
        <v>4188</v>
      </c>
      <c r="F122" s="2404">
        <v>30.9</v>
      </c>
      <c r="G122" s="2405" t="s">
        <v>4157</v>
      </c>
      <c r="H122" s="2406">
        <v>5560</v>
      </c>
      <c r="I122" s="2407">
        <f>IF(F122="","",INT(F122*H122))</f>
        <v>171804</v>
      </c>
      <c r="J122" s="2408" t="s">
        <v>4189</v>
      </c>
      <c r="K122" s="2408"/>
      <c r="L122" s="2356" t="s">
        <v>4901</v>
      </c>
      <c r="M122" s="2397"/>
      <c r="N122" s="2398"/>
      <c r="O122" s="597">
        <v>77</v>
      </c>
      <c r="P122" s="187"/>
      <c r="Q122" s="188"/>
      <c r="R122" s="188"/>
      <c r="S122" s="188"/>
      <c r="T122" s="188"/>
      <c r="U122" s="188"/>
      <c r="V122" s="188"/>
      <c r="W122" s="188"/>
      <c r="X122" s="189"/>
      <c r="Y122" s="189"/>
      <c r="Z122" s="189"/>
      <c r="AA122" s="189"/>
      <c r="AB122" s="189"/>
      <c r="AC122" s="188"/>
      <c r="AD122" s="309"/>
      <c r="AE122" s="310"/>
      <c r="AF122" s="188"/>
      <c r="AG122" s="188"/>
      <c r="AH122" s="519"/>
      <c r="AI122" s="557"/>
    </row>
    <row r="123" spans="1:35" s="37" customFormat="1" ht="24" customHeight="1">
      <c r="A123" s="36"/>
      <c r="B123" s="36"/>
      <c r="C123" s="2401"/>
      <c r="D123" s="2410"/>
      <c r="E123" s="2403"/>
      <c r="F123" s="2404"/>
      <c r="G123" s="2405"/>
      <c r="H123" s="2406"/>
      <c r="I123" s="2407" t="str">
        <f t="shared" ref="I123:I125" si="8">IF(F123="","",INT(F123*H123))</f>
        <v/>
      </c>
      <c r="J123" s="2411"/>
      <c r="K123" s="2408"/>
      <c r="L123" s="2409"/>
      <c r="M123" s="2397"/>
      <c r="N123" s="2398"/>
      <c r="O123" s="597"/>
      <c r="P123" s="187"/>
      <c r="Q123" s="188"/>
      <c r="R123" s="188"/>
      <c r="S123" s="188"/>
      <c r="T123" s="188"/>
      <c r="U123" s="188"/>
      <c r="V123" s="188"/>
      <c r="W123" s="188"/>
      <c r="X123" s="189"/>
      <c r="Y123" s="189"/>
      <c r="Z123" s="189"/>
      <c r="AA123" s="189"/>
      <c r="AB123" s="189"/>
      <c r="AC123" s="188"/>
      <c r="AD123" s="309"/>
      <c r="AE123" s="310"/>
      <c r="AF123" s="188"/>
      <c r="AG123" s="188"/>
      <c r="AH123" s="519"/>
      <c r="AI123" s="557"/>
    </row>
    <row r="124" spans="1:35" s="37" customFormat="1" ht="24" customHeight="1">
      <c r="A124" s="36">
        <v>4</v>
      </c>
      <c r="B124" s="36">
        <v>4</v>
      </c>
      <c r="C124" s="2401"/>
      <c r="D124" s="2402" t="s">
        <v>4187</v>
      </c>
      <c r="E124" s="2403" t="s">
        <v>4188</v>
      </c>
      <c r="F124" s="2404">
        <v>66.8</v>
      </c>
      <c r="G124" s="2405" t="s">
        <v>4157</v>
      </c>
      <c r="H124" s="2406">
        <v>5560</v>
      </c>
      <c r="I124" s="2407">
        <f>IF(F124="","",INT(F124*H124))</f>
        <v>371408</v>
      </c>
      <c r="J124" s="2408" t="s">
        <v>4189</v>
      </c>
      <c r="K124" s="2408" t="s">
        <v>4190</v>
      </c>
      <c r="L124" s="2513" t="s">
        <v>4900</v>
      </c>
      <c r="M124" s="2397"/>
      <c r="N124" s="2398"/>
      <c r="O124" s="597">
        <v>77</v>
      </c>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2401"/>
      <c r="D125" s="2410"/>
      <c r="E125" s="2403"/>
      <c r="F125" s="2404"/>
      <c r="G125" s="2405"/>
      <c r="H125" s="2406"/>
      <c r="I125" s="2407" t="str">
        <f t="shared" si="8"/>
        <v/>
      </c>
      <c r="J125" s="2411"/>
      <c r="K125" s="2408"/>
      <c r="L125" s="2409"/>
      <c r="M125" s="2397"/>
      <c r="N125" s="2398"/>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c r="B126" s="36"/>
      <c r="C126" s="2401"/>
      <c r="D126" s="2412"/>
      <c r="E126" s="2403"/>
      <c r="F126" s="2404"/>
      <c r="G126" s="2405"/>
      <c r="H126" s="2406"/>
      <c r="I126" s="2407"/>
      <c r="J126" s="2411"/>
      <c r="K126" s="2408"/>
      <c r="L126" s="2409"/>
      <c r="M126" s="2397"/>
      <c r="N126" s="2398"/>
      <c r="O126" s="597"/>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2387"/>
      <c r="D127" s="2388"/>
      <c r="E127" s="2389"/>
      <c r="F127" s="2353"/>
      <c r="G127" s="2354"/>
      <c r="H127" s="2390"/>
      <c r="I127" s="2355" t="str">
        <f t="shared" si="7"/>
        <v/>
      </c>
      <c r="J127" s="2391"/>
      <c r="K127" s="2351"/>
      <c r="L127" s="2356"/>
      <c r="M127" s="2397"/>
      <c r="N127" s="2398"/>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2387"/>
      <c r="D128" s="2388"/>
      <c r="E128" s="2389"/>
      <c r="F128" s="2353"/>
      <c r="G128" s="2354"/>
      <c r="H128" s="2390"/>
      <c r="I128" s="2355" t="str">
        <f t="shared" si="7"/>
        <v/>
      </c>
      <c r="J128" s="2391"/>
      <c r="K128" s="2351"/>
      <c r="L128" s="2356"/>
      <c r="M128" s="2397"/>
      <c r="N128" s="2398"/>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2387"/>
      <c r="D129" s="2388"/>
      <c r="E129" s="2389"/>
      <c r="F129" s="2353"/>
      <c r="G129" s="2354"/>
      <c r="H129" s="2390"/>
      <c r="I129" s="2355" t="str">
        <f t="shared" si="7"/>
        <v/>
      </c>
      <c r="J129" s="2391"/>
      <c r="K129" s="2351"/>
      <c r="L129" s="2356"/>
      <c r="M129" s="2397"/>
      <c r="N129" s="2398"/>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c r="B130" s="36"/>
      <c r="C130" s="2387"/>
      <c r="D130" s="2388"/>
      <c r="E130" s="2389"/>
      <c r="F130" s="2353"/>
      <c r="G130" s="2354"/>
      <c r="H130" s="2390"/>
      <c r="I130" s="2355" t="str">
        <f t="shared" si="7"/>
        <v/>
      </c>
      <c r="J130" s="2391"/>
      <c r="K130" s="2351"/>
      <c r="L130" s="2356"/>
      <c r="M130" s="2397"/>
      <c r="N130" s="2398"/>
      <c r="O130" s="597"/>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2387"/>
      <c r="D131" s="2388"/>
      <c r="E131" s="2389"/>
      <c r="F131" s="2353"/>
      <c r="G131" s="2354"/>
      <c r="H131" s="2390"/>
      <c r="I131" s="2355" t="str">
        <f t="shared" si="7"/>
        <v/>
      </c>
      <c r="J131" s="2391"/>
      <c r="K131" s="2351"/>
      <c r="L131" s="2356"/>
      <c r="M131" s="2397"/>
      <c r="N131" s="2398"/>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c r="B132" s="36"/>
      <c r="C132" s="2387"/>
      <c r="D132" s="2388"/>
      <c r="E132" s="2389"/>
      <c r="F132" s="2353"/>
      <c r="G132" s="2354"/>
      <c r="H132" s="2390"/>
      <c r="I132" s="2355" t="str">
        <f t="shared" si="7"/>
        <v/>
      </c>
      <c r="J132" s="2391"/>
      <c r="K132" s="2351"/>
      <c r="L132" s="2356"/>
      <c r="M132" s="2397"/>
      <c r="N132" s="2398"/>
      <c r="O132" s="597"/>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2387"/>
      <c r="D133" s="2388"/>
      <c r="E133" s="2389"/>
      <c r="F133" s="2353"/>
      <c r="G133" s="2354"/>
      <c r="H133" s="2390"/>
      <c r="I133" s="2355" t="str">
        <f t="shared" si="7"/>
        <v/>
      </c>
      <c r="J133" s="2391"/>
      <c r="K133" s="2351"/>
      <c r="L133" s="2356"/>
      <c r="M133" s="2397"/>
      <c r="N133" s="2398"/>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c r="B134" s="36"/>
      <c r="C134" s="2387"/>
      <c r="D134" s="2388"/>
      <c r="E134" s="2389"/>
      <c r="F134" s="2353"/>
      <c r="G134" s="2354"/>
      <c r="H134" s="2390"/>
      <c r="I134" s="2355" t="str">
        <f t="shared" si="7"/>
        <v/>
      </c>
      <c r="J134" s="2391"/>
      <c r="K134" s="2351"/>
      <c r="L134" s="2356"/>
      <c r="M134" s="2397"/>
      <c r="N134" s="2398"/>
      <c r="O134" s="597"/>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2387"/>
      <c r="D135" s="2388"/>
      <c r="E135" s="2389"/>
      <c r="F135" s="2353"/>
      <c r="G135" s="2354"/>
      <c r="H135" s="2390"/>
      <c r="I135" s="2355" t="str">
        <f t="shared" si="7"/>
        <v/>
      </c>
      <c r="J135" s="2391"/>
      <c r="K135" s="2351"/>
      <c r="L135" s="2356"/>
      <c r="M135" s="2397"/>
      <c r="N135" s="2398"/>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2387"/>
      <c r="D136" s="2388"/>
      <c r="E136" s="2389"/>
      <c r="F136" s="2353"/>
      <c r="G136" s="2354"/>
      <c r="H136" s="2390"/>
      <c r="I136" s="2355" t="str">
        <f t="shared" si="7"/>
        <v/>
      </c>
      <c r="J136" s="2391"/>
      <c r="K136" s="2351"/>
      <c r="L136" s="2356"/>
      <c r="M136" s="2397"/>
      <c r="N136" s="2398"/>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2387"/>
      <c r="D137" s="2388"/>
      <c r="E137" s="2389"/>
      <c r="F137" s="2353"/>
      <c r="G137" s="2354"/>
      <c r="H137" s="2390"/>
      <c r="I137" s="2355" t="str">
        <f t="shared" si="7"/>
        <v/>
      </c>
      <c r="J137" s="2391"/>
      <c r="K137" s="2351"/>
      <c r="L137" s="2356"/>
      <c r="M137" s="2397"/>
      <c r="N137" s="2398"/>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2387"/>
      <c r="D138" s="2388"/>
      <c r="E138" s="2389"/>
      <c r="F138" s="2353"/>
      <c r="G138" s="2354"/>
      <c r="H138" s="2390"/>
      <c r="I138" s="2355" t="str">
        <f t="shared" si="7"/>
        <v/>
      </c>
      <c r="J138" s="2391"/>
      <c r="K138" s="2351"/>
      <c r="L138" s="2356"/>
      <c r="M138" s="2397"/>
      <c r="N138" s="2398"/>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362"/>
      <c r="D139" s="2363" t="s">
        <v>4144</v>
      </c>
      <c r="E139" s="2364"/>
      <c r="F139" s="2365"/>
      <c r="G139" s="2366"/>
      <c r="H139" s="2382" t="s">
        <v>4131</v>
      </c>
      <c r="I139" s="2368">
        <f>SUM(I121:I138)</f>
        <v>543212</v>
      </c>
      <c r="J139" s="2383" t="str">
        <f>IF(C120="部分撤去工事","）うち費用",")")</f>
        <v>)</v>
      </c>
      <c r="K139" s="2393">
        <f>IF(C120="部分撤去工事",(K116+L139),0)</f>
        <v>0</v>
      </c>
      <c r="L139" s="2384">
        <f>IF(C120="部分撤去工事",SUMIF(N121:N138,"費用",I121:I138),0)</f>
        <v>0</v>
      </c>
      <c r="M139" s="2394"/>
      <c r="N139" s="2400"/>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13</v>
      </c>
      <c r="G140" s="103" t="s">
        <v>131</v>
      </c>
      <c r="H140" s="104">
        <f>+H117</f>
        <v>69</v>
      </c>
      <c r="I140" s="104"/>
      <c r="M140" s="598" t="str">
        <f>IF(A142="","EOL","")</f>
        <v/>
      </c>
      <c r="N140" s="1">
        <f>+F140</f>
        <v>13</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4124</v>
      </c>
      <c r="D143" s="2385"/>
      <c r="E143" s="623"/>
      <c r="F143" s="1889"/>
      <c r="G143" s="1890"/>
      <c r="H143" s="2386" t="s">
        <v>117</v>
      </c>
      <c r="I143" s="2386" t="s">
        <v>117</v>
      </c>
      <c r="J143" s="2732"/>
      <c r="K143" s="2733"/>
      <c r="L143" s="2734"/>
      <c r="M143" s="2395"/>
      <c r="N143" s="2396"/>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2387"/>
      <c r="D144" s="2388"/>
      <c r="E144" s="2389"/>
      <c r="F144" s="2353"/>
      <c r="G144" s="2354"/>
      <c r="H144" s="2390"/>
      <c r="I144" s="2355" t="str">
        <f t="shared" ref="I144:I161" si="9">IF(F144="","",INT(F144*H144))</f>
        <v/>
      </c>
      <c r="J144" s="2391"/>
      <c r="K144" s="2351"/>
      <c r="L144" s="2356"/>
      <c r="M144" s="2397"/>
      <c r="N144" s="2398"/>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3</v>
      </c>
      <c r="B145" s="36">
        <v>3</v>
      </c>
      <c r="C145" s="2387">
        <v>2020102</v>
      </c>
      <c r="D145" s="2399" t="s">
        <v>4191</v>
      </c>
      <c r="E145" s="2389" t="s">
        <v>4192</v>
      </c>
      <c r="F145" s="2353">
        <v>29.8</v>
      </c>
      <c r="G145" s="2354" t="s">
        <v>4193</v>
      </c>
      <c r="H145" s="2390">
        <v>1870</v>
      </c>
      <c r="I145" s="2355">
        <f>IF(F145="","",INT(F145*H145))</f>
        <v>55726</v>
      </c>
      <c r="J145" s="2391" t="s">
        <v>4194</v>
      </c>
      <c r="K145" s="2351"/>
      <c r="L145" s="2513" t="s">
        <v>4900</v>
      </c>
      <c r="M145" s="2397"/>
      <c r="N145" s="2398"/>
      <c r="O145" s="597">
        <v>8</v>
      </c>
      <c r="P145" s="187"/>
      <c r="Q145" s="188"/>
      <c r="R145" s="188"/>
      <c r="S145" s="188"/>
      <c r="T145" s="188"/>
      <c r="U145" s="188"/>
      <c r="V145" s="188"/>
      <c r="W145" s="188"/>
      <c r="X145" s="189"/>
      <c r="Y145" s="189"/>
      <c r="Z145" s="189"/>
      <c r="AA145" s="189"/>
      <c r="AB145" s="189"/>
      <c r="AC145" s="188"/>
      <c r="AD145" s="309"/>
      <c r="AE145" s="310"/>
      <c r="AF145" s="188"/>
      <c r="AG145" s="188"/>
      <c r="AH145" s="519"/>
      <c r="AI145" s="557"/>
    </row>
    <row r="146" spans="1:35" s="37" customFormat="1" ht="24" customHeight="1">
      <c r="A146" s="36"/>
      <c r="B146" s="36"/>
      <c r="C146" s="2387"/>
      <c r="D146" s="2388"/>
      <c r="E146" s="2389"/>
      <c r="F146" s="2353"/>
      <c r="G146" s="2354"/>
      <c r="H146" s="2390"/>
      <c r="I146" s="2355" t="str">
        <f t="shared" ref="I146:I151" si="10">IF(F146="","",INT(F146*H146))</f>
        <v/>
      </c>
      <c r="J146" s="2391"/>
      <c r="K146" s="2351"/>
      <c r="L146" s="2356"/>
      <c r="M146" s="2397"/>
      <c r="N146" s="2398"/>
      <c r="O146" s="597"/>
      <c r="P146" s="187"/>
      <c r="Q146" s="188"/>
      <c r="R146" s="188"/>
      <c r="S146" s="188"/>
      <c r="T146" s="188"/>
      <c r="U146" s="188"/>
      <c r="V146" s="188"/>
      <c r="W146" s="188"/>
      <c r="X146" s="189"/>
      <c r="Y146" s="189"/>
      <c r="Z146" s="189"/>
      <c r="AA146" s="189"/>
      <c r="AB146" s="189"/>
      <c r="AC146" s="188"/>
      <c r="AD146" s="309"/>
      <c r="AE146" s="310"/>
      <c r="AF146" s="188"/>
      <c r="AG146" s="188"/>
      <c r="AH146" s="519"/>
      <c r="AI146" s="557"/>
    </row>
    <row r="147" spans="1:35" s="37" customFormat="1" ht="24" customHeight="1">
      <c r="A147" s="36">
        <v>4</v>
      </c>
      <c r="B147" s="36">
        <v>4</v>
      </c>
      <c r="C147" s="2387">
        <v>19112</v>
      </c>
      <c r="D147" s="2399" t="s">
        <v>4195</v>
      </c>
      <c r="E147" s="2389" t="s">
        <v>4196</v>
      </c>
      <c r="F147" s="2353">
        <v>12</v>
      </c>
      <c r="G147" s="2354" t="s">
        <v>4193</v>
      </c>
      <c r="H147" s="2390">
        <v>160</v>
      </c>
      <c r="I147" s="2355">
        <f>IF(F147="","",INT(F147*H147))</f>
        <v>1920</v>
      </c>
      <c r="J147" s="2391" t="s">
        <v>4197</v>
      </c>
      <c r="K147" s="2351"/>
      <c r="L147" s="2513" t="s">
        <v>4900</v>
      </c>
      <c r="M147" s="2397"/>
      <c r="N147" s="2398"/>
      <c r="O147" s="597">
        <v>1</v>
      </c>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v>4</v>
      </c>
      <c r="B148" s="36">
        <v>4</v>
      </c>
      <c r="C148" s="2387">
        <v>19015</v>
      </c>
      <c r="D148" s="2399" t="s">
        <v>4195</v>
      </c>
      <c r="E148" s="2389" t="s">
        <v>4198</v>
      </c>
      <c r="F148" s="2353">
        <v>12</v>
      </c>
      <c r="G148" s="2354" t="s">
        <v>4193</v>
      </c>
      <c r="H148" s="2390">
        <v>6980</v>
      </c>
      <c r="I148" s="2355">
        <f>IF(F148="","",INT(F148*H148))</f>
        <v>83760</v>
      </c>
      <c r="J148" s="2391" t="s">
        <v>4199</v>
      </c>
      <c r="K148" s="2351"/>
      <c r="L148" s="2513" t="s">
        <v>4900</v>
      </c>
      <c r="M148" s="2397"/>
      <c r="N148" s="2398"/>
      <c r="O148" s="597">
        <v>7</v>
      </c>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c r="B149" s="36"/>
      <c r="C149" s="2387"/>
      <c r="D149" s="2388"/>
      <c r="E149" s="2389"/>
      <c r="F149" s="2353"/>
      <c r="G149" s="2354"/>
      <c r="H149" s="2390"/>
      <c r="I149" s="2355" t="str">
        <f t="shared" si="10"/>
        <v/>
      </c>
      <c r="J149" s="2391"/>
      <c r="K149" s="2351"/>
      <c r="L149" s="2356"/>
      <c r="M149" s="2397"/>
      <c r="N149" s="2398"/>
      <c r="O149" s="597"/>
      <c r="P149" s="187"/>
      <c r="Q149" s="188"/>
      <c r="R149" s="188"/>
      <c r="S149" s="188"/>
      <c r="T149" s="188"/>
      <c r="U149" s="188"/>
      <c r="V149" s="188"/>
      <c r="W149" s="188"/>
      <c r="X149" s="189"/>
      <c r="Y149" s="189"/>
      <c r="Z149" s="189"/>
      <c r="AA149" s="189"/>
      <c r="AB149" s="189"/>
      <c r="AC149" s="188"/>
      <c r="AD149" s="309"/>
      <c r="AE149" s="310"/>
      <c r="AF149" s="188"/>
      <c r="AG149" s="188"/>
      <c r="AH149" s="519"/>
      <c r="AI149" s="557"/>
    </row>
    <row r="150" spans="1:35" s="37" customFormat="1" ht="24" customHeight="1">
      <c r="A150" s="36"/>
      <c r="B150" s="36"/>
      <c r="C150" s="2387"/>
      <c r="D150" s="2388"/>
      <c r="E150" s="2389"/>
      <c r="F150" s="2353"/>
      <c r="G150" s="2354"/>
      <c r="H150" s="2390"/>
      <c r="I150" s="2355" t="str">
        <f t="shared" si="10"/>
        <v/>
      </c>
      <c r="J150" s="2391"/>
      <c r="K150" s="2351"/>
      <c r="L150" s="2356"/>
      <c r="M150" s="2397"/>
      <c r="N150" s="2398"/>
      <c r="O150" s="597"/>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c r="B151" s="36"/>
      <c r="C151" s="2387"/>
      <c r="D151" s="2388"/>
      <c r="E151" s="2389"/>
      <c r="F151" s="2353"/>
      <c r="G151" s="2354"/>
      <c r="H151" s="2390"/>
      <c r="I151" s="2355" t="str">
        <f t="shared" si="10"/>
        <v/>
      </c>
      <c r="J151" s="2391"/>
      <c r="K151" s="2351"/>
      <c r="L151" s="2356"/>
      <c r="M151" s="2397"/>
      <c r="N151" s="2398"/>
      <c r="O151" s="597"/>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c r="B152" s="36"/>
      <c r="C152" s="2387"/>
      <c r="D152" s="2388"/>
      <c r="E152" s="2389"/>
      <c r="F152" s="2353"/>
      <c r="G152" s="2354"/>
      <c r="H152" s="2390"/>
      <c r="I152" s="2355" t="str">
        <f t="shared" si="9"/>
        <v/>
      </c>
      <c r="J152" s="2391"/>
      <c r="K152" s="2351"/>
      <c r="L152" s="2356"/>
      <c r="M152" s="2397"/>
      <c r="N152" s="2398"/>
      <c r="O152" s="597"/>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2387"/>
      <c r="D153" s="2388"/>
      <c r="E153" s="2389"/>
      <c r="F153" s="2353"/>
      <c r="G153" s="2354"/>
      <c r="H153" s="2390"/>
      <c r="I153" s="2355" t="str">
        <f t="shared" si="9"/>
        <v/>
      </c>
      <c r="J153" s="2391"/>
      <c r="K153" s="2351"/>
      <c r="L153" s="2356"/>
      <c r="M153" s="2397"/>
      <c r="N153" s="2398"/>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c r="B154" s="36"/>
      <c r="C154" s="2387"/>
      <c r="D154" s="2388"/>
      <c r="E154" s="2389"/>
      <c r="F154" s="2353"/>
      <c r="G154" s="2354"/>
      <c r="H154" s="2390"/>
      <c r="I154" s="2355" t="str">
        <f t="shared" si="9"/>
        <v/>
      </c>
      <c r="J154" s="2391"/>
      <c r="K154" s="2351"/>
      <c r="L154" s="2356"/>
      <c r="M154" s="2397"/>
      <c r="N154" s="2398"/>
      <c r="O154" s="597"/>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c r="B155" s="36"/>
      <c r="C155" s="2387"/>
      <c r="D155" s="2388"/>
      <c r="E155" s="2389"/>
      <c r="F155" s="2353"/>
      <c r="G155" s="2354"/>
      <c r="H155" s="2390"/>
      <c r="I155" s="2355" t="str">
        <f t="shared" si="9"/>
        <v/>
      </c>
      <c r="J155" s="2391"/>
      <c r="K155" s="2351"/>
      <c r="L155" s="2356"/>
      <c r="M155" s="2397"/>
      <c r="N155" s="2398"/>
      <c r="O155" s="597"/>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c r="B156" s="36"/>
      <c r="C156" s="2387"/>
      <c r="D156" s="2388"/>
      <c r="E156" s="2389"/>
      <c r="F156" s="2353"/>
      <c r="G156" s="2354"/>
      <c r="H156" s="2390"/>
      <c r="I156" s="2355" t="str">
        <f t="shared" si="9"/>
        <v/>
      </c>
      <c r="J156" s="2391"/>
      <c r="K156" s="2351"/>
      <c r="L156" s="2356"/>
      <c r="M156" s="2397"/>
      <c r="N156" s="2398"/>
      <c r="O156" s="597"/>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c r="B157" s="36"/>
      <c r="C157" s="2387"/>
      <c r="D157" s="2388"/>
      <c r="E157" s="2389"/>
      <c r="F157" s="2353"/>
      <c r="G157" s="2354"/>
      <c r="H157" s="2390"/>
      <c r="I157" s="2355" t="str">
        <f t="shared" si="9"/>
        <v/>
      </c>
      <c r="J157" s="2391"/>
      <c r="K157" s="2351"/>
      <c r="L157" s="2356"/>
      <c r="M157" s="2397"/>
      <c r="N157" s="2398"/>
      <c r="O157" s="597"/>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2387"/>
      <c r="D158" s="2388"/>
      <c r="E158" s="2389"/>
      <c r="F158" s="2353"/>
      <c r="G158" s="2354"/>
      <c r="H158" s="2390"/>
      <c r="I158" s="2355" t="str">
        <f t="shared" si="9"/>
        <v/>
      </c>
      <c r="J158" s="2391"/>
      <c r="K158" s="2351"/>
      <c r="L158" s="2356"/>
      <c r="M158" s="2397"/>
      <c r="N158" s="2398"/>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2387"/>
      <c r="D159" s="2388"/>
      <c r="E159" s="2389"/>
      <c r="F159" s="2353"/>
      <c r="G159" s="2354"/>
      <c r="H159" s="2390"/>
      <c r="I159" s="2355" t="str">
        <f t="shared" si="9"/>
        <v/>
      </c>
      <c r="J159" s="2391"/>
      <c r="K159" s="2351"/>
      <c r="L159" s="2356"/>
      <c r="M159" s="2397"/>
      <c r="N159" s="2398"/>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2387"/>
      <c r="D160" s="2388"/>
      <c r="E160" s="2389"/>
      <c r="F160" s="2353"/>
      <c r="G160" s="2354"/>
      <c r="H160" s="2390"/>
      <c r="I160" s="2355" t="str">
        <f t="shared" si="9"/>
        <v/>
      </c>
      <c r="J160" s="2391"/>
      <c r="K160" s="2351"/>
      <c r="L160" s="2356"/>
      <c r="M160" s="2397"/>
      <c r="N160" s="2398"/>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2387"/>
      <c r="D161" s="2388"/>
      <c r="E161" s="2389"/>
      <c r="F161" s="2353"/>
      <c r="G161" s="2354"/>
      <c r="H161" s="2390"/>
      <c r="I161" s="2355" t="str">
        <f t="shared" si="9"/>
        <v/>
      </c>
      <c r="J161" s="2391"/>
      <c r="K161" s="2351"/>
      <c r="L161" s="2356"/>
      <c r="M161" s="2397"/>
      <c r="N161" s="2398"/>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362"/>
      <c r="D162" s="2363" t="s">
        <v>4144</v>
      </c>
      <c r="E162" s="2364"/>
      <c r="F162" s="2365"/>
      <c r="G162" s="2366"/>
      <c r="H162" s="2382" t="s">
        <v>4131</v>
      </c>
      <c r="I162" s="2368">
        <f>SUM(I144:I161)</f>
        <v>141406</v>
      </c>
      <c r="J162" s="2383" t="str">
        <f>IF(C143="部分撤去工事","）うち費用",")")</f>
        <v>)</v>
      </c>
      <c r="K162" s="2393">
        <f>IF(C143="部分撤去工事",(K139+L162),0)</f>
        <v>0</v>
      </c>
      <c r="L162" s="2384">
        <f>IF(C143="部分撤去工事",SUMIF(N144:N161,"費用",I144:I161),0)</f>
        <v>0</v>
      </c>
      <c r="M162" s="2394"/>
      <c r="N162" s="2400"/>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14</v>
      </c>
      <c r="G163" s="103" t="s">
        <v>131</v>
      </c>
      <c r="H163" s="104">
        <f>+H140</f>
        <v>69</v>
      </c>
      <c r="I163" s="104"/>
      <c r="M163" s="598" t="str">
        <f>IF(A165="","EOL","")</f>
        <v/>
      </c>
      <c r="N163" s="1">
        <f>+F163</f>
        <v>14</v>
      </c>
      <c r="Q163" s="37"/>
      <c r="R163" s="37"/>
      <c r="S163" s="37"/>
      <c r="T163" s="37"/>
      <c r="U163" s="37"/>
      <c r="V163" s="37"/>
      <c r="W163" s="37"/>
      <c r="X163" s="37"/>
      <c r="Y163" s="37"/>
      <c r="Z163" s="37"/>
    </row>
    <row r="164" spans="1:35" ht="26.1" customHeight="1" thickBot="1">
      <c r="C164" s="2517" t="s">
        <v>107</v>
      </c>
      <c r="D164" s="2517"/>
      <c r="E164" s="2517"/>
      <c r="F164" s="2517"/>
      <c r="G164" s="2517"/>
      <c r="H164" s="2517"/>
      <c r="I164" s="2517"/>
      <c r="J164" s="2517"/>
      <c r="K164" s="2517"/>
      <c r="L164" s="2517"/>
      <c r="O164" s="2730" t="s">
        <v>4098</v>
      </c>
      <c r="P164" s="2730"/>
      <c r="Q164" s="2730"/>
      <c r="R164" s="2730"/>
      <c r="S164" s="2730"/>
      <c r="T164" s="2730"/>
      <c r="U164" s="2730"/>
      <c r="V164" s="2730"/>
      <c r="W164" s="2730"/>
      <c r="X164" s="2730"/>
      <c r="Y164" s="2730"/>
      <c r="Z164" s="2730"/>
      <c r="AA164" s="2730"/>
      <c r="AB164" s="2730"/>
      <c r="AC164" s="2730"/>
      <c r="AD164" s="2730"/>
      <c r="AE164" s="2730"/>
      <c r="AF164" s="2730"/>
      <c r="AG164" s="2730"/>
      <c r="AH164" s="2731"/>
      <c r="AI164" s="555"/>
    </row>
    <row r="165" spans="1:35" ht="41.25" customHeight="1">
      <c r="A165" s="5" t="s">
        <v>108</v>
      </c>
      <c r="B165" s="5" t="s">
        <v>4145</v>
      </c>
      <c r="C165" s="99" t="s">
        <v>110</v>
      </c>
      <c r="D165" s="95"/>
      <c r="E165" s="96" t="s">
        <v>111</v>
      </c>
      <c r="F165" s="97" t="s">
        <v>112</v>
      </c>
      <c r="G165" s="97" t="s">
        <v>113</v>
      </c>
      <c r="H165" s="98" t="s">
        <v>114</v>
      </c>
      <c r="I165" s="98" t="s">
        <v>115</v>
      </c>
      <c r="J165" s="2552" t="s">
        <v>116</v>
      </c>
      <c r="K165" s="2553"/>
      <c r="L165" s="2554"/>
      <c r="M165" s="599"/>
      <c r="N165" s="604" t="s">
        <v>4154</v>
      </c>
      <c r="O165" s="596" t="s">
        <v>4099</v>
      </c>
      <c r="P165" s="303" t="s">
        <v>4100</v>
      </c>
      <c r="Q165" s="241" t="s">
        <v>4101</v>
      </c>
      <c r="R165" s="241" t="s">
        <v>4102</v>
      </c>
      <c r="S165" s="241" t="s">
        <v>4103</v>
      </c>
      <c r="T165" s="241" t="s">
        <v>4104</v>
      </c>
      <c r="U165" s="241" t="s">
        <v>4105</v>
      </c>
      <c r="V165" s="125" t="s">
        <v>4106</v>
      </c>
      <c r="W165" s="241" t="s">
        <v>4107</v>
      </c>
      <c r="X165" s="180" t="s">
        <v>4108</v>
      </c>
      <c r="Y165" s="180" t="s">
        <v>4109</v>
      </c>
      <c r="Z165" s="180" t="s">
        <v>4110</v>
      </c>
      <c r="AA165" s="180" t="s">
        <v>4111</v>
      </c>
      <c r="AB165" s="180" t="s">
        <v>4112</v>
      </c>
      <c r="AC165" s="306" t="s">
        <v>4113</v>
      </c>
      <c r="AD165" s="307" t="s">
        <v>4114</v>
      </c>
      <c r="AE165" s="308" t="s">
        <v>4115</v>
      </c>
      <c r="AF165" s="124" t="s">
        <v>4116</v>
      </c>
      <c r="AG165" s="124" t="s">
        <v>4117</v>
      </c>
      <c r="AH165" s="124" t="s">
        <v>4118</v>
      </c>
      <c r="AI165" s="556"/>
    </row>
    <row r="166" spans="1:35" ht="24" customHeight="1">
      <c r="A166" s="36"/>
      <c r="B166" s="36"/>
      <c r="C166" s="2370" t="s">
        <v>4125</v>
      </c>
      <c r="D166" s="2385"/>
      <c r="E166" s="623"/>
      <c r="F166" s="1889"/>
      <c r="G166" s="1890"/>
      <c r="H166" s="2386" t="s">
        <v>117</v>
      </c>
      <c r="I166" s="2386" t="s">
        <v>117</v>
      </c>
      <c r="J166" s="2732"/>
      <c r="K166" s="2733"/>
      <c r="L166" s="2734"/>
      <c r="M166" s="2395"/>
      <c r="N166" s="2396"/>
      <c r="O166" s="597"/>
      <c r="P166" s="187"/>
      <c r="Q166" s="188"/>
      <c r="R166" s="188"/>
      <c r="S166" s="188"/>
      <c r="T166" s="188"/>
      <c r="U166" s="188"/>
      <c r="V166" s="188"/>
      <c r="W166" s="188"/>
      <c r="X166" s="189"/>
      <c r="Y166" s="189"/>
      <c r="Z166" s="189"/>
      <c r="AA166" s="189"/>
      <c r="AB166" s="189"/>
      <c r="AC166" s="188"/>
      <c r="AD166" s="309"/>
      <c r="AE166" s="310"/>
      <c r="AF166" s="188"/>
      <c r="AG166" s="188"/>
      <c r="AH166" s="188"/>
      <c r="AI166" s="557"/>
    </row>
    <row r="167" spans="1:35" s="37" customFormat="1" ht="24" customHeight="1">
      <c r="A167" s="36"/>
      <c r="B167" s="36"/>
      <c r="C167" s="2387"/>
      <c r="D167" s="2388"/>
      <c r="E167" s="2389"/>
      <c r="F167" s="2353"/>
      <c r="G167" s="2354"/>
      <c r="H167" s="2390"/>
      <c r="I167" s="2355" t="str">
        <f t="shared" ref="I167:I184" si="11">IF(F167="","",INT(F167*H167))</f>
        <v/>
      </c>
      <c r="J167" s="2391"/>
      <c r="K167" s="2351"/>
      <c r="L167" s="2356"/>
      <c r="M167" s="2397"/>
      <c r="N167" s="2398"/>
      <c r="O167" s="597"/>
      <c r="P167" s="187"/>
      <c r="Q167" s="188"/>
      <c r="R167" s="188"/>
      <c r="S167" s="188"/>
      <c r="T167" s="188"/>
      <c r="U167" s="188"/>
      <c r="V167" s="188"/>
      <c r="W167" s="188"/>
      <c r="X167" s="189"/>
      <c r="Y167" s="189"/>
      <c r="Z167" s="189"/>
      <c r="AA167" s="189"/>
      <c r="AB167" s="189"/>
      <c r="AC167" s="188"/>
      <c r="AD167" s="309"/>
      <c r="AE167" s="310"/>
      <c r="AF167" s="188"/>
      <c r="AG167" s="188"/>
      <c r="AH167" s="519"/>
      <c r="AI167" s="557"/>
    </row>
    <row r="168" spans="1:35" s="37" customFormat="1" ht="24" customHeight="1">
      <c r="A168" s="36">
        <v>4</v>
      </c>
      <c r="B168" s="36">
        <v>4</v>
      </c>
      <c r="C168" s="2387">
        <v>2100601</v>
      </c>
      <c r="D168" s="2399" t="s">
        <v>4200</v>
      </c>
      <c r="E168" s="2389" t="s">
        <v>4201</v>
      </c>
      <c r="F168" s="2353">
        <v>40.700000000000003</v>
      </c>
      <c r="G168" s="2354" t="s">
        <v>4202</v>
      </c>
      <c r="H168" s="2390">
        <v>4830</v>
      </c>
      <c r="I168" s="2355">
        <f>IF(F168="","",INT(F168*H168))</f>
        <v>196581</v>
      </c>
      <c r="J168" s="2391" t="s">
        <v>4203</v>
      </c>
      <c r="K168" s="2351"/>
      <c r="L168" s="2513" t="s">
        <v>4900</v>
      </c>
      <c r="M168" s="2397"/>
      <c r="N168" s="2398"/>
      <c r="O168" s="597">
        <v>1.3</v>
      </c>
      <c r="P168" s="187"/>
      <c r="Q168" s="188"/>
      <c r="R168" s="188"/>
      <c r="S168" s="188"/>
      <c r="T168" s="188"/>
      <c r="U168" s="188"/>
      <c r="V168" s="188"/>
      <c r="W168" s="188"/>
      <c r="X168" s="189"/>
      <c r="Y168" s="189"/>
      <c r="Z168" s="189"/>
      <c r="AA168" s="189"/>
      <c r="AB168" s="189"/>
      <c r="AC168" s="188"/>
      <c r="AD168" s="309"/>
      <c r="AE168" s="310"/>
      <c r="AF168" s="188"/>
      <c r="AG168" s="188"/>
      <c r="AH168" s="519"/>
      <c r="AI168" s="557"/>
    </row>
    <row r="169" spans="1:35" s="37" customFormat="1" ht="24" customHeight="1">
      <c r="A169" s="36"/>
      <c r="B169" s="36"/>
      <c r="C169" s="2387"/>
      <c r="D169" s="2388"/>
      <c r="E169" s="2389"/>
      <c r="F169" s="2353"/>
      <c r="G169" s="2354"/>
      <c r="H169" s="2390"/>
      <c r="I169" s="2355" t="str">
        <f t="shared" ref="I169:I182" si="12">IF(F169="","",INT(F169*H169))</f>
        <v/>
      </c>
      <c r="J169" s="2391"/>
      <c r="K169" s="2351"/>
      <c r="L169" s="2356"/>
      <c r="M169" s="2397"/>
      <c r="N169" s="2398"/>
      <c r="O169" s="597"/>
      <c r="P169" s="187"/>
      <c r="Q169" s="188"/>
      <c r="R169" s="188"/>
      <c r="S169" s="188"/>
      <c r="T169" s="188"/>
      <c r="U169" s="188"/>
      <c r="V169" s="188"/>
      <c r="W169" s="188"/>
      <c r="X169" s="189"/>
      <c r="Y169" s="189"/>
      <c r="Z169" s="189"/>
      <c r="AA169" s="189"/>
      <c r="AB169" s="189"/>
      <c r="AC169" s="188"/>
      <c r="AD169" s="309"/>
      <c r="AE169" s="310"/>
      <c r="AF169" s="188"/>
      <c r="AG169" s="188"/>
      <c r="AH169" s="519"/>
      <c r="AI169" s="557"/>
    </row>
    <row r="170" spans="1:35" s="37" customFormat="1" ht="24" customHeight="1">
      <c r="A170" s="36"/>
      <c r="B170" s="36"/>
      <c r="C170" s="2387"/>
      <c r="D170" s="2388"/>
      <c r="E170" s="2389"/>
      <c r="F170" s="2353"/>
      <c r="G170" s="2354"/>
      <c r="H170" s="2390"/>
      <c r="I170" s="2355" t="str">
        <f t="shared" si="12"/>
        <v/>
      </c>
      <c r="J170" s="2391"/>
      <c r="K170" s="2351"/>
      <c r="L170" s="2356"/>
      <c r="M170" s="2397"/>
      <c r="N170" s="2398"/>
      <c r="O170" s="597"/>
      <c r="P170" s="187"/>
      <c r="Q170" s="188"/>
      <c r="R170" s="188"/>
      <c r="S170" s="188"/>
      <c r="T170" s="188"/>
      <c r="U170" s="188"/>
      <c r="V170" s="188"/>
      <c r="W170" s="188"/>
      <c r="X170" s="189"/>
      <c r="Y170" s="189"/>
      <c r="Z170" s="189"/>
      <c r="AA170" s="189"/>
      <c r="AB170" s="189"/>
      <c r="AC170" s="188"/>
      <c r="AD170" s="309"/>
      <c r="AE170" s="310"/>
      <c r="AF170" s="188"/>
      <c r="AG170" s="188"/>
      <c r="AH170" s="519"/>
      <c r="AI170" s="557"/>
    </row>
    <row r="171" spans="1:35" s="37" customFormat="1" ht="24" customHeight="1">
      <c r="A171" s="36">
        <v>4</v>
      </c>
      <c r="B171" s="36">
        <v>4</v>
      </c>
      <c r="C171" s="2413">
        <v>800</v>
      </c>
      <c r="D171" s="2399" t="s">
        <v>4204</v>
      </c>
      <c r="E171" s="2389" t="s">
        <v>4205</v>
      </c>
      <c r="F171" s="2353">
        <v>36</v>
      </c>
      <c r="G171" s="2354" t="s">
        <v>4174</v>
      </c>
      <c r="H171" s="2390">
        <f>見積比較!O$202</f>
        <v>18200</v>
      </c>
      <c r="I171" s="2355">
        <f>IF(F171="","",INT(F171*H171))</f>
        <v>655200</v>
      </c>
      <c r="J171" s="2391" t="s">
        <v>4206</v>
      </c>
      <c r="K171" s="2351"/>
      <c r="L171" s="2513" t="s">
        <v>4900</v>
      </c>
      <c r="M171" s="2414" t="s">
        <v>4207</v>
      </c>
      <c r="N171" s="2398" t="s">
        <v>4208</v>
      </c>
      <c r="O171" s="597">
        <v>0</v>
      </c>
      <c r="P171" s="187"/>
      <c r="Q171" s="188"/>
      <c r="R171" s="188"/>
      <c r="S171" s="188"/>
      <c r="T171" s="188"/>
      <c r="U171" s="188"/>
      <c r="V171" s="188"/>
      <c r="W171" s="188"/>
      <c r="X171" s="189"/>
      <c r="Y171" s="189"/>
      <c r="Z171" s="189"/>
      <c r="AA171" s="189"/>
      <c r="AB171" s="189"/>
      <c r="AC171" s="188"/>
      <c r="AD171" s="309"/>
      <c r="AE171" s="310"/>
      <c r="AF171" s="188"/>
      <c r="AG171" s="188"/>
      <c r="AH171" s="519"/>
      <c r="AI171" s="557"/>
    </row>
    <row r="172" spans="1:35" s="37" customFormat="1" ht="24" customHeight="1">
      <c r="A172" s="36"/>
      <c r="B172" s="36"/>
      <c r="C172" s="2413"/>
      <c r="D172" s="2415"/>
      <c r="E172" s="2389"/>
      <c r="F172" s="2353"/>
      <c r="G172" s="2354"/>
      <c r="H172" s="2390"/>
      <c r="I172" s="2355" t="str">
        <f t="shared" si="12"/>
        <v/>
      </c>
      <c r="J172" s="2391"/>
      <c r="K172" s="2351"/>
      <c r="L172" s="2356"/>
      <c r="M172" s="2414"/>
      <c r="N172" s="2398"/>
      <c r="O172" s="597"/>
      <c r="P172" s="187"/>
      <c r="Q172" s="188"/>
      <c r="R172" s="188"/>
      <c r="S172" s="188"/>
      <c r="T172" s="188"/>
      <c r="U172" s="188"/>
      <c r="V172" s="188"/>
      <c r="W172" s="188"/>
      <c r="X172" s="189"/>
      <c r="Y172" s="189"/>
      <c r="Z172" s="189"/>
      <c r="AA172" s="189"/>
      <c r="AB172" s="189"/>
      <c r="AC172" s="188"/>
      <c r="AD172" s="309"/>
      <c r="AE172" s="310"/>
      <c r="AF172" s="188"/>
      <c r="AG172" s="188"/>
      <c r="AH172" s="519"/>
      <c r="AI172" s="557"/>
    </row>
    <row r="173" spans="1:35" s="37" customFormat="1" ht="24" customHeight="1">
      <c r="A173" s="36">
        <v>4</v>
      </c>
      <c r="B173" s="36">
        <v>4</v>
      </c>
      <c r="C173" s="2413">
        <v>801</v>
      </c>
      <c r="D173" s="2399" t="s">
        <v>4209</v>
      </c>
      <c r="E173" s="2389" t="s">
        <v>4210</v>
      </c>
      <c r="F173" s="2353">
        <v>10</v>
      </c>
      <c r="G173" s="2354" t="s">
        <v>4174</v>
      </c>
      <c r="H173" s="2390">
        <f>見積比較!O$204</f>
        <v>29200</v>
      </c>
      <c r="I173" s="2355">
        <f>IF(F173="","",INT(F173*H173))</f>
        <v>292000</v>
      </c>
      <c r="J173" s="2391" t="s">
        <v>4206</v>
      </c>
      <c r="K173" s="2351"/>
      <c r="L173" s="2513" t="s">
        <v>4900</v>
      </c>
      <c r="M173" s="2414" t="s">
        <v>4207</v>
      </c>
      <c r="N173" s="2398" t="s">
        <v>4208</v>
      </c>
      <c r="O173" s="597">
        <v>0</v>
      </c>
      <c r="P173" s="187"/>
      <c r="Q173" s="188"/>
      <c r="R173" s="188"/>
      <c r="S173" s="188"/>
      <c r="T173" s="188"/>
      <c r="U173" s="188"/>
      <c r="V173" s="188"/>
      <c r="W173" s="188"/>
      <c r="X173" s="189"/>
      <c r="Y173" s="189"/>
      <c r="Z173" s="189"/>
      <c r="AA173" s="189"/>
      <c r="AB173" s="189"/>
      <c r="AC173" s="188"/>
      <c r="AD173" s="309"/>
      <c r="AE173" s="310"/>
      <c r="AF173" s="188"/>
      <c r="AG173" s="188"/>
      <c r="AH173" s="519"/>
      <c r="AI173" s="557"/>
    </row>
    <row r="174" spans="1:35" s="37" customFormat="1" ht="24" customHeight="1">
      <c r="A174" s="36"/>
      <c r="B174" s="36"/>
      <c r="C174" s="2413"/>
      <c r="D174" s="2388"/>
      <c r="E174" s="2389"/>
      <c r="F174" s="2353"/>
      <c r="G174" s="2354"/>
      <c r="H174" s="2390"/>
      <c r="I174" s="2355" t="str">
        <f t="shared" si="12"/>
        <v/>
      </c>
      <c r="J174" s="2391"/>
      <c r="K174" s="2351"/>
      <c r="L174" s="2356"/>
      <c r="M174" s="2414"/>
      <c r="N174" s="2398"/>
      <c r="O174" s="597"/>
      <c r="P174" s="187"/>
      <c r="Q174" s="188"/>
      <c r="R174" s="188"/>
      <c r="S174" s="188"/>
      <c r="T174" s="188"/>
      <c r="U174" s="188"/>
      <c r="V174" s="188"/>
      <c r="W174" s="188"/>
      <c r="X174" s="189"/>
      <c r="Y174" s="189"/>
      <c r="Z174" s="189"/>
      <c r="AA174" s="189"/>
      <c r="AB174" s="189"/>
      <c r="AC174" s="188"/>
      <c r="AD174" s="309"/>
      <c r="AE174" s="310"/>
      <c r="AF174" s="188"/>
      <c r="AG174" s="188"/>
      <c r="AH174" s="519"/>
      <c r="AI174" s="557"/>
    </row>
    <row r="175" spans="1:35" s="37" customFormat="1" ht="24" customHeight="1">
      <c r="A175" s="36">
        <v>4</v>
      </c>
      <c r="B175" s="36">
        <v>4</v>
      </c>
      <c r="C175" s="2413">
        <v>802</v>
      </c>
      <c r="D175" s="2399" t="s">
        <v>4211</v>
      </c>
      <c r="E175" s="2389" t="s">
        <v>4212</v>
      </c>
      <c r="F175" s="2353">
        <v>12</v>
      </c>
      <c r="G175" s="2354" t="s">
        <v>4174</v>
      </c>
      <c r="H175" s="2390">
        <f>見積比較!O$206</f>
        <v>23400</v>
      </c>
      <c r="I175" s="2355">
        <f>IF(F175="","",INT(F175*H175))</f>
        <v>280800</v>
      </c>
      <c r="J175" s="2391" t="s">
        <v>4206</v>
      </c>
      <c r="K175" s="2351"/>
      <c r="L175" s="2513" t="s">
        <v>4900</v>
      </c>
      <c r="M175" s="2414" t="s">
        <v>4207</v>
      </c>
      <c r="N175" s="2398" t="s">
        <v>4208</v>
      </c>
      <c r="O175" s="597">
        <v>0</v>
      </c>
      <c r="P175" s="187"/>
      <c r="Q175" s="188"/>
      <c r="R175" s="188"/>
      <c r="S175" s="188"/>
      <c r="T175" s="188"/>
      <c r="U175" s="188"/>
      <c r="V175" s="188"/>
      <c r="W175" s="188"/>
      <c r="X175" s="189"/>
      <c r="Y175" s="189"/>
      <c r="Z175" s="189"/>
      <c r="AA175" s="189"/>
      <c r="AB175" s="189"/>
      <c r="AC175" s="188"/>
      <c r="AD175" s="309"/>
      <c r="AE175" s="310"/>
      <c r="AF175" s="188"/>
      <c r="AG175" s="188"/>
      <c r="AH175" s="519"/>
      <c r="AI175" s="557"/>
    </row>
    <row r="176" spans="1:35" s="37" customFormat="1" ht="24" customHeight="1">
      <c r="A176" s="36"/>
      <c r="B176" s="36"/>
      <c r="C176" s="2413"/>
      <c r="D176" s="2388"/>
      <c r="E176" s="2389"/>
      <c r="F176" s="2353"/>
      <c r="G176" s="2354"/>
      <c r="H176" s="2390"/>
      <c r="I176" s="2355" t="str">
        <f t="shared" si="12"/>
        <v/>
      </c>
      <c r="J176" s="2391"/>
      <c r="K176" s="2351"/>
      <c r="L176" s="2356"/>
      <c r="M176" s="2414"/>
      <c r="N176" s="2398"/>
      <c r="O176" s="597"/>
      <c r="P176" s="187"/>
      <c r="Q176" s="188"/>
      <c r="R176" s="188"/>
      <c r="S176" s="188"/>
      <c r="T176" s="188"/>
      <c r="U176" s="188"/>
      <c r="V176" s="188"/>
      <c r="W176" s="188"/>
      <c r="X176" s="189"/>
      <c r="Y176" s="189"/>
      <c r="Z176" s="189"/>
      <c r="AA176" s="189"/>
      <c r="AB176" s="189"/>
      <c r="AC176" s="188"/>
      <c r="AD176" s="309"/>
      <c r="AE176" s="310"/>
      <c r="AF176" s="188"/>
      <c r="AG176" s="188"/>
      <c r="AH176" s="519"/>
      <c r="AI176" s="557"/>
    </row>
    <row r="177" spans="1:35" s="37" customFormat="1" ht="24" customHeight="1">
      <c r="A177" s="36">
        <v>4</v>
      </c>
      <c r="B177" s="36">
        <v>4</v>
      </c>
      <c r="C177" s="2413">
        <v>803</v>
      </c>
      <c r="D177" s="2399" t="s">
        <v>4213</v>
      </c>
      <c r="E177" s="2389" t="s">
        <v>4214</v>
      </c>
      <c r="F177" s="2353">
        <v>48</v>
      </c>
      <c r="G177" s="2354" t="s">
        <v>4174</v>
      </c>
      <c r="H177" s="2390">
        <f>見積比較!O$208</f>
        <v>9750</v>
      </c>
      <c r="I177" s="2355">
        <f>IF(F177="","",INT(F177*H177))</f>
        <v>468000</v>
      </c>
      <c r="J177" s="2391" t="s">
        <v>4206</v>
      </c>
      <c r="K177" s="2351"/>
      <c r="L177" s="2513" t="s">
        <v>4900</v>
      </c>
      <c r="M177" s="2414" t="s">
        <v>4207</v>
      </c>
      <c r="N177" s="2398" t="s">
        <v>4208</v>
      </c>
      <c r="O177" s="597">
        <v>0</v>
      </c>
      <c r="P177" s="187"/>
      <c r="Q177" s="188"/>
      <c r="R177" s="188"/>
      <c r="S177" s="188"/>
      <c r="T177" s="188"/>
      <c r="U177" s="188"/>
      <c r="V177" s="188"/>
      <c r="W177" s="188"/>
      <c r="X177" s="189"/>
      <c r="Y177" s="189"/>
      <c r="Z177" s="189"/>
      <c r="AA177" s="189"/>
      <c r="AB177" s="189"/>
      <c r="AC177" s="188"/>
      <c r="AD177" s="309"/>
      <c r="AE177" s="310"/>
      <c r="AF177" s="188"/>
      <c r="AG177" s="188"/>
      <c r="AH177" s="519"/>
      <c r="AI177" s="557"/>
    </row>
    <row r="178" spans="1:35" s="37" customFormat="1" ht="24" customHeight="1">
      <c r="A178" s="36"/>
      <c r="B178" s="36"/>
      <c r="C178" s="2413"/>
      <c r="D178" s="2388"/>
      <c r="E178" s="2389"/>
      <c r="F178" s="2353"/>
      <c r="G178" s="2354"/>
      <c r="H178" s="2390"/>
      <c r="I178" s="2355" t="str">
        <f t="shared" si="12"/>
        <v/>
      </c>
      <c r="J178" s="2391"/>
      <c r="K178" s="2351"/>
      <c r="L178" s="2356"/>
      <c r="M178" s="2414"/>
      <c r="N178" s="2398"/>
      <c r="O178" s="597"/>
      <c r="P178" s="187"/>
      <c r="Q178" s="188"/>
      <c r="R178" s="188"/>
      <c r="S178" s="188"/>
      <c r="T178" s="188"/>
      <c r="U178" s="188"/>
      <c r="V178" s="188"/>
      <c r="W178" s="188"/>
      <c r="X178" s="189"/>
      <c r="Y178" s="189"/>
      <c r="Z178" s="189"/>
      <c r="AA178" s="189"/>
      <c r="AB178" s="189"/>
      <c r="AC178" s="188"/>
      <c r="AD178" s="309"/>
      <c r="AE178" s="310"/>
      <c r="AF178" s="188"/>
      <c r="AG178" s="188"/>
      <c r="AH178" s="519"/>
      <c r="AI178" s="557"/>
    </row>
    <row r="179" spans="1:35" s="37" customFormat="1" ht="24" customHeight="1">
      <c r="A179" s="36">
        <v>4</v>
      </c>
      <c r="B179" s="36">
        <v>4</v>
      </c>
      <c r="C179" s="2413">
        <v>804</v>
      </c>
      <c r="D179" s="2399" t="s">
        <v>4215</v>
      </c>
      <c r="E179" s="2389" t="s">
        <v>4216</v>
      </c>
      <c r="F179" s="2353">
        <v>48</v>
      </c>
      <c r="G179" s="2354" t="s">
        <v>4174</v>
      </c>
      <c r="H179" s="2390">
        <f>見積比較!O$210</f>
        <v>5200</v>
      </c>
      <c r="I179" s="2355">
        <f>IF(F179="","",INT(F179*H179))</f>
        <v>249600</v>
      </c>
      <c r="J179" s="2391" t="s">
        <v>4206</v>
      </c>
      <c r="K179" s="2351"/>
      <c r="L179" s="2513" t="s">
        <v>4900</v>
      </c>
      <c r="M179" s="2414" t="s">
        <v>4207</v>
      </c>
      <c r="N179" s="2398" t="s">
        <v>4208</v>
      </c>
      <c r="O179" s="597">
        <v>0</v>
      </c>
      <c r="P179" s="187"/>
      <c r="Q179" s="188"/>
      <c r="R179" s="188"/>
      <c r="S179" s="188"/>
      <c r="T179" s="188"/>
      <c r="U179" s="188"/>
      <c r="V179" s="188"/>
      <c r="W179" s="188"/>
      <c r="X179" s="189"/>
      <c r="Y179" s="189"/>
      <c r="Z179" s="189"/>
      <c r="AA179" s="189"/>
      <c r="AB179" s="189"/>
      <c r="AC179" s="188"/>
      <c r="AD179" s="309"/>
      <c r="AE179" s="310"/>
      <c r="AF179" s="188"/>
      <c r="AG179" s="188"/>
      <c r="AH179" s="519"/>
      <c r="AI179" s="557"/>
    </row>
    <row r="180" spans="1:35" s="37" customFormat="1" ht="24" customHeight="1">
      <c r="A180" s="36"/>
      <c r="B180" s="36"/>
      <c r="C180" s="2413"/>
      <c r="D180" s="2388"/>
      <c r="E180" s="2389"/>
      <c r="F180" s="2353"/>
      <c r="G180" s="2354"/>
      <c r="H180" s="2390"/>
      <c r="I180" s="2355" t="str">
        <f t="shared" si="12"/>
        <v/>
      </c>
      <c r="J180" s="2391"/>
      <c r="K180" s="2351"/>
      <c r="L180" s="2356"/>
      <c r="M180" s="2414"/>
      <c r="N180" s="2398"/>
      <c r="O180" s="597"/>
      <c r="P180" s="187"/>
      <c r="Q180" s="188"/>
      <c r="R180" s="188"/>
      <c r="S180" s="188"/>
      <c r="T180" s="188"/>
      <c r="U180" s="188"/>
      <c r="V180" s="188"/>
      <c r="W180" s="188"/>
      <c r="X180" s="189"/>
      <c r="Y180" s="189"/>
      <c r="Z180" s="189"/>
      <c r="AA180" s="189"/>
      <c r="AB180" s="189"/>
      <c r="AC180" s="188"/>
      <c r="AD180" s="309"/>
      <c r="AE180" s="310"/>
      <c r="AF180" s="188"/>
      <c r="AG180" s="188"/>
      <c r="AH180" s="519"/>
      <c r="AI180" s="557"/>
    </row>
    <row r="181" spans="1:35" s="37" customFormat="1" ht="24" customHeight="1">
      <c r="A181" s="36">
        <v>4</v>
      </c>
      <c r="B181" s="36">
        <v>4</v>
      </c>
      <c r="C181" s="2413">
        <v>805</v>
      </c>
      <c r="D181" s="2399" t="s">
        <v>4217</v>
      </c>
      <c r="E181" s="2389" t="s">
        <v>4218</v>
      </c>
      <c r="F181" s="2353">
        <v>48</v>
      </c>
      <c r="G181" s="2354" t="s">
        <v>4174</v>
      </c>
      <c r="H181" s="2390">
        <f>見積比較!O$212</f>
        <v>29200</v>
      </c>
      <c r="I181" s="2355">
        <f>IF(F181="","",INT(F181*H181))</f>
        <v>1401600</v>
      </c>
      <c r="J181" s="2391" t="s">
        <v>4206</v>
      </c>
      <c r="K181" s="2351"/>
      <c r="L181" s="2513" t="s">
        <v>4900</v>
      </c>
      <c r="M181" s="2414" t="s">
        <v>4207</v>
      </c>
      <c r="N181" s="2398" t="s">
        <v>4208</v>
      </c>
      <c r="O181" s="597">
        <v>0</v>
      </c>
      <c r="P181" s="187"/>
      <c r="Q181" s="188"/>
      <c r="R181" s="188"/>
      <c r="S181" s="188"/>
      <c r="T181" s="188"/>
      <c r="U181" s="188"/>
      <c r="V181" s="188"/>
      <c r="W181" s="188"/>
      <c r="X181" s="189"/>
      <c r="Y181" s="189"/>
      <c r="Z181" s="189"/>
      <c r="AA181" s="189"/>
      <c r="AB181" s="189"/>
      <c r="AC181" s="188"/>
      <c r="AD181" s="309"/>
      <c r="AE181" s="310"/>
      <c r="AF181" s="188"/>
      <c r="AG181" s="188"/>
      <c r="AH181" s="519"/>
      <c r="AI181" s="557"/>
    </row>
    <row r="182" spans="1:35" s="37" customFormat="1" ht="24" customHeight="1">
      <c r="A182" s="36"/>
      <c r="B182" s="36"/>
      <c r="C182" s="2387"/>
      <c r="D182" s="2388"/>
      <c r="E182" s="2389"/>
      <c r="F182" s="2353"/>
      <c r="G182" s="2354"/>
      <c r="H182" s="2390"/>
      <c r="I182" s="2355" t="str">
        <f t="shared" si="12"/>
        <v/>
      </c>
      <c r="J182" s="2391"/>
      <c r="K182" s="2351"/>
      <c r="L182" s="2356"/>
      <c r="M182" s="2414"/>
      <c r="N182" s="2398"/>
      <c r="O182" s="597"/>
      <c r="P182" s="187"/>
      <c r="Q182" s="188"/>
      <c r="R182" s="188"/>
      <c r="S182" s="188"/>
      <c r="T182" s="188"/>
      <c r="U182" s="188"/>
      <c r="V182" s="188"/>
      <c r="W182" s="188"/>
      <c r="X182" s="189"/>
      <c r="Y182" s="189"/>
      <c r="Z182" s="189"/>
      <c r="AA182" s="189"/>
      <c r="AB182" s="189"/>
      <c r="AC182" s="188"/>
      <c r="AD182" s="309"/>
      <c r="AE182" s="310"/>
      <c r="AF182" s="188"/>
      <c r="AG182" s="188"/>
      <c r="AH182" s="519"/>
      <c r="AI182" s="557"/>
    </row>
    <row r="183" spans="1:35" s="37" customFormat="1" ht="24" customHeight="1">
      <c r="A183" s="36"/>
      <c r="B183" s="36"/>
      <c r="C183" s="2387"/>
      <c r="D183" s="2388"/>
      <c r="E183" s="2389"/>
      <c r="F183" s="2353"/>
      <c r="G183" s="2354"/>
      <c r="H183" s="2390"/>
      <c r="I183" s="2355" t="str">
        <f t="shared" si="11"/>
        <v/>
      </c>
      <c r="J183" s="2391"/>
      <c r="K183" s="2351"/>
      <c r="L183" s="2356"/>
      <c r="M183" s="2397"/>
      <c r="N183" s="2398"/>
      <c r="O183" s="597"/>
      <c r="P183" s="187"/>
      <c r="Q183" s="188"/>
      <c r="R183" s="188"/>
      <c r="S183" s="188"/>
      <c r="T183" s="188"/>
      <c r="U183" s="188"/>
      <c r="V183" s="188"/>
      <c r="W183" s="188"/>
      <c r="X183" s="189"/>
      <c r="Y183" s="189"/>
      <c r="Z183" s="189"/>
      <c r="AA183" s="189"/>
      <c r="AB183" s="189"/>
      <c r="AC183" s="188"/>
      <c r="AD183" s="309"/>
      <c r="AE183" s="310"/>
      <c r="AF183" s="188"/>
      <c r="AG183" s="188"/>
      <c r="AH183" s="519"/>
      <c r="AI183" s="557"/>
    </row>
    <row r="184" spans="1:35" s="37" customFormat="1" ht="24" customHeight="1">
      <c r="A184" s="36"/>
      <c r="B184" s="36"/>
      <c r="C184" s="2387"/>
      <c r="D184" s="2388"/>
      <c r="E184" s="2389"/>
      <c r="F184" s="2353"/>
      <c r="G184" s="2354"/>
      <c r="H184" s="2390"/>
      <c r="I184" s="2355" t="str">
        <f t="shared" si="11"/>
        <v/>
      </c>
      <c r="J184" s="2391"/>
      <c r="K184" s="2351"/>
      <c r="L184" s="2356"/>
      <c r="M184" s="2397"/>
      <c r="N184" s="2398"/>
      <c r="O184" s="597"/>
      <c r="P184" s="187"/>
      <c r="Q184" s="188"/>
      <c r="R184" s="188"/>
      <c r="S184" s="188"/>
      <c r="T184" s="188"/>
      <c r="U184" s="188"/>
      <c r="V184" s="188"/>
      <c r="W184" s="188"/>
      <c r="X184" s="189"/>
      <c r="Y184" s="189"/>
      <c r="Z184" s="189"/>
      <c r="AA184" s="189"/>
      <c r="AB184" s="189"/>
      <c r="AC184" s="188"/>
      <c r="AD184" s="309"/>
      <c r="AE184" s="310"/>
      <c r="AF184" s="188"/>
      <c r="AG184" s="188"/>
      <c r="AH184" s="519"/>
      <c r="AI184" s="557"/>
    </row>
    <row r="185" spans="1:35" ht="24" customHeight="1" thickBot="1">
      <c r="A185" s="36"/>
      <c r="B185" s="36"/>
      <c r="C185" s="2362"/>
      <c r="D185" s="2363" t="s">
        <v>4144</v>
      </c>
      <c r="E185" s="2364"/>
      <c r="F185" s="2365"/>
      <c r="G185" s="2366"/>
      <c r="H185" s="2382" t="s">
        <v>4131</v>
      </c>
      <c r="I185" s="2368">
        <f>SUM(I167:I184)</f>
        <v>3543781</v>
      </c>
      <c r="J185" s="2383" t="str">
        <f>IF(C166="部分撤去工事","）うち費用",")")</f>
        <v>)</v>
      </c>
      <c r="K185" s="2393">
        <f>IF(C166="部分撤去工事",(K162+L185),0)</f>
        <v>0</v>
      </c>
      <c r="L185" s="2384">
        <f>IF(C166="部分撤去工事",SUMIF(N167:N184,"費用",I167:I184),0)</f>
        <v>0</v>
      </c>
      <c r="M185" s="2394"/>
      <c r="N185" s="2400"/>
      <c r="O185" s="597"/>
      <c r="P185" s="187"/>
      <c r="Q185" s="188"/>
      <c r="R185" s="188"/>
      <c r="S185" s="188"/>
      <c r="T185" s="188"/>
      <c r="U185" s="188"/>
      <c r="V185" s="188"/>
      <c r="W185" s="188"/>
      <c r="X185" s="189"/>
      <c r="Y185" s="189"/>
      <c r="Z185" s="189"/>
      <c r="AA185" s="189"/>
      <c r="AB185" s="189"/>
      <c r="AC185" s="188"/>
      <c r="AD185" s="309"/>
      <c r="AE185" s="310"/>
      <c r="AF185" s="188"/>
      <c r="AG185" s="188"/>
      <c r="AH185" s="188"/>
      <c r="AI185" s="557"/>
    </row>
    <row r="186" spans="1:35" ht="14.25" customHeight="1">
      <c r="E186" s="101" t="s">
        <v>130</v>
      </c>
      <c r="F186" s="102">
        <f>+F163+1</f>
        <v>15</v>
      </c>
      <c r="G186" s="103" t="s">
        <v>131</v>
      </c>
      <c r="H186" s="104">
        <f>+H163</f>
        <v>69</v>
      </c>
      <c r="I186" s="104"/>
      <c r="M186" s="598" t="str">
        <f>IF(A188="","EOL","")</f>
        <v/>
      </c>
      <c r="N186" s="1">
        <f>+F186</f>
        <v>15</v>
      </c>
      <c r="Q186" s="37"/>
      <c r="R186" s="37"/>
      <c r="S186" s="37"/>
      <c r="T186" s="37"/>
      <c r="U186" s="37"/>
      <c r="V186" s="37"/>
      <c r="W186" s="37"/>
      <c r="X186" s="37"/>
      <c r="Y186" s="37"/>
      <c r="Z186" s="37"/>
    </row>
    <row r="187" spans="1:35" ht="26.1" customHeight="1" thickBot="1">
      <c r="C187" s="2517" t="s">
        <v>107</v>
      </c>
      <c r="D187" s="2517"/>
      <c r="E187" s="2517"/>
      <c r="F187" s="2517"/>
      <c r="G187" s="2517"/>
      <c r="H187" s="2517"/>
      <c r="I187" s="2517"/>
      <c r="J187" s="2517"/>
      <c r="K187" s="2517"/>
      <c r="L187" s="2517"/>
      <c r="O187" s="2730" t="s">
        <v>4098</v>
      </c>
      <c r="P187" s="2730"/>
      <c r="Q187" s="2730"/>
      <c r="R187" s="2730"/>
      <c r="S187" s="2730"/>
      <c r="T187" s="2730"/>
      <c r="U187" s="2730"/>
      <c r="V187" s="2730"/>
      <c r="W187" s="2730"/>
      <c r="X187" s="2730"/>
      <c r="Y187" s="2730"/>
      <c r="Z187" s="2730"/>
      <c r="AA187" s="2730"/>
      <c r="AB187" s="2730"/>
      <c r="AC187" s="2730"/>
      <c r="AD187" s="2730"/>
      <c r="AE187" s="2730"/>
      <c r="AF187" s="2730"/>
      <c r="AG187" s="2730"/>
      <c r="AH187" s="2731"/>
      <c r="AI187" s="555"/>
    </row>
    <row r="188" spans="1:35" ht="41.25" customHeight="1">
      <c r="A188" s="5" t="s">
        <v>108</v>
      </c>
      <c r="B188" s="5" t="s">
        <v>4145</v>
      </c>
      <c r="C188" s="99" t="s">
        <v>110</v>
      </c>
      <c r="D188" s="95"/>
      <c r="E188" s="96" t="s">
        <v>111</v>
      </c>
      <c r="F188" s="97" t="s">
        <v>112</v>
      </c>
      <c r="G188" s="97" t="s">
        <v>113</v>
      </c>
      <c r="H188" s="98" t="s">
        <v>114</v>
      </c>
      <c r="I188" s="98" t="s">
        <v>115</v>
      </c>
      <c r="J188" s="2552" t="s">
        <v>116</v>
      </c>
      <c r="K188" s="2553"/>
      <c r="L188" s="2554"/>
      <c r="M188" s="599"/>
      <c r="N188" s="604" t="s">
        <v>4154</v>
      </c>
      <c r="O188" s="596" t="s">
        <v>4099</v>
      </c>
      <c r="P188" s="303" t="s">
        <v>4100</v>
      </c>
      <c r="Q188" s="241" t="s">
        <v>4101</v>
      </c>
      <c r="R188" s="241" t="s">
        <v>4102</v>
      </c>
      <c r="S188" s="241" t="s">
        <v>4103</v>
      </c>
      <c r="T188" s="241" t="s">
        <v>4104</v>
      </c>
      <c r="U188" s="241" t="s">
        <v>4105</v>
      </c>
      <c r="V188" s="125" t="s">
        <v>4106</v>
      </c>
      <c r="W188" s="241" t="s">
        <v>4107</v>
      </c>
      <c r="X188" s="180" t="s">
        <v>4108</v>
      </c>
      <c r="Y188" s="180" t="s">
        <v>4109</v>
      </c>
      <c r="Z188" s="180" t="s">
        <v>4110</v>
      </c>
      <c r="AA188" s="180" t="s">
        <v>4111</v>
      </c>
      <c r="AB188" s="180" t="s">
        <v>4112</v>
      </c>
      <c r="AC188" s="306" t="s">
        <v>4113</v>
      </c>
      <c r="AD188" s="307" t="s">
        <v>4114</v>
      </c>
      <c r="AE188" s="308" t="s">
        <v>4115</v>
      </c>
      <c r="AF188" s="124" t="s">
        <v>4116</v>
      </c>
      <c r="AG188" s="124" t="s">
        <v>4117</v>
      </c>
      <c r="AH188" s="124" t="s">
        <v>4118</v>
      </c>
      <c r="AI188" s="556"/>
    </row>
    <row r="189" spans="1:35" ht="24" customHeight="1">
      <c r="A189" s="36"/>
      <c r="B189" s="36"/>
      <c r="C189" s="2370" t="s">
        <v>4126</v>
      </c>
      <c r="D189" s="2385"/>
      <c r="E189" s="623"/>
      <c r="F189" s="1889"/>
      <c r="G189" s="1890"/>
      <c r="H189" s="2386" t="s">
        <v>117</v>
      </c>
      <c r="I189" s="2386" t="s">
        <v>117</v>
      </c>
      <c r="J189" s="2732"/>
      <c r="K189" s="2733"/>
      <c r="L189" s="2734"/>
      <c r="M189" s="2395"/>
      <c r="N189" s="2396"/>
      <c r="O189" s="597"/>
      <c r="P189" s="187"/>
      <c r="Q189" s="188"/>
      <c r="R189" s="188"/>
      <c r="S189" s="188"/>
      <c r="T189" s="188"/>
      <c r="U189" s="188"/>
      <c r="V189" s="188"/>
      <c r="W189" s="188"/>
      <c r="X189" s="189"/>
      <c r="Y189" s="189"/>
      <c r="Z189" s="189"/>
      <c r="AA189" s="189"/>
      <c r="AB189" s="189"/>
      <c r="AC189" s="188"/>
      <c r="AD189" s="309"/>
      <c r="AE189" s="310"/>
      <c r="AF189" s="188"/>
      <c r="AG189" s="188"/>
      <c r="AH189" s="188"/>
      <c r="AI189" s="557"/>
    </row>
    <row r="190" spans="1:35" s="37" customFormat="1" ht="24" customHeight="1">
      <c r="A190" s="36"/>
      <c r="B190" s="36"/>
      <c r="C190" s="2387"/>
      <c r="D190" s="2388"/>
      <c r="E190" s="2389"/>
      <c r="F190" s="2353"/>
      <c r="G190" s="2354"/>
      <c r="H190" s="2390"/>
      <c r="I190" s="2355" t="str">
        <f t="shared" ref="I190:I207" si="13">IF(F190="","",INT(F190*H190))</f>
        <v/>
      </c>
      <c r="J190" s="2391"/>
      <c r="K190" s="2351"/>
      <c r="L190" s="2356"/>
      <c r="M190" s="2397"/>
      <c r="N190" s="2398"/>
      <c r="O190" s="597"/>
      <c r="P190" s="187"/>
      <c r="Q190" s="188"/>
      <c r="R190" s="188"/>
      <c r="S190" s="188"/>
      <c r="T190" s="188"/>
      <c r="U190" s="188"/>
      <c r="V190" s="188"/>
      <c r="W190" s="188"/>
      <c r="X190" s="189"/>
      <c r="Y190" s="189"/>
      <c r="Z190" s="189"/>
      <c r="AA190" s="189"/>
      <c r="AB190" s="189"/>
      <c r="AC190" s="188"/>
      <c r="AD190" s="309"/>
      <c r="AE190" s="310"/>
      <c r="AF190" s="188"/>
      <c r="AG190" s="188"/>
      <c r="AH190" s="519"/>
      <c r="AI190" s="557"/>
    </row>
    <row r="191" spans="1:35" s="37" customFormat="1" ht="24" customHeight="1">
      <c r="A191" s="36">
        <v>4</v>
      </c>
      <c r="B191" s="36">
        <v>4</v>
      </c>
      <c r="C191" s="2401">
        <v>25012</v>
      </c>
      <c r="D191" s="2399" t="s">
        <v>4219</v>
      </c>
      <c r="E191" s="2389" t="s">
        <v>4220</v>
      </c>
      <c r="F191" s="2353">
        <v>105</v>
      </c>
      <c r="G191" s="2354" t="s">
        <v>4193</v>
      </c>
      <c r="H191" s="2390">
        <v>29100</v>
      </c>
      <c r="I191" s="2355">
        <f>IF(F191="","",INT(F191*H191))</f>
        <v>3055500</v>
      </c>
      <c r="J191" s="2391" t="s">
        <v>4221</v>
      </c>
      <c r="K191" s="2351" t="s">
        <v>4222</v>
      </c>
      <c r="L191" s="2513" t="s">
        <v>4900</v>
      </c>
      <c r="M191" s="2397"/>
      <c r="N191" s="2398" t="s">
        <v>4223</v>
      </c>
      <c r="O191" s="597"/>
      <c r="P191" s="187">
        <v>60</v>
      </c>
      <c r="Q191" s="188"/>
      <c r="R191" s="188"/>
      <c r="S191" s="188"/>
      <c r="T191" s="188"/>
      <c r="U191" s="188">
        <v>20</v>
      </c>
      <c r="V191" s="188"/>
      <c r="W191" s="188"/>
      <c r="X191" s="189"/>
      <c r="Y191" s="189"/>
      <c r="Z191" s="189"/>
      <c r="AA191" s="189"/>
      <c r="AB191" s="189"/>
      <c r="AC191" s="188"/>
      <c r="AD191" s="309"/>
      <c r="AE191" s="310"/>
      <c r="AF191" s="188"/>
      <c r="AG191" s="188"/>
      <c r="AH191" s="519"/>
      <c r="AI191" s="557"/>
    </row>
    <row r="192" spans="1:35" s="37" customFormat="1" ht="24" customHeight="1">
      <c r="A192" s="36">
        <v>4</v>
      </c>
      <c r="B192" s="36">
        <v>4</v>
      </c>
      <c r="C192" s="2401">
        <v>25012</v>
      </c>
      <c r="D192" s="2402" t="s">
        <v>4219</v>
      </c>
      <c r="E192" s="2403" t="s">
        <v>4220</v>
      </c>
      <c r="F192" s="2404">
        <v>39.700000000000003</v>
      </c>
      <c r="G192" s="2405" t="s">
        <v>4193</v>
      </c>
      <c r="H192" s="2406">
        <v>29100</v>
      </c>
      <c r="I192" s="2407">
        <f>IF(F192="","",INT(F192*H192))</f>
        <v>1155270</v>
      </c>
      <c r="J192" s="2411" t="s">
        <v>4221</v>
      </c>
      <c r="K192" s="2408"/>
      <c r="L192" s="2513" t="s">
        <v>4900</v>
      </c>
      <c r="M192" s="2397"/>
      <c r="N192" s="2398" t="s">
        <v>4223</v>
      </c>
      <c r="O192" s="597"/>
      <c r="P192" s="187">
        <v>60</v>
      </c>
      <c r="Q192" s="188"/>
      <c r="R192" s="188"/>
      <c r="S192" s="188"/>
      <c r="T192" s="188"/>
      <c r="U192" s="188">
        <v>20</v>
      </c>
      <c r="V192" s="188"/>
      <c r="W192" s="188"/>
      <c r="X192" s="189"/>
      <c r="Y192" s="189"/>
      <c r="Z192" s="189"/>
      <c r="AA192" s="189"/>
      <c r="AB192" s="189"/>
      <c r="AC192" s="188"/>
      <c r="AD192" s="309"/>
      <c r="AE192" s="310"/>
      <c r="AF192" s="188"/>
      <c r="AG192" s="188"/>
      <c r="AH192" s="519"/>
      <c r="AI192" s="557"/>
    </row>
    <row r="193" spans="1:35" s="37" customFormat="1" ht="24" customHeight="1">
      <c r="A193" s="36">
        <v>4</v>
      </c>
      <c r="B193" s="36">
        <v>4</v>
      </c>
      <c r="C193" s="2401">
        <v>23064</v>
      </c>
      <c r="D193" s="2402" t="s">
        <v>4224</v>
      </c>
      <c r="E193" s="2403" t="s">
        <v>4225</v>
      </c>
      <c r="F193" s="2404">
        <v>97.7</v>
      </c>
      <c r="G193" s="2405" t="s">
        <v>4157</v>
      </c>
      <c r="H193" s="2406">
        <v>9150</v>
      </c>
      <c r="I193" s="2407">
        <f>IF(F193="","",INT(F193*H193))</f>
        <v>893955</v>
      </c>
      <c r="J193" s="2411" t="s">
        <v>4226</v>
      </c>
      <c r="K193" s="2408"/>
      <c r="L193" s="2513" t="s">
        <v>4900</v>
      </c>
      <c r="M193" s="2397"/>
      <c r="N193" s="2398" t="s">
        <v>4223</v>
      </c>
      <c r="O193" s="597"/>
      <c r="P193" s="187">
        <v>60</v>
      </c>
      <c r="Q193" s="188"/>
      <c r="R193" s="188"/>
      <c r="S193" s="188"/>
      <c r="T193" s="188"/>
      <c r="U193" s="188">
        <v>20</v>
      </c>
      <c r="V193" s="188"/>
      <c r="W193" s="188"/>
      <c r="X193" s="189"/>
      <c r="Y193" s="189"/>
      <c r="Z193" s="189"/>
      <c r="AA193" s="189"/>
      <c r="AB193" s="189"/>
      <c r="AC193" s="188"/>
      <c r="AD193" s="309"/>
      <c r="AE193" s="310"/>
      <c r="AF193" s="188"/>
      <c r="AG193" s="188"/>
      <c r="AH193" s="519"/>
      <c r="AI193" s="557"/>
    </row>
    <row r="194" spans="1:35" s="37" customFormat="1" ht="24" customHeight="1">
      <c r="A194" s="36">
        <v>4</v>
      </c>
      <c r="B194" s="36">
        <v>4</v>
      </c>
      <c r="C194" s="2387"/>
      <c r="D194" s="2399" t="s">
        <v>4227</v>
      </c>
      <c r="E194" s="2389" t="s">
        <v>4228</v>
      </c>
      <c r="F194" s="2353">
        <v>220</v>
      </c>
      <c r="G194" s="2354" t="s">
        <v>4229</v>
      </c>
      <c r="H194" s="2390">
        <v>330</v>
      </c>
      <c r="I194" s="2355">
        <f t="shared" ref="I194:I203" si="14">IF(F194="","",INT(F194*H194))</f>
        <v>72600</v>
      </c>
      <c r="J194" s="2391" t="s">
        <v>4230</v>
      </c>
      <c r="K194" s="2351"/>
      <c r="L194" s="2513" t="s">
        <v>4900</v>
      </c>
      <c r="M194" s="2397"/>
      <c r="N194" s="2398" t="s">
        <v>4223</v>
      </c>
      <c r="O194" s="597"/>
      <c r="P194" s="187"/>
      <c r="Q194" s="188"/>
      <c r="R194" s="188"/>
      <c r="S194" s="188"/>
      <c r="T194" s="188">
        <v>1</v>
      </c>
      <c r="U194" s="188"/>
      <c r="V194" s="188"/>
      <c r="W194" s="188"/>
      <c r="X194" s="189"/>
      <c r="Y194" s="189"/>
      <c r="Z194" s="189"/>
      <c r="AA194" s="189"/>
      <c r="AB194" s="189"/>
      <c r="AC194" s="188"/>
      <c r="AD194" s="309"/>
      <c r="AE194" s="310"/>
      <c r="AF194" s="188"/>
      <c r="AG194" s="188"/>
      <c r="AH194" s="519"/>
      <c r="AI194" s="557"/>
    </row>
    <row r="195" spans="1:35" s="37" customFormat="1" ht="24" customHeight="1">
      <c r="A195" s="36">
        <v>4</v>
      </c>
      <c r="B195" s="36">
        <v>4</v>
      </c>
      <c r="C195" s="2387">
        <v>20021</v>
      </c>
      <c r="D195" s="2399" t="s">
        <v>4224</v>
      </c>
      <c r="E195" s="2389" t="s">
        <v>4231</v>
      </c>
      <c r="F195" s="2353">
        <v>44</v>
      </c>
      <c r="G195" s="2354" t="s">
        <v>4232</v>
      </c>
      <c r="H195" s="2390">
        <v>90</v>
      </c>
      <c r="I195" s="2355">
        <f>IF(F195="","",INT(F195*H195))</f>
        <v>3960</v>
      </c>
      <c r="J195" s="2391"/>
      <c r="K195" s="2351"/>
      <c r="L195" s="2513" t="s">
        <v>4900</v>
      </c>
      <c r="M195" s="2397"/>
      <c r="N195" s="2398" t="s">
        <v>4223</v>
      </c>
      <c r="O195" s="597"/>
      <c r="P195" s="187"/>
      <c r="Q195" s="188"/>
      <c r="R195" s="188"/>
      <c r="S195" s="188"/>
      <c r="T195" s="188">
        <v>0.39</v>
      </c>
      <c r="U195" s="188"/>
      <c r="V195" s="188"/>
      <c r="W195" s="188"/>
      <c r="X195" s="189"/>
      <c r="Y195" s="189"/>
      <c r="Z195" s="189"/>
      <c r="AA195" s="189"/>
      <c r="AB195" s="189"/>
      <c r="AC195" s="188"/>
      <c r="AD195" s="309"/>
      <c r="AE195" s="310"/>
      <c r="AF195" s="188"/>
      <c r="AG195" s="188"/>
      <c r="AH195" s="519"/>
      <c r="AI195" s="557"/>
    </row>
    <row r="196" spans="1:35" s="37" customFormat="1" ht="24" customHeight="1">
      <c r="A196" s="36">
        <v>4</v>
      </c>
      <c r="B196" s="36">
        <v>4</v>
      </c>
      <c r="C196" s="2387">
        <v>20020</v>
      </c>
      <c r="D196" s="2399" t="s">
        <v>4224</v>
      </c>
      <c r="E196" s="2389" t="s">
        <v>4231</v>
      </c>
      <c r="F196" s="2353">
        <v>25</v>
      </c>
      <c r="G196" s="2354" t="s">
        <v>4202</v>
      </c>
      <c r="H196" s="2390">
        <v>330</v>
      </c>
      <c r="I196" s="2355">
        <f>IF(F196="","",INT(F196*H196))</f>
        <v>8250</v>
      </c>
      <c r="J196" s="2391"/>
      <c r="K196" s="2351"/>
      <c r="L196" s="2513" t="s">
        <v>4900</v>
      </c>
      <c r="M196" s="2397"/>
      <c r="N196" s="2398" t="s">
        <v>4223</v>
      </c>
      <c r="O196" s="597"/>
      <c r="P196" s="187"/>
      <c r="Q196" s="188"/>
      <c r="R196" s="188"/>
      <c r="S196" s="188"/>
      <c r="T196" s="188">
        <v>1.3</v>
      </c>
      <c r="U196" s="188"/>
      <c r="V196" s="188"/>
      <c r="W196" s="188"/>
      <c r="X196" s="189"/>
      <c r="Y196" s="189"/>
      <c r="Z196" s="189"/>
      <c r="AA196" s="189"/>
      <c r="AB196" s="189"/>
      <c r="AC196" s="188"/>
      <c r="AD196" s="309"/>
      <c r="AE196" s="310"/>
      <c r="AF196" s="188"/>
      <c r="AG196" s="188"/>
      <c r="AH196" s="519"/>
      <c r="AI196" s="557"/>
    </row>
    <row r="197" spans="1:35" s="37" customFormat="1" ht="24" customHeight="1">
      <c r="A197" s="36">
        <v>3</v>
      </c>
      <c r="B197" s="36">
        <v>3</v>
      </c>
      <c r="C197" s="2387">
        <v>23059</v>
      </c>
      <c r="D197" s="2399" t="s">
        <v>4224</v>
      </c>
      <c r="E197" s="2389" t="s">
        <v>4233</v>
      </c>
      <c r="F197" s="2353">
        <v>29.8</v>
      </c>
      <c r="G197" s="2354" t="s">
        <v>4157</v>
      </c>
      <c r="H197" s="2390">
        <v>2270</v>
      </c>
      <c r="I197" s="2355">
        <f>IF(F197="","",INT(F197*H197))</f>
        <v>67646</v>
      </c>
      <c r="J197" s="2391" t="s">
        <v>4234</v>
      </c>
      <c r="K197" s="2351"/>
      <c r="L197" s="2513" t="s">
        <v>4900</v>
      </c>
      <c r="M197" s="2397"/>
      <c r="N197" s="2398" t="s">
        <v>4223</v>
      </c>
      <c r="O197" s="597"/>
      <c r="P197" s="187"/>
      <c r="Q197" s="188"/>
      <c r="R197" s="188"/>
      <c r="S197" s="188"/>
      <c r="T197" s="188"/>
      <c r="U197" s="188"/>
      <c r="V197" s="188"/>
      <c r="W197" s="188"/>
      <c r="X197" s="189">
        <v>9</v>
      </c>
      <c r="Y197" s="189"/>
      <c r="Z197" s="189"/>
      <c r="AA197" s="189"/>
      <c r="AB197" s="189"/>
      <c r="AC197" s="188"/>
      <c r="AD197" s="309"/>
      <c r="AE197" s="310"/>
      <c r="AF197" s="188"/>
      <c r="AG197" s="188"/>
      <c r="AH197" s="519"/>
      <c r="AI197" s="557"/>
    </row>
    <row r="198" spans="1:35" s="37" customFormat="1" ht="24" customHeight="1">
      <c r="A198" s="36">
        <v>4</v>
      </c>
      <c r="B198" s="36">
        <v>4</v>
      </c>
      <c r="C198" s="2387">
        <v>23173</v>
      </c>
      <c r="D198" s="2399" t="s">
        <v>4224</v>
      </c>
      <c r="E198" s="2389" t="s">
        <v>4233</v>
      </c>
      <c r="F198" s="2353">
        <v>12</v>
      </c>
      <c r="G198" s="2354" t="s">
        <v>4157</v>
      </c>
      <c r="H198" s="2390">
        <v>7090</v>
      </c>
      <c r="I198" s="2355">
        <f>IF(F198="","",INT(F198*H198))</f>
        <v>85080</v>
      </c>
      <c r="J198" s="2391" t="s">
        <v>4235</v>
      </c>
      <c r="K198" s="2351"/>
      <c r="L198" s="2513" t="s">
        <v>4900</v>
      </c>
      <c r="M198" s="2397"/>
      <c r="N198" s="2398" t="s">
        <v>4223</v>
      </c>
      <c r="O198" s="597"/>
      <c r="P198" s="187"/>
      <c r="Q198" s="188"/>
      <c r="R198" s="188"/>
      <c r="S198" s="188"/>
      <c r="T198" s="188"/>
      <c r="U198" s="188"/>
      <c r="V198" s="188"/>
      <c r="W198" s="188"/>
      <c r="X198" s="189"/>
      <c r="Y198" s="189"/>
      <c r="Z198" s="189"/>
      <c r="AA198" s="189"/>
      <c r="AB198" s="189"/>
      <c r="AC198" s="188"/>
      <c r="AD198" s="309">
        <v>9</v>
      </c>
      <c r="AE198" s="310"/>
      <c r="AF198" s="188"/>
      <c r="AG198" s="188"/>
      <c r="AH198" s="519"/>
      <c r="AI198" s="557"/>
    </row>
    <row r="199" spans="1:35" s="37" customFormat="1" ht="24" customHeight="1">
      <c r="A199" s="36"/>
      <c r="B199" s="36"/>
      <c r="C199" s="2387"/>
      <c r="D199" s="2388"/>
      <c r="E199" s="2389"/>
      <c r="F199" s="2353"/>
      <c r="G199" s="2354"/>
      <c r="H199" s="2390"/>
      <c r="I199" s="2355" t="str">
        <f t="shared" si="14"/>
        <v/>
      </c>
      <c r="J199" s="2391"/>
      <c r="K199" s="2351"/>
      <c r="L199" s="2356"/>
      <c r="M199" s="2397"/>
      <c r="N199" s="2398"/>
      <c r="O199" s="597"/>
      <c r="P199" s="187"/>
      <c r="Q199" s="188"/>
      <c r="R199" s="188"/>
      <c r="S199" s="188"/>
      <c r="T199" s="188"/>
      <c r="U199" s="188"/>
      <c r="V199" s="188"/>
      <c r="W199" s="188"/>
      <c r="X199" s="189"/>
      <c r="Y199" s="189"/>
      <c r="Z199" s="189"/>
      <c r="AA199" s="189"/>
      <c r="AB199" s="189"/>
      <c r="AC199" s="188"/>
      <c r="AD199" s="309"/>
      <c r="AE199" s="310"/>
      <c r="AF199" s="188"/>
      <c r="AG199" s="188"/>
      <c r="AH199" s="519"/>
      <c r="AI199" s="557"/>
    </row>
    <row r="200" spans="1:35" s="37" customFormat="1" ht="24" customHeight="1">
      <c r="A200" s="36">
        <v>4</v>
      </c>
      <c r="B200" s="36">
        <v>4</v>
      </c>
      <c r="C200" s="2387">
        <v>23512</v>
      </c>
      <c r="D200" s="2399" t="s">
        <v>4224</v>
      </c>
      <c r="E200" s="2389" t="s">
        <v>4236</v>
      </c>
      <c r="F200" s="2353">
        <v>45.2</v>
      </c>
      <c r="G200" s="2354" t="s">
        <v>4237</v>
      </c>
      <c r="H200" s="2390">
        <v>2680</v>
      </c>
      <c r="I200" s="2355">
        <f>IF(F200="","",INT(F200*H200))</f>
        <v>121136</v>
      </c>
      <c r="J200" s="2391"/>
      <c r="K200" s="2351"/>
      <c r="L200" s="2513" t="s">
        <v>4900</v>
      </c>
      <c r="M200" s="2397"/>
      <c r="N200" s="2398" t="s">
        <v>4223</v>
      </c>
      <c r="O200" s="597"/>
      <c r="P200" s="187"/>
      <c r="Q200" s="188"/>
      <c r="R200" s="188"/>
      <c r="S200" s="188"/>
      <c r="T200" s="188"/>
      <c r="U200" s="188"/>
      <c r="V200" s="188"/>
      <c r="W200" s="188"/>
      <c r="X200" s="189"/>
      <c r="Y200" s="189"/>
      <c r="Z200" s="189"/>
      <c r="AA200" s="189"/>
      <c r="AB200" s="189"/>
      <c r="AC200" s="188"/>
      <c r="AD200" s="309"/>
      <c r="AE200" s="310"/>
      <c r="AF200" s="188">
        <v>20</v>
      </c>
      <c r="AG200" s="188"/>
      <c r="AH200" s="519"/>
      <c r="AI200" s="557"/>
    </row>
    <row r="201" spans="1:35" s="37" customFormat="1" ht="24" customHeight="1">
      <c r="A201" s="36"/>
      <c r="B201" s="36"/>
      <c r="C201" s="2387"/>
      <c r="D201" s="2388"/>
      <c r="E201" s="2389"/>
      <c r="F201" s="2353"/>
      <c r="G201" s="2354"/>
      <c r="H201" s="2390"/>
      <c r="I201" s="2355" t="str">
        <f t="shared" si="14"/>
        <v/>
      </c>
      <c r="J201" s="2391"/>
      <c r="K201" s="2351"/>
      <c r="L201" s="2356"/>
      <c r="M201" s="2397"/>
      <c r="N201" s="2398"/>
      <c r="O201" s="597"/>
      <c r="P201" s="187"/>
      <c r="Q201" s="188"/>
      <c r="R201" s="188"/>
      <c r="S201" s="188"/>
      <c r="T201" s="188"/>
      <c r="U201" s="188"/>
      <c r="V201" s="188"/>
      <c r="W201" s="188"/>
      <c r="X201" s="189"/>
      <c r="Y201" s="189"/>
      <c r="Z201" s="189"/>
      <c r="AA201" s="189"/>
      <c r="AB201" s="189"/>
      <c r="AC201" s="188"/>
      <c r="AD201" s="309"/>
      <c r="AE201" s="310"/>
      <c r="AF201" s="188"/>
      <c r="AG201" s="188"/>
      <c r="AH201" s="519"/>
      <c r="AI201" s="557"/>
    </row>
    <row r="202" spans="1:35" s="37" customFormat="1" ht="24" customHeight="1">
      <c r="A202" s="36">
        <v>4</v>
      </c>
      <c r="B202" s="36">
        <v>4</v>
      </c>
      <c r="C202" s="2387">
        <v>23090</v>
      </c>
      <c r="D202" s="2399" t="s">
        <v>4238</v>
      </c>
      <c r="E202" s="2389" t="s">
        <v>4239</v>
      </c>
      <c r="F202" s="2353">
        <v>598</v>
      </c>
      <c r="G202" s="2354" t="s">
        <v>4237</v>
      </c>
      <c r="H202" s="2390">
        <v>2280</v>
      </c>
      <c r="I202" s="2355">
        <f>IF(F202="","",INT(F202*H202))</f>
        <v>1363440</v>
      </c>
      <c r="J202" s="2391" t="s">
        <v>4240</v>
      </c>
      <c r="K202" s="2351"/>
      <c r="L202" s="2513" t="s">
        <v>4900</v>
      </c>
      <c r="M202" s="2397"/>
      <c r="N202" s="2398" t="s">
        <v>4223</v>
      </c>
      <c r="O202" s="597">
        <v>0</v>
      </c>
      <c r="P202" s="187"/>
      <c r="Q202" s="188"/>
      <c r="R202" s="188"/>
      <c r="S202" s="188"/>
      <c r="T202" s="188"/>
      <c r="U202" s="188"/>
      <c r="V202" s="188"/>
      <c r="W202" s="188"/>
      <c r="X202" s="189"/>
      <c r="Y202" s="189"/>
      <c r="Z202" s="189"/>
      <c r="AA202" s="189"/>
      <c r="AB202" s="189"/>
      <c r="AC202" s="188"/>
      <c r="AD202" s="309"/>
      <c r="AE202" s="310"/>
      <c r="AF202" s="188"/>
      <c r="AG202" s="188"/>
      <c r="AH202" s="519"/>
      <c r="AI202" s="557"/>
    </row>
    <row r="203" spans="1:35" s="37" customFormat="1" ht="24" customHeight="1">
      <c r="A203" s="36"/>
      <c r="B203" s="36"/>
      <c r="C203" s="2387"/>
      <c r="D203" s="2388"/>
      <c r="E203" s="2389"/>
      <c r="F203" s="2353"/>
      <c r="G203" s="2354"/>
      <c r="H203" s="2390"/>
      <c r="I203" s="2355" t="str">
        <f t="shared" si="14"/>
        <v/>
      </c>
      <c r="J203" s="2391"/>
      <c r="K203" s="2351"/>
      <c r="L203" s="2356"/>
      <c r="M203" s="2397"/>
      <c r="N203" s="2398"/>
      <c r="O203" s="597"/>
      <c r="P203" s="187"/>
      <c r="Q203" s="188"/>
      <c r="R203" s="188"/>
      <c r="S203" s="188"/>
      <c r="T203" s="188"/>
      <c r="U203" s="188"/>
      <c r="V203" s="188"/>
      <c r="W203" s="188"/>
      <c r="X203" s="189"/>
      <c r="Y203" s="189"/>
      <c r="Z203" s="189"/>
      <c r="AA203" s="189"/>
      <c r="AB203" s="189"/>
      <c r="AC203" s="188"/>
      <c r="AD203" s="309"/>
      <c r="AE203" s="310"/>
      <c r="AF203" s="188"/>
      <c r="AG203" s="188"/>
      <c r="AH203" s="519"/>
      <c r="AI203" s="557"/>
    </row>
    <row r="204" spans="1:35" s="37" customFormat="1" ht="24" customHeight="1">
      <c r="A204" s="36"/>
      <c r="B204" s="36"/>
      <c r="C204" s="2387"/>
      <c r="D204" s="2388"/>
      <c r="E204" s="2389"/>
      <c r="F204" s="2353"/>
      <c r="G204" s="2354"/>
      <c r="H204" s="2390"/>
      <c r="I204" s="2355" t="str">
        <f t="shared" si="13"/>
        <v/>
      </c>
      <c r="J204" s="2391"/>
      <c r="K204" s="2351"/>
      <c r="L204" s="2356"/>
      <c r="M204" s="2397"/>
      <c r="N204" s="2398"/>
      <c r="O204" s="597"/>
      <c r="P204" s="187"/>
      <c r="Q204" s="188"/>
      <c r="R204" s="188"/>
      <c r="S204" s="188"/>
      <c r="T204" s="188"/>
      <c r="U204" s="188"/>
      <c r="V204" s="188"/>
      <c r="W204" s="188"/>
      <c r="X204" s="189"/>
      <c r="Y204" s="189"/>
      <c r="Z204" s="189"/>
      <c r="AA204" s="189"/>
      <c r="AB204" s="189"/>
      <c r="AC204" s="188"/>
      <c r="AD204" s="309"/>
      <c r="AE204" s="310"/>
      <c r="AF204" s="188"/>
      <c r="AG204" s="188"/>
      <c r="AH204" s="519"/>
      <c r="AI204" s="557"/>
    </row>
    <row r="205" spans="1:35" s="37" customFormat="1" ht="24" customHeight="1">
      <c r="A205" s="36"/>
      <c r="B205" s="36"/>
      <c r="C205" s="2387"/>
      <c r="D205" s="2388"/>
      <c r="E205" s="2389"/>
      <c r="F205" s="2353"/>
      <c r="G205" s="2354"/>
      <c r="H205" s="2390"/>
      <c r="I205" s="2355" t="str">
        <f t="shared" si="13"/>
        <v/>
      </c>
      <c r="J205" s="2391"/>
      <c r="K205" s="2351"/>
      <c r="L205" s="2356"/>
      <c r="M205" s="2397"/>
      <c r="N205" s="2398"/>
      <c r="O205" s="597"/>
      <c r="P205" s="187"/>
      <c r="Q205" s="188"/>
      <c r="R205" s="188"/>
      <c r="S205" s="188"/>
      <c r="T205" s="188"/>
      <c r="U205" s="188"/>
      <c r="V205" s="188"/>
      <c r="W205" s="188"/>
      <c r="X205" s="189"/>
      <c r="Y205" s="189"/>
      <c r="Z205" s="189"/>
      <c r="AA205" s="189"/>
      <c r="AB205" s="189"/>
      <c r="AC205" s="188"/>
      <c r="AD205" s="309"/>
      <c r="AE205" s="310"/>
      <c r="AF205" s="188"/>
      <c r="AG205" s="188"/>
      <c r="AH205" s="519"/>
      <c r="AI205" s="557"/>
    </row>
    <row r="206" spans="1:35" s="37" customFormat="1" ht="24" customHeight="1">
      <c r="A206" s="36"/>
      <c r="B206" s="36"/>
      <c r="C206" s="2387"/>
      <c r="D206" s="2388"/>
      <c r="E206" s="2389"/>
      <c r="F206" s="2353"/>
      <c r="G206" s="2354"/>
      <c r="H206" s="2390"/>
      <c r="I206" s="2355" t="str">
        <f t="shared" si="13"/>
        <v/>
      </c>
      <c r="J206" s="2391"/>
      <c r="K206" s="2351"/>
      <c r="L206" s="2356"/>
      <c r="M206" s="2397"/>
      <c r="N206" s="2398"/>
      <c r="O206" s="597"/>
      <c r="P206" s="187"/>
      <c r="Q206" s="188"/>
      <c r="R206" s="188"/>
      <c r="S206" s="188"/>
      <c r="T206" s="188"/>
      <c r="U206" s="188"/>
      <c r="V206" s="188"/>
      <c r="W206" s="188"/>
      <c r="X206" s="189"/>
      <c r="Y206" s="189"/>
      <c r="Z206" s="189"/>
      <c r="AA206" s="189"/>
      <c r="AB206" s="189"/>
      <c r="AC206" s="188"/>
      <c r="AD206" s="309"/>
      <c r="AE206" s="310"/>
      <c r="AF206" s="188"/>
      <c r="AG206" s="188"/>
      <c r="AH206" s="519"/>
      <c r="AI206" s="557"/>
    </row>
    <row r="207" spans="1:35" s="37" customFormat="1" ht="24" customHeight="1">
      <c r="A207" s="36"/>
      <c r="B207" s="36"/>
      <c r="C207" s="2387"/>
      <c r="D207" s="2388"/>
      <c r="E207" s="2389"/>
      <c r="F207" s="2353"/>
      <c r="G207" s="2354"/>
      <c r="H207" s="2390"/>
      <c r="I207" s="2355" t="str">
        <f t="shared" si="13"/>
        <v/>
      </c>
      <c r="J207" s="2391"/>
      <c r="K207" s="2351"/>
      <c r="L207" s="2356"/>
      <c r="M207" s="2397"/>
      <c r="N207" s="2398"/>
      <c r="O207" s="597"/>
      <c r="P207" s="187"/>
      <c r="Q207" s="188"/>
      <c r="R207" s="188"/>
      <c r="S207" s="188"/>
      <c r="T207" s="188"/>
      <c r="U207" s="188"/>
      <c r="V207" s="188"/>
      <c r="W207" s="188"/>
      <c r="X207" s="189"/>
      <c r="Y207" s="189"/>
      <c r="Z207" s="189"/>
      <c r="AA207" s="189"/>
      <c r="AB207" s="189"/>
      <c r="AC207" s="188"/>
      <c r="AD207" s="309"/>
      <c r="AE207" s="310"/>
      <c r="AF207" s="188"/>
      <c r="AG207" s="188"/>
      <c r="AH207" s="519"/>
      <c r="AI207" s="557"/>
    </row>
    <row r="208" spans="1:35" ht="24" customHeight="1" thickBot="1">
      <c r="A208" s="36"/>
      <c r="B208" s="36"/>
      <c r="C208" s="2362"/>
      <c r="D208" s="2363"/>
      <c r="E208" s="2364"/>
      <c r="F208" s="2365"/>
      <c r="G208" s="2366"/>
      <c r="H208" s="2382"/>
      <c r="I208" s="2416">
        <f>SUM(I190:I207)</f>
        <v>6826837</v>
      </c>
      <c r="J208" s="2383"/>
      <c r="K208" s="2393">
        <f>IF(C189="部分撤去工事",(K185+L208),0)</f>
        <v>6826837</v>
      </c>
      <c r="L208" s="2384">
        <f>IF(C189="部分撤去工事",SUMIF(N190:N207,"費用",I190:I207),0)</f>
        <v>6826837</v>
      </c>
      <c r="M208" s="2394"/>
      <c r="N208" s="2400"/>
      <c r="O208" s="597"/>
      <c r="P208" s="187"/>
      <c r="Q208" s="188"/>
      <c r="R208" s="188"/>
      <c r="S208" s="188"/>
      <c r="T208" s="188"/>
      <c r="U208" s="188"/>
      <c r="V208" s="188"/>
      <c r="W208" s="188"/>
      <c r="X208" s="189"/>
      <c r="Y208" s="189"/>
      <c r="Z208" s="189"/>
      <c r="AA208" s="189"/>
      <c r="AB208" s="189"/>
      <c r="AC208" s="188"/>
      <c r="AD208" s="309"/>
      <c r="AE208" s="310"/>
      <c r="AF208" s="188"/>
      <c r="AG208" s="188"/>
      <c r="AH208" s="188"/>
      <c r="AI208" s="557"/>
    </row>
    <row r="209" spans="1:35" ht="14.25" customHeight="1">
      <c r="E209" s="101" t="s">
        <v>130</v>
      </c>
      <c r="F209" s="102">
        <f>+F186+1</f>
        <v>16</v>
      </c>
      <c r="G209" s="103" t="s">
        <v>131</v>
      </c>
      <c r="H209" s="104">
        <f>+H186</f>
        <v>69</v>
      </c>
      <c r="I209" s="104"/>
      <c r="M209" s="598" t="str">
        <f>IF(A211="","EOL","")</f>
        <v/>
      </c>
      <c r="N209" s="1">
        <f>+F209</f>
        <v>16</v>
      </c>
      <c r="Q209" s="37"/>
      <c r="R209" s="37"/>
      <c r="S209" s="37"/>
      <c r="T209" s="37"/>
      <c r="U209" s="37"/>
      <c r="V209" s="37"/>
      <c r="W209" s="37"/>
      <c r="X209" s="37"/>
      <c r="Y209" s="37"/>
      <c r="Z209" s="37"/>
    </row>
    <row r="210" spans="1:35" ht="26.1" customHeight="1" thickBot="1">
      <c r="C210" s="2517" t="s">
        <v>107</v>
      </c>
      <c r="D210" s="2517"/>
      <c r="E210" s="2517"/>
      <c r="F210" s="2517"/>
      <c r="G210" s="2517"/>
      <c r="H210" s="2517"/>
      <c r="I210" s="2517"/>
      <c r="J210" s="2517"/>
      <c r="K210" s="2517"/>
      <c r="L210" s="2517"/>
      <c r="O210" s="2730" t="s">
        <v>4098</v>
      </c>
      <c r="P210" s="2730"/>
      <c r="Q210" s="2730"/>
      <c r="R210" s="2730"/>
      <c r="S210" s="2730"/>
      <c r="T210" s="2730"/>
      <c r="U210" s="2730"/>
      <c r="V210" s="2730"/>
      <c r="W210" s="2730"/>
      <c r="X210" s="2730"/>
      <c r="Y210" s="2730"/>
      <c r="Z210" s="2730"/>
      <c r="AA210" s="2730"/>
      <c r="AB210" s="2730"/>
      <c r="AC210" s="2730"/>
      <c r="AD210" s="2730"/>
      <c r="AE210" s="2730"/>
      <c r="AF210" s="2730"/>
      <c r="AG210" s="2730"/>
      <c r="AH210" s="2731"/>
      <c r="AI210" s="555"/>
    </row>
    <row r="211" spans="1:35" ht="41.25" customHeight="1">
      <c r="A211" s="5" t="s">
        <v>108</v>
      </c>
      <c r="B211" s="5" t="s">
        <v>4145</v>
      </c>
      <c r="C211" s="99" t="s">
        <v>110</v>
      </c>
      <c r="D211" s="95"/>
      <c r="E211" s="96" t="s">
        <v>111</v>
      </c>
      <c r="F211" s="97" t="s">
        <v>112</v>
      </c>
      <c r="G211" s="97" t="s">
        <v>113</v>
      </c>
      <c r="H211" s="98" t="s">
        <v>114</v>
      </c>
      <c r="I211" s="98" t="s">
        <v>115</v>
      </c>
      <c r="J211" s="2552" t="s">
        <v>116</v>
      </c>
      <c r="K211" s="2553"/>
      <c r="L211" s="2554"/>
      <c r="M211" s="599"/>
      <c r="N211" s="604" t="s">
        <v>4154</v>
      </c>
      <c r="O211" s="596" t="s">
        <v>4099</v>
      </c>
      <c r="P211" s="303" t="s">
        <v>4100</v>
      </c>
      <c r="Q211" s="241" t="s">
        <v>4101</v>
      </c>
      <c r="R211" s="241" t="s">
        <v>4102</v>
      </c>
      <c r="S211" s="241" t="s">
        <v>4103</v>
      </c>
      <c r="T211" s="241" t="s">
        <v>4104</v>
      </c>
      <c r="U211" s="241" t="s">
        <v>4105</v>
      </c>
      <c r="V211" s="125" t="s">
        <v>4106</v>
      </c>
      <c r="W211" s="241" t="s">
        <v>4107</v>
      </c>
      <c r="X211" s="180" t="s">
        <v>4108</v>
      </c>
      <c r="Y211" s="180" t="s">
        <v>4109</v>
      </c>
      <c r="Z211" s="180" t="s">
        <v>4110</v>
      </c>
      <c r="AA211" s="180" t="s">
        <v>4111</v>
      </c>
      <c r="AB211" s="180" t="s">
        <v>4112</v>
      </c>
      <c r="AC211" s="306" t="s">
        <v>4113</v>
      </c>
      <c r="AD211" s="307" t="s">
        <v>4114</v>
      </c>
      <c r="AE211" s="308" t="s">
        <v>4115</v>
      </c>
      <c r="AF211" s="124" t="s">
        <v>4116</v>
      </c>
      <c r="AG211" s="124" t="s">
        <v>4117</v>
      </c>
      <c r="AH211" s="124" t="s">
        <v>4118</v>
      </c>
      <c r="AI211" s="556"/>
    </row>
    <row r="212" spans="1:35" ht="24" customHeight="1">
      <c r="A212" s="36"/>
      <c r="B212" s="36"/>
      <c r="C212" s="2370" t="s">
        <v>4126</v>
      </c>
      <c r="D212" s="2385"/>
      <c r="E212" s="623"/>
      <c r="F212" s="1889"/>
      <c r="G212" s="1890"/>
      <c r="H212" s="2386" t="s">
        <v>117</v>
      </c>
      <c r="I212" s="2386" t="s">
        <v>117</v>
      </c>
      <c r="J212" s="2732"/>
      <c r="K212" s="2733"/>
      <c r="L212" s="2734"/>
      <c r="M212" s="2395"/>
      <c r="N212" s="2396"/>
      <c r="O212" s="597"/>
      <c r="P212" s="187"/>
      <c r="Q212" s="188"/>
      <c r="R212" s="188"/>
      <c r="S212" s="188"/>
      <c r="T212" s="188"/>
      <c r="U212" s="188"/>
      <c r="V212" s="188"/>
      <c r="W212" s="188"/>
      <c r="X212" s="189"/>
      <c r="Y212" s="189"/>
      <c r="Z212" s="189"/>
      <c r="AA212" s="189"/>
      <c r="AB212" s="189"/>
      <c r="AC212" s="188"/>
      <c r="AD212" s="309"/>
      <c r="AE212" s="310"/>
      <c r="AF212" s="188"/>
      <c r="AG212" s="188"/>
      <c r="AH212" s="188"/>
      <c r="AI212" s="557"/>
    </row>
    <row r="213" spans="1:35" s="37" customFormat="1" ht="24" customHeight="1">
      <c r="A213" s="36"/>
      <c r="B213" s="36"/>
      <c r="C213" s="2387"/>
      <c r="D213" s="2388"/>
      <c r="E213" s="2389"/>
      <c r="F213" s="2353"/>
      <c r="G213" s="2354"/>
      <c r="H213" s="2390"/>
      <c r="I213" s="2355" t="str">
        <f t="shared" ref="I213:I230" si="15">IF(F213="","",INT(F213*H213))</f>
        <v/>
      </c>
      <c r="J213" s="2391"/>
      <c r="K213" s="2351"/>
      <c r="L213" s="2356"/>
      <c r="M213" s="2397"/>
      <c r="N213" s="2398"/>
      <c r="O213" s="597"/>
      <c r="P213" s="187"/>
      <c r="Q213" s="188"/>
      <c r="R213" s="188"/>
      <c r="S213" s="188"/>
      <c r="T213" s="188"/>
      <c r="U213" s="188"/>
      <c r="V213" s="188"/>
      <c r="W213" s="188"/>
      <c r="X213" s="189"/>
      <c r="Y213" s="189"/>
      <c r="Z213" s="189"/>
      <c r="AA213" s="189"/>
      <c r="AB213" s="189"/>
      <c r="AC213" s="188"/>
      <c r="AD213" s="309"/>
      <c r="AE213" s="310"/>
      <c r="AF213" s="188"/>
      <c r="AG213" s="188"/>
      <c r="AH213" s="519"/>
      <c r="AI213" s="557"/>
    </row>
    <row r="214" spans="1:35" s="37" customFormat="1" ht="24" customHeight="1">
      <c r="A214" s="36">
        <v>3</v>
      </c>
      <c r="B214" s="36">
        <v>3</v>
      </c>
      <c r="C214" s="2387">
        <v>20060</v>
      </c>
      <c r="D214" s="2399" t="s">
        <v>4241</v>
      </c>
      <c r="E214" s="2389" t="s">
        <v>4242</v>
      </c>
      <c r="F214" s="2353">
        <f>ROUND('1'!M3*0.001,2)</f>
        <v>0.26</v>
      </c>
      <c r="G214" s="2354" t="s">
        <v>4243</v>
      </c>
      <c r="H214" s="2390">
        <v>920</v>
      </c>
      <c r="I214" s="2355">
        <f>IF(F214="","",INT(F214*H214))</f>
        <v>239</v>
      </c>
      <c r="J214" s="2391" t="s">
        <v>4244</v>
      </c>
      <c r="K214" s="2351"/>
      <c r="L214" s="2356"/>
      <c r="M214" s="2397"/>
      <c r="N214" s="2398" t="s">
        <v>4223</v>
      </c>
      <c r="O214" s="597">
        <v>0</v>
      </c>
      <c r="P214" s="187"/>
      <c r="Q214" s="188"/>
      <c r="R214" s="188"/>
      <c r="S214" s="188"/>
      <c r="T214" s="188"/>
      <c r="U214" s="188"/>
      <c r="V214" s="188"/>
      <c r="W214" s="188"/>
      <c r="X214" s="189"/>
      <c r="Y214" s="189"/>
      <c r="Z214" s="189"/>
      <c r="AA214" s="189"/>
      <c r="AB214" s="189"/>
      <c r="AC214" s="188"/>
      <c r="AD214" s="309"/>
      <c r="AE214" s="310"/>
      <c r="AF214" s="188"/>
      <c r="AG214" s="188"/>
      <c r="AH214" s="519"/>
      <c r="AI214" s="557"/>
    </row>
    <row r="215" spans="1:35" s="37" customFormat="1" ht="24" customHeight="1">
      <c r="A215" s="36">
        <v>3</v>
      </c>
      <c r="B215" s="36">
        <v>3</v>
      </c>
      <c r="C215" s="2387">
        <v>20061</v>
      </c>
      <c r="D215" s="2399" t="s">
        <v>4241</v>
      </c>
      <c r="E215" s="2389" t="s">
        <v>4245</v>
      </c>
      <c r="F215" s="2353">
        <f>ROUNDUP('1'!M2*0.001,2)</f>
        <v>0.53</v>
      </c>
      <c r="G215" s="2354" t="s">
        <v>4246</v>
      </c>
      <c r="H215" s="2390">
        <f>10900*L215</f>
        <v>39240</v>
      </c>
      <c r="I215" s="2355">
        <f>IF(F215="","",INT(F215*H215))</f>
        <v>20797</v>
      </c>
      <c r="J215" s="2391" t="s">
        <v>4247</v>
      </c>
      <c r="K215" s="2351"/>
      <c r="L215" s="2356">
        <v>3.6</v>
      </c>
      <c r="M215" s="2397"/>
      <c r="N215" s="2398" t="s">
        <v>4223</v>
      </c>
      <c r="O215" s="597">
        <v>0</v>
      </c>
      <c r="P215" s="187"/>
      <c r="Q215" s="188"/>
      <c r="R215" s="188"/>
      <c r="S215" s="188"/>
      <c r="T215" s="188"/>
      <c r="U215" s="188"/>
      <c r="V215" s="188"/>
      <c r="W215" s="188"/>
      <c r="X215" s="189"/>
      <c r="Y215" s="189"/>
      <c r="Z215" s="189"/>
      <c r="AA215" s="189"/>
      <c r="AB215" s="189"/>
      <c r="AC215" s="188"/>
      <c r="AD215" s="309"/>
      <c r="AE215" s="310"/>
      <c r="AF215" s="188"/>
      <c r="AG215" s="188"/>
      <c r="AH215" s="519"/>
      <c r="AI215" s="557"/>
    </row>
    <row r="216" spans="1:35" s="37" customFormat="1" ht="24" customHeight="1">
      <c r="A216" s="36"/>
      <c r="B216" s="36"/>
      <c r="C216" s="2387"/>
      <c r="D216" s="2415"/>
      <c r="E216" s="2389"/>
      <c r="F216" s="2353"/>
      <c r="G216" s="2354"/>
      <c r="H216" s="2390"/>
      <c r="I216" s="2355" t="str">
        <f t="shared" ref="I216" si="16">IF(F216="","",INT(F216*H216))</f>
        <v/>
      </c>
      <c r="J216" s="2391"/>
      <c r="K216" s="2351"/>
      <c r="L216" s="2356"/>
      <c r="M216" s="2397"/>
      <c r="N216" s="2398"/>
      <c r="O216" s="597"/>
      <c r="P216" s="187"/>
      <c r="Q216" s="188"/>
      <c r="R216" s="188"/>
      <c r="S216" s="188"/>
      <c r="T216" s="188"/>
      <c r="U216" s="188"/>
      <c r="V216" s="188"/>
      <c r="W216" s="188"/>
      <c r="X216" s="189"/>
      <c r="Y216" s="189"/>
      <c r="Z216" s="189"/>
      <c r="AA216" s="189"/>
      <c r="AB216" s="189"/>
      <c r="AC216" s="188"/>
      <c r="AD216" s="309"/>
      <c r="AE216" s="310"/>
      <c r="AF216" s="188"/>
      <c r="AG216" s="188"/>
      <c r="AH216" s="519"/>
      <c r="AI216" s="557"/>
    </row>
    <row r="217" spans="1:35" s="37" customFormat="1" ht="24" customHeight="1">
      <c r="A217" s="36">
        <v>4</v>
      </c>
      <c r="B217" s="36">
        <v>4</v>
      </c>
      <c r="C217" s="2387">
        <v>20060</v>
      </c>
      <c r="D217" s="2399" t="s">
        <v>4241</v>
      </c>
      <c r="E217" s="2389" t="s">
        <v>4242</v>
      </c>
      <c r="F217" s="2353">
        <f>ROUND('1'!N3*0.001,1)</f>
        <v>7.7</v>
      </c>
      <c r="G217" s="2354" t="s">
        <v>4243</v>
      </c>
      <c r="H217" s="2390">
        <v>920</v>
      </c>
      <c r="I217" s="2355">
        <f>IF(F217="","",INT(F217*H217))</f>
        <v>7084</v>
      </c>
      <c r="J217" s="2391" t="s">
        <v>4244</v>
      </c>
      <c r="K217" s="2351"/>
      <c r="L217" s="2356"/>
      <c r="M217" s="2397"/>
      <c r="N217" s="2398" t="s">
        <v>4223</v>
      </c>
      <c r="O217" s="597">
        <v>0</v>
      </c>
      <c r="P217" s="187"/>
      <c r="Q217" s="188"/>
      <c r="R217" s="188"/>
      <c r="S217" s="188"/>
      <c r="T217" s="188"/>
      <c r="U217" s="188"/>
      <c r="V217" s="188"/>
      <c r="W217" s="188"/>
      <c r="X217" s="189"/>
      <c r="Y217" s="189"/>
      <c r="Z217" s="189"/>
      <c r="AA217" s="189"/>
      <c r="AB217" s="189"/>
      <c r="AC217" s="188"/>
      <c r="AD217" s="309"/>
      <c r="AE217" s="310"/>
      <c r="AF217" s="188"/>
      <c r="AG217" s="188"/>
      <c r="AH217" s="519"/>
      <c r="AI217" s="557"/>
    </row>
    <row r="218" spans="1:35" s="37" customFormat="1" ht="24" customHeight="1">
      <c r="A218" s="36">
        <v>4</v>
      </c>
      <c r="B218" s="36">
        <v>4</v>
      </c>
      <c r="C218" s="2387">
        <v>20061</v>
      </c>
      <c r="D218" s="2399" t="s">
        <v>4248</v>
      </c>
      <c r="E218" s="2389" t="s">
        <v>4249</v>
      </c>
      <c r="F218" s="2353">
        <f>ROUND('1'!N2*0.001,1)</f>
        <v>28.3</v>
      </c>
      <c r="G218" s="2354" t="s">
        <v>4250</v>
      </c>
      <c r="H218" s="2390">
        <f>10900*L218</f>
        <v>54500</v>
      </c>
      <c r="I218" s="2355">
        <f>IF(F218="","",INT(F218*H218))</f>
        <v>1542350</v>
      </c>
      <c r="J218" s="2391" t="s">
        <v>4251</v>
      </c>
      <c r="K218" s="2351"/>
      <c r="L218" s="2356">
        <v>5</v>
      </c>
      <c r="M218" s="2397"/>
      <c r="N218" s="2398" t="s">
        <v>4223</v>
      </c>
      <c r="O218" s="597">
        <v>0</v>
      </c>
      <c r="P218" s="187"/>
      <c r="Q218" s="188"/>
      <c r="R218" s="188"/>
      <c r="S218" s="188"/>
      <c r="T218" s="188"/>
      <c r="U218" s="188"/>
      <c r="V218" s="188"/>
      <c r="W218" s="188"/>
      <c r="X218" s="189"/>
      <c r="Y218" s="189"/>
      <c r="Z218" s="189"/>
      <c r="AA218" s="189"/>
      <c r="AB218" s="189"/>
      <c r="AC218" s="188"/>
      <c r="AD218" s="309"/>
      <c r="AE218" s="310"/>
      <c r="AF218" s="188"/>
      <c r="AG218" s="188"/>
      <c r="AH218" s="519"/>
      <c r="AI218" s="557"/>
    </row>
    <row r="219" spans="1:35" s="37" customFormat="1" ht="24" customHeight="1">
      <c r="A219" s="36"/>
      <c r="B219" s="36"/>
      <c r="C219" s="2387"/>
      <c r="D219" s="2399"/>
      <c r="E219" s="2389"/>
      <c r="F219" s="2353"/>
      <c r="G219" s="2354"/>
      <c r="H219" s="2390"/>
      <c r="I219" s="2355"/>
      <c r="J219" s="2391"/>
      <c r="K219" s="2351"/>
      <c r="L219" s="2356"/>
      <c r="M219" s="2397"/>
      <c r="N219" s="2398"/>
      <c r="O219" s="597"/>
      <c r="P219" s="187"/>
      <c r="Q219" s="188"/>
      <c r="R219" s="188"/>
      <c r="S219" s="188"/>
      <c r="T219" s="188"/>
      <c r="U219" s="188"/>
      <c r="V219" s="188"/>
      <c r="W219" s="188"/>
      <c r="X219" s="189"/>
      <c r="Y219" s="189"/>
      <c r="Z219" s="189"/>
      <c r="AA219" s="189"/>
      <c r="AB219" s="189"/>
      <c r="AC219" s="188"/>
      <c r="AD219" s="309"/>
      <c r="AE219" s="310"/>
      <c r="AF219" s="188"/>
      <c r="AG219" s="188"/>
      <c r="AH219" s="519"/>
      <c r="AI219" s="557"/>
    </row>
    <row r="220" spans="1:35" s="37" customFormat="1" ht="24" customHeight="1">
      <c r="A220" s="36">
        <v>3</v>
      </c>
      <c r="B220" s="36">
        <v>3</v>
      </c>
      <c r="C220" s="2387">
        <v>24020</v>
      </c>
      <c r="D220" s="2399" t="s">
        <v>4252</v>
      </c>
      <c r="E220" s="2389" t="s">
        <v>4253</v>
      </c>
      <c r="F220" s="2353">
        <f>ROUND('1'!U2*0.001,2)</f>
        <v>0.27</v>
      </c>
      <c r="G220" s="2354" t="s">
        <v>4246</v>
      </c>
      <c r="H220" s="2390">
        <v>3280</v>
      </c>
      <c r="I220" s="2355">
        <f>IF(F220="","",INT(F220*H220))</f>
        <v>885</v>
      </c>
      <c r="J220" s="2391"/>
      <c r="K220" s="2351"/>
      <c r="L220" s="2356"/>
      <c r="M220" s="2397"/>
      <c r="N220" s="2398" t="s">
        <v>4223</v>
      </c>
      <c r="O220" s="597">
        <v>0</v>
      </c>
      <c r="P220" s="187"/>
      <c r="Q220" s="188"/>
      <c r="R220" s="188"/>
      <c r="S220" s="188"/>
      <c r="T220" s="188"/>
      <c r="U220" s="188"/>
      <c r="V220" s="188"/>
      <c r="W220" s="188"/>
      <c r="X220" s="189"/>
      <c r="Y220" s="189"/>
      <c r="Z220" s="189"/>
      <c r="AA220" s="189"/>
      <c r="AB220" s="189"/>
      <c r="AC220" s="188"/>
      <c r="AD220" s="309"/>
      <c r="AE220" s="310"/>
      <c r="AF220" s="188"/>
      <c r="AG220" s="188"/>
      <c r="AH220" s="519"/>
      <c r="AI220" s="557"/>
    </row>
    <row r="221" spans="1:35" s="37" customFormat="1" ht="24" customHeight="1">
      <c r="A221" s="36">
        <v>4</v>
      </c>
      <c r="B221" s="36">
        <v>4</v>
      </c>
      <c r="C221" s="2387">
        <v>24020</v>
      </c>
      <c r="D221" s="2399" t="s">
        <v>4254</v>
      </c>
      <c r="E221" s="2389" t="s">
        <v>4255</v>
      </c>
      <c r="F221" s="2353">
        <f>ROUND('1'!V2*0.001,1)</f>
        <v>20.7</v>
      </c>
      <c r="G221" s="2354" t="s">
        <v>4250</v>
      </c>
      <c r="H221" s="2390">
        <v>4410</v>
      </c>
      <c r="I221" s="2355">
        <f>IF(F221="","",INT(F221*H221))</f>
        <v>91287</v>
      </c>
      <c r="J221" s="2391"/>
      <c r="K221" s="2351"/>
      <c r="L221" s="2356"/>
      <c r="M221" s="2397"/>
      <c r="N221" s="2398" t="s">
        <v>4223</v>
      </c>
      <c r="O221" s="597">
        <v>0</v>
      </c>
      <c r="P221" s="187"/>
      <c r="Q221" s="188"/>
      <c r="R221" s="188"/>
      <c r="S221" s="188"/>
      <c r="T221" s="188"/>
      <c r="U221" s="188"/>
      <c r="V221" s="188"/>
      <c r="W221" s="188"/>
      <c r="X221" s="189"/>
      <c r="Y221" s="189"/>
      <c r="Z221" s="189"/>
      <c r="AA221" s="189"/>
      <c r="AB221" s="189"/>
      <c r="AC221" s="188"/>
      <c r="AD221" s="309"/>
      <c r="AE221" s="310"/>
      <c r="AF221" s="188"/>
      <c r="AG221" s="188"/>
      <c r="AH221" s="519"/>
      <c r="AI221" s="557"/>
    </row>
    <row r="222" spans="1:35" s="37" customFormat="1" ht="24" customHeight="1">
      <c r="A222" s="36"/>
      <c r="B222" s="36"/>
      <c r="C222" s="2387"/>
      <c r="D222" s="2415"/>
      <c r="E222" s="2389"/>
      <c r="F222" s="2353"/>
      <c r="G222" s="2354"/>
      <c r="H222" s="2390"/>
      <c r="I222" s="2355" t="str">
        <f t="shared" ref="I222" si="17">IF(F222="","",INT(F222*H222))</f>
        <v/>
      </c>
      <c r="J222" s="2391"/>
      <c r="K222" s="2351"/>
      <c r="L222" s="2356"/>
      <c r="M222" s="2397"/>
      <c r="N222" s="2398"/>
      <c r="O222" s="597"/>
      <c r="P222" s="187"/>
      <c r="Q222" s="188"/>
      <c r="R222" s="188"/>
      <c r="S222" s="188"/>
      <c r="T222" s="188"/>
      <c r="U222" s="188"/>
      <c r="V222" s="188"/>
      <c r="W222" s="188"/>
      <c r="X222" s="189"/>
      <c r="Y222" s="189"/>
      <c r="Z222" s="189"/>
      <c r="AA222" s="189"/>
      <c r="AB222" s="189"/>
      <c r="AC222" s="188"/>
      <c r="AD222" s="309"/>
      <c r="AE222" s="310"/>
      <c r="AF222" s="188"/>
      <c r="AG222" s="188"/>
      <c r="AH222" s="519"/>
      <c r="AI222" s="557"/>
    </row>
    <row r="223" spans="1:35" s="37" customFormat="1" ht="24" customHeight="1">
      <c r="A223" s="36">
        <v>3</v>
      </c>
      <c r="B223" s="36">
        <v>3</v>
      </c>
      <c r="C223" s="2387"/>
      <c r="D223" s="2399" t="s">
        <v>4256</v>
      </c>
      <c r="E223" s="2389" t="s">
        <v>4257</v>
      </c>
      <c r="F223" s="2353">
        <v>1</v>
      </c>
      <c r="G223" s="2354" t="s">
        <v>122</v>
      </c>
      <c r="H223" s="2390"/>
      <c r="I223" s="2355">
        <f>+[4]残材運搬費按分表!$T$69</f>
        <v>22300</v>
      </c>
      <c r="J223" s="2391" t="s">
        <v>4147</v>
      </c>
      <c r="K223" s="2351"/>
      <c r="L223" s="2356"/>
      <c r="M223" s="2397"/>
      <c r="N223" s="2398" t="s">
        <v>4223</v>
      </c>
      <c r="O223" s="597">
        <v>0</v>
      </c>
      <c r="P223" s="187"/>
      <c r="Q223" s="188"/>
      <c r="R223" s="188"/>
      <c r="S223" s="188"/>
      <c r="T223" s="188"/>
      <c r="U223" s="188"/>
      <c r="V223" s="188"/>
      <c r="W223" s="188"/>
      <c r="X223" s="189"/>
      <c r="Y223" s="189"/>
      <c r="Z223" s="189"/>
      <c r="AA223" s="189"/>
      <c r="AB223" s="189"/>
      <c r="AC223" s="188"/>
      <c r="AD223" s="309"/>
      <c r="AE223" s="310"/>
      <c r="AF223" s="188"/>
      <c r="AG223" s="188"/>
      <c r="AH223" s="519"/>
      <c r="AI223" s="557"/>
    </row>
    <row r="224" spans="1:35" s="37" customFormat="1" ht="24" customHeight="1">
      <c r="A224" s="36">
        <v>4</v>
      </c>
      <c r="B224" s="36">
        <v>4</v>
      </c>
      <c r="C224" s="2387"/>
      <c r="D224" s="2399" t="s">
        <v>4256</v>
      </c>
      <c r="E224" s="2389" t="s">
        <v>4257</v>
      </c>
      <c r="F224" s="2353">
        <v>1</v>
      </c>
      <c r="G224" s="2354" t="s">
        <v>122</v>
      </c>
      <c r="H224" s="2390"/>
      <c r="I224" s="2355">
        <f>+[4]残材運搬費按分表!$T$91</f>
        <v>222540</v>
      </c>
      <c r="J224" s="2391" t="s">
        <v>4149</v>
      </c>
      <c r="K224" s="2351"/>
      <c r="L224" s="2356"/>
      <c r="M224" s="2397"/>
      <c r="N224" s="2398" t="s">
        <v>4223</v>
      </c>
      <c r="O224" s="597">
        <v>0</v>
      </c>
      <c r="P224" s="187"/>
      <c r="Q224" s="188"/>
      <c r="R224" s="188"/>
      <c r="S224" s="188"/>
      <c r="T224" s="188"/>
      <c r="U224" s="188"/>
      <c r="V224" s="188"/>
      <c r="W224" s="188"/>
      <c r="X224" s="189"/>
      <c r="Y224" s="189"/>
      <c r="Z224" s="189"/>
      <c r="AA224" s="189"/>
      <c r="AB224" s="189"/>
      <c r="AC224" s="188"/>
      <c r="AD224" s="309"/>
      <c r="AE224" s="310"/>
      <c r="AF224" s="188"/>
      <c r="AG224" s="188"/>
      <c r="AH224" s="519"/>
      <c r="AI224" s="557"/>
    </row>
    <row r="225" spans="1:35" s="37" customFormat="1" ht="24" customHeight="1">
      <c r="A225" s="36">
        <v>4</v>
      </c>
      <c r="B225" s="36">
        <v>4</v>
      </c>
      <c r="C225" s="2387"/>
      <c r="D225" s="2399" t="s">
        <v>4256</v>
      </c>
      <c r="E225" s="2389" t="s">
        <v>4258</v>
      </c>
      <c r="F225" s="2353">
        <v>1</v>
      </c>
      <c r="G225" s="2354" t="s">
        <v>122</v>
      </c>
      <c r="H225" s="2390"/>
      <c r="I225" s="2355">
        <f>+[4]スクラップ運搬費按分表!$T$91</f>
        <v>18931</v>
      </c>
      <c r="J225" s="2391" t="s">
        <v>4149</v>
      </c>
      <c r="K225" s="2351"/>
      <c r="L225" s="2356"/>
      <c r="M225" s="2397"/>
      <c r="N225" s="2398" t="s">
        <v>4223</v>
      </c>
      <c r="O225" s="597">
        <v>0</v>
      </c>
      <c r="P225" s="187"/>
      <c r="Q225" s="188"/>
      <c r="R225" s="188"/>
      <c r="S225" s="188"/>
      <c r="T225" s="188"/>
      <c r="U225" s="188"/>
      <c r="V225" s="188"/>
      <c r="W225" s="188"/>
      <c r="X225" s="189"/>
      <c r="Y225" s="189"/>
      <c r="Z225" s="189"/>
      <c r="AA225" s="189"/>
      <c r="AB225" s="189"/>
      <c r="AC225" s="188"/>
      <c r="AD225" s="309"/>
      <c r="AE225" s="310"/>
      <c r="AF225" s="188"/>
      <c r="AG225" s="188"/>
      <c r="AH225" s="519"/>
      <c r="AI225" s="557"/>
    </row>
    <row r="226" spans="1:35" s="37" customFormat="1" ht="24" customHeight="1">
      <c r="A226" s="36">
        <v>4</v>
      </c>
      <c r="B226" s="36">
        <v>4</v>
      </c>
      <c r="C226" s="2387"/>
      <c r="D226" s="2399" t="s">
        <v>4256</v>
      </c>
      <c r="E226" s="2389" t="s">
        <v>4259</v>
      </c>
      <c r="F226" s="2353">
        <v>1</v>
      </c>
      <c r="G226" s="2354" t="s">
        <v>122</v>
      </c>
      <c r="H226" s="2390"/>
      <c r="I226" s="2355">
        <f>+'[4]ｱｽﾍﾞｽﾄ運搬費按分表 '!$O$42</f>
        <v>22700</v>
      </c>
      <c r="J226" s="2391" t="s">
        <v>4149</v>
      </c>
      <c r="K226" s="2351"/>
      <c r="L226" s="2356"/>
      <c r="M226" s="2397"/>
      <c r="N226" s="2398" t="s">
        <v>4223</v>
      </c>
      <c r="O226" s="597">
        <v>0</v>
      </c>
      <c r="P226" s="187"/>
      <c r="Q226" s="188"/>
      <c r="R226" s="188"/>
      <c r="S226" s="188"/>
      <c r="T226" s="188"/>
      <c r="U226" s="188"/>
      <c r="V226" s="188"/>
      <c r="W226" s="188"/>
      <c r="X226" s="189"/>
      <c r="Y226" s="189"/>
      <c r="Z226" s="189"/>
      <c r="AA226" s="189"/>
      <c r="AB226" s="189"/>
      <c r="AC226" s="188"/>
      <c r="AD226" s="309"/>
      <c r="AE226" s="310"/>
      <c r="AF226" s="188"/>
      <c r="AG226" s="188"/>
      <c r="AH226" s="519"/>
      <c r="AI226" s="557"/>
    </row>
    <row r="227" spans="1:35" s="37" customFormat="1" ht="24" customHeight="1">
      <c r="A227" s="36"/>
      <c r="B227" s="36"/>
      <c r="C227" s="2387"/>
      <c r="D227" s="2388"/>
      <c r="E227" s="2389"/>
      <c r="F227" s="2353"/>
      <c r="G227" s="2354"/>
      <c r="H227" s="2390"/>
      <c r="I227" s="2355" t="str">
        <f t="shared" si="15"/>
        <v/>
      </c>
      <c r="J227" s="2391"/>
      <c r="K227" s="2351"/>
      <c r="L227" s="2356"/>
      <c r="M227" s="2397"/>
      <c r="N227" s="2398"/>
      <c r="O227" s="597"/>
      <c r="P227" s="187"/>
      <c r="Q227" s="188"/>
      <c r="R227" s="188"/>
      <c r="S227" s="188"/>
      <c r="T227" s="188"/>
      <c r="U227" s="188"/>
      <c r="V227" s="188"/>
      <c r="W227" s="188"/>
      <c r="X227" s="189"/>
      <c r="Y227" s="189"/>
      <c r="Z227" s="189"/>
      <c r="AA227" s="189"/>
      <c r="AB227" s="189"/>
      <c r="AC227" s="188"/>
      <c r="AD227" s="309"/>
      <c r="AE227" s="310"/>
      <c r="AF227" s="188"/>
      <c r="AG227" s="188"/>
      <c r="AH227" s="519"/>
      <c r="AI227" s="557"/>
    </row>
    <row r="228" spans="1:35" s="37" customFormat="1" ht="24" customHeight="1">
      <c r="A228" s="36"/>
      <c r="B228" s="36"/>
      <c r="C228" s="2387"/>
      <c r="D228" s="2388"/>
      <c r="E228" s="2389"/>
      <c r="F228" s="2353"/>
      <c r="G228" s="2354"/>
      <c r="H228" s="2390"/>
      <c r="I228" s="2355" t="str">
        <f t="shared" si="15"/>
        <v/>
      </c>
      <c r="J228" s="2391"/>
      <c r="K228" s="2351"/>
      <c r="L228" s="2356"/>
      <c r="M228" s="2397"/>
      <c r="N228" s="2398"/>
      <c r="O228" s="597"/>
      <c r="P228" s="187"/>
      <c r="Q228" s="188"/>
      <c r="R228" s="188"/>
      <c r="S228" s="188"/>
      <c r="T228" s="188"/>
      <c r="U228" s="188"/>
      <c r="V228" s="188"/>
      <c r="W228" s="188"/>
      <c r="X228" s="189"/>
      <c r="Y228" s="189"/>
      <c r="Z228" s="189"/>
      <c r="AA228" s="189"/>
      <c r="AB228" s="189"/>
      <c r="AC228" s="188"/>
      <c r="AD228" s="309"/>
      <c r="AE228" s="310"/>
      <c r="AF228" s="188"/>
      <c r="AG228" s="188"/>
      <c r="AH228" s="519"/>
      <c r="AI228" s="557"/>
    </row>
    <row r="229" spans="1:35" s="37" customFormat="1" ht="24" customHeight="1">
      <c r="A229" s="36"/>
      <c r="B229" s="36"/>
      <c r="C229" s="2387"/>
      <c r="D229" s="2388"/>
      <c r="E229" s="2389"/>
      <c r="F229" s="2353"/>
      <c r="G229" s="2354"/>
      <c r="H229" s="2390"/>
      <c r="I229" s="2355" t="str">
        <f t="shared" si="15"/>
        <v/>
      </c>
      <c r="J229" s="2391"/>
      <c r="K229" s="2351"/>
      <c r="L229" s="2356"/>
      <c r="M229" s="2397"/>
      <c r="N229" s="2398"/>
      <c r="O229" s="597"/>
      <c r="P229" s="187"/>
      <c r="Q229" s="188"/>
      <c r="R229" s="188"/>
      <c r="S229" s="188"/>
      <c r="T229" s="188"/>
      <c r="U229" s="188"/>
      <c r="V229" s="188"/>
      <c r="W229" s="188"/>
      <c r="X229" s="189"/>
      <c r="Y229" s="189"/>
      <c r="Z229" s="189"/>
      <c r="AA229" s="189"/>
      <c r="AB229" s="189"/>
      <c r="AC229" s="188"/>
      <c r="AD229" s="309"/>
      <c r="AE229" s="310"/>
      <c r="AF229" s="188"/>
      <c r="AG229" s="188"/>
      <c r="AH229" s="519"/>
      <c r="AI229" s="557"/>
    </row>
    <row r="230" spans="1:35" s="37" customFormat="1" ht="24" customHeight="1">
      <c r="A230" s="36"/>
      <c r="B230" s="36"/>
      <c r="C230" s="2387"/>
      <c r="D230" s="2388"/>
      <c r="E230" s="2389"/>
      <c r="F230" s="2353"/>
      <c r="G230" s="2354"/>
      <c r="H230" s="2390"/>
      <c r="I230" s="2355" t="str">
        <f t="shared" si="15"/>
        <v/>
      </c>
      <c r="J230" s="2391"/>
      <c r="K230" s="2351"/>
      <c r="L230" s="2356"/>
      <c r="M230" s="2397"/>
      <c r="N230" s="2398"/>
      <c r="O230" s="597"/>
      <c r="P230" s="187"/>
      <c r="Q230" s="188"/>
      <c r="R230" s="188"/>
      <c r="S230" s="188"/>
      <c r="T230" s="188"/>
      <c r="U230" s="188"/>
      <c r="V230" s="188"/>
      <c r="W230" s="188"/>
      <c r="X230" s="189"/>
      <c r="Y230" s="189"/>
      <c r="Z230" s="189"/>
      <c r="AA230" s="189"/>
      <c r="AB230" s="189"/>
      <c r="AC230" s="188"/>
      <c r="AD230" s="309"/>
      <c r="AE230" s="310"/>
      <c r="AF230" s="188"/>
      <c r="AG230" s="188"/>
      <c r="AH230" s="519"/>
      <c r="AI230" s="557"/>
    </row>
    <row r="231" spans="1:35" ht="24" customHeight="1" thickBot="1">
      <c r="A231" s="36"/>
      <c r="B231" s="36"/>
      <c r="C231" s="2362"/>
      <c r="D231" s="2363"/>
      <c r="E231" s="2364"/>
      <c r="F231" s="2365"/>
      <c r="G231" s="2366"/>
      <c r="H231" s="2382"/>
      <c r="I231" s="2416">
        <f>SUM(I213:I230)+I208</f>
        <v>8775950</v>
      </c>
      <c r="J231" s="2383"/>
      <c r="K231" s="2393">
        <f>IF(C212="部分撤去工事",(K208+L231),0)</f>
        <v>8775950</v>
      </c>
      <c r="L231" s="2384">
        <f>IF(C212="部分撤去工事",SUMIF(N213:N230,"費用",I213:I230),0)</f>
        <v>1949113</v>
      </c>
      <c r="M231" s="2394"/>
      <c r="N231" s="2400"/>
      <c r="O231" s="597"/>
      <c r="P231" s="187"/>
      <c r="Q231" s="188"/>
      <c r="R231" s="188"/>
      <c r="S231" s="188"/>
      <c r="T231" s="188"/>
      <c r="U231" s="188"/>
      <c r="V231" s="188"/>
      <c r="W231" s="188"/>
      <c r="X231" s="189"/>
      <c r="Y231" s="189"/>
      <c r="Z231" s="189"/>
      <c r="AA231" s="189"/>
      <c r="AB231" s="189"/>
      <c r="AC231" s="188"/>
      <c r="AD231" s="309"/>
      <c r="AE231" s="310"/>
      <c r="AF231" s="188"/>
      <c r="AG231" s="188"/>
      <c r="AH231" s="188"/>
      <c r="AI231" s="557"/>
    </row>
    <row r="232" spans="1:35" ht="14.25" customHeight="1">
      <c r="E232" s="101" t="s">
        <v>130</v>
      </c>
      <c r="F232" s="102">
        <f>+F209+1</f>
        <v>17</v>
      </c>
      <c r="G232" s="103" t="s">
        <v>131</v>
      </c>
      <c r="H232" s="104">
        <f>+H209</f>
        <v>69</v>
      </c>
      <c r="I232" s="104"/>
      <c r="M232" s="598" t="str">
        <f>IF(A234="","EOL","")</f>
        <v/>
      </c>
      <c r="N232" s="1">
        <f>+F232</f>
        <v>17</v>
      </c>
      <c r="Q232" s="37"/>
      <c r="R232" s="37"/>
      <c r="S232" s="37"/>
      <c r="T232" s="37"/>
      <c r="U232" s="37"/>
      <c r="V232" s="37"/>
      <c r="W232" s="37"/>
      <c r="X232" s="37"/>
      <c r="Y232" s="37"/>
      <c r="Z232" s="37"/>
    </row>
    <row r="233" spans="1:35" ht="26.1" customHeight="1" thickBot="1">
      <c r="C233" s="2517" t="s">
        <v>107</v>
      </c>
      <c r="D233" s="2517"/>
      <c r="E233" s="2517"/>
      <c r="F233" s="2517"/>
      <c r="G233" s="2517"/>
      <c r="H233" s="2517"/>
      <c r="I233" s="2517"/>
      <c r="J233" s="2517"/>
      <c r="K233" s="2517"/>
      <c r="L233" s="2517"/>
      <c r="O233" s="2730" t="s">
        <v>4098</v>
      </c>
      <c r="P233" s="2730"/>
      <c r="Q233" s="2730"/>
      <c r="R233" s="2730"/>
      <c r="S233" s="2730"/>
      <c r="T233" s="2730"/>
      <c r="U233" s="2730"/>
      <c r="V233" s="2730"/>
      <c r="W233" s="2730"/>
      <c r="X233" s="2730"/>
      <c r="Y233" s="2730"/>
      <c r="Z233" s="2730"/>
      <c r="AA233" s="2730"/>
      <c r="AB233" s="2730"/>
      <c r="AC233" s="2730"/>
      <c r="AD233" s="2730"/>
      <c r="AE233" s="2730"/>
      <c r="AF233" s="2730"/>
      <c r="AG233" s="2730"/>
      <c r="AH233" s="2731"/>
      <c r="AI233" s="555"/>
    </row>
    <row r="234" spans="1:35" ht="41.25" customHeight="1">
      <c r="A234" s="5" t="s">
        <v>108</v>
      </c>
      <c r="B234" s="5" t="s">
        <v>4145</v>
      </c>
      <c r="C234" s="99" t="s">
        <v>110</v>
      </c>
      <c r="D234" s="95"/>
      <c r="E234" s="96" t="s">
        <v>111</v>
      </c>
      <c r="F234" s="97" t="s">
        <v>112</v>
      </c>
      <c r="G234" s="97" t="s">
        <v>113</v>
      </c>
      <c r="H234" s="98" t="s">
        <v>114</v>
      </c>
      <c r="I234" s="98" t="s">
        <v>115</v>
      </c>
      <c r="J234" s="2552" t="s">
        <v>116</v>
      </c>
      <c r="K234" s="2553"/>
      <c r="L234" s="2554"/>
      <c r="M234" s="599"/>
      <c r="N234" s="604" t="s">
        <v>4154</v>
      </c>
      <c r="O234" s="596" t="s">
        <v>4099</v>
      </c>
      <c r="P234" s="303" t="s">
        <v>4100</v>
      </c>
      <c r="Q234" s="241" t="s">
        <v>4101</v>
      </c>
      <c r="R234" s="241" t="s">
        <v>4102</v>
      </c>
      <c r="S234" s="241" t="s">
        <v>4103</v>
      </c>
      <c r="T234" s="241" t="s">
        <v>4104</v>
      </c>
      <c r="U234" s="241" t="s">
        <v>4105</v>
      </c>
      <c r="V234" s="125" t="s">
        <v>4106</v>
      </c>
      <c r="W234" s="241" t="s">
        <v>4107</v>
      </c>
      <c r="X234" s="180" t="s">
        <v>4108</v>
      </c>
      <c r="Y234" s="180" t="s">
        <v>4109</v>
      </c>
      <c r="Z234" s="180" t="s">
        <v>4110</v>
      </c>
      <c r="AA234" s="180" t="s">
        <v>4111</v>
      </c>
      <c r="AB234" s="180" t="s">
        <v>4112</v>
      </c>
      <c r="AC234" s="306" t="s">
        <v>4113</v>
      </c>
      <c r="AD234" s="307" t="s">
        <v>4114</v>
      </c>
      <c r="AE234" s="308" t="s">
        <v>4115</v>
      </c>
      <c r="AF234" s="124" t="s">
        <v>4116</v>
      </c>
      <c r="AG234" s="124" t="s">
        <v>4117</v>
      </c>
      <c r="AH234" s="124" t="s">
        <v>4118</v>
      </c>
      <c r="AI234" s="556"/>
    </row>
    <row r="235" spans="1:35" ht="24" customHeight="1">
      <c r="A235" s="36"/>
      <c r="B235" s="36"/>
      <c r="C235" s="2370" t="s">
        <v>4126</v>
      </c>
      <c r="D235" s="2385"/>
      <c r="E235" s="623"/>
      <c r="F235" s="1889"/>
      <c r="G235" s="1890"/>
      <c r="H235" s="2386" t="s">
        <v>117</v>
      </c>
      <c r="I235" s="2386" t="s">
        <v>117</v>
      </c>
      <c r="J235" s="2732"/>
      <c r="K235" s="2733"/>
      <c r="L235" s="2734"/>
      <c r="M235" s="2395"/>
      <c r="N235" s="2396"/>
      <c r="O235" s="597"/>
      <c r="P235" s="187"/>
      <c r="Q235" s="188"/>
      <c r="R235" s="188"/>
      <c r="S235" s="188"/>
      <c r="T235" s="188"/>
      <c r="U235" s="188"/>
      <c r="V235" s="188"/>
      <c r="W235" s="188"/>
      <c r="X235" s="189"/>
      <c r="Y235" s="189"/>
      <c r="Z235" s="189"/>
      <c r="AA235" s="189"/>
      <c r="AB235" s="189"/>
      <c r="AC235" s="188"/>
      <c r="AD235" s="309"/>
      <c r="AE235" s="310"/>
      <c r="AF235" s="188"/>
      <c r="AG235" s="188"/>
      <c r="AH235" s="188"/>
      <c r="AI235" s="557"/>
    </row>
    <row r="236" spans="1:35" s="37" customFormat="1" ht="24" customHeight="1">
      <c r="A236" s="36"/>
      <c r="B236" s="36"/>
      <c r="C236" s="2387"/>
      <c r="D236" s="2388"/>
      <c r="E236" s="2389"/>
      <c r="F236" s="2353"/>
      <c r="G236" s="2354"/>
      <c r="H236" s="2390"/>
      <c r="I236" s="2355" t="str">
        <f t="shared" ref="I236:I253" si="18">IF(F236="","",INT(F236*H236))</f>
        <v/>
      </c>
      <c r="J236" s="2391"/>
      <c r="K236" s="2351"/>
      <c r="L236" s="2356"/>
      <c r="M236" s="2397"/>
      <c r="N236" s="2398"/>
      <c r="O236" s="597"/>
      <c r="P236" s="187"/>
      <c r="Q236" s="188"/>
      <c r="R236" s="188"/>
      <c r="S236" s="188"/>
      <c r="T236" s="188"/>
      <c r="U236" s="188"/>
      <c r="V236" s="188"/>
      <c r="W236" s="188"/>
      <c r="X236" s="189"/>
      <c r="Y236" s="189"/>
      <c r="Z236" s="189"/>
      <c r="AA236" s="189"/>
      <c r="AB236" s="189"/>
      <c r="AC236" s="188"/>
      <c r="AD236" s="309"/>
      <c r="AE236" s="310"/>
      <c r="AF236" s="188"/>
      <c r="AG236" s="188"/>
      <c r="AH236" s="519"/>
      <c r="AI236" s="557"/>
    </row>
    <row r="237" spans="1:35" s="37" customFormat="1" ht="24" customHeight="1">
      <c r="A237" s="36">
        <v>4</v>
      </c>
      <c r="B237" s="36">
        <v>4</v>
      </c>
      <c r="C237" s="2387">
        <v>24063</v>
      </c>
      <c r="D237" s="2399" t="s">
        <v>4260</v>
      </c>
      <c r="E237" s="2389" t="s">
        <v>4261</v>
      </c>
      <c r="F237" s="2353">
        <f>ROUND('1'!E35*0.001,1)</f>
        <v>14.5</v>
      </c>
      <c r="G237" s="2354" t="s">
        <v>4262</v>
      </c>
      <c r="H237" s="2390">
        <v>1180</v>
      </c>
      <c r="I237" s="2355">
        <f>IF(F237="","",INT(F237*H237))</f>
        <v>17110</v>
      </c>
      <c r="J237" s="2391"/>
      <c r="K237" s="2351"/>
      <c r="L237" s="2356"/>
      <c r="M237" s="2397"/>
      <c r="N237" s="2398" t="s">
        <v>4223</v>
      </c>
      <c r="O237" s="597">
        <v>0</v>
      </c>
      <c r="P237" s="187"/>
      <c r="Q237" s="188"/>
      <c r="R237" s="188"/>
      <c r="S237" s="188"/>
      <c r="T237" s="188"/>
      <c r="U237" s="188"/>
      <c r="V237" s="188"/>
      <c r="W237" s="188"/>
      <c r="X237" s="189"/>
      <c r="Y237" s="189"/>
      <c r="Z237" s="189"/>
      <c r="AA237" s="189"/>
      <c r="AB237" s="189"/>
      <c r="AC237" s="188"/>
      <c r="AD237" s="309"/>
      <c r="AE237" s="310"/>
      <c r="AF237" s="188"/>
      <c r="AG237" s="188"/>
      <c r="AH237" s="519"/>
      <c r="AI237" s="557"/>
    </row>
    <row r="238" spans="1:35" s="37" customFormat="1" ht="24" customHeight="1">
      <c r="A238" s="36">
        <v>4</v>
      </c>
      <c r="B238" s="36">
        <v>4</v>
      </c>
      <c r="C238" s="2387">
        <v>24008</v>
      </c>
      <c r="D238" s="2399" t="s">
        <v>4260</v>
      </c>
      <c r="E238" s="2389" t="s">
        <v>4263</v>
      </c>
      <c r="F238" s="2353">
        <f>ROUND('1'!I35*0.001,2)</f>
        <v>0.27</v>
      </c>
      <c r="G238" s="2354" t="s">
        <v>4262</v>
      </c>
      <c r="H238" s="2390">
        <v>12900</v>
      </c>
      <c r="I238" s="2355">
        <f>IF(F238="","",INT(F238*H238))</f>
        <v>3483</v>
      </c>
      <c r="J238" s="2391"/>
      <c r="K238" s="2351"/>
      <c r="L238" s="2356"/>
      <c r="M238" s="2397"/>
      <c r="N238" s="2398" t="s">
        <v>4223</v>
      </c>
      <c r="O238" s="597">
        <v>0</v>
      </c>
      <c r="P238" s="187"/>
      <c r="Q238" s="188"/>
      <c r="R238" s="188"/>
      <c r="S238" s="188"/>
      <c r="T238" s="188"/>
      <c r="U238" s="188"/>
      <c r="V238" s="188"/>
      <c r="W238" s="188"/>
      <c r="X238" s="189"/>
      <c r="Y238" s="189"/>
      <c r="Z238" s="189"/>
      <c r="AA238" s="189"/>
      <c r="AB238" s="189"/>
      <c r="AC238" s="188"/>
      <c r="AD238" s="309"/>
      <c r="AE238" s="310"/>
      <c r="AF238" s="188"/>
      <c r="AG238" s="188"/>
      <c r="AH238" s="519"/>
      <c r="AI238" s="557"/>
    </row>
    <row r="239" spans="1:35" s="37" customFormat="1" ht="24" customHeight="1">
      <c r="A239" s="36">
        <v>4</v>
      </c>
      <c r="B239" s="36">
        <v>4</v>
      </c>
      <c r="C239" s="2387">
        <v>24006</v>
      </c>
      <c r="D239" s="2399" t="s">
        <v>4260</v>
      </c>
      <c r="E239" s="2389" t="s">
        <v>4264</v>
      </c>
      <c r="F239" s="2353">
        <f>ROUND('1'!J35*0.001,1)</f>
        <v>4.8</v>
      </c>
      <c r="G239" s="2354" t="s">
        <v>4250</v>
      </c>
      <c r="H239" s="2390">
        <v>10000</v>
      </c>
      <c r="I239" s="2355">
        <f>IF(F239="","",INT(F239*H239))</f>
        <v>48000</v>
      </c>
      <c r="J239" s="2391"/>
      <c r="K239" s="2351"/>
      <c r="L239" s="2356"/>
      <c r="M239" s="2397"/>
      <c r="N239" s="2398" t="s">
        <v>4223</v>
      </c>
      <c r="O239" s="597">
        <v>0</v>
      </c>
      <c r="P239" s="187"/>
      <c r="Q239" s="188"/>
      <c r="R239" s="188"/>
      <c r="S239" s="188"/>
      <c r="T239" s="188"/>
      <c r="U239" s="188"/>
      <c r="V239" s="188"/>
      <c r="W239" s="188"/>
      <c r="X239" s="189"/>
      <c r="Y239" s="189"/>
      <c r="Z239" s="189"/>
      <c r="AA239" s="189"/>
      <c r="AB239" s="189"/>
      <c r="AC239" s="188"/>
      <c r="AD239" s="309"/>
      <c r="AE239" s="310"/>
      <c r="AF239" s="188"/>
      <c r="AG239" s="188"/>
      <c r="AH239" s="519"/>
      <c r="AI239" s="557"/>
    </row>
    <row r="240" spans="1:35" s="37" customFormat="1" ht="24" customHeight="1">
      <c r="A240" s="36">
        <v>4</v>
      </c>
      <c r="B240" s="36">
        <v>4</v>
      </c>
      <c r="C240" s="2387">
        <v>24071</v>
      </c>
      <c r="D240" s="2399" t="s">
        <v>4260</v>
      </c>
      <c r="E240" s="2389" t="s">
        <v>4265</v>
      </c>
      <c r="F240" s="2353">
        <f>ROUND('1'!M35*0.001,2)</f>
        <v>0.27</v>
      </c>
      <c r="G240" s="2354" t="s">
        <v>4262</v>
      </c>
      <c r="H240" s="2390">
        <v>17100</v>
      </c>
      <c r="I240" s="2355">
        <f>IF(F240="","",INT(F240*H240))</f>
        <v>4617</v>
      </c>
      <c r="J240" s="2391"/>
      <c r="K240" s="2351"/>
      <c r="L240" s="2356"/>
      <c r="M240" s="2397"/>
      <c r="N240" s="2398" t="s">
        <v>4223</v>
      </c>
      <c r="O240" s="597">
        <v>0</v>
      </c>
      <c r="P240" s="187"/>
      <c r="Q240" s="188"/>
      <c r="R240" s="188"/>
      <c r="S240" s="188"/>
      <c r="T240" s="188"/>
      <c r="U240" s="188"/>
      <c r="V240" s="188"/>
      <c r="W240" s="188"/>
      <c r="X240" s="189"/>
      <c r="Y240" s="189"/>
      <c r="Z240" s="189"/>
      <c r="AA240" s="189"/>
      <c r="AB240" s="189"/>
      <c r="AC240" s="188"/>
      <c r="AD240" s="309"/>
      <c r="AE240" s="310"/>
      <c r="AF240" s="188"/>
      <c r="AG240" s="188"/>
      <c r="AH240" s="519"/>
      <c r="AI240" s="557"/>
    </row>
    <row r="241" spans="1:35" s="37" customFormat="1" ht="24" customHeight="1">
      <c r="A241" s="36">
        <v>4</v>
      </c>
      <c r="B241" s="36">
        <v>4</v>
      </c>
      <c r="C241" s="2387">
        <v>24060</v>
      </c>
      <c r="D241" s="2399" t="s">
        <v>4260</v>
      </c>
      <c r="E241" s="2389" t="s">
        <v>4266</v>
      </c>
      <c r="F241" s="2353">
        <f>ROUND('1'!S35*0.001,2)</f>
        <v>0.11</v>
      </c>
      <c r="G241" s="2354" t="s">
        <v>4262</v>
      </c>
      <c r="H241" s="2390">
        <v>17100</v>
      </c>
      <c r="I241" s="2355">
        <f>IF(F241="","",INT(F241*H241))</f>
        <v>1881</v>
      </c>
      <c r="J241" s="2391"/>
      <c r="K241" s="2351"/>
      <c r="L241" s="2356"/>
      <c r="M241" s="2397"/>
      <c r="N241" s="2398" t="s">
        <v>4223</v>
      </c>
      <c r="O241" s="597">
        <v>0</v>
      </c>
      <c r="P241" s="187"/>
      <c r="Q241" s="188"/>
      <c r="R241" s="188"/>
      <c r="S241" s="188"/>
      <c r="T241" s="188"/>
      <c r="U241" s="188"/>
      <c r="V241" s="188"/>
      <c r="W241" s="188"/>
      <c r="X241" s="189"/>
      <c r="Y241" s="189"/>
      <c r="Z241" s="189"/>
      <c r="AA241" s="189"/>
      <c r="AB241" s="189"/>
      <c r="AC241" s="188"/>
      <c r="AD241" s="309"/>
      <c r="AE241" s="310"/>
      <c r="AF241" s="188"/>
      <c r="AG241" s="188"/>
      <c r="AH241" s="519"/>
      <c r="AI241" s="557"/>
    </row>
    <row r="242" spans="1:35" s="37" customFormat="1" ht="24" customHeight="1">
      <c r="A242" s="36"/>
      <c r="B242" s="36"/>
      <c r="C242" s="2387"/>
      <c r="D242" s="2388"/>
      <c r="E242" s="2389"/>
      <c r="F242" s="2353"/>
      <c r="G242" s="2354"/>
      <c r="H242" s="2390"/>
      <c r="I242" s="2355" t="str">
        <f t="shared" si="18"/>
        <v/>
      </c>
      <c r="J242" s="2391"/>
      <c r="K242" s="2351"/>
      <c r="L242" s="2356"/>
      <c r="M242" s="2397"/>
      <c r="N242" s="2398"/>
      <c r="O242" s="597"/>
      <c r="P242" s="187"/>
      <c r="Q242" s="188"/>
      <c r="R242" s="188"/>
      <c r="S242" s="188"/>
      <c r="T242" s="188"/>
      <c r="U242" s="188"/>
      <c r="V242" s="188"/>
      <c r="W242" s="188"/>
      <c r="X242" s="189"/>
      <c r="Y242" s="189"/>
      <c r="Z242" s="189"/>
      <c r="AA242" s="189"/>
      <c r="AB242" s="189"/>
      <c r="AC242" s="188"/>
      <c r="AD242" s="309"/>
      <c r="AE242" s="310"/>
      <c r="AF242" s="188"/>
      <c r="AG242" s="188"/>
      <c r="AH242" s="519"/>
      <c r="AI242" s="557"/>
    </row>
    <row r="243" spans="1:35" s="37" customFormat="1" ht="24" customHeight="1">
      <c r="A243" s="36"/>
      <c r="B243" s="36"/>
      <c r="C243" s="2387"/>
      <c r="D243" s="2388" t="s">
        <v>4267</v>
      </c>
      <c r="E243" s="2389" t="s">
        <v>4268</v>
      </c>
      <c r="F243" s="2353">
        <f>+ROUND('1'!U35*0.001,2)</f>
        <v>0.9</v>
      </c>
      <c r="G243" s="2354" t="s">
        <v>4262</v>
      </c>
      <c r="H243" s="2390">
        <v>-80000</v>
      </c>
      <c r="I243" s="2355">
        <f t="shared" si="18"/>
        <v>-72000</v>
      </c>
      <c r="J243" s="2391" t="s">
        <v>4269</v>
      </c>
      <c r="K243" s="2351"/>
      <c r="L243" s="2356"/>
      <c r="M243" s="2397"/>
      <c r="N243" s="2398" t="s">
        <v>4223</v>
      </c>
      <c r="O243" s="597"/>
      <c r="P243" s="187"/>
      <c r="Q243" s="188"/>
      <c r="R243" s="188"/>
      <c r="S243" s="188"/>
      <c r="T243" s="188"/>
      <c r="U243" s="188"/>
      <c r="V243" s="188"/>
      <c r="W243" s="188"/>
      <c r="X243" s="189"/>
      <c r="Y243" s="189"/>
      <c r="Z243" s="189"/>
      <c r="AA243" s="189"/>
      <c r="AB243" s="189"/>
      <c r="AC243" s="188"/>
      <c r="AD243" s="309"/>
      <c r="AE243" s="310"/>
      <c r="AF243" s="188"/>
      <c r="AG243" s="188"/>
      <c r="AH243" s="519"/>
      <c r="AI243" s="557"/>
    </row>
    <row r="244" spans="1:35" s="37" customFormat="1" ht="24" customHeight="1">
      <c r="A244" s="36"/>
      <c r="B244" s="36"/>
      <c r="C244" s="2387"/>
      <c r="D244" s="2388"/>
      <c r="E244" s="2389"/>
      <c r="F244" s="2353"/>
      <c r="G244" s="2354"/>
      <c r="H244" s="2390"/>
      <c r="I244" s="2355" t="str">
        <f t="shared" si="18"/>
        <v/>
      </c>
      <c r="J244" s="2391"/>
      <c r="K244" s="2351"/>
      <c r="L244" s="2356"/>
      <c r="M244" s="2397"/>
      <c r="N244" s="2398"/>
      <c r="O244" s="597"/>
      <c r="P244" s="187"/>
      <c r="Q244" s="188"/>
      <c r="R244" s="188"/>
      <c r="S244" s="188"/>
      <c r="T244" s="188"/>
      <c r="U244" s="188"/>
      <c r="V244" s="188"/>
      <c r="W244" s="188"/>
      <c r="X244" s="189"/>
      <c r="Y244" s="189"/>
      <c r="Z244" s="189"/>
      <c r="AA244" s="189"/>
      <c r="AB244" s="189"/>
      <c r="AC244" s="188"/>
      <c r="AD244" s="309"/>
      <c r="AE244" s="310"/>
      <c r="AF244" s="188"/>
      <c r="AG244" s="188"/>
      <c r="AH244" s="519"/>
      <c r="AI244" s="557"/>
    </row>
    <row r="245" spans="1:35" s="37" customFormat="1" ht="24" customHeight="1">
      <c r="A245" s="36"/>
      <c r="B245" s="36"/>
      <c r="C245" s="2387"/>
      <c r="D245" s="2388"/>
      <c r="E245" s="2389"/>
      <c r="F245" s="2353"/>
      <c r="G245" s="2354"/>
      <c r="H245" s="2390"/>
      <c r="I245" s="2355" t="str">
        <f t="shared" si="18"/>
        <v/>
      </c>
      <c r="J245" s="2391"/>
      <c r="K245" s="2351"/>
      <c r="L245" s="2356"/>
      <c r="M245" s="2397"/>
      <c r="N245" s="2398"/>
      <c r="O245" s="597"/>
      <c r="P245" s="187"/>
      <c r="Q245" s="188"/>
      <c r="R245" s="188"/>
      <c r="S245" s="188"/>
      <c r="T245" s="188"/>
      <c r="U245" s="188"/>
      <c r="V245" s="188"/>
      <c r="W245" s="188"/>
      <c r="X245" s="189"/>
      <c r="Y245" s="189"/>
      <c r="Z245" s="189"/>
      <c r="AA245" s="189"/>
      <c r="AB245" s="189"/>
      <c r="AC245" s="188"/>
      <c r="AD245" s="309"/>
      <c r="AE245" s="310"/>
      <c r="AF245" s="188"/>
      <c r="AG245" s="188"/>
      <c r="AH245" s="519"/>
      <c r="AI245" s="557"/>
    </row>
    <row r="246" spans="1:35" s="37" customFormat="1" ht="24" customHeight="1">
      <c r="A246" s="36"/>
      <c r="B246" s="36"/>
      <c r="C246" s="2387"/>
      <c r="D246" s="2388"/>
      <c r="E246" s="2389"/>
      <c r="F246" s="2353"/>
      <c r="G246" s="2354"/>
      <c r="H246" s="2390"/>
      <c r="I246" s="2355" t="str">
        <f t="shared" si="18"/>
        <v/>
      </c>
      <c r="J246" s="2391"/>
      <c r="K246" s="2351"/>
      <c r="L246" s="2356"/>
      <c r="M246" s="2397"/>
      <c r="N246" s="2398"/>
      <c r="O246" s="597"/>
      <c r="P246" s="187"/>
      <c r="Q246" s="188"/>
      <c r="R246" s="188"/>
      <c r="S246" s="188"/>
      <c r="T246" s="188"/>
      <c r="U246" s="188"/>
      <c r="V246" s="188"/>
      <c r="W246" s="188"/>
      <c r="X246" s="189"/>
      <c r="Y246" s="189"/>
      <c r="Z246" s="189"/>
      <c r="AA246" s="189"/>
      <c r="AB246" s="189"/>
      <c r="AC246" s="188"/>
      <c r="AD246" s="309"/>
      <c r="AE246" s="310"/>
      <c r="AF246" s="188"/>
      <c r="AG246" s="188"/>
      <c r="AH246" s="519"/>
      <c r="AI246" s="557"/>
    </row>
    <row r="247" spans="1:35" s="37" customFormat="1" ht="24" customHeight="1">
      <c r="A247" s="36"/>
      <c r="B247" s="36"/>
      <c r="C247" s="2387"/>
      <c r="D247" s="2388"/>
      <c r="E247" s="2389"/>
      <c r="F247" s="2353"/>
      <c r="G247" s="2354"/>
      <c r="H247" s="2390"/>
      <c r="I247" s="2355" t="str">
        <f t="shared" si="18"/>
        <v/>
      </c>
      <c r="J247" s="2391"/>
      <c r="K247" s="2351"/>
      <c r="L247" s="2356"/>
      <c r="M247" s="2397"/>
      <c r="N247" s="2398"/>
      <c r="O247" s="597"/>
      <c r="P247" s="187"/>
      <c r="Q247" s="188"/>
      <c r="R247" s="188"/>
      <c r="S247" s="188"/>
      <c r="T247" s="188"/>
      <c r="U247" s="188"/>
      <c r="V247" s="188"/>
      <c r="W247" s="188"/>
      <c r="X247" s="189"/>
      <c r="Y247" s="189"/>
      <c r="Z247" s="189"/>
      <c r="AA247" s="189"/>
      <c r="AB247" s="189"/>
      <c r="AC247" s="188"/>
      <c r="AD247" s="309"/>
      <c r="AE247" s="310"/>
      <c r="AF247" s="188"/>
      <c r="AG247" s="188"/>
      <c r="AH247" s="519"/>
      <c r="AI247" s="557"/>
    </row>
    <row r="248" spans="1:35" s="37" customFormat="1" ht="24" customHeight="1">
      <c r="A248" s="36"/>
      <c r="B248" s="36"/>
      <c r="C248" s="2387"/>
      <c r="D248" s="2388"/>
      <c r="E248" s="2389"/>
      <c r="F248" s="2353"/>
      <c r="G248" s="2354"/>
      <c r="H248" s="2390"/>
      <c r="I248" s="2355" t="str">
        <f t="shared" si="18"/>
        <v/>
      </c>
      <c r="J248" s="2391"/>
      <c r="K248" s="2351"/>
      <c r="L248" s="2356"/>
      <c r="M248" s="2397"/>
      <c r="N248" s="2398"/>
      <c r="O248" s="597"/>
      <c r="P248" s="187"/>
      <c r="Q248" s="188"/>
      <c r="R248" s="188"/>
      <c r="S248" s="188"/>
      <c r="T248" s="188"/>
      <c r="U248" s="188"/>
      <c r="V248" s="188"/>
      <c r="W248" s="188"/>
      <c r="X248" s="189"/>
      <c r="Y248" s="189"/>
      <c r="Z248" s="189"/>
      <c r="AA248" s="189"/>
      <c r="AB248" s="189"/>
      <c r="AC248" s="188"/>
      <c r="AD248" s="309"/>
      <c r="AE248" s="310"/>
      <c r="AF248" s="188"/>
      <c r="AG248" s="188"/>
      <c r="AH248" s="519"/>
      <c r="AI248" s="557"/>
    </row>
    <row r="249" spans="1:35" s="37" customFormat="1" ht="24" customHeight="1">
      <c r="A249" s="36"/>
      <c r="B249" s="36"/>
      <c r="C249" s="2387"/>
      <c r="D249" s="2388"/>
      <c r="E249" s="2389"/>
      <c r="F249" s="2353"/>
      <c r="G249" s="2354"/>
      <c r="H249" s="2390"/>
      <c r="I249" s="2355" t="str">
        <f t="shared" si="18"/>
        <v/>
      </c>
      <c r="J249" s="2391"/>
      <c r="K249" s="2351"/>
      <c r="L249" s="2356"/>
      <c r="M249" s="2397"/>
      <c r="N249" s="2398"/>
      <c r="O249" s="597"/>
      <c r="P249" s="187"/>
      <c r="Q249" s="188"/>
      <c r="R249" s="188"/>
      <c r="S249" s="188"/>
      <c r="T249" s="188"/>
      <c r="U249" s="188"/>
      <c r="V249" s="188"/>
      <c r="W249" s="188"/>
      <c r="X249" s="189"/>
      <c r="Y249" s="189"/>
      <c r="Z249" s="189"/>
      <c r="AA249" s="189"/>
      <c r="AB249" s="189"/>
      <c r="AC249" s="188"/>
      <c r="AD249" s="309"/>
      <c r="AE249" s="310"/>
      <c r="AF249" s="188"/>
      <c r="AG249" s="188"/>
      <c r="AH249" s="519"/>
      <c r="AI249" s="557"/>
    </row>
    <row r="250" spans="1:35" s="37" customFormat="1" ht="24" customHeight="1">
      <c r="A250" s="36"/>
      <c r="B250" s="36"/>
      <c r="C250" s="2387"/>
      <c r="D250" s="2388"/>
      <c r="E250" s="2389"/>
      <c r="F250" s="2353"/>
      <c r="G250" s="2354"/>
      <c r="H250" s="2390"/>
      <c r="I250" s="2355" t="str">
        <f t="shared" si="18"/>
        <v/>
      </c>
      <c r="J250" s="2391"/>
      <c r="K250" s="2351"/>
      <c r="L250" s="2356"/>
      <c r="M250" s="2397"/>
      <c r="N250" s="2398"/>
      <c r="O250" s="597"/>
      <c r="P250" s="187"/>
      <c r="Q250" s="188"/>
      <c r="R250" s="188"/>
      <c r="S250" s="188"/>
      <c r="T250" s="188"/>
      <c r="U250" s="188"/>
      <c r="V250" s="188"/>
      <c r="W250" s="188"/>
      <c r="X250" s="189"/>
      <c r="Y250" s="189"/>
      <c r="Z250" s="189"/>
      <c r="AA250" s="189"/>
      <c r="AB250" s="189"/>
      <c r="AC250" s="188"/>
      <c r="AD250" s="309"/>
      <c r="AE250" s="310"/>
      <c r="AF250" s="188"/>
      <c r="AG250" s="188"/>
      <c r="AH250" s="519"/>
      <c r="AI250" s="557"/>
    </row>
    <row r="251" spans="1:35" s="37" customFormat="1" ht="24" customHeight="1">
      <c r="A251" s="36"/>
      <c r="B251" s="36"/>
      <c r="C251" s="2387"/>
      <c r="D251" s="2388"/>
      <c r="E251" s="2389"/>
      <c r="F251" s="2353"/>
      <c r="G251" s="2354"/>
      <c r="H251" s="2390"/>
      <c r="I251" s="2355" t="str">
        <f t="shared" si="18"/>
        <v/>
      </c>
      <c r="J251" s="2391"/>
      <c r="K251" s="2351"/>
      <c r="L251" s="2356"/>
      <c r="M251" s="2397"/>
      <c r="N251" s="2398"/>
      <c r="O251" s="597"/>
      <c r="P251" s="187"/>
      <c r="Q251" s="188"/>
      <c r="R251" s="188"/>
      <c r="S251" s="188"/>
      <c r="T251" s="188"/>
      <c r="U251" s="188"/>
      <c r="V251" s="188"/>
      <c r="W251" s="188"/>
      <c r="X251" s="189"/>
      <c r="Y251" s="189"/>
      <c r="Z251" s="189"/>
      <c r="AA251" s="189"/>
      <c r="AB251" s="189"/>
      <c r="AC251" s="188"/>
      <c r="AD251" s="309"/>
      <c r="AE251" s="310"/>
      <c r="AF251" s="188"/>
      <c r="AG251" s="188"/>
      <c r="AH251" s="519"/>
      <c r="AI251" s="557"/>
    </row>
    <row r="252" spans="1:35" s="37" customFormat="1" ht="24" customHeight="1">
      <c r="A252" s="36"/>
      <c r="B252" s="36"/>
      <c r="C252" s="2387"/>
      <c r="D252" s="2388"/>
      <c r="E252" s="2389"/>
      <c r="F252" s="2353"/>
      <c r="G252" s="2354"/>
      <c r="H252" s="2390"/>
      <c r="I252" s="2355" t="str">
        <f t="shared" si="18"/>
        <v/>
      </c>
      <c r="J252" s="2391"/>
      <c r="K252" s="2351"/>
      <c r="L252" s="2356"/>
      <c r="M252" s="2397"/>
      <c r="N252" s="2398"/>
      <c r="O252" s="597"/>
      <c r="P252" s="187"/>
      <c r="Q252" s="188"/>
      <c r="R252" s="188"/>
      <c r="S252" s="188"/>
      <c r="T252" s="188"/>
      <c r="U252" s="188"/>
      <c r="V252" s="188"/>
      <c r="W252" s="188"/>
      <c r="X252" s="189"/>
      <c r="Y252" s="189"/>
      <c r="Z252" s="189"/>
      <c r="AA252" s="189"/>
      <c r="AB252" s="189"/>
      <c r="AC252" s="188"/>
      <c r="AD252" s="309"/>
      <c r="AE252" s="310"/>
      <c r="AF252" s="188"/>
      <c r="AG252" s="188"/>
      <c r="AH252" s="519"/>
      <c r="AI252" s="557"/>
    </row>
    <row r="253" spans="1:35" s="37" customFormat="1" ht="24" customHeight="1">
      <c r="A253" s="36"/>
      <c r="B253" s="36"/>
      <c r="C253" s="2387"/>
      <c r="D253" s="2388"/>
      <c r="E253" s="2389"/>
      <c r="F253" s="2353"/>
      <c r="G253" s="2354"/>
      <c r="H253" s="2390"/>
      <c r="I253" s="2355" t="str">
        <f t="shared" si="18"/>
        <v/>
      </c>
      <c r="J253" s="2391"/>
      <c r="K253" s="2351"/>
      <c r="L253" s="2356"/>
      <c r="M253" s="2397"/>
      <c r="N253" s="2398"/>
      <c r="O253" s="597"/>
      <c r="P253" s="187"/>
      <c r="Q253" s="188"/>
      <c r="R253" s="188"/>
      <c r="S253" s="188"/>
      <c r="T253" s="188"/>
      <c r="U253" s="188"/>
      <c r="V253" s="188"/>
      <c r="W253" s="188"/>
      <c r="X253" s="189"/>
      <c r="Y253" s="189"/>
      <c r="Z253" s="189"/>
      <c r="AA253" s="189"/>
      <c r="AB253" s="189"/>
      <c r="AC253" s="188"/>
      <c r="AD253" s="309"/>
      <c r="AE253" s="310"/>
      <c r="AF253" s="188"/>
      <c r="AG253" s="188"/>
      <c r="AH253" s="519"/>
      <c r="AI253" s="557"/>
    </row>
    <row r="254" spans="1:35" ht="24" customHeight="1" thickBot="1">
      <c r="A254" s="36"/>
      <c r="B254" s="36"/>
      <c r="C254" s="2362"/>
      <c r="D254" s="2363" t="s">
        <v>4144</v>
      </c>
      <c r="E254" s="2364"/>
      <c r="F254" s="2365"/>
      <c r="G254" s="2366"/>
      <c r="H254" s="2382" t="s">
        <v>4131</v>
      </c>
      <c r="I254" s="2368">
        <f>SUM(I236:I253)+I231</f>
        <v>8779041</v>
      </c>
      <c r="J254" s="2383" t="str">
        <f>IF(C235="部分撤去工事","）うち費用",")")</f>
        <v>）うち費用</v>
      </c>
      <c r="K254" s="2393">
        <f>IF(C235="部分撤去工事",(K231+L254),0)</f>
        <v>8779041</v>
      </c>
      <c r="L254" s="2384">
        <f>IF(C235="部分撤去工事",SUMIF(N236:N253,"費用",I236:I253),0)</f>
        <v>3091</v>
      </c>
      <c r="M254" s="2394"/>
      <c r="N254" s="2400"/>
      <c r="O254" s="597"/>
      <c r="P254" s="187"/>
      <c r="Q254" s="188"/>
      <c r="R254" s="188"/>
      <c r="S254" s="188"/>
      <c r="T254" s="188"/>
      <c r="U254" s="188"/>
      <c r="V254" s="188"/>
      <c r="W254" s="188"/>
      <c r="X254" s="189"/>
      <c r="Y254" s="189"/>
      <c r="Z254" s="189"/>
      <c r="AA254" s="189"/>
      <c r="AB254" s="189"/>
      <c r="AC254" s="188"/>
      <c r="AD254" s="309"/>
      <c r="AE254" s="310"/>
      <c r="AF254" s="188"/>
      <c r="AG254" s="188"/>
      <c r="AH254" s="188"/>
      <c r="AI254" s="557"/>
    </row>
    <row r="255" spans="1:35" ht="14.25" customHeight="1">
      <c r="E255" s="101" t="s">
        <v>130</v>
      </c>
      <c r="F255" s="102">
        <f>+F232+1</f>
        <v>18</v>
      </c>
      <c r="G255" s="103" t="s">
        <v>131</v>
      </c>
      <c r="H255" s="104">
        <f>+H232</f>
        <v>69</v>
      </c>
      <c r="I255" s="104"/>
      <c r="M255" s="598" t="str">
        <f>IF(A257="","EOL","")</f>
        <v>EOL</v>
      </c>
      <c r="N255" s="1">
        <f>+F255</f>
        <v>18</v>
      </c>
      <c r="Q255" s="37"/>
      <c r="R255" s="37"/>
      <c r="S255" s="37"/>
      <c r="T255" s="37"/>
      <c r="U255" s="37"/>
      <c r="V255" s="37"/>
      <c r="W255" s="37"/>
      <c r="X255" s="37"/>
      <c r="Y255" s="37"/>
      <c r="Z255" s="37"/>
    </row>
    <row r="257" spans="1:35" ht="26.1" customHeight="1">
      <c r="D257" s="240"/>
    </row>
    <row r="259" spans="1:35" ht="26.1" customHeight="1">
      <c r="D259" s="240"/>
    </row>
    <row r="260" spans="1:35" ht="26.1" customHeight="1">
      <c r="D260" s="240"/>
    </row>
    <row r="262" spans="1:35" ht="26.1" customHeight="1">
      <c r="D262" s="240"/>
    </row>
    <row r="263" spans="1:35" ht="26.1" customHeight="1">
      <c r="D263" s="240"/>
    </row>
    <row r="272" spans="1:35" ht="26.1" customHeight="1">
      <c r="A272" s="1"/>
      <c r="B272" s="1"/>
      <c r="E272" s="1"/>
      <c r="I272" s="1"/>
      <c r="O272" s="1"/>
      <c r="P272" s="1"/>
      <c r="AI272" s="1"/>
    </row>
    <row r="276" spans="6:9" s="1" customFormat="1" ht="26.1" customHeight="1">
      <c r="F276" s="102"/>
      <c r="G276" s="103"/>
      <c r="H276" s="104"/>
      <c r="I276" s="104"/>
    </row>
  </sheetData>
  <mergeCells count="42">
    <mergeCell ref="J51:L51"/>
    <mergeCell ref="J5:L5"/>
    <mergeCell ref="C3:L3"/>
    <mergeCell ref="C26:L26"/>
    <mergeCell ref="J4:L4"/>
    <mergeCell ref="O3:AH3"/>
    <mergeCell ref="O26:AH26"/>
    <mergeCell ref="C49:L49"/>
    <mergeCell ref="O49:AH49"/>
    <mergeCell ref="J50:L50"/>
    <mergeCell ref="C95:L95"/>
    <mergeCell ref="O95:AH95"/>
    <mergeCell ref="J96:L96"/>
    <mergeCell ref="J97:L97"/>
    <mergeCell ref="C72:L72"/>
    <mergeCell ref="O72:AH72"/>
    <mergeCell ref="J73:L73"/>
    <mergeCell ref="J74:L74"/>
    <mergeCell ref="C118:L118"/>
    <mergeCell ref="O118:AH118"/>
    <mergeCell ref="J119:L119"/>
    <mergeCell ref="J120:L120"/>
    <mergeCell ref="C141:L141"/>
    <mergeCell ref="O141:AH141"/>
    <mergeCell ref="J142:L142"/>
    <mergeCell ref="J143:L143"/>
    <mergeCell ref="C164:L164"/>
    <mergeCell ref="O164:AH164"/>
    <mergeCell ref="J165:L165"/>
    <mergeCell ref="J166:L166"/>
    <mergeCell ref="C187:L187"/>
    <mergeCell ref="O187:AH187"/>
    <mergeCell ref="J188:L188"/>
    <mergeCell ref="J189:L189"/>
    <mergeCell ref="C233:L233"/>
    <mergeCell ref="O233:AH233"/>
    <mergeCell ref="J234:L234"/>
    <mergeCell ref="J235:L235"/>
    <mergeCell ref="C210:L210"/>
    <mergeCell ref="O210:AH210"/>
    <mergeCell ref="J211:L211"/>
    <mergeCell ref="J212:L212"/>
  </mergeCells>
  <phoneticPr fontId="2"/>
  <dataValidations disablePrompts="1" count="1">
    <dataValidation type="list" allowBlank="1" showInputMessage="1" showErrorMessage="1" prompt="費用/建物附属設備/工具・器具・備品の場合、選択してください。" sqref="N75:N92 N121:N138 N144:N161 N236:N253 N190:N207 N98:N115 N213:N230 N167:N184" xr:uid="{00000000-0002-0000-06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 footer="0.511811023622047"/>
  <pageSetup paperSize="9" scale="46" orientation="portrait" r:id="rId1"/>
  <headerFooter alignWithMargins="0"/>
  <rowBreaks count="1" manualBreakCount="1">
    <brk id="2" max="16383" man="1"/>
  </rowBreaks>
  <colBreaks count="1" manualBreakCount="1">
    <brk id="12" max="1048575" man="1"/>
  </colBreak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C48"/>
  <sheetViews>
    <sheetView topLeftCell="A3" zoomScale="75" zoomScaleNormal="75" workbookViewId="0">
      <selection activeCell="D8" sqref="D8"/>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4" width="3.625" style="1" customWidth="1"/>
    <col min="15" max="33" width="5.125" style="37" customWidth="1"/>
    <col min="34" max="35" width="5.375" style="1" customWidth="1"/>
    <col min="36" max="36" width="5.125" style="1" customWidth="1"/>
    <col min="37" max="47" width="4.125" style="1" customWidth="1"/>
    <col min="48" max="54" width="4.375" style="1" customWidth="1"/>
    <col min="55" max="55" width="4.125" style="1" customWidth="1"/>
    <col min="56" max="16384" width="6.625" style="1"/>
  </cols>
  <sheetData>
    <row r="1" spans="1:55" ht="25.5" hidden="1" customHeight="1"/>
    <row r="2" spans="1:55" ht="24" hidden="1" customHeight="1">
      <c r="C2" s="35"/>
      <c r="E2" s="34" t="s">
        <v>153</v>
      </c>
      <c r="F2" s="81">
        <v>0</v>
      </c>
      <c r="G2" s="1"/>
      <c r="I2" s="4" t="s">
        <v>155</v>
      </c>
      <c r="J2" s="37">
        <f>VLOOKUP("EOL",$M$25:$N$65536,2,FALSE)</f>
        <v>2</v>
      </c>
    </row>
    <row r="3" spans="1:5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17"/>
    </row>
    <row r="4" spans="1:5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18" t="s">
        <v>4270</v>
      </c>
    </row>
    <row r="5" spans="1:55" ht="24" customHeight="1">
      <c r="A5" s="195">
        <v>1</v>
      </c>
      <c r="B5" s="195">
        <v>1</v>
      </c>
      <c r="C5" s="2370" t="s">
        <v>4271</v>
      </c>
      <c r="D5" s="2417" t="s">
        <v>4272</v>
      </c>
      <c r="E5" s="2418" t="s">
        <v>4272</v>
      </c>
      <c r="F5" s="2419" t="s">
        <v>4272</v>
      </c>
      <c r="G5" s="2420" t="s">
        <v>4272</v>
      </c>
      <c r="H5" s="2061" t="s">
        <v>117</v>
      </c>
      <c r="I5" s="2371" t="s">
        <v>117</v>
      </c>
      <c r="J5" s="2732"/>
      <c r="K5" s="2733"/>
      <c r="L5" s="2734"/>
      <c r="M5" s="37"/>
      <c r="N5" s="37"/>
      <c r="O5" s="186"/>
      <c r="P5" s="187"/>
      <c r="Q5" s="188"/>
      <c r="R5" s="188"/>
      <c r="S5" s="188"/>
      <c r="T5" s="188"/>
      <c r="U5" s="188"/>
      <c r="V5" s="188"/>
      <c r="W5" s="188"/>
      <c r="X5" s="189"/>
      <c r="Y5" s="189"/>
      <c r="Z5" s="189"/>
      <c r="AA5" s="189"/>
      <c r="AB5" s="189"/>
      <c r="AC5" s="188"/>
      <c r="AD5" s="309"/>
      <c r="AE5" s="310"/>
      <c r="AF5" s="188"/>
      <c r="AG5" s="188"/>
      <c r="AH5" s="311"/>
      <c r="AI5" s="520"/>
    </row>
    <row r="6" spans="1:55" ht="24" customHeight="1">
      <c r="A6" s="36"/>
      <c r="B6" s="36"/>
      <c r="C6" s="2350"/>
      <c r="D6" s="2351"/>
      <c r="E6" s="2352"/>
      <c r="F6" s="2389"/>
      <c r="G6" s="2354"/>
      <c r="H6" s="2355"/>
      <c r="I6" s="2355" t="str">
        <f t="shared" ref="I6:I23" si="0">IF(F6="","",ROUNDDOWN(F6*H6,0))</f>
        <v/>
      </c>
      <c r="J6" s="2351"/>
      <c r="K6" s="2351"/>
      <c r="L6" s="2356"/>
      <c r="M6" s="37"/>
      <c r="N6" s="37"/>
      <c r="O6" s="186"/>
      <c r="P6" s="187"/>
      <c r="Q6" s="188"/>
      <c r="R6" s="188"/>
      <c r="S6" s="188"/>
      <c r="T6" s="188"/>
      <c r="U6" s="188"/>
      <c r="V6" s="188"/>
      <c r="W6" s="188"/>
      <c r="X6" s="189"/>
      <c r="Y6" s="189"/>
      <c r="Z6" s="189"/>
      <c r="AA6" s="189"/>
      <c r="AB6" s="189"/>
      <c r="AC6" s="188"/>
      <c r="AD6" s="309"/>
      <c r="AE6" s="310"/>
      <c r="AF6" s="188"/>
      <c r="AG6" s="188"/>
      <c r="AH6" s="171"/>
      <c r="AI6" s="520"/>
      <c r="AJ6" s="2421">
        <f t="shared" ref="AJ6:BC6" si="1">$F6*O6</f>
        <v>0</v>
      </c>
      <c r="AK6" s="2421">
        <f t="shared" si="1"/>
        <v>0</v>
      </c>
      <c r="AL6" s="2421">
        <f t="shared" si="1"/>
        <v>0</v>
      </c>
      <c r="AM6" s="2421">
        <f t="shared" si="1"/>
        <v>0</v>
      </c>
      <c r="AN6" s="2421">
        <f t="shared" si="1"/>
        <v>0</v>
      </c>
      <c r="AO6" s="2421">
        <f t="shared" si="1"/>
        <v>0</v>
      </c>
      <c r="AP6" s="2421">
        <f t="shared" si="1"/>
        <v>0</v>
      </c>
      <c r="AQ6" s="2421">
        <f t="shared" si="1"/>
        <v>0</v>
      </c>
      <c r="AR6" s="2421">
        <f t="shared" si="1"/>
        <v>0</v>
      </c>
      <c r="AS6" s="2421">
        <f t="shared" si="1"/>
        <v>0</v>
      </c>
      <c r="AT6" s="2421">
        <f t="shared" si="1"/>
        <v>0</v>
      </c>
      <c r="AU6" s="2421">
        <f t="shared" si="1"/>
        <v>0</v>
      </c>
      <c r="AV6" s="2421">
        <f t="shared" si="1"/>
        <v>0</v>
      </c>
      <c r="AW6" s="2421">
        <f t="shared" si="1"/>
        <v>0</v>
      </c>
      <c r="AX6" s="2421">
        <f t="shared" si="1"/>
        <v>0</v>
      </c>
      <c r="AY6" s="2421">
        <f t="shared" si="1"/>
        <v>0</v>
      </c>
      <c r="AZ6" s="2421">
        <f t="shared" si="1"/>
        <v>0</v>
      </c>
      <c r="BA6" s="2421">
        <f t="shared" si="1"/>
        <v>0</v>
      </c>
      <c r="BB6" s="2421">
        <f t="shared" si="1"/>
        <v>0</v>
      </c>
      <c r="BC6" s="2421">
        <f t="shared" si="1"/>
        <v>0</v>
      </c>
    </row>
    <row r="7" spans="1:55" ht="24" customHeight="1">
      <c r="A7" s="36">
        <v>1</v>
      </c>
      <c r="B7" s="36">
        <v>1</v>
      </c>
      <c r="C7" s="638"/>
      <c r="D7" s="2351"/>
      <c r="E7" s="2352"/>
      <c r="F7" s="2389"/>
      <c r="G7" s="2354"/>
      <c r="H7" s="2355"/>
      <c r="I7" s="2355" t="str">
        <f t="shared" si="0"/>
        <v/>
      </c>
      <c r="J7" s="2351"/>
      <c r="K7" s="2351"/>
      <c r="L7" s="2356"/>
      <c r="M7" s="37"/>
      <c r="N7" s="37"/>
      <c r="O7" s="186"/>
      <c r="P7" s="187"/>
      <c r="Q7" s="188"/>
      <c r="R7" s="188"/>
      <c r="S7" s="188"/>
      <c r="T7" s="188"/>
      <c r="U7" s="188"/>
      <c r="V7" s="188"/>
      <c r="W7" s="188"/>
      <c r="X7" s="189"/>
      <c r="Y7" s="189"/>
      <c r="Z7" s="189"/>
      <c r="AA7" s="189"/>
      <c r="AB7" s="189"/>
      <c r="AC7" s="188"/>
      <c r="AD7" s="309"/>
      <c r="AE7" s="310"/>
      <c r="AF7" s="188"/>
      <c r="AG7" s="188"/>
      <c r="AH7" s="171"/>
      <c r="AI7" s="520"/>
      <c r="AJ7" s="2421">
        <f t="shared" ref="AJ7:AJ22" si="2">$F7*O7</f>
        <v>0</v>
      </c>
      <c r="AK7" s="2421">
        <f t="shared" ref="AK7:AK23" si="3">$F7*P7</f>
        <v>0</v>
      </c>
      <c r="AL7" s="2421">
        <f t="shared" ref="AL7:AL23" si="4">$F7*Q7</f>
        <v>0</v>
      </c>
      <c r="AM7" s="2421">
        <f t="shared" ref="AM7:AM23" si="5">$F7*R7</f>
        <v>0</v>
      </c>
      <c r="AN7" s="2421">
        <f t="shared" ref="AN7:AN23" si="6">$F7*S7</f>
        <v>0</v>
      </c>
      <c r="AO7" s="2421">
        <f t="shared" ref="AO7:AO23" si="7">$F7*T7</f>
        <v>0</v>
      </c>
      <c r="AP7" s="2421">
        <f t="shared" ref="AP7:AP23" si="8">$F7*U7</f>
        <v>0</v>
      </c>
      <c r="AQ7" s="2421">
        <f t="shared" ref="AQ7:AQ23" si="9">$F7*V7</f>
        <v>0</v>
      </c>
      <c r="AR7" s="2421">
        <f t="shared" ref="AR7:AR23" si="10">$F7*W7</f>
        <v>0</v>
      </c>
      <c r="AS7" s="2421">
        <f t="shared" ref="AS7:AS23" si="11">$F7*X7</f>
        <v>0</v>
      </c>
      <c r="AT7" s="2421">
        <f t="shared" ref="AT7:AT23" si="12">$F7*Y7</f>
        <v>0</v>
      </c>
      <c r="AU7" s="2421">
        <f t="shared" ref="AU7:AU23" si="13">$F7*Z7</f>
        <v>0</v>
      </c>
      <c r="AV7" s="2421">
        <f t="shared" ref="AV7:AV23" si="14">$F7*AA7</f>
        <v>0</v>
      </c>
      <c r="AW7" s="2421">
        <f t="shared" ref="AW7:AW23" si="15">$F7*AB7</f>
        <v>0</v>
      </c>
      <c r="AX7" s="2421">
        <f t="shared" ref="AX7:AX23" si="16">$F7*AC7</f>
        <v>0</v>
      </c>
      <c r="AY7" s="2421">
        <f t="shared" ref="AY7:AY23" si="17">$F7*AD7</f>
        <v>0</v>
      </c>
      <c r="AZ7" s="2421">
        <f t="shared" ref="AZ7:AZ23" si="18">$F7*AE7</f>
        <v>0</v>
      </c>
      <c r="BA7" s="2421">
        <f t="shared" ref="BA7:BA23" si="19">$F7*AF7</f>
        <v>0</v>
      </c>
      <c r="BB7" s="2421">
        <f t="shared" ref="BB7:BC22" si="20">$F7*AG7</f>
        <v>0</v>
      </c>
      <c r="BC7" s="2421">
        <f t="shared" si="20"/>
        <v>0</v>
      </c>
    </row>
    <row r="8" spans="1:55" ht="24" customHeight="1">
      <c r="A8" s="36"/>
      <c r="B8" s="36"/>
      <c r="C8" s="638"/>
      <c r="D8" s="2351"/>
      <c r="E8" s="2352"/>
      <c r="F8" s="2389"/>
      <c r="G8" s="2354"/>
      <c r="H8" s="2355"/>
      <c r="I8" s="2355" t="str">
        <f t="shared" si="0"/>
        <v/>
      </c>
      <c r="J8" s="2351"/>
      <c r="K8" s="2351"/>
      <c r="L8" s="2356"/>
      <c r="M8" s="37"/>
      <c r="N8" s="37"/>
      <c r="O8" s="186"/>
      <c r="P8" s="187"/>
      <c r="Q8" s="188"/>
      <c r="R8" s="188"/>
      <c r="S8" s="188"/>
      <c r="T8" s="188"/>
      <c r="U8" s="188"/>
      <c r="V8" s="188"/>
      <c r="W8" s="188"/>
      <c r="X8" s="189"/>
      <c r="Y8" s="189"/>
      <c r="Z8" s="189"/>
      <c r="AA8" s="189"/>
      <c r="AB8" s="189"/>
      <c r="AC8" s="188"/>
      <c r="AD8" s="309"/>
      <c r="AE8" s="310"/>
      <c r="AF8" s="188"/>
      <c r="AG8" s="188"/>
      <c r="AH8" s="171"/>
      <c r="AI8" s="520"/>
      <c r="AJ8" s="2421">
        <f t="shared" si="2"/>
        <v>0</v>
      </c>
      <c r="AK8" s="2421">
        <f t="shared" si="3"/>
        <v>0</v>
      </c>
      <c r="AL8" s="2421">
        <f t="shared" si="4"/>
        <v>0</v>
      </c>
      <c r="AM8" s="2421">
        <f t="shared" si="5"/>
        <v>0</v>
      </c>
      <c r="AN8" s="2421">
        <f t="shared" si="6"/>
        <v>0</v>
      </c>
      <c r="AO8" s="2421">
        <f t="shared" si="7"/>
        <v>0</v>
      </c>
      <c r="AP8" s="2421">
        <f t="shared" si="8"/>
        <v>0</v>
      </c>
      <c r="AQ8" s="2421">
        <f t="shared" si="9"/>
        <v>0</v>
      </c>
      <c r="AR8" s="2421">
        <f t="shared" si="10"/>
        <v>0</v>
      </c>
      <c r="AS8" s="2421">
        <f t="shared" si="11"/>
        <v>0</v>
      </c>
      <c r="AT8" s="2421">
        <f t="shared" si="12"/>
        <v>0</v>
      </c>
      <c r="AU8" s="2421">
        <f t="shared" si="13"/>
        <v>0</v>
      </c>
      <c r="AV8" s="2421">
        <f t="shared" si="14"/>
        <v>0</v>
      </c>
      <c r="AW8" s="2421">
        <f t="shared" si="15"/>
        <v>0</v>
      </c>
      <c r="AX8" s="2421">
        <f t="shared" si="16"/>
        <v>0</v>
      </c>
      <c r="AY8" s="2421">
        <f t="shared" si="17"/>
        <v>0</v>
      </c>
      <c r="AZ8" s="2421">
        <f t="shared" si="18"/>
        <v>0</v>
      </c>
      <c r="BA8" s="2421">
        <f t="shared" si="19"/>
        <v>0</v>
      </c>
      <c r="BB8" s="2421">
        <f t="shared" si="20"/>
        <v>0</v>
      </c>
      <c r="BC8" s="2421">
        <f t="shared" si="20"/>
        <v>0</v>
      </c>
    </row>
    <row r="9" spans="1:55" ht="24" customHeight="1">
      <c r="A9" s="36"/>
      <c r="B9" s="36"/>
      <c r="C9" s="638"/>
      <c r="D9" s="2351"/>
      <c r="E9" s="2352"/>
      <c r="F9" s="2389"/>
      <c r="G9" s="2354"/>
      <c r="H9" s="2355"/>
      <c r="I9" s="2355" t="str">
        <f t="shared" si="0"/>
        <v/>
      </c>
      <c r="J9" s="2351"/>
      <c r="K9" s="2351"/>
      <c r="L9" s="2356"/>
      <c r="M9" s="37"/>
      <c r="N9" s="37"/>
      <c r="O9" s="186"/>
      <c r="P9" s="187"/>
      <c r="Q9" s="188"/>
      <c r="R9" s="188"/>
      <c r="S9" s="188"/>
      <c r="T9" s="188"/>
      <c r="U9" s="188"/>
      <c r="V9" s="188"/>
      <c r="W9" s="188"/>
      <c r="X9" s="189"/>
      <c r="Y9" s="189"/>
      <c r="Z9" s="189"/>
      <c r="AA9" s="189"/>
      <c r="AB9" s="189"/>
      <c r="AC9" s="188"/>
      <c r="AD9" s="309"/>
      <c r="AE9" s="310"/>
      <c r="AF9" s="188"/>
      <c r="AG9" s="188"/>
      <c r="AH9" s="171"/>
      <c r="AI9" s="520"/>
      <c r="AJ9" s="2421">
        <f t="shared" si="2"/>
        <v>0</v>
      </c>
      <c r="AK9" s="2421">
        <f t="shared" si="3"/>
        <v>0</v>
      </c>
      <c r="AL9" s="2421">
        <f t="shared" si="4"/>
        <v>0</v>
      </c>
      <c r="AM9" s="2421">
        <f t="shared" si="5"/>
        <v>0</v>
      </c>
      <c r="AN9" s="2421">
        <f t="shared" si="6"/>
        <v>0</v>
      </c>
      <c r="AO9" s="2421">
        <f t="shared" si="7"/>
        <v>0</v>
      </c>
      <c r="AP9" s="2421">
        <f t="shared" si="8"/>
        <v>0</v>
      </c>
      <c r="AQ9" s="2421">
        <f t="shared" si="9"/>
        <v>0</v>
      </c>
      <c r="AR9" s="2421">
        <f t="shared" si="10"/>
        <v>0</v>
      </c>
      <c r="AS9" s="2421">
        <f t="shared" si="11"/>
        <v>0</v>
      </c>
      <c r="AT9" s="2421">
        <f t="shared" si="12"/>
        <v>0</v>
      </c>
      <c r="AU9" s="2421">
        <f t="shared" si="13"/>
        <v>0</v>
      </c>
      <c r="AV9" s="2421">
        <f t="shared" si="14"/>
        <v>0</v>
      </c>
      <c r="AW9" s="2421">
        <f t="shared" si="15"/>
        <v>0</v>
      </c>
      <c r="AX9" s="2421">
        <f t="shared" si="16"/>
        <v>0</v>
      </c>
      <c r="AY9" s="2421">
        <f t="shared" si="17"/>
        <v>0</v>
      </c>
      <c r="AZ9" s="2421">
        <f t="shared" si="18"/>
        <v>0</v>
      </c>
      <c r="BA9" s="2421">
        <f t="shared" si="19"/>
        <v>0</v>
      </c>
      <c r="BB9" s="2421">
        <f t="shared" si="20"/>
        <v>0</v>
      </c>
      <c r="BC9" s="2421">
        <f t="shared" si="20"/>
        <v>0</v>
      </c>
    </row>
    <row r="10" spans="1:55" ht="24" customHeight="1">
      <c r="A10" s="36"/>
      <c r="B10" s="36"/>
      <c r="C10" s="638"/>
      <c r="D10" s="2351"/>
      <c r="E10" s="2352"/>
      <c r="F10" s="2389"/>
      <c r="G10" s="2354"/>
      <c r="H10" s="2355"/>
      <c r="I10" s="2355" t="str">
        <f t="shared" si="0"/>
        <v/>
      </c>
      <c r="J10" s="2351"/>
      <c r="K10" s="2351"/>
      <c r="L10" s="2356"/>
      <c r="M10" s="37"/>
      <c r="N10" s="37"/>
      <c r="O10" s="186"/>
      <c r="P10" s="187"/>
      <c r="Q10" s="188"/>
      <c r="R10" s="188"/>
      <c r="S10" s="188"/>
      <c r="T10" s="188"/>
      <c r="U10" s="188"/>
      <c r="V10" s="188"/>
      <c r="W10" s="188"/>
      <c r="X10" s="189"/>
      <c r="Y10" s="189"/>
      <c r="Z10" s="189"/>
      <c r="AA10" s="189"/>
      <c r="AB10" s="189"/>
      <c r="AC10" s="188"/>
      <c r="AD10" s="309"/>
      <c r="AE10" s="310"/>
      <c r="AF10" s="188"/>
      <c r="AG10" s="188"/>
      <c r="AH10" s="171"/>
      <c r="AI10" s="520"/>
      <c r="AJ10" s="2421">
        <f t="shared" si="2"/>
        <v>0</v>
      </c>
      <c r="AK10" s="2421">
        <f t="shared" si="3"/>
        <v>0</v>
      </c>
      <c r="AL10" s="2421">
        <f t="shared" si="4"/>
        <v>0</v>
      </c>
      <c r="AM10" s="2421">
        <f t="shared" si="5"/>
        <v>0</v>
      </c>
      <c r="AN10" s="2421">
        <f t="shared" si="6"/>
        <v>0</v>
      </c>
      <c r="AO10" s="2421">
        <f t="shared" si="7"/>
        <v>0</v>
      </c>
      <c r="AP10" s="2421">
        <f t="shared" si="8"/>
        <v>0</v>
      </c>
      <c r="AQ10" s="2421">
        <f t="shared" si="9"/>
        <v>0</v>
      </c>
      <c r="AR10" s="2421">
        <f t="shared" si="10"/>
        <v>0</v>
      </c>
      <c r="AS10" s="2421">
        <f t="shared" si="11"/>
        <v>0</v>
      </c>
      <c r="AT10" s="2421">
        <f t="shared" si="12"/>
        <v>0</v>
      </c>
      <c r="AU10" s="2421">
        <f t="shared" si="13"/>
        <v>0</v>
      </c>
      <c r="AV10" s="2421">
        <f t="shared" si="14"/>
        <v>0</v>
      </c>
      <c r="AW10" s="2421">
        <f t="shared" si="15"/>
        <v>0</v>
      </c>
      <c r="AX10" s="2421">
        <f t="shared" si="16"/>
        <v>0</v>
      </c>
      <c r="AY10" s="2421">
        <f t="shared" si="17"/>
        <v>0</v>
      </c>
      <c r="AZ10" s="2421">
        <f t="shared" si="18"/>
        <v>0</v>
      </c>
      <c r="BA10" s="2421">
        <f t="shared" si="19"/>
        <v>0</v>
      </c>
      <c r="BB10" s="2421">
        <f t="shared" si="20"/>
        <v>0</v>
      </c>
      <c r="BC10" s="2421">
        <f t="shared" si="20"/>
        <v>0</v>
      </c>
    </row>
    <row r="11" spans="1:55" ht="24" customHeight="1">
      <c r="A11" s="36"/>
      <c r="B11" s="36"/>
      <c r="C11" s="638"/>
      <c r="D11" s="2351"/>
      <c r="E11" s="2352"/>
      <c r="F11" s="2389"/>
      <c r="G11" s="2354"/>
      <c r="H11" s="2355"/>
      <c r="I11" s="2355" t="str">
        <f t="shared" si="0"/>
        <v/>
      </c>
      <c r="J11" s="2351"/>
      <c r="K11" s="2351"/>
      <c r="L11" s="2356"/>
      <c r="M11" s="37"/>
      <c r="N11" s="37"/>
      <c r="O11" s="186"/>
      <c r="P11" s="187"/>
      <c r="Q11" s="188"/>
      <c r="R11" s="188"/>
      <c r="S11" s="188"/>
      <c r="T11" s="188"/>
      <c r="U11" s="188"/>
      <c r="V11" s="188"/>
      <c r="W11" s="188"/>
      <c r="X11" s="189"/>
      <c r="Y11" s="189"/>
      <c r="Z11" s="189"/>
      <c r="AA11" s="189"/>
      <c r="AB11" s="189"/>
      <c r="AC11" s="188"/>
      <c r="AD11" s="309"/>
      <c r="AE11" s="310"/>
      <c r="AF11" s="188"/>
      <c r="AG11" s="188"/>
      <c r="AH11" s="171"/>
      <c r="AI11" s="520"/>
      <c r="AJ11" s="2421">
        <f t="shared" si="2"/>
        <v>0</v>
      </c>
      <c r="AK11" s="2421">
        <f t="shared" si="3"/>
        <v>0</v>
      </c>
      <c r="AL11" s="2421">
        <f t="shared" si="4"/>
        <v>0</v>
      </c>
      <c r="AM11" s="2421">
        <f t="shared" si="5"/>
        <v>0</v>
      </c>
      <c r="AN11" s="2421">
        <f t="shared" si="6"/>
        <v>0</v>
      </c>
      <c r="AO11" s="2421">
        <f t="shared" si="7"/>
        <v>0</v>
      </c>
      <c r="AP11" s="2421">
        <f t="shared" si="8"/>
        <v>0</v>
      </c>
      <c r="AQ11" s="2421">
        <f t="shared" si="9"/>
        <v>0</v>
      </c>
      <c r="AR11" s="2421">
        <f t="shared" si="10"/>
        <v>0</v>
      </c>
      <c r="AS11" s="2421">
        <f t="shared" si="11"/>
        <v>0</v>
      </c>
      <c r="AT11" s="2421">
        <f t="shared" si="12"/>
        <v>0</v>
      </c>
      <c r="AU11" s="2421">
        <f t="shared" si="13"/>
        <v>0</v>
      </c>
      <c r="AV11" s="2421">
        <f t="shared" si="14"/>
        <v>0</v>
      </c>
      <c r="AW11" s="2421">
        <f t="shared" si="15"/>
        <v>0</v>
      </c>
      <c r="AX11" s="2421">
        <f t="shared" si="16"/>
        <v>0</v>
      </c>
      <c r="AY11" s="2421">
        <f t="shared" si="17"/>
        <v>0</v>
      </c>
      <c r="AZ11" s="2421">
        <f t="shared" si="18"/>
        <v>0</v>
      </c>
      <c r="BA11" s="2421">
        <f t="shared" si="19"/>
        <v>0</v>
      </c>
      <c r="BB11" s="2421">
        <f t="shared" si="20"/>
        <v>0</v>
      </c>
      <c r="BC11" s="2421">
        <f t="shared" si="20"/>
        <v>0</v>
      </c>
    </row>
    <row r="12" spans="1:55" s="37" customFormat="1" ht="24" customHeight="1">
      <c r="A12" s="36"/>
      <c r="B12" s="36"/>
      <c r="C12" s="638"/>
      <c r="D12" s="2351"/>
      <c r="E12" s="2352"/>
      <c r="F12" s="2389"/>
      <c r="G12" s="2354"/>
      <c r="H12" s="2355"/>
      <c r="I12" s="2355" t="str">
        <f t="shared" si="0"/>
        <v/>
      </c>
      <c r="J12" s="2351"/>
      <c r="K12" s="2351"/>
      <c r="L12" s="2356"/>
      <c r="O12" s="186"/>
      <c r="P12" s="187"/>
      <c r="Q12" s="188"/>
      <c r="R12" s="188"/>
      <c r="S12" s="188"/>
      <c r="T12" s="188"/>
      <c r="U12" s="188"/>
      <c r="V12" s="188"/>
      <c r="W12" s="188"/>
      <c r="X12" s="189"/>
      <c r="Y12" s="189"/>
      <c r="Z12" s="189"/>
      <c r="AA12" s="189"/>
      <c r="AB12" s="189"/>
      <c r="AC12" s="188"/>
      <c r="AD12" s="309"/>
      <c r="AE12" s="310"/>
      <c r="AF12" s="188"/>
      <c r="AG12" s="188"/>
      <c r="AH12" s="171"/>
      <c r="AI12" s="520"/>
      <c r="AJ12" s="2421">
        <f t="shared" si="2"/>
        <v>0</v>
      </c>
      <c r="AK12" s="2421">
        <f t="shared" si="3"/>
        <v>0</v>
      </c>
      <c r="AL12" s="2421">
        <f t="shared" si="4"/>
        <v>0</v>
      </c>
      <c r="AM12" s="2421">
        <f t="shared" si="5"/>
        <v>0</v>
      </c>
      <c r="AN12" s="2421">
        <f t="shared" si="6"/>
        <v>0</v>
      </c>
      <c r="AO12" s="2421">
        <f t="shared" si="7"/>
        <v>0</v>
      </c>
      <c r="AP12" s="2421">
        <f t="shared" si="8"/>
        <v>0</v>
      </c>
      <c r="AQ12" s="2421">
        <f t="shared" si="9"/>
        <v>0</v>
      </c>
      <c r="AR12" s="2421">
        <f t="shared" si="10"/>
        <v>0</v>
      </c>
      <c r="AS12" s="2421">
        <f t="shared" si="11"/>
        <v>0</v>
      </c>
      <c r="AT12" s="2421">
        <f t="shared" si="12"/>
        <v>0</v>
      </c>
      <c r="AU12" s="2421">
        <f t="shared" si="13"/>
        <v>0</v>
      </c>
      <c r="AV12" s="2421">
        <f t="shared" si="14"/>
        <v>0</v>
      </c>
      <c r="AW12" s="2421">
        <f t="shared" si="15"/>
        <v>0</v>
      </c>
      <c r="AX12" s="2421">
        <f t="shared" si="16"/>
        <v>0</v>
      </c>
      <c r="AY12" s="2421">
        <f t="shared" si="17"/>
        <v>0</v>
      </c>
      <c r="AZ12" s="2421">
        <f t="shared" si="18"/>
        <v>0</v>
      </c>
      <c r="BA12" s="2421">
        <f t="shared" si="19"/>
        <v>0</v>
      </c>
      <c r="BB12" s="2421">
        <f t="shared" si="20"/>
        <v>0</v>
      </c>
      <c r="BC12" s="2421">
        <f t="shared" si="20"/>
        <v>0</v>
      </c>
    </row>
    <row r="13" spans="1:55" ht="24" customHeight="1">
      <c r="A13" s="36"/>
      <c r="B13" s="36"/>
      <c r="C13" s="638"/>
      <c r="D13" s="2351"/>
      <c r="E13" s="2352"/>
      <c r="F13" s="2389"/>
      <c r="G13" s="2354"/>
      <c r="H13" s="2355"/>
      <c r="I13" s="2355" t="str">
        <f t="shared" si="0"/>
        <v/>
      </c>
      <c r="J13" s="2351"/>
      <c r="K13" s="2351"/>
      <c r="L13" s="2356"/>
      <c r="M13" s="37"/>
      <c r="N13" s="37"/>
      <c r="O13" s="186"/>
      <c r="P13" s="187"/>
      <c r="Q13" s="188"/>
      <c r="R13" s="188"/>
      <c r="S13" s="188"/>
      <c r="T13" s="188"/>
      <c r="U13" s="188"/>
      <c r="V13" s="188"/>
      <c r="W13" s="188"/>
      <c r="X13" s="189"/>
      <c r="Y13" s="189"/>
      <c r="Z13" s="189"/>
      <c r="AA13" s="189"/>
      <c r="AB13" s="189"/>
      <c r="AC13" s="188"/>
      <c r="AD13" s="309"/>
      <c r="AE13" s="310"/>
      <c r="AF13" s="188"/>
      <c r="AG13" s="188"/>
      <c r="AH13" s="171"/>
      <c r="AI13" s="520"/>
      <c r="AJ13" s="2421">
        <f t="shared" si="2"/>
        <v>0</v>
      </c>
      <c r="AK13" s="2421">
        <f t="shared" si="3"/>
        <v>0</v>
      </c>
      <c r="AL13" s="2421">
        <f t="shared" si="4"/>
        <v>0</v>
      </c>
      <c r="AM13" s="2421">
        <f t="shared" si="5"/>
        <v>0</v>
      </c>
      <c r="AN13" s="2421">
        <f t="shared" si="6"/>
        <v>0</v>
      </c>
      <c r="AO13" s="2421">
        <f t="shared" si="7"/>
        <v>0</v>
      </c>
      <c r="AP13" s="2421">
        <f t="shared" si="8"/>
        <v>0</v>
      </c>
      <c r="AQ13" s="2421">
        <f t="shared" si="9"/>
        <v>0</v>
      </c>
      <c r="AR13" s="2421">
        <f t="shared" si="10"/>
        <v>0</v>
      </c>
      <c r="AS13" s="2421">
        <f t="shared" si="11"/>
        <v>0</v>
      </c>
      <c r="AT13" s="2421">
        <f t="shared" si="12"/>
        <v>0</v>
      </c>
      <c r="AU13" s="2421">
        <f t="shared" si="13"/>
        <v>0</v>
      </c>
      <c r="AV13" s="2421">
        <f t="shared" si="14"/>
        <v>0</v>
      </c>
      <c r="AW13" s="2421">
        <f t="shared" si="15"/>
        <v>0</v>
      </c>
      <c r="AX13" s="2421">
        <f t="shared" si="16"/>
        <v>0</v>
      </c>
      <c r="AY13" s="2421">
        <f t="shared" si="17"/>
        <v>0</v>
      </c>
      <c r="AZ13" s="2421">
        <f t="shared" si="18"/>
        <v>0</v>
      </c>
      <c r="BA13" s="2421">
        <f t="shared" si="19"/>
        <v>0</v>
      </c>
      <c r="BB13" s="2421">
        <f t="shared" si="20"/>
        <v>0</v>
      </c>
      <c r="BC13" s="2421">
        <f t="shared" si="20"/>
        <v>0</v>
      </c>
    </row>
    <row r="14" spans="1:55" ht="24" customHeight="1">
      <c r="A14" s="36"/>
      <c r="B14" s="36"/>
      <c r="C14" s="638"/>
      <c r="D14" s="2351"/>
      <c r="E14" s="2422"/>
      <c r="F14" s="2389"/>
      <c r="G14" s="2354"/>
      <c r="H14" s="2355"/>
      <c r="I14" s="2355" t="str">
        <f t="shared" si="0"/>
        <v/>
      </c>
      <c r="J14" s="2351"/>
      <c r="K14" s="2351"/>
      <c r="L14" s="2356"/>
      <c r="M14" s="37"/>
      <c r="N14" s="37"/>
      <c r="O14" s="186"/>
      <c r="P14" s="187"/>
      <c r="Q14" s="188"/>
      <c r="R14" s="188"/>
      <c r="S14" s="188"/>
      <c r="T14" s="188"/>
      <c r="U14" s="188"/>
      <c r="V14" s="188"/>
      <c r="W14" s="188"/>
      <c r="X14" s="189"/>
      <c r="Y14" s="189"/>
      <c r="Z14" s="189"/>
      <c r="AA14" s="189"/>
      <c r="AB14" s="189"/>
      <c r="AC14" s="188"/>
      <c r="AD14" s="309"/>
      <c r="AE14" s="310"/>
      <c r="AF14" s="188"/>
      <c r="AG14" s="188"/>
      <c r="AH14" s="171"/>
      <c r="AI14" s="520"/>
      <c r="AJ14" s="2421">
        <f t="shared" si="2"/>
        <v>0</v>
      </c>
      <c r="AK14" s="2421">
        <f t="shared" si="3"/>
        <v>0</v>
      </c>
      <c r="AL14" s="2421">
        <f t="shared" si="4"/>
        <v>0</v>
      </c>
      <c r="AM14" s="2421">
        <f t="shared" si="5"/>
        <v>0</v>
      </c>
      <c r="AN14" s="2421">
        <f t="shared" si="6"/>
        <v>0</v>
      </c>
      <c r="AO14" s="2421">
        <f t="shared" si="7"/>
        <v>0</v>
      </c>
      <c r="AP14" s="2421">
        <f t="shared" si="8"/>
        <v>0</v>
      </c>
      <c r="AQ14" s="2421">
        <f t="shared" si="9"/>
        <v>0</v>
      </c>
      <c r="AR14" s="2421">
        <f t="shared" si="10"/>
        <v>0</v>
      </c>
      <c r="AS14" s="2421">
        <f t="shared" si="11"/>
        <v>0</v>
      </c>
      <c r="AT14" s="2421">
        <f t="shared" si="12"/>
        <v>0</v>
      </c>
      <c r="AU14" s="2421">
        <f t="shared" si="13"/>
        <v>0</v>
      </c>
      <c r="AV14" s="2421">
        <f t="shared" si="14"/>
        <v>0</v>
      </c>
      <c r="AW14" s="2421">
        <f t="shared" si="15"/>
        <v>0</v>
      </c>
      <c r="AX14" s="2421">
        <f t="shared" si="16"/>
        <v>0</v>
      </c>
      <c r="AY14" s="2421">
        <f t="shared" si="17"/>
        <v>0</v>
      </c>
      <c r="AZ14" s="2421">
        <f t="shared" si="18"/>
        <v>0</v>
      </c>
      <c r="BA14" s="2421">
        <f t="shared" si="19"/>
        <v>0</v>
      </c>
      <c r="BB14" s="2421">
        <f t="shared" si="20"/>
        <v>0</v>
      </c>
      <c r="BC14" s="2421">
        <f t="shared" si="20"/>
        <v>0</v>
      </c>
    </row>
    <row r="15" spans="1:55" s="37" customFormat="1" ht="24" customHeight="1">
      <c r="A15" s="36"/>
      <c r="B15" s="36"/>
      <c r="C15" s="638"/>
      <c r="D15" s="2351"/>
      <c r="E15" s="2352"/>
      <c r="F15" s="2389"/>
      <c r="G15" s="2354"/>
      <c r="H15" s="2355"/>
      <c r="I15" s="2355" t="str">
        <f t="shared" si="0"/>
        <v/>
      </c>
      <c r="J15" s="2351"/>
      <c r="K15" s="2351"/>
      <c r="L15" s="2356"/>
      <c r="O15" s="186"/>
      <c r="P15" s="187"/>
      <c r="Q15" s="188"/>
      <c r="R15" s="188"/>
      <c r="S15" s="188"/>
      <c r="T15" s="188"/>
      <c r="U15" s="188"/>
      <c r="V15" s="188"/>
      <c r="W15" s="188"/>
      <c r="X15" s="189"/>
      <c r="Y15" s="189"/>
      <c r="Z15" s="189"/>
      <c r="AA15" s="189"/>
      <c r="AB15" s="189"/>
      <c r="AC15" s="188"/>
      <c r="AD15" s="309"/>
      <c r="AE15" s="310"/>
      <c r="AF15" s="188"/>
      <c r="AG15" s="188"/>
      <c r="AH15" s="171"/>
      <c r="AI15" s="520"/>
      <c r="AJ15" s="2421">
        <f t="shared" si="2"/>
        <v>0</v>
      </c>
      <c r="AK15" s="2421">
        <f t="shared" si="3"/>
        <v>0</v>
      </c>
      <c r="AL15" s="2421">
        <f t="shared" si="4"/>
        <v>0</v>
      </c>
      <c r="AM15" s="2421">
        <f t="shared" si="5"/>
        <v>0</v>
      </c>
      <c r="AN15" s="2421">
        <f t="shared" si="6"/>
        <v>0</v>
      </c>
      <c r="AO15" s="2421">
        <f t="shared" si="7"/>
        <v>0</v>
      </c>
      <c r="AP15" s="2421">
        <f t="shared" si="8"/>
        <v>0</v>
      </c>
      <c r="AQ15" s="2421">
        <f t="shared" si="9"/>
        <v>0</v>
      </c>
      <c r="AR15" s="2421">
        <f t="shared" si="10"/>
        <v>0</v>
      </c>
      <c r="AS15" s="2421">
        <f t="shared" si="11"/>
        <v>0</v>
      </c>
      <c r="AT15" s="2421">
        <f t="shared" si="12"/>
        <v>0</v>
      </c>
      <c r="AU15" s="2421">
        <f t="shared" si="13"/>
        <v>0</v>
      </c>
      <c r="AV15" s="2421">
        <f t="shared" si="14"/>
        <v>0</v>
      </c>
      <c r="AW15" s="2421">
        <f t="shared" si="15"/>
        <v>0</v>
      </c>
      <c r="AX15" s="2421">
        <f t="shared" si="16"/>
        <v>0</v>
      </c>
      <c r="AY15" s="2421">
        <f t="shared" si="17"/>
        <v>0</v>
      </c>
      <c r="AZ15" s="2421">
        <f t="shared" si="18"/>
        <v>0</v>
      </c>
      <c r="BA15" s="2421">
        <f t="shared" si="19"/>
        <v>0</v>
      </c>
      <c r="BB15" s="2421">
        <f t="shared" si="20"/>
        <v>0</v>
      </c>
      <c r="BC15" s="2421">
        <f t="shared" si="20"/>
        <v>0</v>
      </c>
    </row>
    <row r="16" spans="1:55" ht="24" customHeight="1">
      <c r="A16" s="36"/>
      <c r="B16" s="36"/>
      <c r="C16" s="638"/>
      <c r="D16" s="2351"/>
      <c r="E16" s="2352"/>
      <c r="F16" s="2389"/>
      <c r="G16" s="2354"/>
      <c r="H16" s="2355"/>
      <c r="I16" s="2355" t="str">
        <f t="shared" si="0"/>
        <v/>
      </c>
      <c r="J16" s="2351"/>
      <c r="K16" s="2351"/>
      <c r="L16" s="2356"/>
      <c r="M16" s="37"/>
      <c r="N16" s="37"/>
      <c r="O16" s="186"/>
      <c r="P16" s="187"/>
      <c r="Q16" s="188"/>
      <c r="R16" s="188"/>
      <c r="S16" s="188"/>
      <c r="T16" s="188"/>
      <c r="U16" s="188"/>
      <c r="V16" s="188"/>
      <c r="W16" s="188"/>
      <c r="X16" s="189"/>
      <c r="Y16" s="189"/>
      <c r="Z16" s="189"/>
      <c r="AA16" s="189"/>
      <c r="AB16" s="189"/>
      <c r="AC16" s="188"/>
      <c r="AD16" s="309"/>
      <c r="AE16" s="310"/>
      <c r="AF16" s="188"/>
      <c r="AG16" s="188"/>
      <c r="AH16" s="171"/>
      <c r="AI16" s="520"/>
      <c r="AJ16" s="2421">
        <f t="shared" si="2"/>
        <v>0</v>
      </c>
      <c r="AK16" s="2421">
        <f t="shared" si="3"/>
        <v>0</v>
      </c>
      <c r="AL16" s="2421">
        <f t="shared" si="4"/>
        <v>0</v>
      </c>
      <c r="AM16" s="2421">
        <f t="shared" si="5"/>
        <v>0</v>
      </c>
      <c r="AN16" s="2421">
        <f t="shared" si="6"/>
        <v>0</v>
      </c>
      <c r="AO16" s="2421">
        <f t="shared" si="7"/>
        <v>0</v>
      </c>
      <c r="AP16" s="2421">
        <f t="shared" si="8"/>
        <v>0</v>
      </c>
      <c r="AQ16" s="2421">
        <f t="shared" si="9"/>
        <v>0</v>
      </c>
      <c r="AR16" s="2421">
        <f t="shared" si="10"/>
        <v>0</v>
      </c>
      <c r="AS16" s="2421">
        <f t="shared" si="11"/>
        <v>0</v>
      </c>
      <c r="AT16" s="2421">
        <f t="shared" si="12"/>
        <v>0</v>
      </c>
      <c r="AU16" s="2421">
        <f t="shared" si="13"/>
        <v>0</v>
      </c>
      <c r="AV16" s="2421">
        <f t="shared" si="14"/>
        <v>0</v>
      </c>
      <c r="AW16" s="2421">
        <f t="shared" si="15"/>
        <v>0</v>
      </c>
      <c r="AX16" s="2421">
        <f t="shared" si="16"/>
        <v>0</v>
      </c>
      <c r="AY16" s="2421">
        <f t="shared" si="17"/>
        <v>0</v>
      </c>
      <c r="AZ16" s="2421">
        <f t="shared" si="18"/>
        <v>0</v>
      </c>
      <c r="BA16" s="2421">
        <f t="shared" si="19"/>
        <v>0</v>
      </c>
      <c r="BB16" s="2421">
        <f t="shared" si="20"/>
        <v>0</v>
      </c>
      <c r="BC16" s="2421">
        <f t="shared" si="20"/>
        <v>0</v>
      </c>
    </row>
    <row r="17" spans="1:55" s="37" customFormat="1" ht="24" customHeight="1">
      <c r="A17" s="36"/>
      <c r="B17" s="36"/>
      <c r="C17" s="638"/>
      <c r="D17" s="2351"/>
      <c r="E17" s="2352"/>
      <c r="F17" s="2389"/>
      <c r="G17" s="2354"/>
      <c r="H17" s="2355"/>
      <c r="I17" s="2355" t="str">
        <f t="shared" si="0"/>
        <v/>
      </c>
      <c r="J17" s="2351"/>
      <c r="K17" s="2351"/>
      <c r="L17" s="2356"/>
      <c r="O17" s="186"/>
      <c r="P17" s="187"/>
      <c r="Q17" s="188"/>
      <c r="R17" s="188"/>
      <c r="S17" s="188"/>
      <c r="T17" s="188"/>
      <c r="U17" s="188"/>
      <c r="V17" s="188"/>
      <c r="W17" s="188"/>
      <c r="X17" s="189"/>
      <c r="Y17" s="189"/>
      <c r="Z17" s="189"/>
      <c r="AA17" s="189"/>
      <c r="AB17" s="189"/>
      <c r="AC17" s="188"/>
      <c r="AD17" s="309"/>
      <c r="AE17" s="310"/>
      <c r="AF17" s="188"/>
      <c r="AG17" s="188"/>
      <c r="AH17" s="171"/>
      <c r="AI17" s="520"/>
      <c r="AJ17" s="2421">
        <f t="shared" si="2"/>
        <v>0</v>
      </c>
      <c r="AK17" s="2421">
        <f t="shared" si="3"/>
        <v>0</v>
      </c>
      <c r="AL17" s="2421">
        <f t="shared" si="4"/>
        <v>0</v>
      </c>
      <c r="AM17" s="2421">
        <f t="shared" si="5"/>
        <v>0</v>
      </c>
      <c r="AN17" s="2421">
        <f t="shared" si="6"/>
        <v>0</v>
      </c>
      <c r="AO17" s="2421">
        <f t="shared" si="7"/>
        <v>0</v>
      </c>
      <c r="AP17" s="2421">
        <f t="shared" si="8"/>
        <v>0</v>
      </c>
      <c r="AQ17" s="2421">
        <f t="shared" si="9"/>
        <v>0</v>
      </c>
      <c r="AR17" s="2421">
        <f t="shared" si="10"/>
        <v>0</v>
      </c>
      <c r="AS17" s="2421">
        <f t="shared" si="11"/>
        <v>0</v>
      </c>
      <c r="AT17" s="2421">
        <f t="shared" si="12"/>
        <v>0</v>
      </c>
      <c r="AU17" s="2421">
        <f t="shared" si="13"/>
        <v>0</v>
      </c>
      <c r="AV17" s="2421">
        <f t="shared" si="14"/>
        <v>0</v>
      </c>
      <c r="AW17" s="2421">
        <f t="shared" si="15"/>
        <v>0</v>
      </c>
      <c r="AX17" s="2421">
        <f t="shared" si="16"/>
        <v>0</v>
      </c>
      <c r="AY17" s="2421">
        <f t="shared" si="17"/>
        <v>0</v>
      </c>
      <c r="AZ17" s="2421">
        <f t="shared" si="18"/>
        <v>0</v>
      </c>
      <c r="BA17" s="2421">
        <f t="shared" si="19"/>
        <v>0</v>
      </c>
      <c r="BB17" s="2421">
        <f t="shared" si="20"/>
        <v>0</v>
      </c>
      <c r="BC17" s="2421">
        <f t="shared" si="20"/>
        <v>0</v>
      </c>
    </row>
    <row r="18" spans="1:55" ht="24" customHeight="1">
      <c r="A18" s="36"/>
      <c r="B18" s="36"/>
      <c r="C18" s="2350"/>
      <c r="D18" s="2351"/>
      <c r="E18" s="2352"/>
      <c r="F18" s="2389"/>
      <c r="G18" s="2354"/>
      <c r="H18" s="2355"/>
      <c r="I18" s="2355" t="str">
        <f t="shared" si="0"/>
        <v/>
      </c>
      <c r="J18" s="2351"/>
      <c r="K18" s="2351"/>
      <c r="L18" s="2356"/>
      <c r="M18" s="37"/>
      <c r="N18" s="37"/>
      <c r="O18" s="186"/>
      <c r="P18" s="187"/>
      <c r="Q18" s="188"/>
      <c r="R18" s="188"/>
      <c r="S18" s="188"/>
      <c r="T18" s="188"/>
      <c r="U18" s="188"/>
      <c r="V18" s="188"/>
      <c r="W18" s="188"/>
      <c r="X18" s="189"/>
      <c r="Y18" s="189"/>
      <c r="Z18" s="189"/>
      <c r="AA18" s="189"/>
      <c r="AB18" s="189"/>
      <c r="AC18" s="188"/>
      <c r="AD18" s="309"/>
      <c r="AE18" s="310"/>
      <c r="AF18" s="188"/>
      <c r="AG18" s="188"/>
      <c r="AH18" s="171"/>
      <c r="AI18" s="520"/>
      <c r="AJ18" s="2421">
        <f t="shared" si="2"/>
        <v>0</v>
      </c>
      <c r="AK18" s="2421">
        <f t="shared" si="3"/>
        <v>0</v>
      </c>
      <c r="AL18" s="2421">
        <f t="shared" si="4"/>
        <v>0</v>
      </c>
      <c r="AM18" s="2421">
        <f t="shared" si="5"/>
        <v>0</v>
      </c>
      <c r="AN18" s="2421">
        <f t="shared" si="6"/>
        <v>0</v>
      </c>
      <c r="AO18" s="2421">
        <f t="shared" si="7"/>
        <v>0</v>
      </c>
      <c r="AP18" s="2421">
        <f t="shared" si="8"/>
        <v>0</v>
      </c>
      <c r="AQ18" s="2421">
        <f t="shared" si="9"/>
        <v>0</v>
      </c>
      <c r="AR18" s="2421">
        <f t="shared" si="10"/>
        <v>0</v>
      </c>
      <c r="AS18" s="2421">
        <f t="shared" si="11"/>
        <v>0</v>
      </c>
      <c r="AT18" s="2421">
        <f t="shared" si="12"/>
        <v>0</v>
      </c>
      <c r="AU18" s="2421">
        <f t="shared" si="13"/>
        <v>0</v>
      </c>
      <c r="AV18" s="2421">
        <f t="shared" si="14"/>
        <v>0</v>
      </c>
      <c r="AW18" s="2421">
        <f t="shared" si="15"/>
        <v>0</v>
      </c>
      <c r="AX18" s="2421">
        <f t="shared" si="16"/>
        <v>0</v>
      </c>
      <c r="AY18" s="2421">
        <f t="shared" si="17"/>
        <v>0</v>
      </c>
      <c r="AZ18" s="2421">
        <f t="shared" si="18"/>
        <v>0</v>
      </c>
      <c r="BA18" s="2421">
        <f t="shared" si="19"/>
        <v>0</v>
      </c>
      <c r="BB18" s="2421">
        <f t="shared" si="20"/>
        <v>0</v>
      </c>
      <c r="BC18" s="2421">
        <f t="shared" si="20"/>
        <v>0</v>
      </c>
    </row>
    <row r="19" spans="1:55" ht="24" customHeight="1">
      <c r="A19" s="36"/>
      <c r="B19" s="36"/>
      <c r="C19" s="638"/>
      <c r="D19" s="2351"/>
      <c r="E19" s="2352"/>
      <c r="F19" s="2389"/>
      <c r="G19" s="2354"/>
      <c r="H19" s="2355"/>
      <c r="I19" s="2355" t="str">
        <f t="shared" si="0"/>
        <v/>
      </c>
      <c r="J19" s="2351"/>
      <c r="K19" s="2351"/>
      <c r="L19" s="2356"/>
      <c r="M19" s="37"/>
      <c r="N19" s="37"/>
      <c r="O19" s="186"/>
      <c r="P19" s="187"/>
      <c r="Q19" s="188"/>
      <c r="R19" s="188"/>
      <c r="S19" s="188"/>
      <c r="T19" s="188"/>
      <c r="U19" s="188"/>
      <c r="V19" s="188"/>
      <c r="W19" s="188"/>
      <c r="X19" s="189"/>
      <c r="Y19" s="189"/>
      <c r="Z19" s="189"/>
      <c r="AA19" s="189"/>
      <c r="AB19" s="189"/>
      <c r="AC19" s="188"/>
      <c r="AD19" s="309"/>
      <c r="AE19" s="310"/>
      <c r="AF19" s="188"/>
      <c r="AG19" s="188"/>
      <c r="AH19" s="171"/>
      <c r="AI19" s="520"/>
      <c r="AJ19" s="2421">
        <f t="shared" si="2"/>
        <v>0</v>
      </c>
      <c r="AK19" s="2421">
        <f t="shared" si="3"/>
        <v>0</v>
      </c>
      <c r="AL19" s="2421">
        <f t="shared" si="4"/>
        <v>0</v>
      </c>
      <c r="AM19" s="2421">
        <f t="shared" si="5"/>
        <v>0</v>
      </c>
      <c r="AN19" s="2421">
        <f t="shared" si="6"/>
        <v>0</v>
      </c>
      <c r="AO19" s="2421">
        <f t="shared" si="7"/>
        <v>0</v>
      </c>
      <c r="AP19" s="2421">
        <f t="shared" si="8"/>
        <v>0</v>
      </c>
      <c r="AQ19" s="2421">
        <f t="shared" si="9"/>
        <v>0</v>
      </c>
      <c r="AR19" s="2421">
        <f t="shared" si="10"/>
        <v>0</v>
      </c>
      <c r="AS19" s="2421">
        <f t="shared" si="11"/>
        <v>0</v>
      </c>
      <c r="AT19" s="2421">
        <f t="shared" si="12"/>
        <v>0</v>
      </c>
      <c r="AU19" s="2421">
        <f t="shared" si="13"/>
        <v>0</v>
      </c>
      <c r="AV19" s="2421">
        <f t="shared" si="14"/>
        <v>0</v>
      </c>
      <c r="AW19" s="2421">
        <f t="shared" si="15"/>
        <v>0</v>
      </c>
      <c r="AX19" s="2421">
        <f t="shared" si="16"/>
        <v>0</v>
      </c>
      <c r="AY19" s="2421">
        <f t="shared" si="17"/>
        <v>0</v>
      </c>
      <c r="AZ19" s="2421">
        <f t="shared" si="18"/>
        <v>0</v>
      </c>
      <c r="BA19" s="2421">
        <f t="shared" si="19"/>
        <v>0</v>
      </c>
      <c r="BB19" s="2421">
        <f t="shared" si="20"/>
        <v>0</v>
      </c>
      <c r="BC19" s="2421">
        <f t="shared" si="20"/>
        <v>0</v>
      </c>
    </row>
    <row r="20" spans="1:55" ht="24" customHeight="1">
      <c r="A20" s="36"/>
      <c r="B20" s="36"/>
      <c r="C20" s="638"/>
      <c r="D20" s="2351"/>
      <c r="E20" s="2352"/>
      <c r="F20" s="2389"/>
      <c r="G20" s="2354"/>
      <c r="H20" s="2355"/>
      <c r="I20" s="2355" t="str">
        <f t="shared" si="0"/>
        <v/>
      </c>
      <c r="J20" s="2423"/>
      <c r="K20" s="2351"/>
      <c r="L20" s="2356"/>
      <c r="M20" s="37"/>
      <c r="N20" s="37"/>
      <c r="O20" s="186"/>
      <c r="P20" s="187"/>
      <c r="Q20" s="188"/>
      <c r="R20" s="188"/>
      <c r="S20" s="188"/>
      <c r="T20" s="188"/>
      <c r="U20" s="188"/>
      <c r="V20" s="188"/>
      <c r="W20" s="188"/>
      <c r="X20" s="189"/>
      <c r="Y20" s="189"/>
      <c r="Z20" s="189"/>
      <c r="AA20" s="189"/>
      <c r="AB20" s="189"/>
      <c r="AC20" s="188"/>
      <c r="AD20" s="309"/>
      <c r="AE20" s="310"/>
      <c r="AF20" s="188"/>
      <c r="AG20" s="188"/>
      <c r="AH20" s="171"/>
      <c r="AI20" s="520"/>
      <c r="AJ20" s="2421">
        <f t="shared" si="2"/>
        <v>0</v>
      </c>
      <c r="AK20" s="2421">
        <f t="shared" si="3"/>
        <v>0</v>
      </c>
      <c r="AL20" s="2421">
        <f t="shared" si="4"/>
        <v>0</v>
      </c>
      <c r="AM20" s="2421">
        <f t="shared" si="5"/>
        <v>0</v>
      </c>
      <c r="AN20" s="2421">
        <f t="shared" si="6"/>
        <v>0</v>
      </c>
      <c r="AO20" s="2421">
        <f t="shared" si="7"/>
        <v>0</v>
      </c>
      <c r="AP20" s="2421">
        <f t="shared" si="8"/>
        <v>0</v>
      </c>
      <c r="AQ20" s="2421">
        <f t="shared" si="9"/>
        <v>0</v>
      </c>
      <c r="AR20" s="2421">
        <f t="shared" si="10"/>
        <v>0</v>
      </c>
      <c r="AS20" s="2421">
        <f t="shared" si="11"/>
        <v>0</v>
      </c>
      <c r="AT20" s="2421">
        <f t="shared" si="12"/>
        <v>0</v>
      </c>
      <c r="AU20" s="2421">
        <f t="shared" si="13"/>
        <v>0</v>
      </c>
      <c r="AV20" s="2421">
        <f t="shared" si="14"/>
        <v>0</v>
      </c>
      <c r="AW20" s="2421">
        <f t="shared" si="15"/>
        <v>0</v>
      </c>
      <c r="AX20" s="2421">
        <f t="shared" si="16"/>
        <v>0</v>
      </c>
      <c r="AY20" s="2421">
        <f t="shared" si="17"/>
        <v>0</v>
      </c>
      <c r="AZ20" s="2421">
        <f t="shared" si="18"/>
        <v>0</v>
      </c>
      <c r="BA20" s="2421">
        <f t="shared" si="19"/>
        <v>0</v>
      </c>
      <c r="BB20" s="2421">
        <f t="shared" si="20"/>
        <v>0</v>
      </c>
      <c r="BC20" s="2421">
        <f t="shared" si="20"/>
        <v>0</v>
      </c>
    </row>
    <row r="21" spans="1:55" ht="24" customHeight="1">
      <c r="A21" s="36"/>
      <c r="B21" s="36"/>
      <c r="C21" s="638"/>
      <c r="D21" s="2351"/>
      <c r="E21" s="2352"/>
      <c r="F21" s="2389"/>
      <c r="G21" s="2354"/>
      <c r="H21" s="2355"/>
      <c r="I21" s="2355"/>
      <c r="J21" s="2351"/>
      <c r="K21" s="2351"/>
      <c r="L21" s="2356"/>
      <c r="M21" s="37"/>
      <c r="N21" s="37"/>
      <c r="O21" s="186"/>
      <c r="P21" s="187"/>
      <c r="Q21" s="188"/>
      <c r="R21" s="188"/>
      <c r="S21" s="188"/>
      <c r="T21" s="188"/>
      <c r="U21" s="188"/>
      <c r="V21" s="188"/>
      <c r="W21" s="188"/>
      <c r="X21" s="189"/>
      <c r="Y21" s="189"/>
      <c r="Z21" s="189"/>
      <c r="AA21" s="189"/>
      <c r="AB21" s="189"/>
      <c r="AC21" s="188"/>
      <c r="AD21" s="309"/>
      <c r="AE21" s="310"/>
      <c r="AF21" s="188"/>
      <c r="AG21" s="188"/>
      <c r="AH21" s="171"/>
      <c r="AI21" s="520"/>
      <c r="AJ21" s="2421">
        <f t="shared" si="2"/>
        <v>0</v>
      </c>
      <c r="AK21" s="2421">
        <f t="shared" si="3"/>
        <v>0</v>
      </c>
      <c r="AL21" s="2421">
        <f t="shared" si="4"/>
        <v>0</v>
      </c>
      <c r="AM21" s="2421">
        <f t="shared" si="5"/>
        <v>0</v>
      </c>
      <c r="AN21" s="2421">
        <f t="shared" si="6"/>
        <v>0</v>
      </c>
      <c r="AO21" s="2421">
        <f t="shared" si="7"/>
        <v>0</v>
      </c>
      <c r="AP21" s="2421">
        <f t="shared" si="8"/>
        <v>0</v>
      </c>
      <c r="AQ21" s="2421">
        <f t="shared" si="9"/>
        <v>0</v>
      </c>
      <c r="AR21" s="2421">
        <f t="shared" si="10"/>
        <v>0</v>
      </c>
      <c r="AS21" s="2421">
        <f t="shared" si="11"/>
        <v>0</v>
      </c>
      <c r="AT21" s="2421">
        <f t="shared" si="12"/>
        <v>0</v>
      </c>
      <c r="AU21" s="2421">
        <f t="shared" si="13"/>
        <v>0</v>
      </c>
      <c r="AV21" s="2421">
        <f t="shared" si="14"/>
        <v>0</v>
      </c>
      <c r="AW21" s="2421">
        <f t="shared" si="15"/>
        <v>0</v>
      </c>
      <c r="AX21" s="2421">
        <f t="shared" si="16"/>
        <v>0</v>
      </c>
      <c r="AY21" s="2421">
        <f t="shared" si="17"/>
        <v>0</v>
      </c>
      <c r="AZ21" s="2421">
        <f t="shared" si="18"/>
        <v>0</v>
      </c>
      <c r="BA21" s="2421">
        <f t="shared" si="19"/>
        <v>0</v>
      </c>
      <c r="BB21" s="2421">
        <f t="shared" si="20"/>
        <v>0</v>
      </c>
      <c r="BC21" s="2421">
        <f t="shared" si="20"/>
        <v>0</v>
      </c>
    </row>
    <row r="22" spans="1:55" ht="24" customHeight="1">
      <c r="A22" s="36"/>
      <c r="B22" s="36"/>
      <c r="C22" s="638"/>
      <c r="D22" s="2351"/>
      <c r="E22" s="2352"/>
      <c r="F22" s="2389"/>
      <c r="G22" s="2354"/>
      <c r="H22" s="2355"/>
      <c r="I22" s="2355" t="str">
        <f t="shared" si="0"/>
        <v/>
      </c>
      <c r="J22" s="2351"/>
      <c r="K22" s="2351"/>
      <c r="L22" s="2356"/>
      <c r="M22" s="37"/>
      <c r="N22" s="37"/>
      <c r="O22" s="186"/>
      <c r="P22" s="187"/>
      <c r="Q22" s="188"/>
      <c r="R22" s="188"/>
      <c r="S22" s="188"/>
      <c r="T22" s="188"/>
      <c r="U22" s="188"/>
      <c r="V22" s="188"/>
      <c r="W22" s="188"/>
      <c r="X22" s="189"/>
      <c r="Y22" s="189"/>
      <c r="Z22" s="189"/>
      <c r="AA22" s="189"/>
      <c r="AB22" s="189"/>
      <c r="AC22" s="188"/>
      <c r="AD22" s="309"/>
      <c r="AE22" s="310"/>
      <c r="AF22" s="188"/>
      <c r="AG22" s="188"/>
      <c r="AH22" s="171"/>
      <c r="AI22" s="520"/>
      <c r="AJ22" s="2421">
        <f t="shared" si="2"/>
        <v>0</v>
      </c>
      <c r="AK22" s="2421">
        <f t="shared" si="3"/>
        <v>0</v>
      </c>
      <c r="AL22" s="2421">
        <f>$F22*Q22</f>
        <v>0</v>
      </c>
      <c r="AM22" s="2421">
        <f t="shared" si="5"/>
        <v>0</v>
      </c>
      <c r="AN22" s="2421">
        <f t="shared" si="6"/>
        <v>0</v>
      </c>
      <c r="AO22" s="2421">
        <f t="shared" si="7"/>
        <v>0</v>
      </c>
      <c r="AP22" s="2421">
        <f t="shared" si="8"/>
        <v>0</v>
      </c>
      <c r="AQ22" s="2421">
        <f t="shared" si="9"/>
        <v>0</v>
      </c>
      <c r="AR22" s="2421">
        <f t="shared" si="10"/>
        <v>0</v>
      </c>
      <c r="AS22" s="2421">
        <f t="shared" si="11"/>
        <v>0</v>
      </c>
      <c r="AT22" s="2421">
        <f t="shared" si="12"/>
        <v>0</v>
      </c>
      <c r="AU22" s="2421">
        <f t="shared" si="13"/>
        <v>0</v>
      </c>
      <c r="AV22" s="2421">
        <f t="shared" si="14"/>
        <v>0</v>
      </c>
      <c r="AW22" s="2421">
        <f t="shared" si="15"/>
        <v>0</v>
      </c>
      <c r="AX22" s="2421">
        <f t="shared" si="16"/>
        <v>0</v>
      </c>
      <c r="AY22" s="2421">
        <f t="shared" si="17"/>
        <v>0</v>
      </c>
      <c r="AZ22" s="2421">
        <f t="shared" si="18"/>
        <v>0</v>
      </c>
      <c r="BA22" s="2421">
        <f t="shared" si="19"/>
        <v>0</v>
      </c>
      <c r="BB22" s="2421">
        <f t="shared" si="20"/>
        <v>0</v>
      </c>
      <c r="BC22" s="2421">
        <f t="shared" si="20"/>
        <v>0</v>
      </c>
    </row>
    <row r="23" spans="1:55" s="37" customFormat="1" ht="24" customHeight="1">
      <c r="A23" s="36"/>
      <c r="B23" s="36"/>
      <c r="C23" s="638"/>
      <c r="D23" s="2351"/>
      <c r="E23" s="2352"/>
      <c r="F23" s="2389"/>
      <c r="G23" s="2354"/>
      <c r="H23" s="2355"/>
      <c r="I23" s="2355" t="str">
        <f t="shared" si="0"/>
        <v/>
      </c>
      <c r="J23" s="2351"/>
      <c r="K23" s="2351"/>
      <c r="L23" s="2356"/>
      <c r="O23" s="186"/>
      <c r="P23" s="187"/>
      <c r="Q23" s="188"/>
      <c r="R23" s="188"/>
      <c r="S23" s="188"/>
      <c r="T23" s="188"/>
      <c r="U23" s="188"/>
      <c r="V23" s="188"/>
      <c r="W23" s="188"/>
      <c r="X23" s="189"/>
      <c r="Y23" s="189"/>
      <c r="Z23" s="189"/>
      <c r="AA23" s="189"/>
      <c r="AB23" s="189"/>
      <c r="AC23" s="188"/>
      <c r="AD23" s="309"/>
      <c r="AE23" s="310"/>
      <c r="AF23" s="188"/>
      <c r="AG23" s="188"/>
      <c r="AH23" s="171"/>
      <c r="AI23" s="520"/>
      <c r="AJ23" s="2421">
        <f>$F23*O23</f>
        <v>0</v>
      </c>
      <c r="AK23" s="2421">
        <f t="shared" si="3"/>
        <v>0</v>
      </c>
      <c r="AL23" s="2421">
        <f t="shared" si="4"/>
        <v>0</v>
      </c>
      <c r="AM23" s="2421">
        <f t="shared" si="5"/>
        <v>0</v>
      </c>
      <c r="AN23" s="2421">
        <f t="shared" si="6"/>
        <v>0</v>
      </c>
      <c r="AO23" s="2421">
        <f t="shared" si="7"/>
        <v>0</v>
      </c>
      <c r="AP23" s="2421">
        <f t="shared" si="8"/>
        <v>0</v>
      </c>
      <c r="AQ23" s="2421">
        <f t="shared" si="9"/>
        <v>0</v>
      </c>
      <c r="AR23" s="2421">
        <f t="shared" si="10"/>
        <v>0</v>
      </c>
      <c r="AS23" s="2421">
        <f t="shared" si="11"/>
        <v>0</v>
      </c>
      <c r="AT23" s="2421">
        <f t="shared" si="12"/>
        <v>0</v>
      </c>
      <c r="AU23" s="2421">
        <f t="shared" si="13"/>
        <v>0</v>
      </c>
      <c r="AV23" s="2421">
        <f t="shared" si="14"/>
        <v>0</v>
      </c>
      <c r="AW23" s="2421">
        <f t="shared" si="15"/>
        <v>0</v>
      </c>
      <c r="AX23" s="2421">
        <f t="shared" si="16"/>
        <v>0</v>
      </c>
      <c r="AY23" s="2421">
        <f t="shared" si="17"/>
        <v>0</v>
      </c>
      <c r="AZ23" s="2421">
        <f t="shared" si="18"/>
        <v>0</v>
      </c>
      <c r="BA23" s="2421">
        <f t="shared" si="19"/>
        <v>0</v>
      </c>
      <c r="BB23" s="2421">
        <f>$F23*AG23</f>
        <v>0</v>
      </c>
      <c r="BC23" s="2421">
        <f>$F23*AH23</f>
        <v>0</v>
      </c>
    </row>
    <row r="24" spans="1:55" ht="24" customHeight="1" thickBot="1">
      <c r="A24" s="36"/>
      <c r="B24" s="36"/>
      <c r="C24" s="94"/>
      <c r="D24" s="1888" t="s">
        <v>4144</v>
      </c>
      <c r="E24" s="1886"/>
      <c r="F24" s="1887"/>
      <c r="G24" s="2424"/>
      <c r="H24" s="2425" t="s">
        <v>4131</v>
      </c>
      <c r="I24" s="2426">
        <f>SUM(I6:I23)</f>
        <v>0</v>
      </c>
      <c r="J24" s="1888" t="s">
        <v>4132</v>
      </c>
      <c r="K24" s="1888"/>
      <c r="L24" s="100"/>
      <c r="O24" s="251">
        <f>AJ24</f>
        <v>0</v>
      </c>
      <c r="P24" s="252">
        <f t="shared" ref="P24:AG24" si="21">AK24</f>
        <v>0</v>
      </c>
      <c r="Q24" s="253">
        <f>AL24</f>
        <v>0</v>
      </c>
      <c r="R24" s="253">
        <f t="shared" si="21"/>
        <v>0</v>
      </c>
      <c r="S24" s="253">
        <f t="shared" si="21"/>
        <v>0</v>
      </c>
      <c r="T24" s="253">
        <f t="shared" si="21"/>
        <v>0</v>
      </c>
      <c r="U24" s="253">
        <f t="shared" si="21"/>
        <v>0</v>
      </c>
      <c r="V24" s="254">
        <f t="shared" si="21"/>
        <v>0</v>
      </c>
      <c r="W24" s="254">
        <f t="shared" si="21"/>
        <v>0</v>
      </c>
      <c r="X24" s="254">
        <f t="shared" si="21"/>
        <v>0</v>
      </c>
      <c r="Y24" s="254">
        <f t="shared" si="21"/>
        <v>0</v>
      </c>
      <c r="Z24" s="254">
        <f t="shared" si="21"/>
        <v>0</v>
      </c>
      <c r="AA24" s="254">
        <f t="shared" si="21"/>
        <v>0</v>
      </c>
      <c r="AB24" s="339">
        <f t="shared" si="21"/>
        <v>0</v>
      </c>
      <c r="AC24" s="254">
        <f t="shared" si="21"/>
        <v>0</v>
      </c>
      <c r="AD24" s="251">
        <f t="shared" si="21"/>
        <v>0</v>
      </c>
      <c r="AE24" s="253">
        <f t="shared" si="21"/>
        <v>0</v>
      </c>
      <c r="AF24" s="254">
        <f>BA24</f>
        <v>0</v>
      </c>
      <c r="AG24" s="254">
        <f t="shared" si="21"/>
        <v>0</v>
      </c>
      <c r="AH24" s="254">
        <f>BC24</f>
        <v>0</v>
      </c>
      <c r="AI24" s="520"/>
      <c r="AJ24" s="170">
        <f>SUM(AJ6:AJ23)</f>
        <v>0</v>
      </c>
      <c r="AK24" s="170">
        <f t="shared" ref="AK24:AT24" si="22">SUM(AK6:AK23)</f>
        <v>0</v>
      </c>
      <c r="AL24" s="170">
        <f t="shared" si="22"/>
        <v>0</v>
      </c>
      <c r="AM24" s="170">
        <f t="shared" si="22"/>
        <v>0</v>
      </c>
      <c r="AN24" s="170">
        <f>SUM(AN6:AN23)</f>
        <v>0</v>
      </c>
      <c r="AO24" s="170">
        <f>SUM(AO6:AO23)</f>
        <v>0</v>
      </c>
      <c r="AP24" s="170">
        <f t="shared" si="22"/>
        <v>0</v>
      </c>
      <c r="AQ24" s="170">
        <f t="shared" si="22"/>
        <v>0</v>
      </c>
      <c r="AR24" s="170">
        <f t="shared" si="22"/>
        <v>0</v>
      </c>
      <c r="AS24" s="170">
        <f t="shared" si="22"/>
        <v>0</v>
      </c>
      <c r="AT24" s="170">
        <f t="shared" si="22"/>
        <v>0</v>
      </c>
      <c r="AU24" s="170">
        <f>SUM(AU6:AU23)</f>
        <v>0</v>
      </c>
      <c r="AV24" s="170">
        <f t="shared" ref="AV24:BA24" si="23">SUM(AV6:AV23)</f>
        <v>0</v>
      </c>
      <c r="AW24" s="170">
        <f t="shared" si="23"/>
        <v>0</v>
      </c>
      <c r="AX24" s="170">
        <f t="shared" si="23"/>
        <v>0</v>
      </c>
      <c r="AY24" s="170">
        <f t="shared" si="23"/>
        <v>0</v>
      </c>
      <c r="AZ24" s="170">
        <f t="shared" si="23"/>
        <v>0</v>
      </c>
      <c r="BA24" s="170">
        <f t="shared" si="23"/>
        <v>0</v>
      </c>
      <c r="BB24" s="170">
        <f>SUM(BB6:BB23)</f>
        <v>0</v>
      </c>
      <c r="BC24" s="170">
        <f>SUM(BC6:BC23)</f>
        <v>0</v>
      </c>
    </row>
    <row r="25" spans="1:55" ht="14.25" customHeight="1">
      <c r="E25" s="101" t="s">
        <v>130</v>
      </c>
      <c r="F25" s="102">
        <f>+F2+1</f>
        <v>1</v>
      </c>
      <c r="G25" s="103" t="s">
        <v>131</v>
      </c>
      <c r="H25" s="104">
        <f>+H2</f>
        <v>0</v>
      </c>
      <c r="I25" s="104"/>
      <c r="M25" s="31" t="str">
        <f>IF(A27="","EOL","")</f>
        <v/>
      </c>
      <c r="N25" s="1">
        <f>+F25</f>
        <v>1</v>
      </c>
    </row>
    <row r="26" spans="1:5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17"/>
    </row>
    <row r="27" spans="1:55" ht="41.25" customHeight="1">
      <c r="A27" s="5" t="s">
        <v>108</v>
      </c>
      <c r="B27" s="5" t="s">
        <v>4145</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18" t="s">
        <v>4270</v>
      </c>
    </row>
    <row r="28" spans="1:55" ht="24" customHeight="1">
      <c r="A28" s="195">
        <v>1</v>
      </c>
      <c r="B28" s="195">
        <v>1</v>
      </c>
      <c r="C28" s="2370" t="s">
        <v>4273</v>
      </c>
      <c r="D28" s="2417" t="s">
        <v>4274</v>
      </c>
      <c r="E28" s="2418" t="s">
        <v>4275</v>
      </c>
      <c r="F28" s="2419">
        <v>1</v>
      </c>
      <c r="G28" s="2420" t="s">
        <v>4276</v>
      </c>
      <c r="H28" s="2386" t="s">
        <v>117</v>
      </c>
      <c r="I28" s="2386" t="s">
        <v>117</v>
      </c>
      <c r="J28" s="2732"/>
      <c r="K28" s="2733"/>
      <c r="L28" s="2734"/>
      <c r="O28" s="186"/>
      <c r="P28" s="187"/>
      <c r="Q28" s="188"/>
      <c r="R28" s="188"/>
      <c r="S28" s="188"/>
      <c r="T28" s="188"/>
      <c r="U28" s="188"/>
      <c r="V28" s="188"/>
      <c r="W28" s="188"/>
      <c r="X28" s="189"/>
      <c r="Y28" s="189"/>
      <c r="Z28" s="189"/>
      <c r="AA28" s="189"/>
      <c r="AB28" s="189"/>
      <c r="AC28" s="188"/>
      <c r="AD28" s="309"/>
      <c r="AE28" s="310"/>
      <c r="AF28" s="188"/>
      <c r="AG28" s="188"/>
      <c r="AH28" s="311"/>
      <c r="AI28" s="520"/>
    </row>
    <row r="29" spans="1:55" s="37" customFormat="1" ht="24" customHeight="1">
      <c r="A29" s="36"/>
      <c r="B29" s="36"/>
      <c r="C29" s="1881"/>
      <c r="D29" s="2427" t="s">
        <v>4277</v>
      </c>
      <c r="E29" s="2389"/>
      <c r="F29" s="2389"/>
      <c r="G29" s="2354"/>
      <c r="H29" s="1882"/>
      <c r="I29" s="2355" t="str">
        <f t="shared" ref="I29:I40" si="24">IF(F29="","",ROUNDDOWN(F29*H29,0))</f>
        <v/>
      </c>
      <c r="J29" s="2391"/>
      <c r="K29" s="2351"/>
      <c r="L29" s="2356"/>
      <c r="O29" s="186"/>
      <c r="P29" s="187"/>
      <c r="Q29" s="188"/>
      <c r="R29" s="188"/>
      <c r="S29" s="188"/>
      <c r="T29" s="188"/>
      <c r="U29" s="188"/>
      <c r="V29" s="188"/>
      <c r="W29" s="188"/>
      <c r="X29" s="189"/>
      <c r="Y29" s="189"/>
      <c r="Z29" s="189"/>
      <c r="AA29" s="189"/>
      <c r="AB29" s="189"/>
      <c r="AC29" s="188"/>
      <c r="AD29" s="309"/>
      <c r="AE29" s="310"/>
      <c r="AF29" s="188"/>
      <c r="AG29" s="188"/>
      <c r="AH29" s="171"/>
      <c r="AI29" s="520"/>
      <c r="AJ29" s="2421">
        <f t="shared" ref="AJ29:AJ36" si="25">$F29*O29</f>
        <v>0</v>
      </c>
      <c r="AK29" s="2421">
        <f t="shared" ref="AK29:AK46" si="26">$F29*P29</f>
        <v>0</v>
      </c>
      <c r="AL29" s="2421">
        <f t="shared" ref="AL29:AL46" si="27">$F29*Q29</f>
        <v>0</v>
      </c>
      <c r="AM29" s="2421">
        <f t="shared" ref="AM29:AM46" si="28">$F29*R29</f>
        <v>0</v>
      </c>
      <c r="AN29" s="2421">
        <f t="shared" ref="AN29:AN46" si="29">$F29*S29</f>
        <v>0</v>
      </c>
      <c r="AO29" s="2421">
        <f t="shared" ref="AO29:AO46" si="30">$F29*T29</f>
        <v>0</v>
      </c>
      <c r="AP29" s="2421">
        <f t="shared" ref="AP29:AP46" si="31">$F29*U29</f>
        <v>0</v>
      </c>
      <c r="AQ29" s="2421">
        <f t="shared" ref="AQ29:AQ46" si="32">$F29*V29</f>
        <v>0</v>
      </c>
      <c r="AR29" s="2421">
        <f t="shared" ref="AR29:AR46" si="33">$F29*W29</f>
        <v>0</v>
      </c>
      <c r="AS29" s="2421">
        <f t="shared" ref="AS29:AS46" si="34">$F29*X29</f>
        <v>0</v>
      </c>
      <c r="AT29" s="2421">
        <f t="shared" ref="AT29:AT46" si="35">$F29*Y29</f>
        <v>0</v>
      </c>
      <c r="AU29" s="2421">
        <f t="shared" ref="AU29:AU46" si="36">$F29*Z29</f>
        <v>0</v>
      </c>
      <c r="AV29" s="2421">
        <f t="shared" ref="AV29:AV46" si="37">$F29*AA29</f>
        <v>0</v>
      </c>
      <c r="AW29" s="2421">
        <f t="shared" ref="AW29:AW46" si="38">$F29*AB29</f>
        <v>0</v>
      </c>
      <c r="AX29" s="2421">
        <f t="shared" ref="AX29:AX46" si="39">$F29*AC29</f>
        <v>0</v>
      </c>
      <c r="AY29" s="2421">
        <f t="shared" ref="AY29:AY46" si="40">$F29*AD29</f>
        <v>0</v>
      </c>
      <c r="AZ29" s="2421">
        <f t="shared" ref="AZ29:AZ46" si="41">$F29*AE29</f>
        <v>0</v>
      </c>
      <c r="BA29" s="2421">
        <f t="shared" ref="BA29:BA46" si="42">$F29*AF29</f>
        <v>0</v>
      </c>
      <c r="BB29" s="2421">
        <f t="shared" ref="BB29:BC46" si="43">$F29*AG29</f>
        <v>0</v>
      </c>
      <c r="BC29" s="2421">
        <f t="shared" si="43"/>
        <v>0</v>
      </c>
    </row>
    <row r="30" spans="1:55" ht="24" customHeight="1">
      <c r="A30" s="36">
        <v>1</v>
      </c>
      <c r="B30" s="36">
        <v>1</v>
      </c>
      <c r="C30" s="638">
        <v>300901</v>
      </c>
      <c r="D30" s="2428" t="s">
        <v>4278</v>
      </c>
      <c r="E30" s="2352" t="s">
        <v>4279</v>
      </c>
      <c r="F30" s="2389">
        <v>0.4</v>
      </c>
      <c r="G30" s="2354" t="s">
        <v>4280</v>
      </c>
      <c r="H30" s="2355"/>
      <c r="I30" s="2355">
        <f>IF(F30="","",INT(F30*H30))</f>
        <v>0</v>
      </c>
      <c r="J30" s="2351" t="s">
        <v>4281</v>
      </c>
      <c r="K30" s="2351"/>
      <c r="L30" s="2356"/>
      <c r="M30" s="37"/>
      <c r="N30" s="37"/>
      <c r="O30" s="186">
        <v>0</v>
      </c>
      <c r="P30" s="187"/>
      <c r="Q30" s="188"/>
      <c r="R30" s="188"/>
      <c r="S30" s="188"/>
      <c r="T30" s="188"/>
      <c r="U30" s="188"/>
      <c r="V30" s="188"/>
      <c r="W30" s="188"/>
      <c r="X30" s="189"/>
      <c r="Y30" s="189"/>
      <c r="Z30" s="189"/>
      <c r="AA30" s="189"/>
      <c r="AB30" s="189"/>
      <c r="AC30" s="188"/>
      <c r="AD30" s="309"/>
      <c r="AE30" s="310"/>
      <c r="AF30" s="188"/>
      <c r="AG30" s="188"/>
      <c r="AH30" s="171"/>
      <c r="AI30" s="520" t="s">
        <v>4282</v>
      </c>
      <c r="AJ30" s="2421">
        <f t="shared" si="25"/>
        <v>0</v>
      </c>
      <c r="AK30" s="2421">
        <f t="shared" si="26"/>
        <v>0</v>
      </c>
      <c r="AL30" s="2421">
        <f t="shared" si="27"/>
        <v>0</v>
      </c>
      <c r="AM30" s="2421">
        <f t="shared" si="28"/>
        <v>0</v>
      </c>
      <c r="AN30" s="2421">
        <f t="shared" si="29"/>
        <v>0</v>
      </c>
      <c r="AO30" s="2421">
        <f t="shared" si="30"/>
        <v>0</v>
      </c>
      <c r="AP30" s="2421">
        <f t="shared" si="31"/>
        <v>0</v>
      </c>
      <c r="AQ30" s="2421">
        <f t="shared" si="32"/>
        <v>0</v>
      </c>
      <c r="AR30" s="2421">
        <f t="shared" si="33"/>
        <v>0</v>
      </c>
      <c r="AS30" s="2421">
        <f t="shared" si="34"/>
        <v>0</v>
      </c>
      <c r="AT30" s="2421">
        <f t="shared" si="35"/>
        <v>0</v>
      </c>
      <c r="AU30" s="2421">
        <f t="shared" si="36"/>
        <v>0</v>
      </c>
      <c r="AV30" s="2421">
        <f t="shared" si="37"/>
        <v>0</v>
      </c>
      <c r="AW30" s="2421">
        <f t="shared" si="38"/>
        <v>0</v>
      </c>
      <c r="AX30" s="2421">
        <f t="shared" si="39"/>
        <v>0</v>
      </c>
      <c r="AY30" s="2421">
        <f t="shared" si="40"/>
        <v>0</v>
      </c>
      <c r="AZ30" s="2421">
        <f t="shared" si="41"/>
        <v>0</v>
      </c>
      <c r="BA30" s="2421">
        <f t="shared" si="42"/>
        <v>0</v>
      </c>
      <c r="BB30" s="2421">
        <f t="shared" si="43"/>
        <v>0</v>
      </c>
      <c r="BC30" s="2421">
        <f t="shared" si="43"/>
        <v>0</v>
      </c>
    </row>
    <row r="31" spans="1:55" ht="24" customHeight="1">
      <c r="A31" s="36">
        <v>1</v>
      </c>
      <c r="B31" s="36">
        <v>1</v>
      </c>
      <c r="C31" s="638">
        <v>3011</v>
      </c>
      <c r="D31" s="2428" t="s">
        <v>4283</v>
      </c>
      <c r="E31" s="2352" t="s">
        <v>4284</v>
      </c>
      <c r="F31" s="2389">
        <v>0.1</v>
      </c>
      <c r="G31" s="2354" t="s">
        <v>4280</v>
      </c>
      <c r="H31" s="2355"/>
      <c r="I31" s="2355">
        <f>IF(F31="","",INT(F31*H31))</f>
        <v>0</v>
      </c>
      <c r="J31" s="2351" t="s">
        <v>3981</v>
      </c>
      <c r="K31" s="2351"/>
      <c r="L31" s="2356"/>
      <c r="M31" s="37"/>
      <c r="N31" s="37"/>
      <c r="O31" s="186">
        <v>0</v>
      </c>
      <c r="P31" s="187"/>
      <c r="Q31" s="188"/>
      <c r="R31" s="188"/>
      <c r="S31" s="188"/>
      <c r="T31" s="188"/>
      <c r="U31" s="188"/>
      <c r="V31" s="188"/>
      <c r="W31" s="188"/>
      <c r="X31" s="189"/>
      <c r="Y31" s="189"/>
      <c r="Z31" s="189"/>
      <c r="AA31" s="189"/>
      <c r="AB31" s="189"/>
      <c r="AC31" s="188"/>
      <c r="AD31" s="309"/>
      <c r="AE31" s="310"/>
      <c r="AF31" s="188"/>
      <c r="AG31" s="188"/>
      <c r="AH31" s="171"/>
      <c r="AI31" s="520"/>
      <c r="AJ31" s="2421">
        <f t="shared" si="25"/>
        <v>0</v>
      </c>
      <c r="AK31" s="2421">
        <f t="shared" si="26"/>
        <v>0</v>
      </c>
      <c r="AL31" s="2421">
        <f t="shared" si="27"/>
        <v>0</v>
      </c>
      <c r="AM31" s="2421">
        <f t="shared" si="28"/>
        <v>0</v>
      </c>
      <c r="AN31" s="2421">
        <f t="shared" si="29"/>
        <v>0</v>
      </c>
      <c r="AO31" s="2421">
        <f t="shared" si="30"/>
        <v>0</v>
      </c>
      <c r="AP31" s="2421">
        <f t="shared" si="31"/>
        <v>0</v>
      </c>
      <c r="AQ31" s="2421">
        <f t="shared" si="32"/>
        <v>0</v>
      </c>
      <c r="AR31" s="2421">
        <f t="shared" si="33"/>
        <v>0</v>
      </c>
      <c r="AS31" s="2421">
        <f t="shared" si="34"/>
        <v>0</v>
      </c>
      <c r="AT31" s="2421">
        <f t="shared" si="35"/>
        <v>0</v>
      </c>
      <c r="AU31" s="2421">
        <f t="shared" si="36"/>
        <v>0</v>
      </c>
      <c r="AV31" s="2421">
        <f t="shared" si="37"/>
        <v>0</v>
      </c>
      <c r="AW31" s="2421">
        <f t="shared" si="38"/>
        <v>0</v>
      </c>
      <c r="AX31" s="2421">
        <f t="shared" si="39"/>
        <v>0</v>
      </c>
      <c r="AY31" s="2421">
        <f t="shared" si="40"/>
        <v>0</v>
      </c>
      <c r="AZ31" s="2421">
        <f t="shared" si="41"/>
        <v>0</v>
      </c>
      <c r="BA31" s="2421">
        <f t="shared" si="42"/>
        <v>0</v>
      </c>
      <c r="BB31" s="2421">
        <f t="shared" si="43"/>
        <v>0</v>
      </c>
      <c r="BC31" s="2421">
        <f t="shared" si="43"/>
        <v>0</v>
      </c>
    </row>
    <row r="32" spans="1:55" ht="24" customHeight="1">
      <c r="A32" s="36">
        <v>1</v>
      </c>
      <c r="B32" s="36">
        <v>1</v>
      </c>
      <c r="C32" s="638">
        <v>301004</v>
      </c>
      <c r="D32" s="2429" t="s">
        <v>4285</v>
      </c>
      <c r="E32" s="2352" t="s">
        <v>4286</v>
      </c>
      <c r="F32" s="2389">
        <v>0.3</v>
      </c>
      <c r="G32" s="2354" t="s">
        <v>4287</v>
      </c>
      <c r="H32" s="2355"/>
      <c r="I32" s="2355">
        <f t="shared" si="24"/>
        <v>0</v>
      </c>
      <c r="J32" s="2351"/>
      <c r="K32" s="2351"/>
      <c r="L32" s="2356"/>
      <c r="M32" s="37"/>
      <c r="N32" s="37"/>
      <c r="O32" s="186"/>
      <c r="P32" s="187"/>
      <c r="Q32" s="188"/>
      <c r="R32" s="188"/>
      <c r="S32" s="188"/>
      <c r="T32" s="188"/>
      <c r="U32" s="188"/>
      <c r="V32" s="188"/>
      <c r="W32" s="188"/>
      <c r="X32" s="189"/>
      <c r="Y32" s="189"/>
      <c r="Z32" s="189"/>
      <c r="AA32" s="189"/>
      <c r="AB32" s="189"/>
      <c r="AC32" s="188"/>
      <c r="AD32" s="309"/>
      <c r="AE32" s="310"/>
      <c r="AF32" s="188"/>
      <c r="AG32" s="188"/>
      <c r="AH32" s="171"/>
      <c r="AI32" s="520"/>
      <c r="AJ32" s="2421">
        <f t="shared" si="25"/>
        <v>0</v>
      </c>
      <c r="AK32" s="2421">
        <f t="shared" si="26"/>
        <v>0</v>
      </c>
      <c r="AL32" s="2421">
        <f t="shared" si="27"/>
        <v>0</v>
      </c>
      <c r="AM32" s="2421">
        <f t="shared" si="28"/>
        <v>0</v>
      </c>
      <c r="AN32" s="2421">
        <f>$F32*S32</f>
        <v>0</v>
      </c>
      <c r="AO32" s="2421">
        <f t="shared" si="30"/>
        <v>0</v>
      </c>
      <c r="AP32" s="2421">
        <f t="shared" si="31"/>
        <v>0</v>
      </c>
      <c r="AQ32" s="2421">
        <f t="shared" si="32"/>
        <v>0</v>
      </c>
      <c r="AR32" s="2421">
        <f t="shared" si="33"/>
        <v>0</v>
      </c>
      <c r="AS32" s="2421">
        <f t="shared" si="34"/>
        <v>0</v>
      </c>
      <c r="AT32" s="2421">
        <f t="shared" si="35"/>
        <v>0</v>
      </c>
      <c r="AU32" s="2421">
        <f t="shared" si="36"/>
        <v>0</v>
      </c>
      <c r="AV32" s="2421">
        <f t="shared" si="37"/>
        <v>0</v>
      </c>
      <c r="AW32" s="2421">
        <f t="shared" si="38"/>
        <v>0</v>
      </c>
      <c r="AX32" s="2421">
        <f t="shared" si="39"/>
        <v>0</v>
      </c>
      <c r="AY32" s="2421">
        <f t="shared" si="40"/>
        <v>0</v>
      </c>
      <c r="AZ32" s="2421">
        <f t="shared" si="41"/>
        <v>0</v>
      </c>
      <c r="BA32" s="2421">
        <f t="shared" si="42"/>
        <v>0</v>
      </c>
      <c r="BB32" s="2421">
        <f t="shared" si="43"/>
        <v>0</v>
      </c>
      <c r="BC32" s="2421">
        <f t="shared" si="43"/>
        <v>0</v>
      </c>
    </row>
    <row r="33" spans="1:55" ht="24" customHeight="1">
      <c r="A33" s="36">
        <v>1</v>
      </c>
      <c r="B33" s="36">
        <v>1</v>
      </c>
      <c r="C33" s="638">
        <v>3045</v>
      </c>
      <c r="D33" s="2429" t="s">
        <v>4288</v>
      </c>
      <c r="E33" s="2352" t="s">
        <v>4289</v>
      </c>
      <c r="F33" s="2389">
        <v>0.3</v>
      </c>
      <c r="G33" s="2354" t="s">
        <v>4287</v>
      </c>
      <c r="H33" s="2355"/>
      <c r="I33" s="2355">
        <f t="shared" si="24"/>
        <v>0</v>
      </c>
      <c r="J33" s="2351"/>
      <c r="K33" s="2351"/>
      <c r="L33" s="2356"/>
      <c r="M33" s="37"/>
      <c r="N33" s="37"/>
      <c r="O33" s="186"/>
      <c r="P33" s="187"/>
      <c r="Q33" s="188"/>
      <c r="R33" s="188"/>
      <c r="S33" s="188"/>
      <c r="T33" s="188"/>
      <c r="U33" s="188"/>
      <c r="V33" s="188"/>
      <c r="W33" s="188"/>
      <c r="X33" s="189"/>
      <c r="Y33" s="189"/>
      <c r="Z33" s="189"/>
      <c r="AA33" s="189"/>
      <c r="AB33" s="189"/>
      <c r="AC33" s="188"/>
      <c r="AD33" s="309"/>
      <c r="AE33" s="310"/>
      <c r="AF33" s="188"/>
      <c r="AG33" s="188"/>
      <c r="AH33" s="171"/>
      <c r="AI33" s="520"/>
      <c r="AJ33" s="2421">
        <f t="shared" si="25"/>
        <v>0</v>
      </c>
      <c r="AK33" s="2421">
        <f t="shared" si="26"/>
        <v>0</v>
      </c>
      <c r="AL33" s="2421">
        <f t="shared" si="27"/>
        <v>0</v>
      </c>
      <c r="AM33" s="2421">
        <f t="shared" si="28"/>
        <v>0</v>
      </c>
      <c r="AN33" s="2421">
        <f t="shared" si="29"/>
        <v>0</v>
      </c>
      <c r="AO33" s="2421">
        <f t="shared" si="30"/>
        <v>0</v>
      </c>
      <c r="AP33" s="2421">
        <f t="shared" si="31"/>
        <v>0</v>
      </c>
      <c r="AQ33" s="2421">
        <f t="shared" si="32"/>
        <v>0</v>
      </c>
      <c r="AR33" s="2421">
        <f t="shared" si="33"/>
        <v>0</v>
      </c>
      <c r="AS33" s="2421">
        <f t="shared" si="34"/>
        <v>0</v>
      </c>
      <c r="AT33" s="2421">
        <f t="shared" si="35"/>
        <v>0</v>
      </c>
      <c r="AU33" s="2421">
        <f t="shared" si="36"/>
        <v>0</v>
      </c>
      <c r="AV33" s="2421">
        <f t="shared" si="37"/>
        <v>0</v>
      </c>
      <c r="AW33" s="2421">
        <f t="shared" si="38"/>
        <v>0</v>
      </c>
      <c r="AX33" s="2421">
        <f t="shared" si="39"/>
        <v>0</v>
      </c>
      <c r="AY33" s="2421">
        <f t="shared" si="40"/>
        <v>0</v>
      </c>
      <c r="AZ33" s="2421">
        <f t="shared" si="41"/>
        <v>0</v>
      </c>
      <c r="BA33" s="2421">
        <f t="shared" si="42"/>
        <v>0</v>
      </c>
      <c r="BB33" s="2421">
        <f t="shared" si="43"/>
        <v>0</v>
      </c>
      <c r="BC33" s="2421">
        <f t="shared" si="43"/>
        <v>0</v>
      </c>
    </row>
    <row r="34" spans="1:55" ht="24" customHeight="1">
      <c r="A34" s="36">
        <v>1</v>
      </c>
      <c r="B34" s="36">
        <v>1</v>
      </c>
      <c r="C34" s="638">
        <v>102</v>
      </c>
      <c r="D34" s="2429" t="s">
        <v>4290</v>
      </c>
      <c r="E34" s="2352" t="s">
        <v>4291</v>
      </c>
      <c r="F34" s="2389">
        <v>0.01</v>
      </c>
      <c r="G34" s="2354" t="s">
        <v>4250</v>
      </c>
      <c r="H34" s="2355"/>
      <c r="I34" s="2355">
        <f t="shared" si="24"/>
        <v>0</v>
      </c>
      <c r="J34" s="2351"/>
      <c r="K34" s="2351"/>
      <c r="L34" s="2356"/>
      <c r="M34" s="37"/>
      <c r="N34" s="37"/>
      <c r="O34" s="186"/>
      <c r="P34" s="187"/>
      <c r="Q34" s="188"/>
      <c r="R34" s="188"/>
      <c r="S34" s="188"/>
      <c r="T34" s="188"/>
      <c r="U34" s="188"/>
      <c r="V34" s="188"/>
      <c r="W34" s="188"/>
      <c r="X34" s="189"/>
      <c r="Y34" s="189"/>
      <c r="Z34" s="189"/>
      <c r="AA34" s="189"/>
      <c r="AB34" s="189"/>
      <c r="AC34" s="188"/>
      <c r="AD34" s="309"/>
      <c r="AE34" s="310"/>
      <c r="AF34" s="188"/>
      <c r="AG34" s="188"/>
      <c r="AH34" s="171"/>
      <c r="AI34" s="520"/>
      <c r="AJ34" s="2421">
        <f t="shared" si="25"/>
        <v>0</v>
      </c>
      <c r="AK34" s="2421">
        <f t="shared" si="26"/>
        <v>0</v>
      </c>
      <c r="AL34" s="2421">
        <f t="shared" si="27"/>
        <v>0</v>
      </c>
      <c r="AM34" s="2421">
        <f t="shared" si="28"/>
        <v>0</v>
      </c>
      <c r="AN34" s="2421">
        <f t="shared" si="29"/>
        <v>0</v>
      </c>
      <c r="AO34" s="2421">
        <f t="shared" si="30"/>
        <v>0</v>
      </c>
      <c r="AP34" s="2421">
        <f t="shared" si="31"/>
        <v>0</v>
      </c>
      <c r="AQ34" s="2421">
        <f t="shared" si="32"/>
        <v>0</v>
      </c>
      <c r="AR34" s="2421">
        <f t="shared" si="33"/>
        <v>0</v>
      </c>
      <c r="AS34" s="2421">
        <f t="shared" si="34"/>
        <v>0</v>
      </c>
      <c r="AT34" s="2421">
        <f t="shared" si="35"/>
        <v>0</v>
      </c>
      <c r="AU34" s="2421">
        <f t="shared" si="36"/>
        <v>0</v>
      </c>
      <c r="AV34" s="2421">
        <f t="shared" si="37"/>
        <v>0</v>
      </c>
      <c r="AW34" s="2421">
        <f t="shared" si="38"/>
        <v>0</v>
      </c>
      <c r="AX34" s="2421">
        <f t="shared" si="39"/>
        <v>0</v>
      </c>
      <c r="AY34" s="2421">
        <f t="shared" si="40"/>
        <v>0</v>
      </c>
      <c r="AZ34" s="2421">
        <f t="shared" si="41"/>
        <v>0</v>
      </c>
      <c r="BA34" s="2421">
        <f t="shared" si="42"/>
        <v>0</v>
      </c>
      <c r="BB34" s="2421">
        <f t="shared" si="43"/>
        <v>0</v>
      </c>
      <c r="BC34" s="2421">
        <f t="shared" si="43"/>
        <v>0</v>
      </c>
    </row>
    <row r="35" spans="1:55" s="37" customFormat="1" ht="24" customHeight="1">
      <c r="A35" s="36">
        <v>1</v>
      </c>
      <c r="B35" s="36">
        <v>1</v>
      </c>
      <c r="C35" s="638">
        <v>411102</v>
      </c>
      <c r="D35" s="2429" t="s">
        <v>4292</v>
      </c>
      <c r="E35" s="2352" t="s">
        <v>4293</v>
      </c>
      <c r="F35" s="2389">
        <v>0.01</v>
      </c>
      <c r="G35" s="2354" t="s">
        <v>4250</v>
      </c>
      <c r="H35" s="2355"/>
      <c r="I35" s="2355">
        <f t="shared" si="24"/>
        <v>0</v>
      </c>
      <c r="J35" s="2351"/>
      <c r="K35" s="2351"/>
      <c r="L35" s="2356"/>
      <c r="O35" s="186"/>
      <c r="P35" s="187"/>
      <c r="Q35" s="188"/>
      <c r="R35" s="188"/>
      <c r="S35" s="188"/>
      <c r="T35" s="188"/>
      <c r="U35" s="188"/>
      <c r="V35" s="188"/>
      <c r="W35" s="188"/>
      <c r="X35" s="189"/>
      <c r="Y35" s="189"/>
      <c r="Z35" s="189"/>
      <c r="AA35" s="189"/>
      <c r="AB35" s="189"/>
      <c r="AC35" s="188"/>
      <c r="AD35" s="309"/>
      <c r="AE35" s="310"/>
      <c r="AF35" s="188"/>
      <c r="AG35" s="188"/>
      <c r="AH35" s="171"/>
      <c r="AI35" s="520"/>
      <c r="AJ35" s="2421">
        <f t="shared" si="25"/>
        <v>0</v>
      </c>
      <c r="AK35" s="2421">
        <f t="shared" si="26"/>
        <v>0</v>
      </c>
      <c r="AL35" s="2421">
        <f t="shared" si="27"/>
        <v>0</v>
      </c>
      <c r="AM35" s="2421">
        <f t="shared" si="28"/>
        <v>0</v>
      </c>
      <c r="AN35" s="2421">
        <f t="shared" si="29"/>
        <v>0</v>
      </c>
      <c r="AO35" s="2421">
        <f t="shared" si="30"/>
        <v>0</v>
      </c>
      <c r="AP35" s="2421">
        <f t="shared" si="31"/>
        <v>0</v>
      </c>
      <c r="AQ35" s="2421">
        <f t="shared" si="32"/>
        <v>0</v>
      </c>
      <c r="AR35" s="2421">
        <f t="shared" si="33"/>
        <v>0</v>
      </c>
      <c r="AS35" s="2421">
        <f t="shared" si="34"/>
        <v>0</v>
      </c>
      <c r="AT35" s="2421">
        <f t="shared" si="35"/>
        <v>0</v>
      </c>
      <c r="AU35" s="2421">
        <f t="shared" si="36"/>
        <v>0</v>
      </c>
      <c r="AV35" s="2421">
        <f t="shared" si="37"/>
        <v>0</v>
      </c>
      <c r="AW35" s="2421">
        <f t="shared" si="38"/>
        <v>0</v>
      </c>
      <c r="AX35" s="2421">
        <f t="shared" si="39"/>
        <v>0</v>
      </c>
      <c r="AY35" s="2421">
        <f t="shared" si="40"/>
        <v>0</v>
      </c>
      <c r="AZ35" s="2421">
        <f t="shared" si="41"/>
        <v>0</v>
      </c>
      <c r="BA35" s="2421">
        <f t="shared" si="42"/>
        <v>0</v>
      </c>
      <c r="BB35" s="2421">
        <f t="shared" si="43"/>
        <v>0</v>
      </c>
      <c r="BC35" s="2421">
        <f t="shared" si="43"/>
        <v>0</v>
      </c>
    </row>
    <row r="36" spans="1:55" ht="24" customHeight="1">
      <c r="A36" s="36">
        <v>1</v>
      </c>
      <c r="B36" s="36">
        <v>1</v>
      </c>
      <c r="C36" s="638">
        <v>7022</v>
      </c>
      <c r="D36" s="2429" t="s">
        <v>4294</v>
      </c>
      <c r="E36" s="2352" t="s">
        <v>4295</v>
      </c>
      <c r="F36" s="2389">
        <v>0.01</v>
      </c>
      <c r="G36" s="2354" t="s">
        <v>4250</v>
      </c>
      <c r="H36" s="2355"/>
      <c r="I36" s="2355">
        <f t="shared" si="24"/>
        <v>0</v>
      </c>
      <c r="J36" s="2351"/>
      <c r="K36" s="2351"/>
      <c r="L36" s="2356"/>
      <c r="M36" s="37"/>
      <c r="N36" s="37"/>
      <c r="O36" s="186"/>
      <c r="P36" s="187"/>
      <c r="Q36" s="188"/>
      <c r="R36" s="188"/>
      <c r="S36" s="188"/>
      <c r="T36" s="188"/>
      <c r="U36" s="188"/>
      <c r="V36" s="188"/>
      <c r="W36" s="188"/>
      <c r="X36" s="189"/>
      <c r="Y36" s="189"/>
      <c r="Z36" s="189"/>
      <c r="AA36" s="189"/>
      <c r="AB36" s="189"/>
      <c r="AC36" s="188"/>
      <c r="AD36" s="309"/>
      <c r="AE36" s="310"/>
      <c r="AF36" s="188"/>
      <c r="AG36" s="188"/>
      <c r="AH36" s="171"/>
      <c r="AI36" s="520"/>
      <c r="AJ36" s="2421">
        <f t="shared" si="25"/>
        <v>0</v>
      </c>
      <c r="AK36" s="2421">
        <f t="shared" si="26"/>
        <v>0</v>
      </c>
      <c r="AL36" s="2421">
        <f t="shared" si="27"/>
        <v>0</v>
      </c>
      <c r="AM36" s="2421">
        <f t="shared" si="28"/>
        <v>0</v>
      </c>
      <c r="AN36" s="2421">
        <f t="shared" si="29"/>
        <v>0</v>
      </c>
      <c r="AO36" s="2421">
        <f t="shared" si="30"/>
        <v>0</v>
      </c>
      <c r="AP36" s="2421">
        <f t="shared" si="31"/>
        <v>0</v>
      </c>
      <c r="AQ36" s="2421">
        <f t="shared" si="32"/>
        <v>0</v>
      </c>
      <c r="AR36" s="2421">
        <f t="shared" si="33"/>
        <v>0</v>
      </c>
      <c r="AS36" s="2421">
        <f t="shared" si="34"/>
        <v>0</v>
      </c>
      <c r="AT36" s="2421">
        <f t="shared" si="35"/>
        <v>0</v>
      </c>
      <c r="AU36" s="2421">
        <f t="shared" si="36"/>
        <v>0</v>
      </c>
      <c r="AV36" s="2421">
        <f t="shared" si="37"/>
        <v>0</v>
      </c>
      <c r="AW36" s="2421">
        <f t="shared" si="38"/>
        <v>0</v>
      </c>
      <c r="AX36" s="2421">
        <f t="shared" si="39"/>
        <v>0</v>
      </c>
      <c r="AY36" s="2421">
        <f t="shared" si="40"/>
        <v>0</v>
      </c>
      <c r="AZ36" s="2421">
        <f t="shared" si="41"/>
        <v>0</v>
      </c>
      <c r="BA36" s="2421">
        <f t="shared" si="42"/>
        <v>0</v>
      </c>
      <c r="BB36" s="2421">
        <f t="shared" si="43"/>
        <v>0</v>
      </c>
      <c r="BC36" s="2421">
        <f t="shared" si="43"/>
        <v>0</v>
      </c>
    </row>
    <row r="37" spans="1:55" ht="24" customHeight="1">
      <c r="A37" s="36">
        <v>1</v>
      </c>
      <c r="B37" s="36">
        <v>1</v>
      </c>
      <c r="C37" s="638">
        <v>518200</v>
      </c>
      <c r="D37" s="2429" t="s">
        <v>4296</v>
      </c>
      <c r="E37" s="2430" t="s">
        <v>4297</v>
      </c>
      <c r="F37" s="2389">
        <v>0.2</v>
      </c>
      <c r="G37" s="2354" t="s">
        <v>4287</v>
      </c>
      <c r="H37" s="2355"/>
      <c r="I37" s="2355">
        <f t="shared" si="24"/>
        <v>0</v>
      </c>
      <c r="J37" s="2351" t="s">
        <v>4298</v>
      </c>
      <c r="K37" s="2351"/>
      <c r="L37" s="2356"/>
      <c r="M37" s="37"/>
      <c r="N37" s="37"/>
      <c r="O37" s="186"/>
      <c r="P37" s="187"/>
      <c r="Q37" s="188"/>
      <c r="R37" s="188"/>
      <c r="S37" s="188"/>
      <c r="T37" s="188"/>
      <c r="U37" s="188"/>
      <c r="V37" s="188"/>
      <c r="W37" s="188"/>
      <c r="X37" s="189"/>
      <c r="Y37" s="189"/>
      <c r="Z37" s="189"/>
      <c r="AA37" s="189"/>
      <c r="AB37" s="189"/>
      <c r="AC37" s="188"/>
      <c r="AD37" s="309"/>
      <c r="AE37" s="310"/>
      <c r="AF37" s="188"/>
      <c r="AG37" s="188"/>
      <c r="AH37" s="171"/>
      <c r="AI37" s="520"/>
      <c r="AJ37" s="2421">
        <f t="shared" ref="AJ37:AJ46" si="44">$F37*O37</f>
        <v>0</v>
      </c>
      <c r="AK37" s="2421">
        <f t="shared" si="26"/>
        <v>0</v>
      </c>
      <c r="AL37" s="2421">
        <f t="shared" si="27"/>
        <v>0</v>
      </c>
      <c r="AM37" s="2421">
        <f t="shared" si="28"/>
        <v>0</v>
      </c>
      <c r="AN37" s="2421">
        <f t="shared" si="29"/>
        <v>0</v>
      </c>
      <c r="AO37" s="2421">
        <f t="shared" si="30"/>
        <v>0</v>
      </c>
      <c r="AP37" s="2421">
        <f t="shared" si="31"/>
        <v>0</v>
      </c>
      <c r="AQ37" s="2421">
        <f t="shared" si="32"/>
        <v>0</v>
      </c>
      <c r="AR37" s="2421">
        <f t="shared" si="33"/>
        <v>0</v>
      </c>
      <c r="AS37" s="2421">
        <f t="shared" si="34"/>
        <v>0</v>
      </c>
      <c r="AT37" s="2421">
        <f t="shared" si="35"/>
        <v>0</v>
      </c>
      <c r="AU37" s="2421">
        <f t="shared" si="36"/>
        <v>0</v>
      </c>
      <c r="AV37" s="2421">
        <f t="shared" si="37"/>
        <v>0</v>
      </c>
      <c r="AW37" s="2421">
        <f t="shared" si="38"/>
        <v>0</v>
      </c>
      <c r="AX37" s="2421">
        <f t="shared" si="39"/>
        <v>0</v>
      </c>
      <c r="AY37" s="2421">
        <f t="shared" si="40"/>
        <v>0</v>
      </c>
      <c r="AZ37" s="2421">
        <f t="shared" si="41"/>
        <v>0</v>
      </c>
      <c r="BA37" s="2421">
        <f t="shared" si="42"/>
        <v>0</v>
      </c>
      <c r="BB37" s="2421">
        <f t="shared" si="43"/>
        <v>0</v>
      </c>
      <c r="BC37" s="2421">
        <f t="shared" si="43"/>
        <v>0</v>
      </c>
    </row>
    <row r="38" spans="1:55" s="37" customFormat="1" ht="24" customHeight="1">
      <c r="A38" s="36">
        <v>1</v>
      </c>
      <c r="B38" s="36">
        <v>1</v>
      </c>
      <c r="C38" s="638">
        <v>5008</v>
      </c>
      <c r="D38" s="2429" t="s">
        <v>4299</v>
      </c>
      <c r="E38" s="2352" t="s">
        <v>4300</v>
      </c>
      <c r="F38" s="2389">
        <v>0.2</v>
      </c>
      <c r="G38" s="2354" t="s">
        <v>4287</v>
      </c>
      <c r="H38" s="2355"/>
      <c r="I38" s="2355">
        <f t="shared" si="24"/>
        <v>0</v>
      </c>
      <c r="J38" s="2351"/>
      <c r="K38" s="2351"/>
      <c r="L38" s="2356"/>
      <c r="O38" s="186"/>
      <c r="P38" s="187"/>
      <c r="Q38" s="188"/>
      <c r="R38" s="188"/>
      <c r="S38" s="188"/>
      <c r="T38" s="188"/>
      <c r="U38" s="188"/>
      <c r="V38" s="188"/>
      <c r="W38" s="188"/>
      <c r="X38" s="189"/>
      <c r="Y38" s="189"/>
      <c r="Z38" s="189"/>
      <c r="AA38" s="189"/>
      <c r="AB38" s="189"/>
      <c r="AC38" s="188"/>
      <c r="AD38" s="309"/>
      <c r="AE38" s="310"/>
      <c r="AF38" s="188"/>
      <c r="AG38" s="188"/>
      <c r="AH38" s="171"/>
      <c r="AI38" s="520"/>
      <c r="AJ38" s="2421">
        <f t="shared" si="44"/>
        <v>0</v>
      </c>
      <c r="AK38" s="2421">
        <f t="shared" si="26"/>
        <v>0</v>
      </c>
      <c r="AL38" s="2421">
        <f t="shared" si="27"/>
        <v>0</v>
      </c>
      <c r="AM38" s="2421">
        <f t="shared" si="28"/>
        <v>0</v>
      </c>
      <c r="AN38" s="2421">
        <f t="shared" si="29"/>
        <v>0</v>
      </c>
      <c r="AO38" s="2421">
        <f t="shared" si="30"/>
        <v>0</v>
      </c>
      <c r="AP38" s="2421">
        <f t="shared" si="31"/>
        <v>0</v>
      </c>
      <c r="AQ38" s="2421">
        <f t="shared" si="32"/>
        <v>0</v>
      </c>
      <c r="AR38" s="2421">
        <f t="shared" si="33"/>
        <v>0</v>
      </c>
      <c r="AS38" s="2421">
        <f t="shared" si="34"/>
        <v>0</v>
      </c>
      <c r="AT38" s="2421">
        <f t="shared" si="35"/>
        <v>0</v>
      </c>
      <c r="AU38" s="2421">
        <f t="shared" si="36"/>
        <v>0</v>
      </c>
      <c r="AV38" s="2421">
        <f t="shared" si="37"/>
        <v>0</v>
      </c>
      <c r="AW38" s="2421">
        <f t="shared" si="38"/>
        <v>0</v>
      </c>
      <c r="AX38" s="2421">
        <f t="shared" si="39"/>
        <v>0</v>
      </c>
      <c r="AY38" s="2421">
        <f t="shared" si="40"/>
        <v>0</v>
      </c>
      <c r="AZ38" s="2421">
        <f t="shared" si="41"/>
        <v>0</v>
      </c>
      <c r="BA38" s="2421">
        <f t="shared" si="42"/>
        <v>0</v>
      </c>
      <c r="BB38" s="2421">
        <f t="shared" si="43"/>
        <v>0</v>
      </c>
      <c r="BC38" s="2421">
        <f t="shared" si="43"/>
        <v>0</v>
      </c>
    </row>
    <row r="39" spans="1:55" ht="24" customHeight="1">
      <c r="A39" s="36">
        <v>1</v>
      </c>
      <c r="B39" s="36">
        <v>1</v>
      </c>
      <c r="C39" s="638">
        <v>6001</v>
      </c>
      <c r="D39" s="2429" t="s">
        <v>4301</v>
      </c>
      <c r="E39" s="2352" t="s">
        <v>4300</v>
      </c>
      <c r="F39" s="2389">
        <v>0.2</v>
      </c>
      <c r="G39" s="2354" t="s">
        <v>4164</v>
      </c>
      <c r="H39" s="2355"/>
      <c r="I39" s="2355">
        <f t="shared" si="24"/>
        <v>0</v>
      </c>
      <c r="J39" s="2351"/>
      <c r="K39" s="2351"/>
      <c r="L39" s="2356"/>
      <c r="M39" s="37"/>
      <c r="N39" s="37"/>
      <c r="O39" s="186"/>
      <c r="P39" s="187"/>
      <c r="Q39" s="188"/>
      <c r="R39" s="188"/>
      <c r="S39" s="188"/>
      <c r="T39" s="188"/>
      <c r="U39" s="188"/>
      <c r="V39" s="188"/>
      <c r="W39" s="188"/>
      <c r="X39" s="189"/>
      <c r="Y39" s="189"/>
      <c r="Z39" s="189"/>
      <c r="AA39" s="189"/>
      <c r="AB39" s="189"/>
      <c r="AC39" s="188"/>
      <c r="AD39" s="309"/>
      <c r="AE39" s="310"/>
      <c r="AF39" s="188"/>
      <c r="AG39" s="188"/>
      <c r="AH39" s="171"/>
      <c r="AI39" s="520"/>
      <c r="AJ39" s="2421">
        <f t="shared" si="44"/>
        <v>0</v>
      </c>
      <c r="AK39" s="2421">
        <f t="shared" si="26"/>
        <v>0</v>
      </c>
      <c r="AL39" s="2421">
        <f t="shared" si="27"/>
        <v>0</v>
      </c>
      <c r="AM39" s="2421">
        <f t="shared" si="28"/>
        <v>0</v>
      </c>
      <c r="AN39" s="2421">
        <f t="shared" si="29"/>
        <v>0</v>
      </c>
      <c r="AO39" s="2421">
        <f t="shared" si="30"/>
        <v>0</v>
      </c>
      <c r="AP39" s="2421">
        <f t="shared" si="31"/>
        <v>0</v>
      </c>
      <c r="AQ39" s="2421">
        <f t="shared" si="32"/>
        <v>0</v>
      </c>
      <c r="AR39" s="2421">
        <f t="shared" si="33"/>
        <v>0</v>
      </c>
      <c r="AS39" s="2421">
        <f t="shared" si="34"/>
        <v>0</v>
      </c>
      <c r="AT39" s="2421">
        <f t="shared" si="35"/>
        <v>0</v>
      </c>
      <c r="AU39" s="2421">
        <f t="shared" si="36"/>
        <v>0</v>
      </c>
      <c r="AV39" s="2421">
        <f t="shared" si="37"/>
        <v>0</v>
      </c>
      <c r="AW39" s="2421">
        <f t="shared" si="38"/>
        <v>0</v>
      </c>
      <c r="AX39" s="2421">
        <f t="shared" si="39"/>
        <v>0</v>
      </c>
      <c r="AY39" s="2421">
        <f t="shared" si="40"/>
        <v>0</v>
      </c>
      <c r="AZ39" s="2421">
        <f t="shared" si="41"/>
        <v>0</v>
      </c>
      <c r="BA39" s="2421">
        <f t="shared" si="42"/>
        <v>0</v>
      </c>
      <c r="BB39" s="2421">
        <f t="shared" si="43"/>
        <v>0</v>
      </c>
      <c r="BC39" s="2421">
        <f t="shared" si="43"/>
        <v>0</v>
      </c>
    </row>
    <row r="40" spans="1:55" s="37" customFormat="1" ht="24" customHeight="1">
      <c r="A40" s="36">
        <v>1</v>
      </c>
      <c r="B40" s="36">
        <v>1</v>
      </c>
      <c r="C40" s="638">
        <v>6020</v>
      </c>
      <c r="D40" s="2429" t="s">
        <v>4302</v>
      </c>
      <c r="E40" s="2352" t="s">
        <v>4303</v>
      </c>
      <c r="F40" s="2389">
        <v>0.2</v>
      </c>
      <c r="G40" s="2354" t="s">
        <v>4193</v>
      </c>
      <c r="H40" s="2355"/>
      <c r="I40" s="2355">
        <f t="shared" si="24"/>
        <v>0</v>
      </c>
      <c r="J40" s="2351" t="s">
        <v>4304</v>
      </c>
      <c r="K40" s="2351"/>
      <c r="L40" s="2356"/>
      <c r="O40" s="186"/>
      <c r="P40" s="187"/>
      <c r="Q40" s="188"/>
      <c r="R40" s="188"/>
      <c r="S40" s="188"/>
      <c r="T40" s="188"/>
      <c r="U40" s="188"/>
      <c r="V40" s="188"/>
      <c r="W40" s="188"/>
      <c r="X40" s="189"/>
      <c r="Y40" s="189"/>
      <c r="Z40" s="189"/>
      <c r="AA40" s="189"/>
      <c r="AB40" s="189"/>
      <c r="AC40" s="188"/>
      <c r="AD40" s="309"/>
      <c r="AE40" s="310"/>
      <c r="AF40" s="188"/>
      <c r="AG40" s="188"/>
      <c r="AH40" s="171"/>
      <c r="AI40" s="520"/>
      <c r="AJ40" s="2421">
        <f t="shared" si="44"/>
        <v>0</v>
      </c>
      <c r="AK40" s="2421">
        <f t="shared" si="26"/>
        <v>0</v>
      </c>
      <c r="AL40" s="2421">
        <f t="shared" si="27"/>
        <v>0</v>
      </c>
      <c r="AM40" s="2421">
        <f t="shared" si="28"/>
        <v>0</v>
      </c>
      <c r="AN40" s="2421">
        <f t="shared" si="29"/>
        <v>0</v>
      </c>
      <c r="AO40" s="2421">
        <f t="shared" si="30"/>
        <v>0</v>
      </c>
      <c r="AP40" s="2421">
        <f t="shared" si="31"/>
        <v>0</v>
      </c>
      <c r="AQ40" s="2421">
        <f t="shared" si="32"/>
        <v>0</v>
      </c>
      <c r="AR40" s="2421">
        <f t="shared" si="33"/>
        <v>0</v>
      </c>
      <c r="AS40" s="2421">
        <f t="shared" si="34"/>
        <v>0</v>
      </c>
      <c r="AT40" s="2421">
        <f t="shared" si="35"/>
        <v>0</v>
      </c>
      <c r="AU40" s="2421">
        <f t="shared" si="36"/>
        <v>0</v>
      </c>
      <c r="AV40" s="2421">
        <f t="shared" si="37"/>
        <v>0</v>
      </c>
      <c r="AW40" s="2421">
        <f t="shared" si="38"/>
        <v>0</v>
      </c>
      <c r="AX40" s="2421">
        <f t="shared" si="39"/>
        <v>0</v>
      </c>
      <c r="AY40" s="2421">
        <f t="shared" si="40"/>
        <v>0</v>
      </c>
      <c r="AZ40" s="2421">
        <f t="shared" si="41"/>
        <v>0</v>
      </c>
      <c r="BA40" s="2421">
        <f t="shared" si="42"/>
        <v>0</v>
      </c>
      <c r="BB40" s="2421">
        <f t="shared" si="43"/>
        <v>0</v>
      </c>
      <c r="BC40" s="2421">
        <f t="shared" si="43"/>
        <v>0</v>
      </c>
    </row>
    <row r="41" spans="1:55" s="37" customFormat="1" ht="24" customHeight="1">
      <c r="A41" s="36"/>
      <c r="B41" s="36"/>
      <c r="C41" s="1881"/>
      <c r="D41" s="2351"/>
      <c r="E41" s="2389"/>
      <c r="F41" s="2389"/>
      <c r="G41" s="2354"/>
      <c r="H41" s="1882"/>
      <c r="I41" s="2355" t="str">
        <f>IF(F41="","",ROUNDDOWN(F41*H41,0))</f>
        <v/>
      </c>
      <c r="J41" s="2391"/>
      <c r="K41" s="2351"/>
      <c r="L41" s="2356"/>
      <c r="O41" s="186"/>
      <c r="P41" s="187"/>
      <c r="Q41" s="188"/>
      <c r="R41" s="188"/>
      <c r="S41" s="188"/>
      <c r="T41" s="188"/>
      <c r="U41" s="188"/>
      <c r="V41" s="188"/>
      <c r="W41" s="188"/>
      <c r="X41" s="189"/>
      <c r="Y41" s="189"/>
      <c r="Z41" s="189"/>
      <c r="AA41" s="189"/>
      <c r="AB41" s="189"/>
      <c r="AC41" s="188"/>
      <c r="AD41" s="309"/>
      <c r="AE41" s="310"/>
      <c r="AF41" s="188"/>
      <c r="AG41" s="188"/>
      <c r="AH41" s="171"/>
      <c r="AI41" s="520"/>
      <c r="AJ41" s="2421">
        <f t="shared" si="44"/>
        <v>0</v>
      </c>
      <c r="AK41" s="2421">
        <f t="shared" si="26"/>
        <v>0</v>
      </c>
      <c r="AL41" s="2421">
        <f t="shared" si="27"/>
        <v>0</v>
      </c>
      <c r="AM41" s="2421">
        <f t="shared" si="28"/>
        <v>0</v>
      </c>
      <c r="AN41" s="2421">
        <f t="shared" si="29"/>
        <v>0</v>
      </c>
      <c r="AO41" s="2421">
        <f t="shared" si="30"/>
        <v>0</v>
      </c>
      <c r="AP41" s="2421">
        <f t="shared" si="31"/>
        <v>0</v>
      </c>
      <c r="AQ41" s="2421">
        <f t="shared" si="32"/>
        <v>0</v>
      </c>
      <c r="AR41" s="2421">
        <f t="shared" si="33"/>
        <v>0</v>
      </c>
      <c r="AS41" s="2421">
        <f t="shared" si="34"/>
        <v>0</v>
      </c>
      <c r="AT41" s="2421">
        <f t="shared" si="35"/>
        <v>0</v>
      </c>
      <c r="AU41" s="2421">
        <f t="shared" si="36"/>
        <v>0</v>
      </c>
      <c r="AV41" s="2421">
        <f t="shared" si="37"/>
        <v>0</v>
      </c>
      <c r="AW41" s="2421">
        <f t="shared" si="38"/>
        <v>0</v>
      </c>
      <c r="AX41" s="2421">
        <f t="shared" si="39"/>
        <v>0</v>
      </c>
      <c r="AY41" s="2421">
        <f t="shared" si="40"/>
        <v>0</v>
      </c>
      <c r="AZ41" s="2421">
        <f t="shared" si="41"/>
        <v>0</v>
      </c>
      <c r="BA41" s="2421">
        <f t="shared" si="42"/>
        <v>0</v>
      </c>
      <c r="BB41" s="2421">
        <f t="shared" si="43"/>
        <v>0</v>
      </c>
      <c r="BC41" s="2421">
        <f t="shared" si="43"/>
        <v>0</v>
      </c>
    </row>
    <row r="42" spans="1:55" s="37" customFormat="1" ht="24" customHeight="1">
      <c r="A42" s="36"/>
      <c r="B42" s="36"/>
      <c r="C42" s="1881"/>
      <c r="D42" s="2427" t="s">
        <v>4305</v>
      </c>
      <c r="E42" s="2431"/>
      <c r="F42" s="2389"/>
      <c r="G42" s="2354"/>
      <c r="H42" s="1882"/>
      <c r="I42" s="2355" t="str">
        <f>IF(F42="","",ROUNDDOWN(F42*H42,0))</f>
        <v/>
      </c>
      <c r="J42" s="2391"/>
      <c r="K42" s="2351"/>
      <c r="L42" s="2356"/>
      <c r="O42" s="186"/>
      <c r="P42" s="187"/>
      <c r="Q42" s="188"/>
      <c r="R42" s="188"/>
      <c r="S42" s="188"/>
      <c r="T42" s="188"/>
      <c r="U42" s="188"/>
      <c r="V42" s="188"/>
      <c r="W42" s="188"/>
      <c r="X42" s="189"/>
      <c r="Y42" s="189"/>
      <c r="Z42" s="189"/>
      <c r="AA42" s="189"/>
      <c r="AB42" s="189"/>
      <c r="AC42" s="188"/>
      <c r="AD42" s="309"/>
      <c r="AE42" s="310"/>
      <c r="AF42" s="188"/>
      <c r="AG42" s="188"/>
      <c r="AH42" s="171"/>
      <c r="AI42" s="520"/>
      <c r="AJ42" s="2421">
        <f t="shared" si="44"/>
        <v>0</v>
      </c>
      <c r="AK42" s="2421">
        <f t="shared" si="26"/>
        <v>0</v>
      </c>
      <c r="AL42" s="2421">
        <f t="shared" si="27"/>
        <v>0</v>
      </c>
      <c r="AM42" s="2421">
        <f t="shared" si="28"/>
        <v>0</v>
      </c>
      <c r="AN42" s="2421">
        <f t="shared" si="29"/>
        <v>0</v>
      </c>
      <c r="AO42" s="2421">
        <f t="shared" si="30"/>
        <v>0</v>
      </c>
      <c r="AP42" s="2421">
        <f t="shared" si="31"/>
        <v>0</v>
      </c>
      <c r="AQ42" s="2421">
        <f t="shared" si="32"/>
        <v>0</v>
      </c>
      <c r="AR42" s="2421">
        <f t="shared" si="33"/>
        <v>0</v>
      </c>
      <c r="AS42" s="2421">
        <f t="shared" si="34"/>
        <v>0</v>
      </c>
      <c r="AT42" s="2421">
        <f t="shared" si="35"/>
        <v>0</v>
      </c>
      <c r="AU42" s="2421">
        <f t="shared" si="36"/>
        <v>0</v>
      </c>
      <c r="AV42" s="2421">
        <f t="shared" si="37"/>
        <v>0</v>
      </c>
      <c r="AW42" s="2421">
        <f t="shared" si="38"/>
        <v>0</v>
      </c>
      <c r="AX42" s="2421">
        <f t="shared" si="39"/>
        <v>0</v>
      </c>
      <c r="AY42" s="2421">
        <f t="shared" si="40"/>
        <v>0</v>
      </c>
      <c r="AZ42" s="2421">
        <f t="shared" si="41"/>
        <v>0</v>
      </c>
      <c r="BA42" s="2421">
        <f t="shared" si="42"/>
        <v>0</v>
      </c>
      <c r="BB42" s="2421">
        <f t="shared" si="43"/>
        <v>0</v>
      </c>
      <c r="BC42" s="2421">
        <f t="shared" si="43"/>
        <v>0</v>
      </c>
    </row>
    <row r="43" spans="1:55" s="37" customFormat="1" ht="24" customHeight="1">
      <c r="A43" s="36"/>
      <c r="B43" s="36"/>
      <c r="C43" s="1881"/>
      <c r="D43" s="2427" t="s">
        <v>4306</v>
      </c>
      <c r="E43" s="2389"/>
      <c r="F43" s="2431"/>
      <c r="G43" s="2354"/>
      <c r="H43" s="1882"/>
      <c r="I43" s="2355" t="str">
        <f>IF(F43="","",ROUNDDOWN(F43*H43,0))</f>
        <v/>
      </c>
      <c r="J43" s="2391"/>
      <c r="K43" s="2351"/>
      <c r="L43" s="2356"/>
      <c r="O43" s="186"/>
      <c r="P43" s="187"/>
      <c r="Q43" s="188"/>
      <c r="R43" s="188"/>
      <c r="S43" s="188"/>
      <c r="T43" s="188"/>
      <c r="U43" s="188"/>
      <c r="V43" s="188"/>
      <c r="W43" s="188"/>
      <c r="X43" s="189"/>
      <c r="Y43" s="189"/>
      <c r="Z43" s="189"/>
      <c r="AA43" s="189"/>
      <c r="AB43" s="189"/>
      <c r="AC43" s="188"/>
      <c r="AD43" s="309"/>
      <c r="AE43" s="310"/>
      <c r="AF43" s="188"/>
      <c r="AG43" s="188"/>
      <c r="AH43" s="171"/>
      <c r="AI43" s="520"/>
      <c r="AJ43" s="2421">
        <f t="shared" si="44"/>
        <v>0</v>
      </c>
      <c r="AK43" s="2421">
        <f t="shared" si="26"/>
        <v>0</v>
      </c>
      <c r="AL43" s="2421">
        <f t="shared" si="27"/>
        <v>0</v>
      </c>
      <c r="AM43" s="2421">
        <f t="shared" si="28"/>
        <v>0</v>
      </c>
      <c r="AN43" s="2421">
        <f t="shared" si="29"/>
        <v>0</v>
      </c>
      <c r="AO43" s="2421">
        <f t="shared" si="30"/>
        <v>0</v>
      </c>
      <c r="AP43" s="2421">
        <f t="shared" si="31"/>
        <v>0</v>
      </c>
      <c r="AQ43" s="2421">
        <f t="shared" si="32"/>
        <v>0</v>
      </c>
      <c r="AR43" s="2421">
        <f t="shared" si="33"/>
        <v>0</v>
      </c>
      <c r="AS43" s="2421">
        <f t="shared" si="34"/>
        <v>0</v>
      </c>
      <c r="AT43" s="2421">
        <f t="shared" si="35"/>
        <v>0</v>
      </c>
      <c r="AU43" s="2421">
        <f t="shared" si="36"/>
        <v>0</v>
      </c>
      <c r="AV43" s="2421">
        <f t="shared" si="37"/>
        <v>0</v>
      </c>
      <c r="AW43" s="2421">
        <f t="shared" si="38"/>
        <v>0</v>
      </c>
      <c r="AX43" s="2421">
        <f t="shared" si="39"/>
        <v>0</v>
      </c>
      <c r="AY43" s="2421">
        <f t="shared" si="40"/>
        <v>0</v>
      </c>
      <c r="AZ43" s="2421">
        <f t="shared" si="41"/>
        <v>0</v>
      </c>
      <c r="BA43" s="2421">
        <f t="shared" si="42"/>
        <v>0</v>
      </c>
      <c r="BB43" s="2421">
        <f t="shared" si="43"/>
        <v>0</v>
      </c>
      <c r="BC43" s="2421">
        <f t="shared" si="43"/>
        <v>0</v>
      </c>
    </row>
    <row r="44" spans="1:55" s="37" customFormat="1" ht="24" customHeight="1">
      <c r="A44" s="36"/>
      <c r="B44" s="36"/>
      <c r="C44" s="1881"/>
      <c r="D44" s="2427" t="s">
        <v>4307</v>
      </c>
      <c r="E44" s="2389"/>
      <c r="F44" s="2389"/>
      <c r="G44" s="2354"/>
      <c r="H44" s="1882"/>
      <c r="I44" s="2355"/>
      <c r="J44" s="2391"/>
      <c r="K44" s="2351"/>
      <c r="L44" s="2356"/>
      <c r="O44" s="186"/>
      <c r="P44" s="187"/>
      <c r="Q44" s="188"/>
      <c r="R44" s="188"/>
      <c r="S44" s="188"/>
      <c r="T44" s="188"/>
      <c r="U44" s="188"/>
      <c r="V44" s="188"/>
      <c r="W44" s="188"/>
      <c r="X44" s="189"/>
      <c r="Y44" s="189"/>
      <c r="Z44" s="189"/>
      <c r="AA44" s="189"/>
      <c r="AB44" s="189"/>
      <c r="AC44" s="188"/>
      <c r="AD44" s="309"/>
      <c r="AE44" s="310"/>
      <c r="AF44" s="188"/>
      <c r="AG44" s="188"/>
      <c r="AH44" s="171"/>
      <c r="AI44" s="520"/>
      <c r="AJ44" s="2421">
        <f t="shared" si="44"/>
        <v>0</v>
      </c>
      <c r="AK44" s="2421">
        <f t="shared" si="26"/>
        <v>0</v>
      </c>
      <c r="AL44" s="2421">
        <f t="shared" si="27"/>
        <v>0</v>
      </c>
      <c r="AM44" s="2421">
        <f t="shared" si="28"/>
        <v>0</v>
      </c>
      <c r="AN44" s="2421">
        <f t="shared" si="29"/>
        <v>0</v>
      </c>
      <c r="AO44" s="2421">
        <f t="shared" si="30"/>
        <v>0</v>
      </c>
      <c r="AP44" s="2421">
        <f t="shared" si="31"/>
        <v>0</v>
      </c>
      <c r="AQ44" s="2421">
        <f t="shared" si="32"/>
        <v>0</v>
      </c>
      <c r="AR44" s="2421">
        <f t="shared" si="33"/>
        <v>0</v>
      </c>
      <c r="AS44" s="2421">
        <f t="shared" si="34"/>
        <v>0</v>
      </c>
      <c r="AT44" s="2421">
        <f t="shared" si="35"/>
        <v>0</v>
      </c>
      <c r="AU44" s="2421">
        <f t="shared" si="36"/>
        <v>0</v>
      </c>
      <c r="AV44" s="2421">
        <f t="shared" si="37"/>
        <v>0</v>
      </c>
      <c r="AW44" s="2421">
        <f t="shared" si="38"/>
        <v>0</v>
      </c>
      <c r="AX44" s="2421">
        <f t="shared" si="39"/>
        <v>0</v>
      </c>
      <c r="AY44" s="2421">
        <f t="shared" si="40"/>
        <v>0</v>
      </c>
      <c r="AZ44" s="2421">
        <f t="shared" si="41"/>
        <v>0</v>
      </c>
      <c r="BA44" s="2421">
        <f t="shared" si="42"/>
        <v>0</v>
      </c>
      <c r="BB44" s="2421">
        <f t="shared" si="43"/>
        <v>0</v>
      </c>
      <c r="BC44" s="2421">
        <f t="shared" si="43"/>
        <v>0</v>
      </c>
    </row>
    <row r="45" spans="1:55" s="37" customFormat="1" ht="24" customHeight="1">
      <c r="A45" s="36"/>
      <c r="B45" s="36"/>
      <c r="C45" s="1881"/>
      <c r="D45" s="2388"/>
      <c r="E45" s="2432" t="s">
        <v>4308</v>
      </c>
      <c r="F45" s="2389"/>
      <c r="G45" s="2354"/>
      <c r="H45" s="1882"/>
      <c r="I45" s="2355" t="str">
        <f>IF(F45="","",ROUNDDOWN(F45*H45,0))</f>
        <v/>
      </c>
      <c r="J45" s="2391"/>
      <c r="K45" s="2351"/>
      <c r="L45" s="2356"/>
      <c r="O45" s="186"/>
      <c r="P45" s="187"/>
      <c r="Q45" s="188"/>
      <c r="R45" s="188"/>
      <c r="S45" s="188"/>
      <c r="T45" s="188"/>
      <c r="U45" s="188"/>
      <c r="V45" s="188"/>
      <c r="W45" s="188"/>
      <c r="X45" s="189"/>
      <c r="Y45" s="189"/>
      <c r="Z45" s="189"/>
      <c r="AA45" s="189"/>
      <c r="AB45" s="189"/>
      <c r="AC45" s="188"/>
      <c r="AD45" s="309"/>
      <c r="AE45" s="310"/>
      <c r="AF45" s="188"/>
      <c r="AG45" s="188"/>
      <c r="AH45" s="171"/>
      <c r="AI45" s="520"/>
      <c r="AJ45" s="2421">
        <f t="shared" si="44"/>
        <v>0</v>
      </c>
      <c r="AK45" s="2421">
        <f t="shared" si="26"/>
        <v>0</v>
      </c>
      <c r="AL45" s="2421">
        <f t="shared" si="27"/>
        <v>0</v>
      </c>
      <c r="AM45" s="2421">
        <f t="shared" si="28"/>
        <v>0</v>
      </c>
      <c r="AN45" s="2421">
        <f t="shared" si="29"/>
        <v>0</v>
      </c>
      <c r="AO45" s="2421">
        <f t="shared" si="30"/>
        <v>0</v>
      </c>
      <c r="AP45" s="2421">
        <f t="shared" si="31"/>
        <v>0</v>
      </c>
      <c r="AQ45" s="2421">
        <f t="shared" si="32"/>
        <v>0</v>
      </c>
      <c r="AR45" s="2421">
        <f t="shared" si="33"/>
        <v>0</v>
      </c>
      <c r="AS45" s="2421">
        <f t="shared" si="34"/>
        <v>0</v>
      </c>
      <c r="AT45" s="2421">
        <f t="shared" si="35"/>
        <v>0</v>
      </c>
      <c r="AU45" s="2421">
        <f t="shared" si="36"/>
        <v>0</v>
      </c>
      <c r="AV45" s="2421">
        <f t="shared" si="37"/>
        <v>0</v>
      </c>
      <c r="AW45" s="2421">
        <f t="shared" si="38"/>
        <v>0</v>
      </c>
      <c r="AX45" s="2421">
        <f t="shared" si="39"/>
        <v>0</v>
      </c>
      <c r="AY45" s="2421">
        <f t="shared" si="40"/>
        <v>0</v>
      </c>
      <c r="AZ45" s="2421">
        <f t="shared" si="41"/>
        <v>0</v>
      </c>
      <c r="BA45" s="2421">
        <f t="shared" si="42"/>
        <v>0</v>
      </c>
      <c r="BB45" s="2421">
        <f t="shared" si="43"/>
        <v>0</v>
      </c>
      <c r="BC45" s="2421">
        <f t="shared" si="43"/>
        <v>0</v>
      </c>
    </row>
    <row r="46" spans="1:55" s="37" customFormat="1" ht="24" customHeight="1">
      <c r="A46" s="36"/>
      <c r="B46" s="36"/>
      <c r="C46" s="1881"/>
      <c r="D46" s="2388"/>
      <c r="E46" s="2432"/>
      <c r="F46" s="2389"/>
      <c r="G46" s="2354"/>
      <c r="H46" s="1882"/>
      <c r="I46" s="2355"/>
      <c r="J46" s="2391"/>
      <c r="K46" s="2351"/>
      <c r="L46" s="2356"/>
      <c r="O46" s="186"/>
      <c r="P46" s="187"/>
      <c r="Q46" s="188"/>
      <c r="R46" s="188"/>
      <c r="S46" s="188"/>
      <c r="T46" s="188"/>
      <c r="U46" s="188"/>
      <c r="V46" s="188"/>
      <c r="W46" s="188"/>
      <c r="X46" s="189"/>
      <c r="Y46" s="189"/>
      <c r="Z46" s="189"/>
      <c r="AA46" s="189"/>
      <c r="AB46" s="189"/>
      <c r="AC46" s="188"/>
      <c r="AD46" s="309"/>
      <c r="AE46" s="310"/>
      <c r="AF46" s="188"/>
      <c r="AG46" s="188"/>
      <c r="AH46" s="171"/>
      <c r="AI46" s="520"/>
      <c r="AJ46" s="2421">
        <f t="shared" si="44"/>
        <v>0</v>
      </c>
      <c r="AK46" s="2421">
        <f t="shared" si="26"/>
        <v>0</v>
      </c>
      <c r="AL46" s="2421">
        <f t="shared" si="27"/>
        <v>0</v>
      </c>
      <c r="AM46" s="2421">
        <f t="shared" si="28"/>
        <v>0</v>
      </c>
      <c r="AN46" s="2421">
        <f t="shared" si="29"/>
        <v>0</v>
      </c>
      <c r="AO46" s="2421">
        <f t="shared" si="30"/>
        <v>0</v>
      </c>
      <c r="AP46" s="2421">
        <f t="shared" si="31"/>
        <v>0</v>
      </c>
      <c r="AQ46" s="2421">
        <f t="shared" si="32"/>
        <v>0</v>
      </c>
      <c r="AR46" s="2421">
        <f t="shared" si="33"/>
        <v>0</v>
      </c>
      <c r="AS46" s="2421">
        <f t="shared" si="34"/>
        <v>0</v>
      </c>
      <c r="AT46" s="2421">
        <f t="shared" si="35"/>
        <v>0</v>
      </c>
      <c r="AU46" s="2421">
        <f t="shared" si="36"/>
        <v>0</v>
      </c>
      <c r="AV46" s="2421">
        <f t="shared" si="37"/>
        <v>0</v>
      </c>
      <c r="AW46" s="2421">
        <f t="shared" si="38"/>
        <v>0</v>
      </c>
      <c r="AX46" s="2421">
        <f t="shared" si="39"/>
        <v>0</v>
      </c>
      <c r="AY46" s="2421">
        <f t="shared" si="40"/>
        <v>0</v>
      </c>
      <c r="AZ46" s="2421">
        <f t="shared" si="41"/>
        <v>0</v>
      </c>
      <c r="BA46" s="2421">
        <f t="shared" si="42"/>
        <v>0</v>
      </c>
      <c r="BB46" s="2421">
        <f t="shared" si="43"/>
        <v>0</v>
      </c>
      <c r="BC46" s="2421">
        <f>$F46*AH46</f>
        <v>0</v>
      </c>
    </row>
    <row r="47" spans="1:55" ht="24" customHeight="1" thickBot="1">
      <c r="A47" s="36"/>
      <c r="B47" s="36"/>
      <c r="C47" s="94"/>
      <c r="D47" s="1888" t="s">
        <v>4144</v>
      </c>
      <c r="E47" s="1886"/>
      <c r="F47" s="1887"/>
      <c r="G47" s="2424"/>
      <c r="H47" s="2425" t="s">
        <v>4131</v>
      </c>
      <c r="I47" s="2426">
        <f>SUM(I29:I46)</f>
        <v>0</v>
      </c>
      <c r="J47" s="1888" t="s">
        <v>4132</v>
      </c>
      <c r="K47" s="1888"/>
      <c r="L47" s="100"/>
      <c r="N47"/>
      <c r="O47" s="251">
        <f t="shared" ref="O47:AH47" si="45">AJ47</f>
        <v>0</v>
      </c>
      <c r="P47" s="252">
        <f t="shared" si="45"/>
        <v>0</v>
      </c>
      <c r="Q47" s="253">
        <f t="shared" si="45"/>
        <v>0</v>
      </c>
      <c r="R47" s="253">
        <f t="shared" si="45"/>
        <v>0</v>
      </c>
      <c r="S47" s="253">
        <f t="shared" si="45"/>
        <v>0</v>
      </c>
      <c r="T47" s="253">
        <f t="shared" si="45"/>
        <v>0</v>
      </c>
      <c r="U47" s="253">
        <f t="shared" si="45"/>
        <v>0</v>
      </c>
      <c r="V47" s="254">
        <f t="shared" si="45"/>
        <v>0</v>
      </c>
      <c r="W47" s="254">
        <f t="shared" si="45"/>
        <v>0</v>
      </c>
      <c r="X47" s="254">
        <f t="shared" si="45"/>
        <v>0</v>
      </c>
      <c r="Y47" s="254">
        <f t="shared" si="45"/>
        <v>0</v>
      </c>
      <c r="Z47" s="254">
        <f t="shared" si="45"/>
        <v>0</v>
      </c>
      <c r="AA47" s="254">
        <f t="shared" si="45"/>
        <v>0</v>
      </c>
      <c r="AB47" s="339">
        <f t="shared" si="45"/>
        <v>0</v>
      </c>
      <c r="AC47" s="254">
        <f t="shared" si="45"/>
        <v>0</v>
      </c>
      <c r="AD47" s="251">
        <f t="shared" si="45"/>
        <v>0</v>
      </c>
      <c r="AE47" s="253">
        <f t="shared" si="45"/>
        <v>0</v>
      </c>
      <c r="AF47" s="254">
        <f t="shared" si="45"/>
        <v>0</v>
      </c>
      <c r="AG47" s="254">
        <f t="shared" si="45"/>
        <v>0</v>
      </c>
      <c r="AH47" s="254">
        <f t="shared" si="45"/>
        <v>0</v>
      </c>
      <c r="AI47" s="520"/>
      <c r="AJ47" s="170">
        <f t="shared" ref="AJ47:BB47" si="46">SUM(AJ29:AJ46)</f>
        <v>0</v>
      </c>
      <c r="AK47" s="170">
        <f t="shared" si="46"/>
        <v>0</v>
      </c>
      <c r="AL47" s="170">
        <f t="shared" si="46"/>
        <v>0</v>
      </c>
      <c r="AM47" s="170">
        <f t="shared" si="46"/>
        <v>0</v>
      </c>
      <c r="AN47" s="170">
        <f t="shared" si="46"/>
        <v>0</v>
      </c>
      <c r="AO47" s="170">
        <f t="shared" si="46"/>
        <v>0</v>
      </c>
      <c r="AP47" s="170">
        <f t="shared" si="46"/>
        <v>0</v>
      </c>
      <c r="AQ47" s="170">
        <f t="shared" si="46"/>
        <v>0</v>
      </c>
      <c r="AR47" s="170">
        <f t="shared" si="46"/>
        <v>0</v>
      </c>
      <c r="AS47" s="170">
        <f t="shared" si="46"/>
        <v>0</v>
      </c>
      <c r="AT47" s="170">
        <f t="shared" si="46"/>
        <v>0</v>
      </c>
      <c r="AU47" s="170">
        <f t="shared" si="46"/>
        <v>0</v>
      </c>
      <c r="AV47" s="170">
        <f t="shared" si="46"/>
        <v>0</v>
      </c>
      <c r="AW47" s="170">
        <f t="shared" si="46"/>
        <v>0</v>
      </c>
      <c r="AX47" s="170">
        <f t="shared" si="46"/>
        <v>0</v>
      </c>
      <c r="AY47" s="170">
        <f t="shared" si="46"/>
        <v>0</v>
      </c>
      <c r="AZ47" s="170">
        <f t="shared" si="46"/>
        <v>0</v>
      </c>
      <c r="BA47" s="170">
        <f t="shared" si="46"/>
        <v>0</v>
      </c>
      <c r="BB47" s="170">
        <f t="shared" si="46"/>
        <v>0</v>
      </c>
      <c r="BC47" s="170">
        <f>SUM(BC29:BC46)</f>
        <v>0</v>
      </c>
    </row>
    <row r="48" spans="1:55" ht="14.25" customHeight="1">
      <c r="E48" s="101" t="s">
        <v>130</v>
      </c>
      <c r="F48" s="102">
        <f>+F25+1</f>
        <v>2</v>
      </c>
      <c r="G48" s="103" t="s">
        <v>131</v>
      </c>
      <c r="H48" s="104">
        <f>+H25</f>
        <v>0</v>
      </c>
      <c r="I48" s="104"/>
      <c r="M48" s="31" t="str">
        <f>IF(A50="","EOL","")</f>
        <v>EOL</v>
      </c>
      <c r="N48" s="1">
        <f>+F48</f>
        <v>2</v>
      </c>
    </row>
  </sheetData>
  <mergeCells count="8">
    <mergeCell ref="O26:AH26"/>
    <mergeCell ref="O3:AH3"/>
    <mergeCell ref="C26:L26"/>
    <mergeCell ref="J27:L27"/>
    <mergeCell ref="J28:L28"/>
    <mergeCell ref="J5:L5"/>
    <mergeCell ref="C3:L3"/>
    <mergeCell ref="J4:L4"/>
  </mergeCells>
  <phoneticPr fontId="2"/>
  <printOptions horizontalCentered="1" verticalCentered="1"/>
  <pageMargins left="0.19685039370078741" right="0.19685039370078741" top="0.78740157480314965" bottom="0.19685039370078741" header="0.51181102362204722" footer="0.51181102362204722"/>
  <pageSetup paperSize="9" orientation="landscape" horizontalDpi="300" verticalDpi="300" r:id="rId1"/>
  <headerFooter alignWithMargins="0"/>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AE49"/>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工事1!C2</f>
        <v>ア)東梅田駅の部-可動式ホーム柵設置に伴う建築工事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524.59999999999991</v>
      </c>
      <c r="N2" s="296">
        <f>+K9+O9</f>
        <v>28345.47</v>
      </c>
      <c r="O2" s="2750" t="s">
        <v>4315</v>
      </c>
      <c r="P2" s="2751"/>
      <c r="Q2" s="2751"/>
      <c r="R2" s="2752"/>
      <c r="S2" s="294">
        <f>+P9+T9+X9</f>
        <v>0</v>
      </c>
      <c r="T2" s="295">
        <f>+Q9+U9+Y9</f>
        <v>0</v>
      </c>
      <c r="U2" s="295">
        <f>+R9+V9+Z9</f>
        <v>268.2</v>
      </c>
      <c r="V2" s="296">
        <f>+S9+W9+AA9</f>
        <v>20673.66</v>
      </c>
      <c r="W2" s="277"/>
    </row>
    <row r="3" spans="1:31" ht="15" customHeight="1">
      <c r="B3" s="142"/>
      <c r="E3" s="278"/>
      <c r="G3" s="2753" t="s">
        <v>4316</v>
      </c>
      <c r="H3" s="2754"/>
      <c r="I3" s="2754"/>
      <c r="J3" s="2755"/>
      <c r="K3" s="297">
        <f>+H9</f>
        <v>0</v>
      </c>
      <c r="L3" s="298">
        <f>+I9</f>
        <v>0</v>
      </c>
      <c r="M3" s="298">
        <f>+J9</f>
        <v>256.39999999999998</v>
      </c>
      <c r="N3" s="299">
        <f>+K9</f>
        <v>7671.8099999999995</v>
      </c>
      <c r="O3" s="2756" t="s">
        <v>4317</v>
      </c>
      <c r="P3" s="2757"/>
      <c r="Q3" s="2757"/>
      <c r="R3" s="2758"/>
      <c r="S3" s="297">
        <f>+P9</f>
        <v>0</v>
      </c>
      <c r="T3" s="298">
        <f>+Q9</f>
        <v>0</v>
      </c>
      <c r="U3" s="298">
        <f>+R9</f>
        <v>268.2</v>
      </c>
      <c r="V3" s="299">
        <f>+S9</f>
        <v>19661.66</v>
      </c>
      <c r="W3" s="277"/>
    </row>
    <row r="4" spans="1:31" ht="15" customHeight="1">
      <c r="B4" s="142"/>
      <c r="E4" s="278"/>
      <c r="G4" s="2753" t="s">
        <v>4318</v>
      </c>
      <c r="H4" s="2754"/>
      <c r="I4" s="2754"/>
      <c r="J4" s="2755"/>
      <c r="K4" s="297">
        <f>+L9</f>
        <v>0</v>
      </c>
      <c r="L4" s="298">
        <f>+M9</f>
        <v>0</v>
      </c>
      <c r="M4" s="298">
        <f>+N9</f>
        <v>268.2</v>
      </c>
      <c r="N4" s="299">
        <f>+O9</f>
        <v>20673.66</v>
      </c>
      <c r="O4" s="2756" t="s">
        <v>4319</v>
      </c>
      <c r="P4" s="2757"/>
      <c r="Q4" s="2757"/>
      <c r="R4" s="2758"/>
      <c r="S4" s="297">
        <f>+T9</f>
        <v>0</v>
      </c>
      <c r="T4" s="298">
        <f>+U9</f>
        <v>0</v>
      </c>
      <c r="U4" s="298">
        <f>+V9</f>
        <v>0</v>
      </c>
      <c r="V4" s="299">
        <f>+W9</f>
        <v>904</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108</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SUM(H10:H30)</f>
        <v>0</v>
      </c>
      <c r="I9" s="159">
        <f t="shared" si="0"/>
        <v>0</v>
      </c>
      <c r="J9" s="159">
        <f t="shared" si="0"/>
        <v>256.39999999999998</v>
      </c>
      <c r="K9" s="160">
        <f t="shared" si="0"/>
        <v>7671.8099999999995</v>
      </c>
      <c r="L9" s="158">
        <f t="shared" si="0"/>
        <v>0</v>
      </c>
      <c r="M9" s="159">
        <f t="shared" si="0"/>
        <v>0</v>
      </c>
      <c r="N9" s="159">
        <f t="shared" si="0"/>
        <v>268.2</v>
      </c>
      <c r="O9" s="160">
        <f t="shared" si="0"/>
        <v>20673.66</v>
      </c>
      <c r="P9" s="158">
        <f t="shared" si="0"/>
        <v>0</v>
      </c>
      <c r="Q9" s="159">
        <f t="shared" si="0"/>
        <v>0</v>
      </c>
      <c r="R9" s="159">
        <f t="shared" si="0"/>
        <v>268.2</v>
      </c>
      <c r="S9" s="160">
        <f t="shared" si="0"/>
        <v>19661.66</v>
      </c>
      <c r="T9" s="159">
        <f t="shared" si="0"/>
        <v>0</v>
      </c>
      <c r="U9" s="159">
        <f t="shared" si="0"/>
        <v>0</v>
      </c>
      <c r="V9" s="159">
        <f t="shared" si="0"/>
        <v>0</v>
      </c>
      <c r="W9" s="160">
        <f t="shared" si="0"/>
        <v>904</v>
      </c>
      <c r="X9" s="159">
        <f t="shared" si="0"/>
        <v>0</v>
      </c>
      <c r="Y9" s="159">
        <f t="shared" si="0"/>
        <v>0</v>
      </c>
      <c r="Z9" s="159">
        <f t="shared" si="0"/>
        <v>0</v>
      </c>
      <c r="AA9" s="160">
        <f t="shared" si="0"/>
        <v>108</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4333</v>
      </c>
      <c r="C11" s="153" t="s">
        <v>4334</v>
      </c>
      <c r="D11" s="154">
        <v>6</v>
      </c>
      <c r="E11" s="155">
        <v>1</v>
      </c>
      <c r="F11" s="1916"/>
      <c r="G11" s="336"/>
      <c r="H11" s="161"/>
      <c r="I11" s="162"/>
      <c r="J11" s="162">
        <f>D11*E11</f>
        <v>6</v>
      </c>
      <c r="K11" s="163"/>
      <c r="L11" s="161"/>
      <c r="M11" s="162"/>
      <c r="N11" s="162"/>
      <c r="O11" s="163"/>
      <c r="P11" s="161"/>
      <c r="Q11" s="162"/>
      <c r="R11" s="162"/>
      <c r="S11" s="163"/>
      <c r="T11" s="161"/>
      <c r="U11" s="162"/>
      <c r="V11" s="162"/>
      <c r="W11" s="163"/>
      <c r="X11" s="161"/>
      <c r="Y11" s="162"/>
      <c r="Z11" s="162"/>
      <c r="AA11" s="163"/>
    </row>
    <row r="12" spans="1:31" s="140" customFormat="1" ht="11.25" customHeight="1">
      <c r="B12" s="152" t="s">
        <v>4335</v>
      </c>
      <c r="C12" s="153" t="s">
        <v>4336</v>
      </c>
      <c r="D12" s="154">
        <v>6</v>
      </c>
      <c r="E12" s="155">
        <v>2</v>
      </c>
      <c r="F12" s="1916"/>
      <c r="G12" s="336"/>
      <c r="H12" s="161"/>
      <c r="I12" s="162"/>
      <c r="J12" s="162">
        <f>D12*E12</f>
        <v>12</v>
      </c>
      <c r="K12" s="163"/>
      <c r="L12" s="161"/>
      <c r="M12" s="162"/>
      <c r="N12" s="162"/>
      <c r="O12" s="163"/>
      <c r="P12" s="161"/>
      <c r="Q12" s="162"/>
      <c r="R12" s="162"/>
      <c r="S12" s="163"/>
      <c r="T12" s="161"/>
      <c r="U12" s="162"/>
      <c r="V12" s="162"/>
      <c r="W12" s="163"/>
      <c r="X12" s="161"/>
      <c r="Y12" s="162"/>
      <c r="Z12" s="162"/>
      <c r="AA12" s="163"/>
    </row>
    <row r="13" spans="1:31" s="140" customFormat="1" ht="11.25" customHeight="1">
      <c r="B13" s="152" t="s">
        <v>4337</v>
      </c>
      <c r="C13" s="153" t="s">
        <v>4338</v>
      </c>
      <c r="D13" s="154">
        <v>30.9</v>
      </c>
      <c r="E13" s="155">
        <v>77</v>
      </c>
      <c r="F13" s="1916"/>
      <c r="G13" s="336"/>
      <c r="H13" s="161"/>
      <c r="I13" s="162"/>
      <c r="J13" s="162"/>
      <c r="K13" s="163">
        <f>D13*E13</f>
        <v>2379.2999999999997</v>
      </c>
      <c r="L13" s="161"/>
      <c r="M13" s="162"/>
      <c r="N13" s="162"/>
      <c r="O13" s="163"/>
      <c r="P13" s="161"/>
      <c r="Q13" s="162"/>
      <c r="R13" s="162"/>
      <c r="S13" s="163"/>
      <c r="T13" s="161"/>
      <c r="U13" s="162"/>
      <c r="V13" s="162"/>
      <c r="W13" s="163"/>
      <c r="X13" s="161"/>
      <c r="Y13" s="162"/>
      <c r="Z13" s="162"/>
      <c r="AA13" s="163"/>
    </row>
    <row r="14" spans="1:31" s="140" customFormat="1" ht="11.25" customHeight="1">
      <c r="B14" s="152" t="s">
        <v>4337</v>
      </c>
      <c r="C14" s="153" t="s">
        <v>4338</v>
      </c>
      <c r="D14" s="154">
        <v>66.8</v>
      </c>
      <c r="E14" s="155">
        <v>77</v>
      </c>
      <c r="F14" s="1916"/>
      <c r="G14" s="336"/>
      <c r="H14" s="161"/>
      <c r="I14" s="162"/>
      <c r="J14" s="162"/>
      <c r="K14" s="163">
        <f>D14*E14</f>
        <v>5143.5999999999995</v>
      </c>
      <c r="L14" s="161"/>
      <c r="M14" s="162"/>
      <c r="N14" s="162"/>
      <c r="O14" s="163"/>
      <c r="P14" s="161"/>
      <c r="Q14" s="162"/>
      <c r="R14" s="162"/>
      <c r="S14" s="163"/>
      <c r="T14" s="161"/>
      <c r="U14" s="162"/>
      <c r="V14" s="162"/>
      <c r="W14" s="163"/>
      <c r="X14" s="161"/>
      <c r="Y14" s="162"/>
      <c r="Z14" s="162"/>
      <c r="AA14" s="163"/>
    </row>
    <row r="15" spans="1:31" s="140" customFormat="1" ht="11.25" customHeight="1">
      <c r="B15" s="152" t="s">
        <v>4339</v>
      </c>
      <c r="C15" s="153" t="s">
        <v>4340</v>
      </c>
      <c r="D15" s="154">
        <v>29.8</v>
      </c>
      <c r="E15" s="155">
        <v>8</v>
      </c>
      <c r="F15" s="1916"/>
      <c r="G15" s="336"/>
      <c r="H15" s="161"/>
      <c r="I15" s="162"/>
      <c r="J15" s="162">
        <f>D15*E15</f>
        <v>238.4</v>
      </c>
      <c r="K15" s="163"/>
      <c r="L15" s="161"/>
      <c r="M15" s="162"/>
      <c r="N15" s="162"/>
      <c r="O15" s="163"/>
      <c r="P15" s="161"/>
      <c r="Q15" s="162"/>
      <c r="R15" s="162"/>
      <c r="S15" s="163"/>
      <c r="T15" s="161"/>
      <c r="U15" s="162"/>
      <c r="V15" s="162"/>
      <c r="W15" s="163"/>
      <c r="X15" s="161"/>
      <c r="Y15" s="162"/>
      <c r="Z15" s="162"/>
      <c r="AA15" s="163"/>
    </row>
    <row r="16" spans="1:31" s="140" customFormat="1" ht="11.25" customHeight="1">
      <c r="B16" s="152" t="s">
        <v>4341</v>
      </c>
      <c r="C16" s="153" t="s">
        <v>4342</v>
      </c>
      <c r="D16" s="154">
        <v>12</v>
      </c>
      <c r="E16" s="155">
        <v>1</v>
      </c>
      <c r="F16" s="1916"/>
      <c r="G16" s="336"/>
      <c r="H16" s="161"/>
      <c r="I16" s="162"/>
      <c r="J16" s="162"/>
      <c r="K16" s="163">
        <f>D16*E16</f>
        <v>12</v>
      </c>
      <c r="L16" s="161"/>
      <c r="M16" s="162"/>
      <c r="N16" s="162"/>
      <c r="O16" s="163"/>
      <c r="P16" s="161"/>
      <c r="Q16" s="162"/>
      <c r="R16" s="162"/>
      <c r="S16" s="163"/>
      <c r="T16" s="161"/>
      <c r="U16" s="162"/>
      <c r="V16" s="162"/>
      <c r="W16" s="163"/>
      <c r="X16" s="161"/>
      <c r="Y16" s="162"/>
      <c r="Z16" s="162"/>
      <c r="AA16" s="163"/>
    </row>
    <row r="17" spans="1:27" s="140" customFormat="1" ht="11.25" customHeight="1">
      <c r="B17" s="152" t="s">
        <v>4341</v>
      </c>
      <c r="C17" s="153" t="s">
        <v>4343</v>
      </c>
      <c r="D17" s="154">
        <v>12</v>
      </c>
      <c r="E17" s="155">
        <v>7</v>
      </c>
      <c r="F17" s="1916"/>
      <c r="G17" s="336"/>
      <c r="H17" s="161"/>
      <c r="I17" s="162"/>
      <c r="J17" s="162"/>
      <c r="K17" s="163">
        <f>D17*E17</f>
        <v>84</v>
      </c>
      <c r="L17" s="161"/>
      <c r="M17" s="162"/>
      <c r="N17" s="162"/>
      <c r="O17" s="163"/>
      <c r="P17" s="161"/>
      <c r="Q17" s="162"/>
      <c r="R17" s="162"/>
      <c r="S17" s="163"/>
      <c r="T17" s="161"/>
      <c r="U17" s="162"/>
      <c r="V17" s="162"/>
      <c r="W17" s="163"/>
      <c r="X17" s="161"/>
      <c r="Y17" s="162"/>
      <c r="Z17" s="162"/>
      <c r="AA17" s="163"/>
    </row>
    <row r="18" spans="1:27" s="140" customFormat="1" ht="11.25" customHeight="1">
      <c r="B18" s="152" t="s">
        <v>4344</v>
      </c>
      <c r="C18" s="153" t="s">
        <v>4345</v>
      </c>
      <c r="D18" s="154">
        <v>40.700000000000003</v>
      </c>
      <c r="E18" s="155">
        <v>1.3</v>
      </c>
      <c r="F18" s="1916"/>
      <c r="G18" s="336"/>
      <c r="H18" s="161"/>
      <c r="I18" s="162"/>
      <c r="J18" s="162"/>
      <c r="K18" s="163">
        <f>D18*E18</f>
        <v>52.910000000000004</v>
      </c>
      <c r="L18" s="161"/>
      <c r="M18" s="162"/>
      <c r="N18" s="162"/>
      <c r="O18" s="163"/>
      <c r="P18" s="161"/>
      <c r="Q18" s="162"/>
      <c r="R18" s="162"/>
      <c r="S18" s="163"/>
      <c r="T18" s="161"/>
      <c r="U18" s="162"/>
      <c r="V18" s="162"/>
      <c r="W18" s="163"/>
      <c r="X18" s="161"/>
      <c r="Y18" s="162"/>
      <c r="Z18" s="162"/>
      <c r="AA18" s="163"/>
    </row>
    <row r="19" spans="1:27" s="140" customFormat="1" ht="11.25" customHeight="1">
      <c r="B19" s="152" t="s">
        <v>4346</v>
      </c>
      <c r="C19" s="153" t="s">
        <v>4347</v>
      </c>
      <c r="D19" s="154">
        <v>105</v>
      </c>
      <c r="E19" s="155">
        <v>80</v>
      </c>
      <c r="F19" s="1916">
        <v>0</v>
      </c>
      <c r="G19" s="336">
        <v>0</v>
      </c>
      <c r="H19" s="161"/>
      <c r="I19" s="162"/>
      <c r="J19" s="162"/>
      <c r="K19" s="163"/>
      <c r="L19" s="161"/>
      <c r="M19" s="162"/>
      <c r="N19" s="162"/>
      <c r="O19" s="163">
        <f t="shared" ref="O19:O24" si="1">D19*(E19+F19+G19)</f>
        <v>8400</v>
      </c>
      <c r="P19" s="161"/>
      <c r="Q19" s="162"/>
      <c r="R19" s="162"/>
      <c r="S19" s="163">
        <f t="shared" ref="S19:S24" si="2">D19*E19</f>
        <v>8400</v>
      </c>
      <c r="T19" s="161"/>
      <c r="U19" s="162"/>
      <c r="V19" s="162"/>
      <c r="W19" s="163">
        <f t="shared" ref="W19:W24" si="3">D19*F19</f>
        <v>0</v>
      </c>
      <c r="X19" s="161"/>
      <c r="Y19" s="162"/>
      <c r="Z19" s="162"/>
      <c r="AA19" s="163">
        <f t="shared" ref="AA19:AA24" si="4">D19*G19</f>
        <v>0</v>
      </c>
    </row>
    <row r="20" spans="1:27" s="140" customFormat="1" ht="11.25" customHeight="1">
      <c r="B20" s="152" t="s">
        <v>4346</v>
      </c>
      <c r="C20" s="153" t="s">
        <v>4347</v>
      </c>
      <c r="D20" s="154">
        <v>39.700000000000003</v>
      </c>
      <c r="E20" s="155">
        <v>80</v>
      </c>
      <c r="F20" s="1916">
        <v>0</v>
      </c>
      <c r="G20" s="336">
        <v>0</v>
      </c>
      <c r="H20" s="161"/>
      <c r="I20" s="162"/>
      <c r="J20" s="162"/>
      <c r="K20" s="163"/>
      <c r="L20" s="161"/>
      <c r="M20" s="162"/>
      <c r="N20" s="162"/>
      <c r="O20" s="163">
        <f t="shared" si="1"/>
        <v>3176</v>
      </c>
      <c r="P20" s="161"/>
      <c r="Q20" s="162"/>
      <c r="R20" s="162"/>
      <c r="S20" s="163">
        <f t="shared" si="2"/>
        <v>3176</v>
      </c>
      <c r="T20" s="161"/>
      <c r="U20" s="162"/>
      <c r="V20" s="162"/>
      <c r="W20" s="163">
        <f t="shared" si="3"/>
        <v>0</v>
      </c>
      <c r="X20" s="161"/>
      <c r="Y20" s="162"/>
      <c r="Z20" s="162"/>
      <c r="AA20" s="163">
        <f t="shared" si="4"/>
        <v>0</v>
      </c>
    </row>
    <row r="21" spans="1:27" s="140" customFormat="1" ht="11.25" customHeight="1">
      <c r="B21" s="152" t="s">
        <v>4348</v>
      </c>
      <c r="C21" s="153" t="s">
        <v>4349</v>
      </c>
      <c r="D21" s="154">
        <v>97.7</v>
      </c>
      <c r="E21" s="155">
        <v>80</v>
      </c>
      <c r="F21" s="1916">
        <v>0</v>
      </c>
      <c r="G21" s="336">
        <v>0</v>
      </c>
      <c r="H21" s="161"/>
      <c r="I21" s="162"/>
      <c r="J21" s="162"/>
      <c r="K21" s="163"/>
      <c r="L21" s="161"/>
      <c r="M21" s="162"/>
      <c r="N21" s="162"/>
      <c r="O21" s="163">
        <f t="shared" si="1"/>
        <v>7816</v>
      </c>
      <c r="P21" s="161"/>
      <c r="Q21" s="162"/>
      <c r="R21" s="162"/>
      <c r="S21" s="163">
        <f t="shared" si="2"/>
        <v>7816</v>
      </c>
      <c r="T21" s="161"/>
      <c r="U21" s="162"/>
      <c r="V21" s="162"/>
      <c r="W21" s="163">
        <f t="shared" si="3"/>
        <v>0</v>
      </c>
      <c r="X21" s="161"/>
      <c r="Y21" s="162"/>
      <c r="Z21" s="162"/>
      <c r="AA21" s="163">
        <f t="shared" si="4"/>
        <v>0</v>
      </c>
    </row>
    <row r="22" spans="1:27" s="140" customFormat="1" ht="11.25" customHeight="1">
      <c r="B22" s="152" t="s">
        <v>4350</v>
      </c>
      <c r="C22" s="153" t="s">
        <v>4228</v>
      </c>
      <c r="D22" s="154">
        <v>220</v>
      </c>
      <c r="E22" s="155">
        <v>1</v>
      </c>
      <c r="F22" s="1916">
        <v>0</v>
      </c>
      <c r="G22" s="336">
        <v>0</v>
      </c>
      <c r="H22" s="161"/>
      <c r="I22" s="162"/>
      <c r="J22" s="162"/>
      <c r="K22" s="163"/>
      <c r="L22" s="161"/>
      <c r="M22" s="162"/>
      <c r="N22" s="162"/>
      <c r="O22" s="163">
        <f t="shared" si="1"/>
        <v>220</v>
      </c>
      <c r="P22" s="161"/>
      <c r="Q22" s="162"/>
      <c r="R22" s="162"/>
      <c r="S22" s="163">
        <f t="shared" si="2"/>
        <v>220</v>
      </c>
      <c r="T22" s="161"/>
      <c r="U22" s="162"/>
      <c r="V22" s="162"/>
      <c r="W22" s="163">
        <f t="shared" si="3"/>
        <v>0</v>
      </c>
      <c r="X22" s="161"/>
      <c r="Y22" s="162"/>
      <c r="Z22" s="162"/>
      <c r="AA22" s="163">
        <f t="shared" si="4"/>
        <v>0</v>
      </c>
    </row>
    <row r="23" spans="1:27" s="140" customFormat="1" ht="11.25" customHeight="1">
      <c r="B23" s="152" t="s">
        <v>4348</v>
      </c>
      <c r="C23" s="153" t="s">
        <v>4351</v>
      </c>
      <c r="D23" s="154">
        <v>44</v>
      </c>
      <c r="E23" s="155">
        <v>0.39</v>
      </c>
      <c r="F23" s="1916">
        <v>0</v>
      </c>
      <c r="G23" s="336">
        <v>0</v>
      </c>
      <c r="H23" s="161"/>
      <c r="I23" s="162"/>
      <c r="J23" s="162"/>
      <c r="K23" s="163"/>
      <c r="L23" s="161"/>
      <c r="M23" s="162"/>
      <c r="N23" s="162"/>
      <c r="O23" s="163">
        <f t="shared" si="1"/>
        <v>17.16</v>
      </c>
      <c r="P23" s="161"/>
      <c r="Q23" s="162"/>
      <c r="R23" s="162"/>
      <c r="S23" s="163">
        <f t="shared" si="2"/>
        <v>17.16</v>
      </c>
      <c r="T23" s="161"/>
      <c r="U23" s="162"/>
      <c r="V23" s="162"/>
      <c r="W23" s="163">
        <f t="shared" si="3"/>
        <v>0</v>
      </c>
      <c r="X23" s="161"/>
      <c r="Y23" s="162"/>
      <c r="Z23" s="162"/>
      <c r="AA23" s="163">
        <f t="shared" si="4"/>
        <v>0</v>
      </c>
    </row>
    <row r="24" spans="1:27" s="140" customFormat="1" ht="11.25" customHeight="1">
      <c r="B24" s="152" t="s">
        <v>4348</v>
      </c>
      <c r="C24" s="153" t="s">
        <v>4351</v>
      </c>
      <c r="D24" s="154">
        <v>25</v>
      </c>
      <c r="E24" s="155">
        <v>1.3</v>
      </c>
      <c r="F24" s="1916">
        <v>0</v>
      </c>
      <c r="G24" s="336">
        <v>0</v>
      </c>
      <c r="H24" s="161"/>
      <c r="I24" s="162"/>
      <c r="J24" s="162"/>
      <c r="K24" s="163"/>
      <c r="L24" s="161"/>
      <c r="M24" s="162"/>
      <c r="N24" s="162"/>
      <c r="O24" s="163">
        <f t="shared" si="1"/>
        <v>32.5</v>
      </c>
      <c r="P24" s="161"/>
      <c r="Q24" s="162"/>
      <c r="R24" s="162"/>
      <c r="S24" s="163">
        <f t="shared" si="2"/>
        <v>32.5</v>
      </c>
      <c r="T24" s="161"/>
      <c r="U24" s="162"/>
      <c r="V24" s="162"/>
      <c r="W24" s="163">
        <f t="shared" si="3"/>
        <v>0</v>
      </c>
      <c r="X24" s="161"/>
      <c r="Y24" s="162"/>
      <c r="Z24" s="162"/>
      <c r="AA24" s="163">
        <f t="shared" si="4"/>
        <v>0</v>
      </c>
    </row>
    <row r="25" spans="1:27" s="140" customFormat="1" ht="11.25" customHeight="1">
      <c r="B25" s="152" t="s">
        <v>4348</v>
      </c>
      <c r="C25" s="153" t="s">
        <v>4352</v>
      </c>
      <c r="D25" s="154">
        <v>29.8</v>
      </c>
      <c r="E25" s="155">
        <v>9</v>
      </c>
      <c r="F25" s="1916">
        <v>0</v>
      </c>
      <c r="G25" s="336">
        <v>0</v>
      </c>
      <c r="H25" s="161"/>
      <c r="I25" s="162"/>
      <c r="J25" s="162"/>
      <c r="K25" s="163"/>
      <c r="L25" s="161"/>
      <c r="M25" s="162"/>
      <c r="N25" s="162">
        <f>D25*(E25+F25+G25)</f>
        <v>268.2</v>
      </c>
      <c r="O25" s="163"/>
      <c r="P25" s="161"/>
      <c r="Q25" s="162"/>
      <c r="R25" s="162">
        <f>D25*E25</f>
        <v>268.2</v>
      </c>
      <c r="S25" s="163"/>
      <c r="T25" s="161"/>
      <c r="U25" s="162"/>
      <c r="V25" s="162">
        <f>D25*F25</f>
        <v>0</v>
      </c>
      <c r="W25" s="163"/>
      <c r="X25" s="161"/>
      <c r="Y25" s="162"/>
      <c r="Z25" s="162">
        <f>D25*G25</f>
        <v>0</v>
      </c>
      <c r="AA25" s="163"/>
    </row>
    <row r="26" spans="1:27" s="140" customFormat="1" ht="11.25" customHeight="1">
      <c r="B26" s="152" t="s">
        <v>4348</v>
      </c>
      <c r="C26" s="153" t="s">
        <v>4352</v>
      </c>
      <c r="D26" s="154">
        <v>12</v>
      </c>
      <c r="E26" s="155">
        <v>0</v>
      </c>
      <c r="F26" s="1916">
        <v>0</v>
      </c>
      <c r="G26" s="336">
        <v>9</v>
      </c>
      <c r="H26" s="161"/>
      <c r="I26" s="162"/>
      <c r="J26" s="162"/>
      <c r="K26" s="163"/>
      <c r="L26" s="161"/>
      <c r="M26" s="162"/>
      <c r="N26" s="162"/>
      <c r="O26" s="163">
        <f>D26*(E26+F26+G26)</f>
        <v>108</v>
      </c>
      <c r="P26" s="161"/>
      <c r="Q26" s="162"/>
      <c r="R26" s="162"/>
      <c r="S26" s="163">
        <f>D26*E26</f>
        <v>0</v>
      </c>
      <c r="T26" s="161"/>
      <c r="U26" s="162"/>
      <c r="V26" s="162"/>
      <c r="W26" s="163">
        <f>D26*F26</f>
        <v>0</v>
      </c>
      <c r="X26" s="161"/>
      <c r="Y26" s="162"/>
      <c r="Z26" s="162"/>
      <c r="AA26" s="163">
        <f>D26*G26</f>
        <v>108</v>
      </c>
    </row>
    <row r="27" spans="1:27" s="140" customFormat="1" ht="11.25" customHeight="1">
      <c r="B27" s="152" t="s">
        <v>4348</v>
      </c>
      <c r="C27" s="153" t="s">
        <v>4353</v>
      </c>
      <c r="D27" s="154">
        <v>45.2</v>
      </c>
      <c r="E27" s="155">
        <v>0</v>
      </c>
      <c r="F27" s="1916">
        <v>20</v>
      </c>
      <c r="G27" s="336">
        <v>0</v>
      </c>
      <c r="H27" s="161"/>
      <c r="I27" s="162"/>
      <c r="J27" s="162"/>
      <c r="K27" s="163"/>
      <c r="L27" s="161"/>
      <c r="M27" s="162"/>
      <c r="N27" s="162"/>
      <c r="O27" s="163">
        <f>D27*(E27+F27+G27)</f>
        <v>904</v>
      </c>
      <c r="P27" s="161"/>
      <c r="Q27" s="162"/>
      <c r="R27" s="162"/>
      <c r="S27" s="163">
        <f>D27*E27</f>
        <v>0</v>
      </c>
      <c r="T27" s="161"/>
      <c r="U27" s="162"/>
      <c r="V27" s="162"/>
      <c r="W27" s="163">
        <f>D27*F27</f>
        <v>904</v>
      </c>
      <c r="X27" s="161"/>
      <c r="Y27" s="162"/>
      <c r="Z27" s="162"/>
      <c r="AA27" s="163">
        <f>D27*G27</f>
        <v>0</v>
      </c>
    </row>
    <row r="28" spans="1:27" s="140" customFormat="1" ht="11.25" customHeight="1">
      <c r="B28" s="152"/>
      <c r="C28" s="153"/>
      <c r="D28" s="154"/>
      <c r="E28" s="155"/>
      <c r="F28" s="1916"/>
      <c r="G28" s="336"/>
      <c r="H28" s="161"/>
      <c r="I28" s="162"/>
      <c r="J28" s="162"/>
      <c r="K28" s="163"/>
      <c r="L28" s="161"/>
      <c r="M28" s="162"/>
      <c r="N28" s="162"/>
      <c r="O28" s="163"/>
      <c r="P28" s="161"/>
      <c r="Q28" s="162"/>
      <c r="R28" s="162"/>
      <c r="S28" s="163"/>
      <c r="T28" s="161"/>
      <c r="U28" s="162"/>
      <c r="V28" s="162"/>
      <c r="W28" s="163"/>
      <c r="X28" s="161"/>
      <c r="Y28" s="162"/>
      <c r="Z28" s="162"/>
      <c r="AA28" s="163"/>
    </row>
    <row r="29" spans="1:27" s="140" customFormat="1" ht="11.25" customHeight="1">
      <c r="A29" s="127" t="s">
        <v>4354</v>
      </c>
      <c r="B29" s="146"/>
      <c r="C29" s="147"/>
      <c r="D29" s="148"/>
      <c r="E29" s="156"/>
      <c r="F29" s="2434"/>
      <c r="G29" s="337"/>
      <c r="H29" s="164">
        <f>D29*E29</f>
        <v>0</v>
      </c>
      <c r="I29" s="165"/>
      <c r="J29" s="165"/>
      <c r="K29" s="166"/>
      <c r="L29" s="164"/>
      <c r="M29" s="165"/>
      <c r="N29" s="165"/>
      <c r="O29" s="166"/>
      <c r="P29" s="164"/>
      <c r="Q29" s="165"/>
      <c r="R29" s="165"/>
      <c r="S29" s="166"/>
      <c r="T29" s="164"/>
      <c r="U29" s="165"/>
      <c r="V29" s="165"/>
      <c r="W29" s="166"/>
      <c r="X29" s="164"/>
      <c r="Y29" s="165"/>
      <c r="Z29" s="165"/>
      <c r="AA29" s="166"/>
    </row>
    <row r="30" spans="1:27">
      <c r="A30" s="80"/>
      <c r="B30" s="144"/>
      <c r="C30" s="145"/>
      <c r="D30" s="151"/>
      <c r="E30" s="157"/>
      <c r="F30" s="332"/>
      <c r="G30" s="338"/>
      <c r="H30" s="167"/>
      <c r="I30" s="168"/>
      <c r="J30" s="168"/>
      <c r="K30" s="169"/>
      <c r="L30" s="167"/>
      <c r="M30" s="168"/>
      <c r="N30" s="168"/>
      <c r="O30" s="169"/>
      <c r="P30" s="167"/>
      <c r="Q30" s="168"/>
      <c r="R30" s="168"/>
      <c r="S30" s="169"/>
      <c r="T30" s="167"/>
      <c r="U30" s="168"/>
      <c r="V30" s="168"/>
      <c r="W30" s="169"/>
      <c r="X30" s="167"/>
      <c r="Y30" s="168"/>
      <c r="Z30" s="168"/>
      <c r="AA30" s="169"/>
    </row>
    <row r="31" spans="1:27" ht="15" customHeight="1">
      <c r="B31" s="143" t="s">
        <v>4355</v>
      </c>
      <c r="C31"/>
      <c r="D31"/>
      <c r="E31"/>
      <c r="F31"/>
      <c r="G31"/>
      <c r="H31"/>
      <c r="I31"/>
      <c r="J31"/>
      <c r="K31"/>
      <c r="L31"/>
      <c r="M31"/>
      <c r="N31"/>
      <c r="O31"/>
    </row>
    <row r="32" spans="1:27" ht="13.5" customHeight="1">
      <c r="B32" s="134" t="s">
        <v>4356</v>
      </c>
      <c r="C32" s="135"/>
      <c r="D32" s="136"/>
      <c r="E32" s="2738" t="s">
        <v>4357</v>
      </c>
      <c r="F32" s="2739"/>
      <c r="G32" s="2739"/>
      <c r="H32" s="2739"/>
      <c r="I32" s="2739"/>
      <c r="J32" s="2739"/>
      <c r="K32" s="2739"/>
      <c r="L32" s="2739"/>
      <c r="M32" s="2739"/>
      <c r="N32" s="2739"/>
      <c r="O32" s="2739"/>
      <c r="P32" s="2739"/>
      <c r="Q32" s="2739"/>
      <c r="R32" s="2740"/>
      <c r="S32" s="2741"/>
      <c r="T32" s="2735" t="s">
        <v>4358</v>
      </c>
      <c r="U32" s="2742"/>
      <c r="V32" s="2742"/>
      <c r="W32" s="2743"/>
    </row>
    <row r="33" spans="1:23" ht="12.75" customHeight="1">
      <c r="B33" s="192"/>
      <c r="C33" s="193"/>
      <c r="D33" s="194"/>
      <c r="E33" s="242" t="s">
        <v>4100</v>
      </c>
      <c r="F33" s="243" t="s">
        <v>4101</v>
      </c>
      <c r="G33" s="243" t="s">
        <v>4359</v>
      </c>
      <c r="H33" s="243" t="s">
        <v>4359</v>
      </c>
      <c r="I33" s="243" t="s">
        <v>4104</v>
      </c>
      <c r="J33" s="244" t="s">
        <v>4360</v>
      </c>
      <c r="K33" s="246" t="s">
        <v>4361</v>
      </c>
      <c r="L33" s="243" t="s">
        <v>4362</v>
      </c>
      <c r="M33" s="243" t="s">
        <v>4363</v>
      </c>
      <c r="N33" s="243" t="s">
        <v>4364</v>
      </c>
      <c r="O33" s="247" t="s">
        <v>4365</v>
      </c>
      <c r="P33" s="248" t="s">
        <v>4366</v>
      </c>
      <c r="Q33" s="312" t="s">
        <v>4367</v>
      </c>
      <c r="R33" s="313" t="s">
        <v>4108</v>
      </c>
      <c r="S33" s="314" t="s">
        <v>4109</v>
      </c>
      <c r="T33" s="315" t="s">
        <v>4115</v>
      </c>
      <c r="U33" s="243" t="s">
        <v>4116</v>
      </c>
      <c r="V33" s="313" t="s">
        <v>4368</v>
      </c>
      <c r="W33" s="314" t="s">
        <v>4118</v>
      </c>
    </row>
    <row r="34" spans="1:23">
      <c r="B34" s="133" t="s">
        <v>4099</v>
      </c>
      <c r="C34" s="117" t="s">
        <v>4326</v>
      </c>
      <c r="D34" s="129" t="s">
        <v>4327</v>
      </c>
      <c r="E34" s="275"/>
      <c r="F34" s="245"/>
      <c r="G34" s="245" t="s">
        <v>4369</v>
      </c>
      <c r="H34" s="245" t="s">
        <v>4370</v>
      </c>
      <c r="I34" s="245"/>
      <c r="J34" s="245" t="s">
        <v>4371</v>
      </c>
      <c r="K34" s="245" t="s">
        <v>4372</v>
      </c>
      <c r="L34" s="245"/>
      <c r="M34" s="245" t="s">
        <v>4373</v>
      </c>
      <c r="N34" s="245" t="s">
        <v>4374</v>
      </c>
      <c r="O34" s="245" t="s">
        <v>1439</v>
      </c>
      <c r="P34" s="245" t="s">
        <v>4375</v>
      </c>
      <c r="Q34" s="316" t="s">
        <v>4376</v>
      </c>
      <c r="R34" s="194" t="s">
        <v>4377</v>
      </c>
      <c r="S34" s="317" t="s">
        <v>4377</v>
      </c>
      <c r="T34" s="318"/>
      <c r="U34" s="193"/>
      <c r="V34" s="319"/>
      <c r="W34" s="317"/>
    </row>
    <row r="35" spans="1:23" s="140" customFormat="1" ht="15.75" customHeight="1">
      <c r="A35" s="137"/>
      <c r="B35" s="138"/>
      <c r="C35" s="139"/>
      <c r="D35" s="141"/>
      <c r="E35" s="158">
        <f t="shared" ref="E35:W35" si="5">SUM(E36:E52)</f>
        <v>14544</v>
      </c>
      <c r="F35" s="159">
        <f t="shared" si="5"/>
        <v>0</v>
      </c>
      <c r="G35" s="159">
        <f t="shared" si="5"/>
        <v>0</v>
      </c>
      <c r="H35" s="159">
        <f t="shared" si="5"/>
        <v>0</v>
      </c>
      <c r="I35" s="159">
        <f t="shared" si="5"/>
        <v>269.65999999999997</v>
      </c>
      <c r="J35" s="159">
        <f t="shared" si="5"/>
        <v>4848</v>
      </c>
      <c r="K35" s="159">
        <f t="shared" si="5"/>
        <v>0</v>
      </c>
      <c r="L35" s="159">
        <f t="shared" si="5"/>
        <v>0</v>
      </c>
      <c r="M35" s="159">
        <f t="shared" si="5"/>
        <v>268.2</v>
      </c>
      <c r="N35" s="159">
        <f t="shared" si="5"/>
        <v>0</v>
      </c>
      <c r="O35" s="276">
        <f t="shared" si="5"/>
        <v>0</v>
      </c>
      <c r="P35" s="159">
        <f t="shared" si="5"/>
        <v>0</v>
      </c>
      <c r="Q35" s="320">
        <f t="shared" si="5"/>
        <v>0</v>
      </c>
      <c r="R35" s="159">
        <f t="shared" si="5"/>
        <v>0</v>
      </c>
      <c r="S35" s="160">
        <f t="shared" si="5"/>
        <v>108</v>
      </c>
      <c r="T35" s="323">
        <f t="shared" si="5"/>
        <v>0</v>
      </c>
      <c r="U35" s="159">
        <f t="shared" si="5"/>
        <v>904</v>
      </c>
      <c r="V35" s="320">
        <f t="shared" si="5"/>
        <v>0</v>
      </c>
      <c r="W35" s="160">
        <f t="shared" si="5"/>
        <v>0</v>
      </c>
    </row>
    <row r="36" spans="1:23" s="140" customFormat="1" ht="11.25" customHeight="1">
      <c r="B36" s="146"/>
      <c r="C36" s="147"/>
      <c r="D36" s="148"/>
      <c r="E36" s="164"/>
      <c r="F36" s="165"/>
      <c r="G36" s="165"/>
      <c r="H36" s="165"/>
      <c r="I36" s="165"/>
      <c r="J36" s="165"/>
      <c r="K36" s="165"/>
      <c r="L36" s="165"/>
      <c r="M36" s="165"/>
      <c r="N36" s="165"/>
      <c r="O36" s="249"/>
      <c r="P36" s="165"/>
      <c r="Q36" s="321"/>
      <c r="R36" s="165"/>
      <c r="S36" s="166"/>
      <c r="T36" s="324"/>
      <c r="U36" s="165"/>
      <c r="V36" s="321"/>
      <c r="W36" s="327"/>
    </row>
    <row r="37" spans="1:23" s="140" customFormat="1" ht="11.25" customHeight="1">
      <c r="B37" s="146" t="s">
        <v>4346</v>
      </c>
      <c r="C37" s="147" t="s">
        <v>4347</v>
      </c>
      <c r="D37" s="148">
        <v>105</v>
      </c>
      <c r="E37" s="164">
        <f>D37*60</f>
        <v>6300</v>
      </c>
      <c r="F37" s="165"/>
      <c r="G37" s="165"/>
      <c r="H37" s="165"/>
      <c r="I37" s="165"/>
      <c r="J37" s="165">
        <f>D37*20</f>
        <v>2100</v>
      </c>
      <c r="K37" s="165"/>
      <c r="L37" s="165"/>
      <c r="M37" s="165"/>
      <c r="N37" s="165"/>
      <c r="O37" s="249"/>
      <c r="P37" s="165"/>
      <c r="Q37" s="321"/>
      <c r="R37" s="165"/>
      <c r="S37" s="166"/>
      <c r="T37" s="324"/>
      <c r="U37" s="165"/>
      <c r="V37" s="321"/>
      <c r="W37" s="327"/>
    </row>
    <row r="38" spans="1:23" s="140" customFormat="1" ht="11.25" customHeight="1">
      <c r="B38" s="146" t="s">
        <v>4346</v>
      </c>
      <c r="C38" s="147" t="s">
        <v>4347</v>
      </c>
      <c r="D38" s="148">
        <v>39.700000000000003</v>
      </c>
      <c r="E38" s="164">
        <f>D38*60</f>
        <v>2382</v>
      </c>
      <c r="F38" s="165"/>
      <c r="G38" s="165"/>
      <c r="H38" s="165"/>
      <c r="I38" s="165"/>
      <c r="J38" s="165">
        <f>D38*20</f>
        <v>794</v>
      </c>
      <c r="K38" s="165"/>
      <c r="L38" s="165"/>
      <c r="M38" s="165"/>
      <c r="N38" s="165"/>
      <c r="O38" s="249"/>
      <c r="P38" s="165"/>
      <c r="Q38" s="321"/>
      <c r="R38" s="165"/>
      <c r="S38" s="166"/>
      <c r="T38" s="324"/>
      <c r="U38" s="165"/>
      <c r="V38" s="321"/>
      <c r="W38" s="327"/>
    </row>
    <row r="39" spans="1:23" s="140" customFormat="1" ht="11.25" customHeight="1">
      <c r="B39" s="146" t="s">
        <v>4348</v>
      </c>
      <c r="C39" s="147" t="s">
        <v>4349</v>
      </c>
      <c r="D39" s="148">
        <v>97.7</v>
      </c>
      <c r="E39" s="164">
        <f>D39*60</f>
        <v>5862</v>
      </c>
      <c r="F39" s="165"/>
      <c r="G39" s="165"/>
      <c r="H39" s="165"/>
      <c r="I39" s="165"/>
      <c r="J39" s="165">
        <f>D39*20</f>
        <v>1954</v>
      </c>
      <c r="K39" s="165"/>
      <c r="L39" s="165"/>
      <c r="M39" s="165"/>
      <c r="N39" s="165"/>
      <c r="O39" s="249"/>
      <c r="P39" s="165"/>
      <c r="Q39" s="321"/>
      <c r="R39" s="165"/>
      <c r="S39" s="166"/>
      <c r="T39" s="324"/>
      <c r="U39" s="165"/>
      <c r="V39" s="321"/>
      <c r="W39" s="327"/>
    </row>
    <row r="40" spans="1:23" s="140" customFormat="1" ht="11.25" customHeight="1">
      <c r="B40" s="146" t="s">
        <v>4350</v>
      </c>
      <c r="C40" s="147" t="s">
        <v>4228</v>
      </c>
      <c r="D40" s="148">
        <v>220</v>
      </c>
      <c r="E40" s="164"/>
      <c r="F40" s="165"/>
      <c r="G40" s="165"/>
      <c r="H40" s="165"/>
      <c r="I40" s="165">
        <f>D40*1</f>
        <v>220</v>
      </c>
      <c r="J40" s="165"/>
      <c r="K40" s="165"/>
      <c r="L40" s="165"/>
      <c r="M40" s="165"/>
      <c r="N40" s="165"/>
      <c r="O40" s="249"/>
      <c r="P40" s="165"/>
      <c r="Q40" s="321"/>
      <c r="R40" s="165"/>
      <c r="S40" s="166"/>
      <c r="T40" s="324"/>
      <c r="U40" s="165"/>
      <c r="V40" s="321"/>
      <c r="W40" s="327"/>
    </row>
    <row r="41" spans="1:23" s="140" customFormat="1" ht="11.25" customHeight="1">
      <c r="B41" s="146" t="s">
        <v>4348</v>
      </c>
      <c r="C41" s="147" t="s">
        <v>4351</v>
      </c>
      <c r="D41" s="148">
        <v>44</v>
      </c>
      <c r="E41" s="164"/>
      <c r="F41" s="165"/>
      <c r="G41" s="165"/>
      <c r="H41" s="165"/>
      <c r="I41" s="165">
        <f>D41*0.39</f>
        <v>17.16</v>
      </c>
      <c r="J41" s="165"/>
      <c r="K41" s="165"/>
      <c r="L41" s="165"/>
      <c r="M41" s="165"/>
      <c r="N41" s="165"/>
      <c r="O41" s="249"/>
      <c r="P41" s="165"/>
      <c r="Q41" s="321"/>
      <c r="R41" s="165"/>
      <c r="S41" s="166"/>
      <c r="T41" s="324"/>
      <c r="U41" s="165"/>
      <c r="V41" s="321"/>
      <c r="W41" s="327"/>
    </row>
    <row r="42" spans="1:23" s="140" customFormat="1" ht="11.25" customHeight="1">
      <c r="B42" s="146" t="s">
        <v>4348</v>
      </c>
      <c r="C42" s="147" t="s">
        <v>4351</v>
      </c>
      <c r="D42" s="148">
        <v>25</v>
      </c>
      <c r="E42" s="164"/>
      <c r="F42" s="165"/>
      <c r="G42" s="165"/>
      <c r="H42" s="165"/>
      <c r="I42" s="165">
        <f>D42*1.3</f>
        <v>32.5</v>
      </c>
      <c r="J42" s="165"/>
      <c r="K42" s="165"/>
      <c r="L42" s="165"/>
      <c r="M42" s="165"/>
      <c r="N42" s="165"/>
      <c r="O42" s="249"/>
      <c r="P42" s="165"/>
      <c r="Q42" s="321"/>
      <c r="R42" s="165"/>
      <c r="S42" s="166"/>
      <c r="T42" s="324"/>
      <c r="U42" s="165"/>
      <c r="V42" s="321"/>
      <c r="W42" s="327"/>
    </row>
    <row r="43" spans="1:23" s="140" customFormat="1" ht="11.25" customHeight="1">
      <c r="B43" s="146" t="s">
        <v>4348</v>
      </c>
      <c r="C43" s="147" t="s">
        <v>4352</v>
      </c>
      <c r="D43" s="148">
        <v>29.8</v>
      </c>
      <c r="E43" s="164"/>
      <c r="F43" s="165"/>
      <c r="G43" s="165"/>
      <c r="H43" s="165"/>
      <c r="I43" s="165"/>
      <c r="J43" s="165"/>
      <c r="K43" s="165"/>
      <c r="L43" s="165"/>
      <c r="M43" s="165">
        <f>D43*9</f>
        <v>268.2</v>
      </c>
      <c r="N43" s="165"/>
      <c r="O43" s="249"/>
      <c r="P43" s="165"/>
      <c r="Q43" s="321"/>
      <c r="R43" s="165"/>
      <c r="S43" s="166"/>
      <c r="T43" s="324"/>
      <c r="U43" s="165"/>
      <c r="V43" s="321"/>
      <c r="W43" s="327"/>
    </row>
    <row r="44" spans="1:23" s="140" customFormat="1" ht="11.25" customHeight="1">
      <c r="B44" s="146" t="s">
        <v>4348</v>
      </c>
      <c r="C44" s="147" t="s">
        <v>4352</v>
      </c>
      <c r="D44" s="148">
        <v>12</v>
      </c>
      <c r="E44" s="164"/>
      <c r="F44" s="165"/>
      <c r="G44" s="165"/>
      <c r="H44" s="165"/>
      <c r="I44" s="165"/>
      <c r="J44" s="165"/>
      <c r="K44" s="165"/>
      <c r="L44" s="165"/>
      <c r="M44" s="165"/>
      <c r="N44" s="165"/>
      <c r="O44" s="249"/>
      <c r="P44" s="165"/>
      <c r="Q44" s="321"/>
      <c r="R44" s="165"/>
      <c r="S44" s="166">
        <f>D44*9</f>
        <v>108</v>
      </c>
      <c r="T44" s="324"/>
      <c r="U44" s="165"/>
      <c r="V44" s="321"/>
      <c r="W44" s="327"/>
    </row>
    <row r="45" spans="1:23" s="140" customFormat="1" ht="11.25" customHeight="1">
      <c r="B45" s="146" t="s">
        <v>4348</v>
      </c>
      <c r="C45" s="147" t="s">
        <v>4353</v>
      </c>
      <c r="D45" s="148">
        <v>45.2</v>
      </c>
      <c r="E45" s="164"/>
      <c r="F45" s="165"/>
      <c r="G45" s="165"/>
      <c r="H45" s="165"/>
      <c r="I45" s="165"/>
      <c r="J45" s="165"/>
      <c r="K45" s="165"/>
      <c r="L45" s="165"/>
      <c r="M45" s="165"/>
      <c r="N45" s="165"/>
      <c r="O45" s="249"/>
      <c r="P45" s="165"/>
      <c r="Q45" s="321"/>
      <c r="R45" s="165"/>
      <c r="S45" s="166"/>
      <c r="T45" s="324"/>
      <c r="U45" s="165">
        <f>D45*20</f>
        <v>904</v>
      </c>
      <c r="V45" s="321"/>
      <c r="W45" s="327"/>
    </row>
    <row r="46" spans="1:23" s="140" customFormat="1" ht="11.25" customHeight="1">
      <c r="B46" s="146"/>
      <c r="C46" s="147"/>
      <c r="D46" s="148"/>
      <c r="E46" s="164"/>
      <c r="F46" s="165"/>
      <c r="G46" s="165"/>
      <c r="H46" s="165"/>
      <c r="I46" s="165"/>
      <c r="J46" s="165"/>
      <c r="K46" s="165"/>
      <c r="L46" s="165"/>
      <c r="M46" s="165"/>
      <c r="N46" s="165"/>
      <c r="O46" s="249"/>
      <c r="P46" s="165"/>
      <c r="Q46" s="321"/>
      <c r="R46" s="165"/>
      <c r="S46" s="166"/>
      <c r="T46" s="324"/>
      <c r="U46" s="165"/>
      <c r="V46" s="321"/>
      <c r="W46" s="327"/>
    </row>
    <row r="47" spans="1:23" s="140" customFormat="1" ht="11.25" customHeight="1">
      <c r="A47" s="127" t="s">
        <v>4378</v>
      </c>
      <c r="B47" s="146"/>
      <c r="C47" s="147"/>
      <c r="D47" s="148"/>
      <c r="E47" s="164"/>
      <c r="F47" s="165"/>
      <c r="G47" s="165"/>
      <c r="H47" s="165"/>
      <c r="I47" s="165"/>
      <c r="J47" s="165"/>
      <c r="K47" s="165"/>
      <c r="L47" s="165"/>
      <c r="M47" s="165"/>
      <c r="N47" s="165"/>
      <c r="O47" s="249"/>
      <c r="P47" s="165"/>
      <c r="Q47" s="321"/>
      <c r="R47" s="165"/>
      <c r="S47" s="166"/>
      <c r="T47" s="324"/>
      <c r="U47" s="165">
        <f>$D47*O47</f>
        <v>0</v>
      </c>
      <c r="V47" s="321">
        <f>$D47*P47</f>
        <v>0</v>
      </c>
      <c r="W47" s="329"/>
    </row>
    <row r="48" spans="1:23">
      <c r="A48" s="80"/>
      <c r="B48" s="144"/>
      <c r="C48" s="145"/>
      <c r="D48" s="151"/>
      <c r="E48" s="167"/>
      <c r="F48" s="168"/>
      <c r="G48" s="168"/>
      <c r="H48" s="250"/>
      <c r="I48" s="250"/>
      <c r="J48" s="250"/>
      <c r="K48" s="250"/>
      <c r="L48" s="250"/>
      <c r="M48" s="250"/>
      <c r="N48" s="250"/>
      <c r="O48" s="250"/>
      <c r="P48" s="250"/>
      <c r="Q48" s="322"/>
      <c r="R48" s="168"/>
      <c r="S48" s="169"/>
      <c r="T48" s="325"/>
      <c r="U48" s="168">
        <f>$D48*O48</f>
        <v>0</v>
      </c>
      <c r="V48" s="326">
        <f>$D48*P48</f>
        <v>0</v>
      </c>
      <c r="W48" s="328"/>
    </row>
    <row r="49" spans="5:5">
      <c r="E49" s="80"/>
    </row>
  </sheetData>
  <mergeCells count="15">
    <mergeCell ref="G2:J2"/>
    <mergeCell ref="O2:R2"/>
    <mergeCell ref="G3:J3"/>
    <mergeCell ref="O3:R3"/>
    <mergeCell ref="G4:J4"/>
    <mergeCell ref="O4:R4"/>
    <mergeCell ref="X7:AA7"/>
    <mergeCell ref="E32:S32"/>
    <mergeCell ref="T32:W32"/>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66FF"/>
    <pageSetUpPr fitToPage="1"/>
  </sheetPr>
  <dimension ref="A1:AI186"/>
  <sheetViews>
    <sheetView zoomScale="75" zoomScaleNormal="75" workbookViewId="0">
      <pane xSplit="13" topLeftCell="N1" activePane="topRight" state="frozen"/>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4905</v>
      </c>
      <c r="E2" s="34" t="s">
        <v>153</v>
      </c>
      <c r="F2" s="37">
        <f>工事1!J2</f>
        <v>18</v>
      </c>
      <c r="G2" s="1" t="s">
        <v>154</v>
      </c>
      <c r="H2" s="4">
        <f>表紙!H25</f>
        <v>69</v>
      </c>
      <c r="I2" s="4" t="s">
        <v>155</v>
      </c>
      <c r="J2" s="37">
        <f>VLOOKUP("EOL",$M$25:$N$65628,2,FALSE)</f>
        <v>25</v>
      </c>
      <c r="K2" s="2514">
        <v>44197</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ア)東梅田駅の部-隙間解消工事</v>
      </c>
      <c r="D5" s="2348"/>
      <c r="E5" s="632"/>
      <c r="F5" s="1889"/>
      <c r="G5" s="2349"/>
      <c r="H5" s="2061" t="s">
        <v>117</v>
      </c>
      <c r="I5" s="2061" t="s">
        <v>117</v>
      </c>
      <c r="J5" s="2759"/>
      <c r="K5" s="2733"/>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2351"/>
      <c r="E6" s="639"/>
      <c r="F6" s="640"/>
      <c r="G6" s="641"/>
      <c r="H6" s="1883"/>
      <c r="I6" s="1883"/>
      <c r="J6" s="2351"/>
      <c r="K6" s="2351"/>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2351" t="s">
        <v>4120</v>
      </c>
      <c r="E7" s="639"/>
      <c r="F7" s="640">
        <v>1</v>
      </c>
      <c r="G7" s="641" t="s">
        <v>119</v>
      </c>
      <c r="H7" s="1883"/>
      <c r="I7" s="1883">
        <f>I70</f>
        <v>88905</v>
      </c>
      <c r="J7" s="2351"/>
      <c r="K7" s="2351"/>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2351" t="s">
        <v>4121</v>
      </c>
      <c r="E8" s="639"/>
      <c r="F8" s="640">
        <v>1</v>
      </c>
      <c r="G8" s="641" t="s">
        <v>119</v>
      </c>
      <c r="H8" s="1883"/>
      <c r="I8" s="1883">
        <f>I93</f>
        <v>1364580</v>
      </c>
      <c r="J8" s="2351"/>
      <c r="K8" s="2351"/>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2351" t="s">
        <v>4122</v>
      </c>
      <c r="E9" s="639"/>
      <c r="F9" s="640">
        <v>1</v>
      </c>
      <c r="G9" s="641" t="s">
        <v>119</v>
      </c>
      <c r="H9" s="1883"/>
      <c r="I9" s="1883">
        <f>I116</f>
        <v>9523200</v>
      </c>
      <c r="J9" s="2351"/>
      <c r="K9" s="2351"/>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2351" t="s">
        <v>4125</v>
      </c>
      <c r="E10" s="639"/>
      <c r="F10" s="640">
        <v>1</v>
      </c>
      <c r="G10" s="641" t="s">
        <v>119</v>
      </c>
      <c r="H10" s="1883"/>
      <c r="I10" s="1883">
        <f>I139</f>
        <v>9182400</v>
      </c>
      <c r="J10" s="2351"/>
      <c r="K10" s="2351"/>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2351" t="s">
        <v>4126</v>
      </c>
      <c r="E11" s="639"/>
      <c r="F11" s="640">
        <v>1</v>
      </c>
      <c r="G11" s="641" t="s">
        <v>119</v>
      </c>
      <c r="H11" s="1883"/>
      <c r="I11" s="1883">
        <f>I162</f>
        <v>1396561</v>
      </c>
      <c r="J11" s="2351"/>
      <c r="K11" s="2351"/>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2351"/>
      <c r="E12" s="639"/>
      <c r="F12" s="640"/>
      <c r="G12" s="641"/>
      <c r="H12" s="1883"/>
      <c r="I12" s="1883"/>
      <c r="J12" s="2351"/>
      <c r="K12" s="2351"/>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2351"/>
      <c r="E13" s="639"/>
      <c r="F13" s="640"/>
      <c r="G13" s="641"/>
      <c r="H13" s="1883"/>
      <c r="I13" s="1883"/>
      <c r="J13" s="2351"/>
      <c r="K13" s="2351"/>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2351"/>
      <c r="E14" s="639"/>
      <c r="F14" s="640"/>
      <c r="G14" s="641"/>
      <c r="H14" s="1883"/>
      <c r="I14" s="1883"/>
      <c r="J14" s="2351"/>
      <c r="K14" s="2351"/>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2351"/>
      <c r="E15" s="639"/>
      <c r="F15" s="640"/>
      <c r="G15" s="641"/>
      <c r="H15" s="1883"/>
      <c r="I15" s="1883"/>
      <c r="J15" s="2351"/>
      <c r="K15" s="2351"/>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2351" t="s">
        <v>126</v>
      </c>
      <c r="E16" s="639"/>
      <c r="F16" s="640"/>
      <c r="G16" s="641"/>
      <c r="H16" s="1883"/>
      <c r="I16" s="1883">
        <f>SUM(I7:I15)</f>
        <v>21555646</v>
      </c>
      <c r="J16" s="2358" t="str">
        <f>IF(COUNTIF(N:N,"費用")=0,"","うち費用")</f>
        <v>うち費用</v>
      </c>
      <c r="K16" s="2359">
        <f>IF(COUNTIF(N:N,"費用")=0,"",SUMIF(N:N,"費用",I:I))</f>
        <v>1396561</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360"/>
      <c r="E17" s="639"/>
      <c r="F17" s="640"/>
      <c r="G17" s="641"/>
      <c r="H17" s="1883"/>
      <c r="I17" s="1883"/>
      <c r="J17" s="2351"/>
      <c r="K17" s="2351"/>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2351"/>
      <c r="E18" s="639"/>
      <c r="F18" s="640"/>
      <c r="G18" s="641"/>
      <c r="H18" s="1883"/>
      <c r="I18" s="1883"/>
      <c r="J18" s="2351"/>
      <c r="K18" s="2351"/>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2351" t="s">
        <v>4128</v>
      </c>
      <c r="E19" s="639"/>
      <c r="F19" s="640">
        <v>1</v>
      </c>
      <c r="G19" s="641" t="s">
        <v>119</v>
      </c>
      <c r="H19" s="1883"/>
      <c r="I19" s="1883">
        <f>+I47</f>
        <v>763237</v>
      </c>
      <c r="J19" s="2351"/>
      <c r="K19" s="2351"/>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2351" t="s">
        <v>4129</v>
      </c>
      <c r="E20" s="639"/>
      <c r="F20" s="640">
        <v>1</v>
      </c>
      <c r="G20" s="641" t="s">
        <v>119</v>
      </c>
      <c r="H20" s="1883"/>
      <c r="I20" s="1883">
        <f>+諸経費表!H21</f>
        <v>5155117</v>
      </c>
      <c r="J20" s="2361"/>
      <c r="K20" s="2351"/>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2351"/>
      <c r="E21" s="639"/>
      <c r="F21" s="640"/>
      <c r="G21" s="641"/>
      <c r="H21" s="1883"/>
      <c r="I21" s="1883"/>
      <c r="J21" s="2351"/>
      <c r="K21" s="2351"/>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2351" t="s">
        <v>126</v>
      </c>
      <c r="E22" s="639"/>
      <c r="F22" s="640"/>
      <c r="G22" s="641"/>
      <c r="H22" s="1883"/>
      <c r="I22" s="1883">
        <f>+I19+I20</f>
        <v>5918354</v>
      </c>
      <c r="J22" s="2351"/>
      <c r="K22" s="2351"/>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2351"/>
      <c r="E23" s="639"/>
      <c r="F23" s="640"/>
      <c r="G23" s="641"/>
      <c r="H23" s="1883"/>
      <c r="I23" s="1883"/>
      <c r="J23" s="2351"/>
      <c r="K23" s="2351"/>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362"/>
      <c r="D24" s="2363" t="s">
        <v>4130</v>
      </c>
      <c r="E24" s="2364"/>
      <c r="F24" s="2365"/>
      <c r="G24" s="2366"/>
      <c r="H24" s="2367" t="s">
        <v>4131</v>
      </c>
      <c r="I24" s="2368">
        <f>+I22+I16</f>
        <v>27474000</v>
      </c>
      <c r="J24" s="2363" t="s">
        <v>4132</v>
      </c>
      <c r="K24" s="2363"/>
      <c r="L24" s="2369"/>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19</v>
      </c>
      <c r="G25" s="103" t="s">
        <v>131</v>
      </c>
      <c r="H25" s="104">
        <f>H2</f>
        <v>69</v>
      </c>
      <c r="M25" s="38" t="str">
        <f>IF(A27="","EOL","")</f>
        <v/>
      </c>
      <c r="N25" s="6">
        <f>+F25</f>
        <v>19</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2351" t="s">
        <v>4134</v>
      </c>
      <c r="E29" s="639"/>
      <c r="F29" s="640"/>
      <c r="G29" s="641"/>
      <c r="H29" s="642"/>
      <c r="I29" s="1883" t="str">
        <f t="shared" ref="I29:I44" si="0">IF(F29="","",INT(F29*H29))</f>
        <v/>
      </c>
      <c r="J29" s="2351"/>
      <c r="K29" s="2351"/>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2351" t="s">
        <v>4135</v>
      </c>
      <c r="E30" s="639"/>
      <c r="F30" s="640">
        <v>1</v>
      </c>
      <c r="G30" s="641" t="s">
        <v>122</v>
      </c>
      <c r="H30" s="642">
        <f>+'東梅田　諸'!H16</f>
        <v>624799</v>
      </c>
      <c r="I30" s="1883">
        <f t="shared" si="0"/>
        <v>624799</v>
      </c>
      <c r="J30" s="2351"/>
      <c r="K30" s="2351"/>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2351"/>
      <c r="E31" s="639"/>
      <c r="F31" s="640"/>
      <c r="G31" s="641"/>
      <c r="H31" s="642"/>
      <c r="I31" s="1883" t="str">
        <f t="shared" si="0"/>
        <v/>
      </c>
      <c r="J31" s="2351"/>
      <c r="K31" s="2351"/>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373"/>
      <c r="D32" s="2374" t="s">
        <v>4136</v>
      </c>
      <c r="E32" s="2375"/>
      <c r="F32" s="2376"/>
      <c r="G32" s="2377"/>
      <c r="H32" s="2378"/>
      <c r="I32" s="2379">
        <f>SUM(I30:I31)</f>
        <v>624799</v>
      </c>
      <c r="J32" s="2374"/>
      <c r="K32" s="2374"/>
      <c r="L32" s="2380"/>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2351" t="s">
        <v>4137</v>
      </c>
      <c r="E34" s="639"/>
      <c r="F34" s="640"/>
      <c r="G34" s="641"/>
      <c r="H34" s="642"/>
      <c r="I34" s="1883" t="str">
        <f t="shared" si="0"/>
        <v/>
      </c>
      <c r="J34" s="2351"/>
      <c r="K34" s="2351"/>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2351"/>
      <c r="E35" s="639"/>
      <c r="F35" s="640"/>
      <c r="G35" s="641"/>
      <c r="H35" s="642"/>
      <c r="I35" s="1883" t="str">
        <f t="shared" si="0"/>
        <v/>
      </c>
      <c r="J35" s="2351"/>
      <c r="K35" s="2351"/>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2351" t="s">
        <v>4138</v>
      </c>
      <c r="E36" s="639"/>
      <c r="F36" s="640">
        <v>1</v>
      </c>
      <c r="G36" s="641" t="s">
        <v>119</v>
      </c>
      <c r="H36" s="642">
        <f>+[3]集計!$E$20</f>
        <v>93384</v>
      </c>
      <c r="I36" s="1883">
        <f t="shared" si="0"/>
        <v>93384</v>
      </c>
      <c r="J36" s="2351"/>
      <c r="K36" s="2351"/>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2351" t="s">
        <v>4139</v>
      </c>
      <c r="E37" s="639"/>
      <c r="F37" s="640">
        <v>1</v>
      </c>
      <c r="G37" s="641" t="s">
        <v>119</v>
      </c>
      <c r="H37" s="642">
        <f>+[3]集計!$E$21</f>
        <v>12187</v>
      </c>
      <c r="I37" s="1883">
        <f t="shared" si="0"/>
        <v>12187</v>
      </c>
      <c r="J37" s="2351"/>
      <c r="K37" s="2351"/>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2351" t="s">
        <v>4140</v>
      </c>
      <c r="E38" s="639"/>
      <c r="F38" s="640">
        <v>1</v>
      </c>
      <c r="G38" s="641" t="s">
        <v>119</v>
      </c>
      <c r="H38" s="642">
        <f>+[3]集計!$E$22</f>
        <v>0</v>
      </c>
      <c r="I38" s="1883">
        <f t="shared" si="0"/>
        <v>0</v>
      </c>
      <c r="J38" s="2351"/>
      <c r="K38" s="2351"/>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2351" t="s">
        <v>4141</v>
      </c>
      <c r="E39" s="639"/>
      <c r="F39" s="640">
        <v>1</v>
      </c>
      <c r="G39" s="641" t="s">
        <v>119</v>
      </c>
      <c r="H39" s="642">
        <f>+[3]集計!$E$24</f>
        <v>3455</v>
      </c>
      <c r="I39" s="1883">
        <f t="shared" si="0"/>
        <v>3455</v>
      </c>
      <c r="J39" s="2351"/>
      <c r="K39" s="2351"/>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2351" t="s">
        <v>4142</v>
      </c>
      <c r="E40" s="639"/>
      <c r="F40" s="640">
        <v>1</v>
      </c>
      <c r="G40" s="641" t="s">
        <v>119</v>
      </c>
      <c r="H40" s="642">
        <f>+[3]集計!$E$25</f>
        <v>29412</v>
      </c>
      <c r="I40" s="1883">
        <f t="shared" si="0"/>
        <v>29412</v>
      </c>
      <c r="J40" s="2351"/>
      <c r="K40" s="2351"/>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2351"/>
      <c r="E41" s="639"/>
      <c r="F41" s="640"/>
      <c r="G41" s="641"/>
      <c r="H41" s="642"/>
      <c r="I41" s="1883" t="str">
        <f t="shared" si="0"/>
        <v/>
      </c>
      <c r="J41" s="2351"/>
      <c r="K41" s="2351"/>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2351"/>
      <c r="E42" s="639"/>
      <c r="F42" s="640"/>
      <c r="G42" s="641"/>
      <c r="H42" s="642"/>
      <c r="I42" s="1883" t="str">
        <f t="shared" si="0"/>
        <v/>
      </c>
      <c r="J42" s="2351"/>
      <c r="K42" s="2351"/>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2351"/>
      <c r="E43" s="639"/>
      <c r="F43" s="640"/>
      <c r="G43" s="641"/>
      <c r="H43" s="642"/>
      <c r="I43" s="1883" t="str">
        <f t="shared" si="0"/>
        <v/>
      </c>
      <c r="J43" s="2351"/>
      <c r="K43" s="2351"/>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2351"/>
      <c r="E44" s="639"/>
      <c r="F44" s="640"/>
      <c r="G44" s="641"/>
      <c r="H44" s="642"/>
      <c r="I44" s="1883" t="str">
        <f t="shared" si="0"/>
        <v/>
      </c>
      <c r="J44" s="2351"/>
      <c r="K44" s="2351"/>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381"/>
      <c r="D45" s="2374" t="s">
        <v>4143</v>
      </c>
      <c r="E45" s="2375"/>
      <c r="F45" s="2376"/>
      <c r="G45" s="2377"/>
      <c r="H45" s="2378"/>
      <c r="I45" s="2379">
        <f>SUM(I35:I44)</f>
        <v>138438</v>
      </c>
      <c r="J45" s="2374"/>
      <c r="K45" s="2374"/>
      <c r="L45" s="2380"/>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2351"/>
      <c r="E46" s="639"/>
      <c r="F46" s="640"/>
      <c r="G46" s="641"/>
      <c r="H46" s="642"/>
      <c r="I46" s="1883" t="str">
        <f t="shared" ref="I46" si="1">IF(F46="","",INT(F46*H46))</f>
        <v/>
      </c>
      <c r="J46" s="2351"/>
      <c r="K46" s="2351"/>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362"/>
      <c r="D47" s="2363" t="s">
        <v>4144</v>
      </c>
      <c r="E47" s="2364"/>
      <c r="F47" s="2365"/>
      <c r="G47" s="2366"/>
      <c r="H47" s="2382" t="s">
        <v>4131</v>
      </c>
      <c r="I47" s="2368">
        <f>I32+I45</f>
        <v>763237</v>
      </c>
      <c r="J47" s="2363" t="s">
        <v>4132</v>
      </c>
      <c r="K47" s="2363"/>
      <c r="L47" s="2369"/>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20</v>
      </c>
      <c r="G48" s="103" t="s">
        <v>131</v>
      </c>
      <c r="H48" s="104">
        <f>+$H$25</f>
        <v>69</v>
      </c>
      <c r="I48" s="104"/>
      <c r="M48" s="38" t="str">
        <f>IF(A50="","EOL","")</f>
        <v/>
      </c>
      <c r="N48" s="6">
        <f>+F48</f>
        <v>20</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33"/>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2351"/>
      <c r="K52" s="2351"/>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+[2]集計!$E$17</f>
        <v>11100</v>
      </c>
      <c r="I53" s="1883">
        <f t="shared" ref="I53:I69" si="2">IF(F53="","",INT(F53*H53))</f>
        <v>11100</v>
      </c>
      <c r="J53" s="2351"/>
      <c r="K53" s="2351"/>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+[2]集計!$E$18</f>
        <v>16758</v>
      </c>
      <c r="I54" s="1883">
        <f t="shared" si="2"/>
        <v>16758</v>
      </c>
      <c r="J54" s="2351"/>
      <c r="K54" s="2351"/>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+[2]集計!$E$19</f>
        <v>61047</v>
      </c>
      <c r="I55" s="1883">
        <f t="shared" si="2"/>
        <v>61047</v>
      </c>
      <c r="J55" s="2351"/>
      <c r="K55" s="2351"/>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+[2]集計!$E$20</f>
        <v>0</v>
      </c>
      <c r="I56" s="1883">
        <f t="shared" si="2"/>
        <v>0</v>
      </c>
      <c r="J56" s="2351"/>
      <c r="K56" s="2351"/>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+[2]集計!$E$21</f>
        <v>0</v>
      </c>
      <c r="I57" s="1883">
        <f t="shared" si="2"/>
        <v>0</v>
      </c>
      <c r="J57" s="2351"/>
      <c r="K57" s="2351"/>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+[2]集計!$E$22</f>
        <v>0</v>
      </c>
      <c r="I58" s="1883">
        <f t="shared" si="2"/>
        <v>0</v>
      </c>
      <c r="J58" s="2351"/>
      <c r="K58" s="2351"/>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2351"/>
      <c r="K59" s="2351"/>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2351"/>
      <c r="K60" s="2351"/>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2351"/>
      <c r="K61" s="2351"/>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2351"/>
      <c r="K62" s="2351"/>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2351"/>
      <c r="K63" s="2351"/>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2351"/>
      <c r="K64" s="2351"/>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2351"/>
      <c r="K65" s="2351"/>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2351"/>
      <c r="K66" s="2351"/>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2351"/>
      <c r="K67" s="2351"/>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2351"/>
      <c r="K68" s="2351"/>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2351"/>
      <c r="K69" s="2351"/>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362"/>
      <c r="D70" s="2363" t="s">
        <v>4144</v>
      </c>
      <c r="E70" s="2364"/>
      <c r="F70" s="2365"/>
      <c r="G70" s="2366"/>
      <c r="H70" s="2382" t="s">
        <v>4131</v>
      </c>
      <c r="I70" s="2368">
        <f>SUM(I52:I69)</f>
        <v>88905</v>
      </c>
      <c r="J70" s="2363" t="s">
        <v>4132</v>
      </c>
      <c r="K70" s="2363"/>
      <c r="L70" s="2369"/>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21</v>
      </c>
      <c r="G71" s="103" t="s">
        <v>131</v>
      </c>
      <c r="H71" s="104">
        <f>+H48</f>
        <v>69</v>
      </c>
      <c r="I71" s="104"/>
      <c r="M71" s="598" t="str">
        <f>IF(A73="","EOL","")</f>
        <v/>
      </c>
      <c r="N71" s="1">
        <f>+F71</f>
        <v>21</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33"/>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388"/>
      <c r="E75" s="621"/>
      <c r="F75" s="640"/>
      <c r="G75" s="641"/>
      <c r="H75" s="1882"/>
      <c r="I75" s="1883" t="str">
        <f t="shared" ref="I75:I92" si="3">IF(F75="","",INT(F75*H75))</f>
        <v/>
      </c>
      <c r="J75" s="2391"/>
      <c r="K75" s="2351"/>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911">
        <v>302</v>
      </c>
      <c r="D76" s="2399" t="s">
        <v>4380</v>
      </c>
      <c r="E76" s="621" t="s">
        <v>4156</v>
      </c>
      <c r="F76" s="640">
        <v>39.9</v>
      </c>
      <c r="G76" s="641" t="s">
        <v>4157</v>
      </c>
      <c r="H76" s="1882">
        <f>見積比較!O$9</f>
        <v>34200</v>
      </c>
      <c r="I76" s="1883">
        <f>IF(F76="","",INT(F76*H76))</f>
        <v>1364580</v>
      </c>
      <c r="J76" s="2391" t="s">
        <v>4158</v>
      </c>
      <c r="K76" s="2351"/>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388"/>
      <c r="E77" s="621"/>
      <c r="F77" s="640"/>
      <c r="G77" s="641"/>
      <c r="H77" s="1882"/>
      <c r="I77" s="1883" t="str">
        <f t="shared" ref="I77:I78" si="4">IF(F77="","",INT(F77*H77))</f>
        <v/>
      </c>
      <c r="J77" s="2391"/>
      <c r="K77" s="2351"/>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c r="B78" s="36"/>
      <c r="C78" s="1881"/>
      <c r="D78" s="2388"/>
      <c r="E78" s="621"/>
      <c r="F78" s="640"/>
      <c r="G78" s="641"/>
      <c r="H78" s="1882"/>
      <c r="I78" s="1883" t="str">
        <f t="shared" si="4"/>
        <v/>
      </c>
      <c r="J78" s="2391"/>
      <c r="K78" s="2351"/>
      <c r="L78" s="2356"/>
      <c r="M78" s="602"/>
      <c r="N78" s="603"/>
      <c r="O78" s="597"/>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c r="B79" s="36"/>
      <c r="C79" s="1881"/>
      <c r="D79" s="2388"/>
      <c r="E79" s="621"/>
      <c r="F79" s="640"/>
      <c r="G79" s="641"/>
      <c r="H79" s="1882"/>
      <c r="I79" s="1883" t="str">
        <f t="shared" si="3"/>
        <v/>
      </c>
      <c r="J79" s="2391"/>
      <c r="K79" s="2351"/>
      <c r="L79" s="2356"/>
      <c r="M79" s="602"/>
      <c r="N79" s="603"/>
      <c r="O79" s="597"/>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388"/>
      <c r="E80" s="621"/>
      <c r="F80" s="640"/>
      <c r="G80" s="641"/>
      <c r="H80" s="1882"/>
      <c r="I80" s="1883" t="str">
        <f t="shared" si="3"/>
        <v/>
      </c>
      <c r="J80" s="2391"/>
      <c r="K80" s="2351"/>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388"/>
      <c r="E81" s="621"/>
      <c r="F81" s="640"/>
      <c r="G81" s="641"/>
      <c r="H81" s="1882"/>
      <c r="I81" s="1883" t="str">
        <f t="shared" si="3"/>
        <v/>
      </c>
      <c r="J81" s="2391"/>
      <c r="K81" s="2351"/>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388"/>
      <c r="E82" s="621"/>
      <c r="F82" s="640"/>
      <c r="G82" s="641"/>
      <c r="H82" s="1882"/>
      <c r="I82" s="1883" t="str">
        <f t="shared" si="3"/>
        <v/>
      </c>
      <c r="J82" s="2391"/>
      <c r="K82" s="2351"/>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388"/>
      <c r="E83" s="621"/>
      <c r="F83" s="640"/>
      <c r="G83" s="641"/>
      <c r="H83" s="1882"/>
      <c r="I83" s="1883" t="str">
        <f t="shared" si="3"/>
        <v/>
      </c>
      <c r="J83" s="2391"/>
      <c r="K83" s="2351"/>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388"/>
      <c r="E84" s="621"/>
      <c r="F84" s="640"/>
      <c r="G84" s="641"/>
      <c r="H84" s="1882"/>
      <c r="I84" s="1883" t="str">
        <f t="shared" si="3"/>
        <v/>
      </c>
      <c r="J84" s="2391"/>
      <c r="K84" s="2351"/>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388"/>
      <c r="E85" s="621"/>
      <c r="F85" s="640"/>
      <c r="G85" s="641"/>
      <c r="H85" s="1882"/>
      <c r="I85" s="1883" t="str">
        <f t="shared" si="3"/>
        <v/>
      </c>
      <c r="J85" s="2391"/>
      <c r="K85" s="2351"/>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388"/>
      <c r="E86" s="621"/>
      <c r="F86" s="640"/>
      <c r="G86" s="641"/>
      <c r="H86" s="1882"/>
      <c r="I86" s="1883" t="str">
        <f t="shared" si="3"/>
        <v/>
      </c>
      <c r="J86" s="2391"/>
      <c r="K86" s="2351"/>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388"/>
      <c r="E87" s="621"/>
      <c r="F87" s="640"/>
      <c r="G87" s="641"/>
      <c r="H87" s="1882"/>
      <c r="I87" s="1883" t="str">
        <f t="shared" si="3"/>
        <v/>
      </c>
      <c r="J87" s="2391"/>
      <c r="K87" s="2351"/>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388"/>
      <c r="E88" s="621"/>
      <c r="F88" s="640"/>
      <c r="G88" s="641"/>
      <c r="H88" s="1882"/>
      <c r="I88" s="1883" t="str">
        <f t="shared" si="3"/>
        <v/>
      </c>
      <c r="J88" s="2391"/>
      <c r="K88" s="2351"/>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388"/>
      <c r="E89" s="621"/>
      <c r="F89" s="640"/>
      <c r="G89" s="641"/>
      <c r="H89" s="1882"/>
      <c r="I89" s="1883" t="str">
        <f t="shared" si="3"/>
        <v/>
      </c>
      <c r="J89" s="2391"/>
      <c r="K89" s="2351"/>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388"/>
      <c r="E90" s="621"/>
      <c r="F90" s="640"/>
      <c r="G90" s="641"/>
      <c r="H90" s="1882"/>
      <c r="I90" s="1883" t="str">
        <f t="shared" si="3"/>
        <v/>
      </c>
      <c r="J90" s="2391"/>
      <c r="K90" s="2351"/>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388"/>
      <c r="E91" s="621"/>
      <c r="F91" s="640"/>
      <c r="G91" s="641"/>
      <c r="H91" s="1882"/>
      <c r="I91" s="1883" t="str">
        <f t="shared" si="3"/>
        <v/>
      </c>
      <c r="J91" s="2391"/>
      <c r="K91" s="2351"/>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388"/>
      <c r="E92" s="621"/>
      <c r="F92" s="640"/>
      <c r="G92" s="641"/>
      <c r="H92" s="1882"/>
      <c r="I92" s="1883" t="str">
        <f t="shared" si="3"/>
        <v/>
      </c>
      <c r="J92" s="2391"/>
      <c r="K92" s="2351"/>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362"/>
      <c r="D93" s="2363" t="s">
        <v>4144</v>
      </c>
      <c r="E93" s="2364"/>
      <c r="F93" s="2365"/>
      <c r="G93" s="2366"/>
      <c r="H93" s="2382" t="s">
        <v>4131</v>
      </c>
      <c r="I93" s="2368">
        <f>SUM(I75:I92)</f>
        <v>1364580</v>
      </c>
      <c r="J93" s="2383" t="str">
        <f>IF(C74="部分撤去工事","）うち費用",")")</f>
        <v>)</v>
      </c>
      <c r="K93" s="2393">
        <f>IF(C74="部分撤去工事",(K70+L93),0)</f>
        <v>0</v>
      </c>
      <c r="L93" s="2384">
        <f>IF(C74="部分撤去工事",SUMIF(N75:N92,"費用",I75:I92),0)</f>
        <v>0</v>
      </c>
      <c r="M93" s="2394"/>
      <c r="N93" s="2400"/>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22</v>
      </c>
      <c r="G94" s="103" t="s">
        <v>131</v>
      </c>
      <c r="H94" s="104">
        <f>+H71</f>
        <v>69</v>
      </c>
      <c r="I94" s="104"/>
      <c r="M94" s="598" t="str">
        <f>IF(A96="","EOL","")</f>
        <v/>
      </c>
      <c r="N94" s="1">
        <f>+F94</f>
        <v>22</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4122</v>
      </c>
      <c r="D97" s="2385"/>
      <c r="E97" s="623"/>
      <c r="F97" s="1889"/>
      <c r="G97" s="1890"/>
      <c r="H97" s="2386" t="s">
        <v>117</v>
      </c>
      <c r="I97" s="2386" t="s">
        <v>117</v>
      </c>
      <c r="J97" s="2759"/>
      <c r="K97" s="2733"/>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388"/>
      <c r="E98" s="621"/>
      <c r="F98" s="640"/>
      <c r="G98" s="641"/>
      <c r="H98" s="1882"/>
      <c r="I98" s="1883" t="str">
        <f t="shared" ref="I98:I115" si="5">IF(F98="","",INT(F98*H98))</f>
        <v/>
      </c>
      <c r="J98" s="2391"/>
      <c r="K98" s="2351"/>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911">
        <v>403</v>
      </c>
      <c r="D99" s="2399" t="s">
        <v>4381</v>
      </c>
      <c r="E99" s="621" t="s">
        <v>4382</v>
      </c>
      <c r="F99" s="640">
        <v>48</v>
      </c>
      <c r="G99" s="641" t="s">
        <v>4168</v>
      </c>
      <c r="H99" s="1882">
        <f>見積比較!O$96</f>
        <v>198400</v>
      </c>
      <c r="I99" s="1883">
        <f>IF(F99="","",INT(F99*H99))</f>
        <v>9523200</v>
      </c>
      <c r="J99" s="2391" t="s">
        <v>4169</v>
      </c>
      <c r="K99" s="2351"/>
      <c r="L99" s="2356"/>
      <c r="M99" s="602"/>
      <c r="N99" s="603"/>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881"/>
      <c r="D100" s="2388"/>
      <c r="E100" s="621" t="s">
        <v>4383</v>
      </c>
      <c r="F100" s="640"/>
      <c r="G100" s="641"/>
      <c r="H100" s="1882"/>
      <c r="I100" s="1883" t="str">
        <f t="shared" ref="I100:I101" si="6">IF(F100="","",INT(F100*H100))</f>
        <v/>
      </c>
      <c r="J100" s="2391"/>
      <c r="K100" s="2351"/>
      <c r="L100" s="2356"/>
      <c r="M100" s="602"/>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c r="B101" s="36"/>
      <c r="C101" s="1881"/>
      <c r="D101" s="2388"/>
      <c r="E101" s="621"/>
      <c r="F101" s="640"/>
      <c r="G101" s="641"/>
      <c r="H101" s="1882"/>
      <c r="I101" s="1883" t="str">
        <f t="shared" si="6"/>
        <v/>
      </c>
      <c r="J101" s="2391"/>
      <c r="K101" s="2351"/>
      <c r="L101" s="2356"/>
      <c r="M101" s="602"/>
      <c r="N101" s="603"/>
      <c r="O101" s="597"/>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881"/>
      <c r="D102" s="2388"/>
      <c r="E102" s="621"/>
      <c r="F102" s="640"/>
      <c r="G102" s="641"/>
      <c r="H102" s="1882"/>
      <c r="I102" s="1883" t="str">
        <f t="shared" si="5"/>
        <v/>
      </c>
      <c r="J102" s="2391"/>
      <c r="K102" s="2351"/>
      <c r="L102" s="2356"/>
      <c r="M102" s="602"/>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c r="B103" s="36"/>
      <c r="C103" s="1881"/>
      <c r="D103" s="2388"/>
      <c r="E103" s="621"/>
      <c r="F103" s="640"/>
      <c r="G103" s="641"/>
      <c r="H103" s="1882"/>
      <c r="I103" s="1883" t="str">
        <f t="shared" si="5"/>
        <v/>
      </c>
      <c r="J103" s="2391"/>
      <c r="K103" s="2351"/>
      <c r="L103" s="2356"/>
      <c r="M103" s="602"/>
      <c r="N103" s="603"/>
      <c r="O103" s="597"/>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881"/>
      <c r="D104" s="2388"/>
      <c r="E104" s="621"/>
      <c r="F104" s="640"/>
      <c r="G104" s="641"/>
      <c r="H104" s="1882"/>
      <c r="I104" s="1883" t="str">
        <f t="shared" si="5"/>
        <v/>
      </c>
      <c r="J104" s="2391"/>
      <c r="K104" s="2351"/>
      <c r="L104" s="2356"/>
      <c r="M104" s="602"/>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c r="B105" s="36"/>
      <c r="C105" s="1881"/>
      <c r="D105" s="2388"/>
      <c r="E105" s="621"/>
      <c r="F105" s="640"/>
      <c r="G105" s="641"/>
      <c r="H105" s="1882"/>
      <c r="I105" s="1883" t="str">
        <f t="shared" si="5"/>
        <v/>
      </c>
      <c r="J105" s="2391"/>
      <c r="K105" s="2351"/>
      <c r="L105" s="2356"/>
      <c r="M105" s="602"/>
      <c r="N105" s="603"/>
      <c r="O105" s="597"/>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881"/>
      <c r="D106" s="2388"/>
      <c r="E106" s="621"/>
      <c r="F106" s="640"/>
      <c r="G106" s="641"/>
      <c r="H106" s="1882"/>
      <c r="I106" s="1883" t="str">
        <f t="shared" si="5"/>
        <v/>
      </c>
      <c r="J106" s="2391"/>
      <c r="K106" s="2351"/>
      <c r="L106" s="2356"/>
      <c r="M106" s="602"/>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c r="B107" s="36"/>
      <c r="C107" s="1881"/>
      <c r="D107" s="2388"/>
      <c r="E107" s="621"/>
      <c r="F107" s="640"/>
      <c r="G107" s="641"/>
      <c r="H107" s="1882"/>
      <c r="I107" s="1883" t="str">
        <f t="shared" si="5"/>
        <v/>
      </c>
      <c r="J107" s="2391"/>
      <c r="K107" s="2351"/>
      <c r="L107" s="2356"/>
      <c r="M107" s="602"/>
      <c r="N107" s="603"/>
      <c r="O107" s="597"/>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c r="B108" s="36"/>
      <c r="C108" s="1881"/>
      <c r="D108" s="2388"/>
      <c r="E108" s="621"/>
      <c r="F108" s="640"/>
      <c r="G108" s="641"/>
      <c r="H108" s="1882"/>
      <c r="I108" s="1883" t="str">
        <f t="shared" si="5"/>
        <v/>
      </c>
      <c r="J108" s="2391"/>
      <c r="K108" s="2351"/>
      <c r="L108" s="2356"/>
      <c r="M108" s="602"/>
      <c r="N108" s="603"/>
      <c r="O108" s="597"/>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c r="B109" s="36"/>
      <c r="C109" s="1881"/>
      <c r="D109" s="2388"/>
      <c r="E109" s="621"/>
      <c r="F109" s="640"/>
      <c r="G109" s="641"/>
      <c r="H109" s="1882"/>
      <c r="I109" s="1883" t="str">
        <f t="shared" si="5"/>
        <v/>
      </c>
      <c r="J109" s="2391"/>
      <c r="K109" s="2351"/>
      <c r="L109" s="2356"/>
      <c r="M109" s="602"/>
      <c r="N109" s="603"/>
      <c r="O109" s="597"/>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881"/>
      <c r="D110" s="2388"/>
      <c r="E110" s="621"/>
      <c r="F110" s="640"/>
      <c r="G110" s="641"/>
      <c r="H110" s="1882"/>
      <c r="I110" s="1883" t="str">
        <f t="shared" si="5"/>
        <v/>
      </c>
      <c r="J110" s="2391"/>
      <c r="K110" s="2351"/>
      <c r="L110" s="2356"/>
      <c r="M110" s="602"/>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881"/>
      <c r="D111" s="2388"/>
      <c r="E111" s="621"/>
      <c r="F111" s="640"/>
      <c r="G111" s="641"/>
      <c r="H111" s="1882"/>
      <c r="I111" s="1883" t="str">
        <f t="shared" si="5"/>
        <v/>
      </c>
      <c r="J111" s="2391"/>
      <c r="K111" s="2351"/>
      <c r="L111" s="2356"/>
      <c r="M111" s="602"/>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881"/>
      <c r="D112" s="2388"/>
      <c r="E112" s="621"/>
      <c r="F112" s="640"/>
      <c r="G112" s="641"/>
      <c r="H112" s="1882"/>
      <c r="I112" s="1883" t="str">
        <f t="shared" si="5"/>
        <v/>
      </c>
      <c r="J112" s="2391"/>
      <c r="K112" s="2351"/>
      <c r="L112" s="2356"/>
      <c r="M112" s="602"/>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881"/>
      <c r="D113" s="2388"/>
      <c r="E113" s="621"/>
      <c r="F113" s="640"/>
      <c r="G113" s="641"/>
      <c r="H113" s="1882"/>
      <c r="I113" s="1883" t="str">
        <f t="shared" si="5"/>
        <v/>
      </c>
      <c r="J113" s="2391"/>
      <c r="K113" s="2351"/>
      <c r="L113" s="2356"/>
      <c r="M113" s="602"/>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388"/>
      <c r="E114" s="621"/>
      <c r="F114" s="640"/>
      <c r="G114" s="641"/>
      <c r="H114" s="1882"/>
      <c r="I114" s="1883" t="str">
        <f t="shared" si="5"/>
        <v/>
      </c>
      <c r="J114" s="2391"/>
      <c r="K114" s="2351"/>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388"/>
      <c r="E115" s="621"/>
      <c r="F115" s="640"/>
      <c r="G115" s="641"/>
      <c r="H115" s="1882"/>
      <c r="I115" s="1883" t="str">
        <f t="shared" si="5"/>
        <v/>
      </c>
      <c r="J115" s="2391"/>
      <c r="K115" s="2351"/>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362"/>
      <c r="D116" s="2363" t="s">
        <v>4144</v>
      </c>
      <c r="E116" s="2364"/>
      <c r="F116" s="2365"/>
      <c r="G116" s="2366"/>
      <c r="H116" s="2382" t="s">
        <v>4131</v>
      </c>
      <c r="I116" s="2368">
        <f>SUM(I98:I115)</f>
        <v>9523200</v>
      </c>
      <c r="J116" s="2383" t="str">
        <f>IF(C97="部分撤去工事","）うち費用",")")</f>
        <v>)</v>
      </c>
      <c r="K116" s="2393">
        <f>IF(C97="部分撤去工事",(K93+L116),0)</f>
        <v>0</v>
      </c>
      <c r="L116" s="2384">
        <f>IF(C97="部分撤去工事",SUMIF(N98:N115,"費用",I98:I115),0)</f>
        <v>0</v>
      </c>
      <c r="M116" s="2394"/>
      <c r="N116" s="2400"/>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23</v>
      </c>
      <c r="G117" s="103" t="s">
        <v>131</v>
      </c>
      <c r="H117" s="104">
        <f>+H94</f>
        <v>69</v>
      </c>
      <c r="I117" s="104"/>
      <c r="M117" s="598" t="str">
        <f>IF(A119="","EOL","")</f>
        <v/>
      </c>
      <c r="N117" s="1">
        <f>+F117</f>
        <v>23</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4125</v>
      </c>
      <c r="D120" s="2385"/>
      <c r="E120" s="623"/>
      <c r="F120" s="1889"/>
      <c r="G120" s="1890"/>
      <c r="H120" s="2386" t="s">
        <v>117</v>
      </c>
      <c r="I120" s="2386" t="s">
        <v>117</v>
      </c>
      <c r="J120" s="2759"/>
      <c r="K120" s="2733"/>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388"/>
      <c r="E121" s="621"/>
      <c r="F121" s="640"/>
      <c r="G121" s="641"/>
      <c r="H121" s="1882"/>
      <c r="I121" s="1883" t="str">
        <f t="shared" ref="I121:I138" si="7">IF(F121="","",INT(F121*H121))</f>
        <v/>
      </c>
      <c r="J121" s="2391"/>
      <c r="K121" s="2351"/>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910">
        <v>700</v>
      </c>
      <c r="D122" s="2399" t="s">
        <v>4384</v>
      </c>
      <c r="E122" s="621" t="s">
        <v>4385</v>
      </c>
      <c r="F122" s="640">
        <v>48</v>
      </c>
      <c r="G122" s="641" t="s">
        <v>4168</v>
      </c>
      <c r="H122" s="1882">
        <f>見積比較!O$146</f>
        <v>191300</v>
      </c>
      <c r="I122" s="1883">
        <f>IF(F122="","",INT(F122*H122))</f>
        <v>9182400</v>
      </c>
      <c r="J122" s="2391" t="s">
        <v>4386</v>
      </c>
      <c r="K122" s="2351"/>
      <c r="L122" s="2356"/>
      <c r="M122" s="602"/>
      <c r="N122" s="603"/>
      <c r="O122" s="597">
        <v>0</v>
      </c>
      <c r="P122" s="187"/>
      <c r="Q122" s="188"/>
      <c r="R122" s="188"/>
      <c r="S122" s="188"/>
      <c r="T122" s="188"/>
      <c r="U122" s="188"/>
      <c r="V122" s="188"/>
      <c r="W122" s="188"/>
      <c r="X122" s="189"/>
      <c r="Y122" s="189"/>
      <c r="Z122" s="189"/>
      <c r="AA122" s="189"/>
      <c r="AB122" s="189"/>
      <c r="AC122" s="188"/>
      <c r="AD122" s="309"/>
      <c r="AE122" s="310"/>
      <c r="AF122" s="188"/>
      <c r="AG122" s="188"/>
      <c r="AH122" s="519"/>
      <c r="AI122" s="557"/>
    </row>
    <row r="123" spans="1:35" s="37" customFormat="1" ht="24" customHeight="1">
      <c r="A123" s="36"/>
      <c r="B123" s="36"/>
      <c r="C123" s="1881"/>
      <c r="D123" s="2388"/>
      <c r="E123" s="621" t="s">
        <v>4387</v>
      </c>
      <c r="F123" s="640"/>
      <c r="G123" s="641"/>
      <c r="H123" s="1882"/>
      <c r="I123" s="1883" t="str">
        <f t="shared" ref="I123:I124" si="8">IF(F123="","",INT(F123*H123))</f>
        <v/>
      </c>
      <c r="J123" s="2391"/>
      <c r="K123" s="2351"/>
      <c r="L123" s="2356"/>
      <c r="M123" s="602"/>
      <c r="N123" s="603"/>
      <c r="O123" s="597"/>
      <c r="P123" s="187"/>
      <c r="Q123" s="188"/>
      <c r="R123" s="188"/>
      <c r="S123" s="188"/>
      <c r="T123" s="188"/>
      <c r="U123" s="188"/>
      <c r="V123" s="188"/>
      <c r="W123" s="188"/>
      <c r="X123" s="189"/>
      <c r="Y123" s="189"/>
      <c r="Z123" s="189"/>
      <c r="AA123" s="189"/>
      <c r="AB123" s="189"/>
      <c r="AC123" s="188"/>
      <c r="AD123" s="309"/>
      <c r="AE123" s="310"/>
      <c r="AF123" s="188"/>
      <c r="AG123" s="188"/>
      <c r="AH123" s="519"/>
      <c r="AI123" s="557"/>
    </row>
    <row r="124" spans="1:35" s="37" customFormat="1" ht="24" customHeight="1">
      <c r="A124" s="36"/>
      <c r="B124" s="36"/>
      <c r="C124" s="1881"/>
      <c r="D124" s="2388"/>
      <c r="E124" s="621"/>
      <c r="F124" s="640"/>
      <c r="G124" s="641"/>
      <c r="H124" s="1882"/>
      <c r="I124" s="1883" t="str">
        <f t="shared" si="8"/>
        <v/>
      </c>
      <c r="J124" s="2391"/>
      <c r="K124" s="2351"/>
      <c r="L124" s="2356"/>
      <c r="M124" s="602"/>
      <c r="N124" s="603"/>
      <c r="O124" s="597"/>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1881"/>
      <c r="D125" s="2388"/>
      <c r="E125" s="621"/>
      <c r="F125" s="640"/>
      <c r="G125" s="641"/>
      <c r="H125" s="1882"/>
      <c r="I125" s="1883" t="str">
        <f t="shared" si="7"/>
        <v/>
      </c>
      <c r="J125" s="2391"/>
      <c r="K125" s="2351"/>
      <c r="L125" s="2356"/>
      <c r="M125" s="602"/>
      <c r="N125" s="603"/>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c r="B126" s="36"/>
      <c r="C126" s="1881"/>
      <c r="D126" s="2388"/>
      <c r="E126" s="621"/>
      <c r="F126" s="640"/>
      <c r="G126" s="641"/>
      <c r="H126" s="1882"/>
      <c r="I126" s="1883" t="str">
        <f t="shared" si="7"/>
        <v/>
      </c>
      <c r="J126" s="2391"/>
      <c r="K126" s="2351"/>
      <c r="L126" s="2356"/>
      <c r="M126" s="602"/>
      <c r="N126" s="603"/>
      <c r="O126" s="597"/>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1881"/>
      <c r="D127" s="2388"/>
      <c r="E127" s="621"/>
      <c r="F127" s="640"/>
      <c r="G127" s="641"/>
      <c r="H127" s="1882"/>
      <c r="I127" s="1883" t="str">
        <f t="shared" si="7"/>
        <v/>
      </c>
      <c r="J127" s="2391"/>
      <c r="K127" s="2351"/>
      <c r="L127" s="2356"/>
      <c r="M127" s="602"/>
      <c r="N127" s="603"/>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1881"/>
      <c r="D128" s="2388"/>
      <c r="E128" s="621"/>
      <c r="F128" s="640"/>
      <c r="G128" s="641"/>
      <c r="H128" s="1882"/>
      <c r="I128" s="1883" t="str">
        <f t="shared" si="7"/>
        <v/>
      </c>
      <c r="J128" s="2391"/>
      <c r="K128" s="2351"/>
      <c r="L128" s="2356"/>
      <c r="M128" s="602"/>
      <c r="N128" s="603"/>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388"/>
      <c r="E129" s="621"/>
      <c r="F129" s="640"/>
      <c r="G129" s="641"/>
      <c r="H129" s="1882"/>
      <c r="I129" s="1883" t="str">
        <f t="shared" si="7"/>
        <v/>
      </c>
      <c r="J129" s="2391"/>
      <c r="K129" s="2351"/>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c r="B130" s="36"/>
      <c r="C130" s="1881"/>
      <c r="D130" s="2388"/>
      <c r="E130" s="621"/>
      <c r="F130" s="640"/>
      <c r="G130" s="641"/>
      <c r="H130" s="1882"/>
      <c r="I130" s="1883" t="str">
        <f t="shared" si="7"/>
        <v/>
      </c>
      <c r="J130" s="2391"/>
      <c r="K130" s="2351"/>
      <c r="L130" s="2356"/>
      <c r="M130" s="602"/>
      <c r="N130" s="603"/>
      <c r="O130" s="597"/>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388"/>
      <c r="E131" s="621"/>
      <c r="F131" s="640"/>
      <c r="G131" s="641"/>
      <c r="H131" s="1882"/>
      <c r="I131" s="1883" t="str">
        <f t="shared" si="7"/>
        <v/>
      </c>
      <c r="J131" s="2391"/>
      <c r="K131" s="2351"/>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c r="B132" s="36"/>
      <c r="C132" s="1881"/>
      <c r="D132" s="2388"/>
      <c r="E132" s="621"/>
      <c r="F132" s="640"/>
      <c r="G132" s="641"/>
      <c r="H132" s="1882"/>
      <c r="I132" s="1883" t="str">
        <f t="shared" si="7"/>
        <v/>
      </c>
      <c r="J132" s="2391"/>
      <c r="K132" s="2351"/>
      <c r="L132" s="2356"/>
      <c r="M132" s="602"/>
      <c r="N132" s="603"/>
      <c r="O132" s="597"/>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2388"/>
      <c r="E133" s="621"/>
      <c r="F133" s="640"/>
      <c r="G133" s="641"/>
      <c r="H133" s="1882"/>
      <c r="I133" s="1883" t="str">
        <f t="shared" si="7"/>
        <v/>
      </c>
      <c r="J133" s="2391"/>
      <c r="K133" s="2351"/>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c r="B134" s="36"/>
      <c r="C134" s="1881"/>
      <c r="D134" s="2388"/>
      <c r="E134" s="621"/>
      <c r="F134" s="640"/>
      <c r="G134" s="641"/>
      <c r="H134" s="1882"/>
      <c r="I134" s="1883" t="str">
        <f t="shared" si="7"/>
        <v/>
      </c>
      <c r="J134" s="2391"/>
      <c r="K134" s="2351"/>
      <c r="L134" s="2356"/>
      <c r="M134" s="602"/>
      <c r="N134" s="603"/>
      <c r="O134" s="597"/>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1881"/>
      <c r="D135" s="2388"/>
      <c r="E135" s="621"/>
      <c r="F135" s="640"/>
      <c r="G135" s="641"/>
      <c r="H135" s="1882"/>
      <c r="I135" s="1883" t="str">
        <f t="shared" si="7"/>
        <v/>
      </c>
      <c r="J135" s="2391"/>
      <c r="K135" s="2351"/>
      <c r="L135" s="2356"/>
      <c r="M135" s="602"/>
      <c r="N135" s="603"/>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1881"/>
      <c r="D136" s="2388"/>
      <c r="E136" s="621"/>
      <c r="F136" s="640"/>
      <c r="G136" s="641"/>
      <c r="H136" s="1882"/>
      <c r="I136" s="1883" t="str">
        <f t="shared" si="7"/>
        <v/>
      </c>
      <c r="J136" s="2391"/>
      <c r="K136" s="2351"/>
      <c r="L136" s="2356"/>
      <c r="M136" s="602"/>
      <c r="N136" s="603"/>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2388"/>
      <c r="E137" s="621"/>
      <c r="F137" s="640"/>
      <c r="G137" s="641"/>
      <c r="H137" s="1882"/>
      <c r="I137" s="1883" t="str">
        <f t="shared" si="7"/>
        <v/>
      </c>
      <c r="J137" s="2391"/>
      <c r="K137" s="2351"/>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388"/>
      <c r="E138" s="621"/>
      <c r="F138" s="640"/>
      <c r="G138" s="641"/>
      <c r="H138" s="1882"/>
      <c r="I138" s="1883" t="str">
        <f t="shared" si="7"/>
        <v/>
      </c>
      <c r="J138" s="2391"/>
      <c r="K138" s="2351"/>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362"/>
      <c r="D139" s="2363" t="s">
        <v>4144</v>
      </c>
      <c r="E139" s="2364"/>
      <c r="F139" s="2365"/>
      <c r="G139" s="2366"/>
      <c r="H139" s="2382" t="s">
        <v>4131</v>
      </c>
      <c r="I139" s="2368">
        <f>SUM(I121:I138)</f>
        <v>9182400</v>
      </c>
      <c r="J139" s="2383" t="str">
        <f>IF(C120="部分撤去工事","）うち費用",")")</f>
        <v>)</v>
      </c>
      <c r="K139" s="2393">
        <f>IF(C120="部分撤去工事",(#REF!+L139),0)</f>
        <v>0</v>
      </c>
      <c r="L139" s="2384">
        <f>IF(C120="部分撤去工事",SUMIF(N121:N138,"費用",I121:I138),0)</f>
        <v>0</v>
      </c>
      <c r="M139" s="2394"/>
      <c r="N139" s="2400"/>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24</v>
      </c>
      <c r="G140" s="103" t="s">
        <v>131</v>
      </c>
      <c r="H140" s="104">
        <f>+H117</f>
        <v>69</v>
      </c>
      <c r="I140" s="104"/>
      <c r="M140" s="598" t="str">
        <f>IF(A142="","EOL","")</f>
        <v/>
      </c>
      <c r="N140" s="1">
        <f>+F140</f>
        <v>24</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N141" s="1"/>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4126</v>
      </c>
      <c r="D143" s="2385"/>
      <c r="E143" s="623"/>
      <c r="F143" s="1889"/>
      <c r="G143" s="1890"/>
      <c r="H143" s="2386" t="s">
        <v>117</v>
      </c>
      <c r="I143" s="2386" t="s">
        <v>117</v>
      </c>
      <c r="J143" s="2759"/>
      <c r="K143" s="2733"/>
      <c r="L143" s="2734"/>
      <c r="M143" s="600"/>
      <c r="N143" s="601"/>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1881"/>
      <c r="D144" s="2388"/>
      <c r="E144" s="621"/>
      <c r="F144" s="640"/>
      <c r="G144" s="641"/>
      <c r="H144" s="1882"/>
      <c r="I144" s="1883" t="str">
        <f t="shared" ref="I144:I161" si="9">IF(F144="","",INT(F144*H144))</f>
        <v/>
      </c>
      <c r="J144" s="2391"/>
      <c r="K144" s="2351"/>
      <c r="L144" s="2356"/>
      <c r="M144" s="602"/>
      <c r="N144" s="603"/>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4</v>
      </c>
      <c r="B145" s="36">
        <v>4</v>
      </c>
      <c r="C145" s="1881">
        <v>25012</v>
      </c>
      <c r="D145" s="2399" t="s">
        <v>4219</v>
      </c>
      <c r="E145" s="621" t="s">
        <v>4220</v>
      </c>
      <c r="F145" s="640">
        <v>39.9</v>
      </c>
      <c r="G145" s="641" t="s">
        <v>4193</v>
      </c>
      <c r="H145" s="1882">
        <v>29100</v>
      </c>
      <c r="I145" s="1883">
        <f>IF(F145="","",INT(F145*H145))</f>
        <v>1161090</v>
      </c>
      <c r="J145" s="2391" t="s">
        <v>4221</v>
      </c>
      <c r="K145" s="2351"/>
      <c r="L145" s="2356"/>
      <c r="M145" s="602"/>
      <c r="N145" s="603" t="s">
        <v>4223</v>
      </c>
      <c r="O145" s="597"/>
      <c r="P145" s="187">
        <v>60</v>
      </c>
      <c r="Q145" s="188"/>
      <c r="R145" s="188"/>
      <c r="S145" s="188"/>
      <c r="T145" s="188"/>
      <c r="U145" s="188">
        <v>20</v>
      </c>
      <c r="V145" s="188"/>
      <c r="W145" s="188"/>
      <c r="X145" s="189"/>
      <c r="Y145" s="189"/>
      <c r="Z145" s="189"/>
      <c r="AA145" s="189"/>
      <c r="AB145" s="189"/>
      <c r="AC145" s="188"/>
      <c r="AD145" s="309"/>
      <c r="AE145" s="310"/>
      <c r="AF145" s="188"/>
      <c r="AG145" s="188"/>
      <c r="AH145" s="519"/>
      <c r="AI145" s="557"/>
    </row>
    <row r="146" spans="1:35" s="37" customFormat="1" ht="24" customHeight="1">
      <c r="A146" s="36"/>
      <c r="B146" s="36"/>
      <c r="C146" s="1881"/>
      <c r="D146" s="2388"/>
      <c r="E146" s="621"/>
      <c r="F146" s="640"/>
      <c r="G146" s="641"/>
      <c r="H146" s="1882"/>
      <c r="I146" s="1883" t="str">
        <f t="shared" ref="I146:I149" si="10">IF(F146="","",INT(F146*H146))</f>
        <v/>
      </c>
      <c r="J146" s="2391"/>
      <c r="K146" s="2351"/>
      <c r="L146" s="2356"/>
      <c r="M146" s="602"/>
      <c r="N146" s="603"/>
      <c r="O146" s="597"/>
      <c r="P146" s="187"/>
      <c r="Q146" s="188"/>
      <c r="R146" s="188"/>
      <c r="S146" s="188"/>
      <c r="T146" s="188"/>
      <c r="U146" s="188"/>
      <c r="V146" s="188"/>
      <c r="W146" s="188"/>
      <c r="X146" s="189"/>
      <c r="Y146" s="189"/>
      <c r="Z146" s="189"/>
      <c r="AA146" s="189"/>
      <c r="AB146" s="189"/>
      <c r="AC146" s="188"/>
      <c r="AD146" s="309"/>
      <c r="AE146" s="310"/>
      <c r="AF146" s="188"/>
      <c r="AG146" s="188"/>
      <c r="AH146" s="519"/>
      <c r="AI146" s="557"/>
    </row>
    <row r="147" spans="1:35" s="37" customFormat="1" ht="24" customHeight="1">
      <c r="A147" s="36"/>
      <c r="B147" s="36"/>
      <c r="C147" s="1881"/>
      <c r="D147" s="2399"/>
      <c r="E147" s="621"/>
      <c r="F147" s="640"/>
      <c r="G147" s="641"/>
      <c r="H147" s="1882"/>
      <c r="I147" s="1883"/>
      <c r="J147" s="2391"/>
      <c r="K147" s="2351"/>
      <c r="L147" s="2356"/>
      <c r="M147" s="602"/>
      <c r="N147" s="603"/>
      <c r="O147" s="597"/>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v>4</v>
      </c>
      <c r="B148" s="36">
        <v>4</v>
      </c>
      <c r="C148" s="1881">
        <v>20061</v>
      </c>
      <c r="D148" s="2399" t="s">
        <v>4248</v>
      </c>
      <c r="E148" s="621" t="s">
        <v>4249</v>
      </c>
      <c r="F148" s="640">
        <f>ROUND('2'!N2*0.001,1)</f>
        <v>3.2</v>
      </c>
      <c r="G148" s="641" t="s">
        <v>4250</v>
      </c>
      <c r="H148" s="1882">
        <f>10900*L148</f>
        <v>54500</v>
      </c>
      <c r="I148" s="1883">
        <f>IF(F148="","",INT(F148*H148))</f>
        <v>174400</v>
      </c>
      <c r="J148" s="2391" t="s">
        <v>4251</v>
      </c>
      <c r="K148" s="2351"/>
      <c r="L148" s="2356">
        <v>5</v>
      </c>
      <c r="M148" s="602"/>
      <c r="N148" s="603" t="s">
        <v>4223</v>
      </c>
      <c r="O148" s="597">
        <v>0</v>
      </c>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c r="B149" s="36"/>
      <c r="C149" s="1881"/>
      <c r="D149" s="2388"/>
      <c r="E149" s="621"/>
      <c r="F149" s="640"/>
      <c r="G149" s="641"/>
      <c r="H149" s="1882"/>
      <c r="I149" s="1883" t="str">
        <f t="shared" si="10"/>
        <v/>
      </c>
      <c r="J149" s="2391"/>
      <c r="K149" s="2351"/>
      <c r="L149" s="2356"/>
      <c r="M149" s="602"/>
      <c r="N149" s="603"/>
      <c r="O149" s="597"/>
      <c r="P149" s="187"/>
      <c r="Q149" s="188"/>
      <c r="R149" s="188"/>
      <c r="S149" s="188"/>
      <c r="T149" s="188"/>
      <c r="U149" s="188"/>
      <c r="V149" s="188"/>
      <c r="W149" s="188"/>
      <c r="X149" s="189"/>
      <c r="Y149" s="189"/>
      <c r="Z149" s="189"/>
      <c r="AA149" s="189"/>
      <c r="AB149" s="189"/>
      <c r="AC149" s="188"/>
      <c r="AD149" s="309"/>
      <c r="AE149" s="310"/>
      <c r="AF149" s="188"/>
      <c r="AG149" s="188"/>
      <c r="AH149" s="519"/>
      <c r="AI149" s="557"/>
    </row>
    <row r="150" spans="1:35" s="37" customFormat="1" ht="24" customHeight="1">
      <c r="A150" s="36">
        <v>4</v>
      </c>
      <c r="B150" s="36">
        <v>4</v>
      </c>
      <c r="C150" s="1881">
        <v>24020</v>
      </c>
      <c r="D150" s="2399" t="s">
        <v>4254</v>
      </c>
      <c r="E150" s="621" t="s">
        <v>4255</v>
      </c>
      <c r="F150" s="640">
        <f>ROUND('2'!V2*0.001,1)</f>
        <v>3.2</v>
      </c>
      <c r="G150" s="641" t="s">
        <v>4250</v>
      </c>
      <c r="H150" s="1882">
        <v>4410</v>
      </c>
      <c r="I150" s="1883">
        <f>IF(F150="","",INT(F150*H150))</f>
        <v>14112</v>
      </c>
      <c r="J150" s="2391"/>
      <c r="K150" s="2351"/>
      <c r="L150" s="2356"/>
      <c r="M150" s="602"/>
      <c r="N150" s="603" t="s">
        <v>4223</v>
      </c>
      <c r="O150" s="597">
        <v>0</v>
      </c>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c r="B151" s="36"/>
      <c r="C151" s="1881"/>
      <c r="D151" s="2388"/>
      <c r="E151" s="621"/>
      <c r="F151" s="640"/>
      <c r="G151" s="641"/>
      <c r="H151" s="1882"/>
      <c r="I151" s="1883"/>
      <c r="J151" s="2391"/>
      <c r="K151" s="2351"/>
      <c r="L151" s="2356"/>
      <c r="M151" s="602"/>
      <c r="N151" s="603"/>
      <c r="O151" s="597"/>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v>4</v>
      </c>
      <c r="B152" s="36">
        <v>4</v>
      </c>
      <c r="C152" s="1881"/>
      <c r="D152" s="2399" t="s">
        <v>4256</v>
      </c>
      <c r="E152" s="621" t="s">
        <v>4257</v>
      </c>
      <c r="F152" s="640">
        <v>1</v>
      </c>
      <c r="G152" s="641" t="s">
        <v>122</v>
      </c>
      <c r="H152" s="1882"/>
      <c r="I152" s="1883">
        <f>+[4]残材運搬費按分表!$T$92</f>
        <v>36127</v>
      </c>
      <c r="J152" s="2391" t="s">
        <v>4147</v>
      </c>
      <c r="K152" s="2351"/>
      <c r="L152" s="2356"/>
      <c r="M152" s="602"/>
      <c r="N152" s="603" t="s">
        <v>4223</v>
      </c>
      <c r="O152" s="597">
        <v>0</v>
      </c>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1881"/>
      <c r="D153" s="2399"/>
      <c r="E153" s="621"/>
      <c r="F153" s="640"/>
      <c r="G153" s="641"/>
      <c r="H153" s="1882"/>
      <c r="I153" s="1883"/>
      <c r="J153" s="2391"/>
      <c r="K153" s="2351"/>
      <c r="L153" s="2356"/>
      <c r="M153" s="602"/>
      <c r="N153" s="603"/>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v>4</v>
      </c>
      <c r="B154" s="36">
        <v>4</v>
      </c>
      <c r="C154" s="1881">
        <v>24063</v>
      </c>
      <c r="D154" s="2399" t="s">
        <v>4260</v>
      </c>
      <c r="E154" s="621" t="s">
        <v>4261</v>
      </c>
      <c r="F154" s="640">
        <f>ROUND('2'!E19*0.001,1)</f>
        <v>2.4</v>
      </c>
      <c r="G154" s="641" t="s">
        <v>4262</v>
      </c>
      <c r="H154" s="1882">
        <v>1180</v>
      </c>
      <c r="I154" s="1883">
        <f>IF(F154="","",INT(F154*H154))</f>
        <v>2832</v>
      </c>
      <c r="J154" s="2391"/>
      <c r="K154" s="2351"/>
      <c r="L154" s="2356"/>
      <c r="M154" s="602"/>
      <c r="N154" s="603" t="s">
        <v>4223</v>
      </c>
      <c r="O154" s="597">
        <v>0</v>
      </c>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v>4</v>
      </c>
      <c r="B155" s="36">
        <v>4</v>
      </c>
      <c r="C155" s="1881">
        <v>24006</v>
      </c>
      <c r="D155" s="2399" t="s">
        <v>4388</v>
      </c>
      <c r="E155" s="621" t="s">
        <v>4389</v>
      </c>
      <c r="F155" s="640">
        <f>ROUND('2'!J19*0.001,2)</f>
        <v>0.8</v>
      </c>
      <c r="G155" s="641" t="s">
        <v>4246</v>
      </c>
      <c r="H155" s="1882">
        <v>10000</v>
      </c>
      <c r="I155" s="1883">
        <f>IF(F155="","",INT(F155*H155))</f>
        <v>8000</v>
      </c>
      <c r="J155" s="2391"/>
      <c r="K155" s="2351"/>
      <c r="L155" s="2356"/>
      <c r="M155" s="602"/>
      <c r="N155" s="603" t="s">
        <v>4223</v>
      </c>
      <c r="O155" s="597">
        <v>0</v>
      </c>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c r="B156" s="36"/>
      <c r="C156" s="1881"/>
      <c r="D156" s="2399"/>
      <c r="E156" s="621"/>
      <c r="F156" s="640"/>
      <c r="G156" s="641"/>
      <c r="H156" s="1882"/>
      <c r="I156" s="1883"/>
      <c r="J156" s="2391"/>
      <c r="K156" s="2351"/>
      <c r="L156" s="2356"/>
      <c r="M156" s="602"/>
      <c r="N156" s="603"/>
      <c r="O156" s="597"/>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c r="B157" s="36"/>
      <c r="C157" s="1881"/>
      <c r="D157" s="2388"/>
      <c r="E157" s="621"/>
      <c r="F157" s="640"/>
      <c r="G157" s="641"/>
      <c r="H157" s="1882"/>
      <c r="I157" s="1883" t="str">
        <f t="shared" si="9"/>
        <v/>
      </c>
      <c r="J157" s="2391"/>
      <c r="K157" s="2351"/>
      <c r="L157" s="2356"/>
      <c r="M157" s="602"/>
      <c r="N157" s="603"/>
      <c r="O157" s="597"/>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1881"/>
      <c r="D158" s="2388"/>
      <c r="E158" s="621"/>
      <c r="F158" s="640"/>
      <c r="G158" s="641"/>
      <c r="H158" s="1882"/>
      <c r="I158" s="1883" t="str">
        <f t="shared" si="9"/>
        <v/>
      </c>
      <c r="J158" s="2391"/>
      <c r="K158" s="2351"/>
      <c r="L158" s="2356"/>
      <c r="M158" s="602"/>
      <c r="N158" s="603"/>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1881"/>
      <c r="D159" s="2388"/>
      <c r="E159" s="621"/>
      <c r="F159" s="640"/>
      <c r="G159" s="641"/>
      <c r="H159" s="1882"/>
      <c r="I159" s="1883" t="str">
        <f t="shared" si="9"/>
        <v/>
      </c>
      <c r="J159" s="2391"/>
      <c r="K159" s="2351"/>
      <c r="L159" s="2356"/>
      <c r="M159" s="602"/>
      <c r="N159" s="603"/>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1881"/>
      <c r="D160" s="2388"/>
      <c r="E160" s="621"/>
      <c r="F160" s="640"/>
      <c r="G160" s="641"/>
      <c r="H160" s="1882"/>
      <c r="I160" s="1883" t="str">
        <f t="shared" si="9"/>
        <v/>
      </c>
      <c r="J160" s="2391"/>
      <c r="K160" s="2351"/>
      <c r="L160" s="2356"/>
      <c r="M160" s="602"/>
      <c r="N160" s="603"/>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1881"/>
      <c r="D161" s="2388"/>
      <c r="E161" s="621"/>
      <c r="F161" s="640"/>
      <c r="G161" s="641"/>
      <c r="H161" s="1882"/>
      <c r="I161" s="1883" t="str">
        <f t="shared" si="9"/>
        <v/>
      </c>
      <c r="J161" s="2391"/>
      <c r="K161" s="2351"/>
      <c r="L161" s="2356"/>
      <c r="M161" s="602"/>
      <c r="N161" s="603"/>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362"/>
      <c r="D162" s="2363" t="s">
        <v>4144</v>
      </c>
      <c r="E162" s="2364"/>
      <c r="F162" s="2365"/>
      <c r="G162" s="2366"/>
      <c r="H162" s="2382" t="s">
        <v>4131</v>
      </c>
      <c r="I162" s="2368">
        <f>SUM(I144:I161)</f>
        <v>1396561</v>
      </c>
      <c r="J162" s="2383" t="str">
        <f>IF(C143="部分撤去工事","）うち費用",")")</f>
        <v>）うち費用</v>
      </c>
      <c r="K162" s="2436">
        <f>IF(C143="部分撤去工事",(K139+L162),0)</f>
        <v>1396561</v>
      </c>
      <c r="L162" s="2384">
        <f>IF(C143="部分撤去工事",SUMIF(N144:N161,"費用",I144:I161),0)</f>
        <v>1396561</v>
      </c>
      <c r="M162" s="2394"/>
      <c r="N162" s="2400"/>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25</v>
      </c>
      <c r="G163" s="103" t="s">
        <v>131</v>
      </c>
      <c r="H163" s="104">
        <f>+H140</f>
        <v>69</v>
      </c>
      <c r="I163" s="104"/>
      <c r="M163" s="598" t="str">
        <f>IF(A165="","EOL","")</f>
        <v>EOL</v>
      </c>
      <c r="N163" s="1">
        <f>+F163</f>
        <v>25</v>
      </c>
      <c r="Q163" s="37"/>
      <c r="R163" s="37"/>
      <c r="S163" s="37"/>
      <c r="T163" s="37"/>
      <c r="U163" s="37"/>
      <c r="V163" s="37"/>
      <c r="W163" s="37"/>
      <c r="X163" s="37"/>
      <c r="Y163" s="37"/>
      <c r="Z163" s="37"/>
    </row>
    <row r="164" spans="1:35" ht="26.1" customHeight="1">
      <c r="O164" s="185"/>
      <c r="P164" s="185"/>
      <c r="Q164" s="185"/>
      <c r="R164" s="185"/>
      <c r="S164" s="185"/>
      <c r="T164" s="185"/>
      <c r="U164" s="185"/>
      <c r="V164" s="185"/>
      <c r="W164" s="185"/>
      <c r="X164" s="185"/>
      <c r="Y164" s="185"/>
      <c r="Z164" s="185"/>
      <c r="AA164" s="185"/>
    </row>
    <row r="165" spans="1:35" ht="26.1" customHeight="1">
      <c r="O165" s="1990"/>
      <c r="P165" s="1990"/>
      <c r="Q165" s="181"/>
      <c r="R165" s="182"/>
      <c r="S165" s="183"/>
      <c r="T165" s="183"/>
      <c r="U165" s="181"/>
      <c r="V165" s="181"/>
      <c r="W165" s="183"/>
      <c r="X165" s="1990"/>
      <c r="Y165" s="1990"/>
      <c r="Z165" s="1990"/>
      <c r="AA165" s="1990"/>
    </row>
    <row r="166" spans="1:35" ht="26.1" customHeight="1">
      <c r="O166" s="184"/>
      <c r="P166" s="184"/>
      <c r="Q166" s="181"/>
      <c r="R166" s="181"/>
      <c r="S166" s="181"/>
      <c r="T166" s="181"/>
      <c r="U166" s="181"/>
      <c r="V166" s="181"/>
      <c r="W166" s="181"/>
      <c r="X166" s="181"/>
      <c r="Y166" s="181"/>
      <c r="Z166" s="181"/>
      <c r="AA166" s="181"/>
    </row>
    <row r="167" spans="1:35" ht="26.1" customHeight="1">
      <c r="O167" s="184"/>
      <c r="P167" s="184"/>
      <c r="Q167" s="181"/>
      <c r="R167" s="181"/>
      <c r="S167" s="181"/>
      <c r="T167" s="181"/>
      <c r="U167" s="181"/>
      <c r="V167" s="181"/>
      <c r="W167" s="181"/>
      <c r="X167" s="181"/>
      <c r="Y167" s="181"/>
      <c r="Z167" s="181"/>
      <c r="AA167" s="181"/>
    </row>
    <row r="168" spans="1:35" ht="26.1" customHeight="1">
      <c r="O168" s="184"/>
      <c r="P168" s="184"/>
      <c r="Q168" s="181"/>
      <c r="R168" s="181"/>
      <c r="S168" s="181"/>
      <c r="T168" s="181"/>
      <c r="U168" s="181"/>
      <c r="V168" s="181"/>
      <c r="W168" s="181"/>
      <c r="X168" s="181"/>
      <c r="Y168" s="181"/>
      <c r="Z168" s="181"/>
      <c r="AA168" s="181"/>
    </row>
    <row r="169" spans="1:35" ht="26.1" customHeight="1">
      <c r="O169" s="184"/>
      <c r="P169" s="184"/>
      <c r="Q169" s="181"/>
      <c r="R169" s="181"/>
      <c r="S169" s="181"/>
      <c r="T169" s="181"/>
      <c r="U169" s="181"/>
      <c r="V169" s="181"/>
      <c r="W169" s="181"/>
      <c r="X169" s="181"/>
      <c r="Y169" s="181"/>
      <c r="Z169" s="181"/>
      <c r="AA169" s="181"/>
    </row>
    <row r="170" spans="1:35" ht="26.1" customHeight="1">
      <c r="O170" s="184"/>
      <c r="P170" s="184"/>
      <c r="Q170" s="181"/>
      <c r="R170" s="181"/>
      <c r="S170" s="181"/>
      <c r="T170" s="181"/>
      <c r="U170" s="181"/>
      <c r="V170" s="181"/>
      <c r="W170" s="181"/>
      <c r="X170" s="181"/>
      <c r="Y170" s="181"/>
      <c r="Z170" s="181"/>
      <c r="AA170" s="181"/>
    </row>
    <row r="171" spans="1:35" ht="26.1" customHeight="1">
      <c r="O171" s="184"/>
      <c r="P171" s="184"/>
      <c r="Q171" s="181"/>
      <c r="R171" s="181"/>
      <c r="S171" s="181"/>
      <c r="T171" s="181"/>
      <c r="U171" s="181"/>
      <c r="V171" s="181"/>
      <c r="W171" s="181"/>
      <c r="X171" s="181"/>
      <c r="Y171" s="181"/>
      <c r="Z171" s="181"/>
      <c r="AA171" s="181"/>
    </row>
    <row r="172" spans="1:35" ht="26.1" customHeight="1">
      <c r="O172" s="184"/>
      <c r="P172" s="184"/>
      <c r="Q172" s="181"/>
      <c r="R172" s="181"/>
      <c r="S172" s="181"/>
      <c r="T172" s="181"/>
      <c r="U172" s="181"/>
      <c r="V172" s="181"/>
      <c r="W172" s="181"/>
      <c r="X172" s="181"/>
      <c r="Y172" s="181"/>
      <c r="Z172" s="181"/>
      <c r="AA172" s="181"/>
    </row>
    <row r="173" spans="1:35" ht="26.1" customHeight="1">
      <c r="O173" s="184"/>
      <c r="P173" s="184"/>
      <c r="Q173" s="181"/>
      <c r="R173" s="181"/>
      <c r="S173" s="181"/>
      <c r="T173" s="181"/>
      <c r="U173" s="181"/>
      <c r="V173" s="181"/>
      <c r="W173" s="181"/>
      <c r="X173" s="181"/>
      <c r="Y173" s="181"/>
      <c r="Z173" s="181"/>
      <c r="AA173" s="181"/>
    </row>
    <row r="174" spans="1:35" ht="26.1" customHeight="1">
      <c r="O174" s="184"/>
      <c r="P174" s="184"/>
      <c r="Q174" s="181"/>
      <c r="R174" s="181"/>
      <c r="S174" s="181"/>
      <c r="T174" s="181"/>
      <c r="U174" s="181"/>
      <c r="V174" s="181"/>
      <c r="W174" s="181"/>
      <c r="X174" s="181"/>
      <c r="Y174" s="181"/>
      <c r="Z174" s="181"/>
      <c r="AA174" s="181"/>
    </row>
    <row r="175" spans="1:35" ht="26.1" customHeight="1">
      <c r="O175" s="184"/>
      <c r="P175" s="184"/>
      <c r="Q175" s="181"/>
      <c r="R175" s="181"/>
      <c r="S175" s="181"/>
      <c r="T175" s="181"/>
      <c r="U175" s="181"/>
      <c r="V175" s="181"/>
      <c r="W175" s="181"/>
      <c r="X175" s="181"/>
      <c r="Y175" s="181"/>
      <c r="Z175" s="181"/>
      <c r="AA175" s="181"/>
    </row>
    <row r="176" spans="1:35" ht="26.1" customHeight="1">
      <c r="O176" s="184"/>
      <c r="P176" s="184"/>
      <c r="Q176" s="181"/>
      <c r="R176" s="181"/>
      <c r="S176" s="181"/>
      <c r="T176" s="181"/>
      <c r="U176" s="181"/>
      <c r="V176" s="181"/>
      <c r="W176" s="181"/>
      <c r="X176" s="181"/>
      <c r="Y176" s="181"/>
      <c r="Z176" s="181"/>
      <c r="AA176" s="181"/>
    </row>
    <row r="177" spans="15:27" ht="26.1" customHeight="1">
      <c r="O177" s="184"/>
      <c r="P177" s="184"/>
      <c r="Q177" s="181"/>
      <c r="R177" s="181"/>
      <c r="S177" s="181"/>
      <c r="T177" s="181"/>
      <c r="U177" s="181"/>
      <c r="V177" s="181"/>
      <c r="W177" s="181"/>
      <c r="X177" s="181"/>
      <c r="Y177" s="181"/>
      <c r="Z177" s="181"/>
      <c r="AA177" s="181"/>
    </row>
    <row r="178" spans="15:27" ht="26.1" customHeight="1">
      <c r="O178" s="184"/>
      <c r="P178" s="184"/>
      <c r="Q178" s="181"/>
      <c r="R178" s="181"/>
      <c r="S178" s="181"/>
      <c r="T178" s="181"/>
      <c r="U178" s="181"/>
      <c r="V178" s="181"/>
      <c r="W178" s="181"/>
      <c r="X178" s="181"/>
      <c r="Y178" s="181"/>
      <c r="Z178" s="181"/>
      <c r="AA178" s="181"/>
    </row>
    <row r="179" spans="15:27" ht="26.1" customHeight="1">
      <c r="O179" s="184"/>
      <c r="P179" s="184"/>
      <c r="Q179" s="181"/>
      <c r="R179" s="181"/>
      <c r="S179" s="181"/>
      <c r="T179" s="181"/>
      <c r="U179" s="181"/>
      <c r="V179" s="181"/>
      <c r="W179" s="181"/>
      <c r="X179" s="181"/>
      <c r="Y179" s="181"/>
      <c r="Z179" s="181"/>
      <c r="AA179" s="181"/>
    </row>
    <row r="180" spans="15:27" ht="26.1" customHeight="1">
      <c r="O180" s="184"/>
      <c r="P180" s="184"/>
      <c r="Q180" s="181"/>
      <c r="R180" s="181"/>
      <c r="S180" s="181"/>
      <c r="T180" s="181"/>
      <c r="U180" s="181"/>
      <c r="V180" s="181"/>
      <c r="W180" s="181"/>
      <c r="X180" s="181"/>
      <c r="Y180" s="181"/>
      <c r="Z180" s="181"/>
      <c r="AA180" s="181"/>
    </row>
    <row r="181" spans="15:27" ht="26.1" customHeight="1">
      <c r="O181" s="184"/>
      <c r="P181" s="184"/>
      <c r="Q181" s="181"/>
      <c r="R181" s="181"/>
      <c r="S181" s="181"/>
      <c r="T181" s="181"/>
      <c r="U181" s="181"/>
      <c r="V181" s="181"/>
      <c r="W181" s="181"/>
      <c r="X181" s="181"/>
      <c r="Y181" s="181"/>
      <c r="Z181" s="181"/>
      <c r="AA181" s="181"/>
    </row>
    <row r="182" spans="15:27" ht="26.1" customHeight="1">
      <c r="O182" s="184"/>
      <c r="P182" s="184"/>
      <c r="Q182" s="181"/>
      <c r="R182" s="181"/>
      <c r="S182" s="181"/>
      <c r="T182" s="181"/>
      <c r="U182" s="181"/>
      <c r="V182" s="181"/>
      <c r="W182" s="181"/>
      <c r="X182" s="181"/>
      <c r="Y182" s="181"/>
      <c r="Z182" s="181"/>
      <c r="AA182" s="181"/>
    </row>
    <row r="183" spans="15:27" ht="26.1" customHeight="1">
      <c r="O183" s="184"/>
      <c r="P183" s="184"/>
      <c r="Q183" s="181"/>
      <c r="R183" s="181"/>
      <c r="S183" s="181"/>
      <c r="T183" s="181"/>
      <c r="U183" s="181"/>
      <c r="V183" s="181"/>
      <c r="W183" s="181"/>
      <c r="X183" s="181"/>
      <c r="Y183" s="181"/>
      <c r="Z183" s="181"/>
      <c r="AA183" s="181"/>
    </row>
    <row r="184" spans="15:27" ht="26.1" customHeight="1">
      <c r="O184" s="184"/>
      <c r="P184" s="184"/>
      <c r="Q184" s="181"/>
      <c r="R184" s="181"/>
      <c r="S184" s="181"/>
      <c r="T184" s="181"/>
      <c r="U184" s="181"/>
      <c r="V184" s="181"/>
      <c r="W184" s="181"/>
      <c r="X184" s="181"/>
      <c r="Y184" s="181"/>
      <c r="Z184" s="181"/>
      <c r="AA184" s="181"/>
    </row>
    <row r="185" spans="15:27" ht="26.1" customHeight="1">
      <c r="O185" s="184"/>
      <c r="P185" s="184"/>
      <c r="Q185" s="181"/>
      <c r="R185" s="181"/>
      <c r="S185" s="181"/>
      <c r="T185" s="181"/>
      <c r="U185" s="181"/>
      <c r="V185" s="181"/>
      <c r="W185" s="181"/>
      <c r="X185" s="181"/>
      <c r="Y185" s="181"/>
      <c r="Z185" s="181"/>
      <c r="AA185" s="181"/>
    </row>
    <row r="186" spans="15:27" ht="26.1" customHeight="1">
      <c r="O186" s="1"/>
      <c r="P186" s="1"/>
    </row>
  </sheetData>
  <mergeCells count="27">
    <mergeCell ref="J27:L27"/>
    <mergeCell ref="C49:L49"/>
    <mergeCell ref="O49:AH49"/>
    <mergeCell ref="J50:L50"/>
    <mergeCell ref="J51:L51"/>
    <mergeCell ref="C3:L3"/>
    <mergeCell ref="O3:AH3"/>
    <mergeCell ref="J4:L4"/>
    <mergeCell ref="J5:L5"/>
    <mergeCell ref="C26:L26"/>
    <mergeCell ref="O26:AH26"/>
    <mergeCell ref="J96:L96"/>
    <mergeCell ref="J97:L97"/>
    <mergeCell ref="C72:L72"/>
    <mergeCell ref="O72:AH72"/>
    <mergeCell ref="J73:L73"/>
    <mergeCell ref="J74:L74"/>
    <mergeCell ref="C95:L95"/>
    <mergeCell ref="O95:AH95"/>
    <mergeCell ref="C141:L141"/>
    <mergeCell ref="O141:AH141"/>
    <mergeCell ref="J142:L142"/>
    <mergeCell ref="J143:L143"/>
    <mergeCell ref="C118:L118"/>
    <mergeCell ref="O118:AH118"/>
    <mergeCell ref="J119:L119"/>
    <mergeCell ref="J120:L120"/>
  </mergeCells>
  <phoneticPr fontId="2"/>
  <dataValidations count="1">
    <dataValidation type="list" allowBlank="1" showInputMessage="1" showErrorMessage="1" prompt="費用/建物附属設備/工具・器具・備品の場合、選択してください。" sqref="N121:N138 N75:N92 N98:N115 N144:N161" xr:uid="{00000000-0002-0000-09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19" orientation="portrait" horizontalDpi="300" verticalDpi="300" r:id="rId1"/>
  <headerFooter alignWithMargins="0"/>
  <rowBreaks count="1" manualBreakCount="1">
    <brk id="2"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A1:AE25"/>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工事2!C2</f>
        <v>ア)東梅田駅の部-隙間解消工事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3192</v>
      </c>
      <c r="O2" s="2750" t="s">
        <v>4315</v>
      </c>
      <c r="P2" s="2751"/>
      <c r="Q2" s="2751"/>
      <c r="R2" s="2752"/>
      <c r="S2" s="294">
        <f>+P9+T9+X9</f>
        <v>0</v>
      </c>
      <c r="T2" s="295">
        <f>+Q9+U9+Y9</f>
        <v>0</v>
      </c>
      <c r="U2" s="295">
        <f>+R9+V9+Z9</f>
        <v>0</v>
      </c>
      <c r="V2" s="296">
        <f>+S9+W9+AA9</f>
        <v>3192</v>
      </c>
      <c r="W2" s="277"/>
    </row>
    <row r="3" spans="1:31" ht="15" customHeight="1">
      <c r="B3" s="142"/>
      <c r="E3" s="278"/>
      <c r="G3" s="2753" t="s">
        <v>4316</v>
      </c>
      <c r="H3" s="2754"/>
      <c r="I3" s="2754"/>
      <c r="J3" s="2755"/>
      <c r="K3" s="297">
        <f>+H9</f>
        <v>0</v>
      </c>
      <c r="L3" s="298">
        <f>+I9</f>
        <v>0</v>
      </c>
      <c r="M3" s="298">
        <f>+J9</f>
        <v>0</v>
      </c>
      <c r="N3" s="299">
        <f>+K9</f>
        <v>0</v>
      </c>
      <c r="O3" s="2756" t="s">
        <v>4317</v>
      </c>
      <c r="P3" s="2757"/>
      <c r="Q3" s="2757"/>
      <c r="R3" s="2758"/>
      <c r="S3" s="297">
        <f>+P9</f>
        <v>0</v>
      </c>
      <c r="T3" s="298">
        <f>+Q9</f>
        <v>0</v>
      </c>
      <c r="U3" s="298">
        <f>+R9</f>
        <v>0</v>
      </c>
      <c r="V3" s="299">
        <f>+S9</f>
        <v>3192</v>
      </c>
      <c r="W3" s="277"/>
    </row>
    <row r="4" spans="1:31" ht="15" customHeight="1">
      <c r="B4" s="142"/>
      <c r="E4" s="278"/>
      <c r="G4" s="2753" t="s">
        <v>4318</v>
      </c>
      <c r="H4" s="2754"/>
      <c r="I4" s="2754"/>
      <c r="J4" s="2755"/>
      <c r="K4" s="297">
        <f>+L9</f>
        <v>0</v>
      </c>
      <c r="L4" s="298">
        <f>+M9</f>
        <v>0</v>
      </c>
      <c r="M4" s="298">
        <f>+N9</f>
        <v>0</v>
      </c>
      <c r="N4" s="299">
        <f>+O9</f>
        <v>3192</v>
      </c>
      <c r="O4" s="2756" t="s">
        <v>4319</v>
      </c>
      <c r="P4" s="2757"/>
      <c r="Q4" s="2757"/>
      <c r="R4" s="2758"/>
      <c r="S4" s="297">
        <f>+T9</f>
        <v>0</v>
      </c>
      <c r="T4" s="298">
        <f>+U9</f>
        <v>0</v>
      </c>
      <c r="U4" s="298">
        <f>+V9</f>
        <v>0</v>
      </c>
      <c r="V4" s="299">
        <f>+W9</f>
        <v>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SUM(H10:H14)</f>
        <v>0</v>
      </c>
      <c r="I9" s="159">
        <f t="shared" si="0"/>
        <v>0</v>
      </c>
      <c r="J9" s="159">
        <f t="shared" si="0"/>
        <v>0</v>
      </c>
      <c r="K9" s="160">
        <f t="shared" si="0"/>
        <v>0</v>
      </c>
      <c r="L9" s="158">
        <f t="shared" si="0"/>
        <v>0</v>
      </c>
      <c r="M9" s="159">
        <f t="shared" si="0"/>
        <v>0</v>
      </c>
      <c r="N9" s="159">
        <f t="shared" si="0"/>
        <v>0</v>
      </c>
      <c r="O9" s="160">
        <f t="shared" si="0"/>
        <v>3192</v>
      </c>
      <c r="P9" s="158">
        <f t="shared" si="0"/>
        <v>0</v>
      </c>
      <c r="Q9" s="159">
        <f t="shared" si="0"/>
        <v>0</v>
      </c>
      <c r="R9" s="159">
        <f t="shared" si="0"/>
        <v>0</v>
      </c>
      <c r="S9" s="160">
        <f t="shared" si="0"/>
        <v>3192</v>
      </c>
      <c r="T9" s="159">
        <f t="shared" si="0"/>
        <v>0</v>
      </c>
      <c r="U9" s="159">
        <f t="shared" si="0"/>
        <v>0</v>
      </c>
      <c r="V9" s="159">
        <f t="shared" si="0"/>
        <v>0</v>
      </c>
      <c r="W9" s="160">
        <f t="shared" si="0"/>
        <v>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4346</v>
      </c>
      <c r="C11" s="153" t="s">
        <v>4347</v>
      </c>
      <c r="D11" s="154">
        <v>39.9</v>
      </c>
      <c r="E11" s="155">
        <v>80</v>
      </c>
      <c r="F11" s="1916">
        <v>0</v>
      </c>
      <c r="G11" s="336">
        <v>0</v>
      </c>
      <c r="H11" s="161"/>
      <c r="I11" s="162"/>
      <c r="J11" s="162"/>
      <c r="K11" s="163"/>
      <c r="L11" s="161"/>
      <c r="M11" s="162"/>
      <c r="N11" s="162"/>
      <c r="O11" s="163">
        <f>D11*(E11+F11+G11)</f>
        <v>3192</v>
      </c>
      <c r="P11" s="161"/>
      <c r="Q11" s="162"/>
      <c r="R11" s="162"/>
      <c r="S11" s="163">
        <f>D11*E11</f>
        <v>3192</v>
      </c>
      <c r="T11" s="161"/>
      <c r="U11" s="162"/>
      <c r="V11" s="162"/>
      <c r="W11" s="163">
        <f>D11*F11</f>
        <v>0</v>
      </c>
      <c r="X11" s="161"/>
      <c r="Y11" s="162"/>
      <c r="Z11" s="162"/>
      <c r="AA11" s="163">
        <f>D11*G11</f>
        <v>0</v>
      </c>
    </row>
    <row r="12" spans="1:31" s="140" customFormat="1" ht="11.25" customHeight="1">
      <c r="B12" s="152"/>
      <c r="C12" s="153"/>
      <c r="D12" s="154"/>
      <c r="E12" s="155"/>
      <c r="F12" s="1916"/>
      <c r="G12" s="336"/>
      <c r="H12" s="161"/>
      <c r="I12" s="162"/>
      <c r="J12" s="162"/>
      <c r="K12" s="163"/>
      <c r="L12" s="161"/>
      <c r="M12" s="162"/>
      <c r="N12" s="162"/>
      <c r="O12" s="163"/>
      <c r="P12" s="161"/>
      <c r="Q12" s="162"/>
      <c r="R12" s="162"/>
      <c r="S12" s="163"/>
      <c r="T12" s="161"/>
      <c r="U12" s="162"/>
      <c r="V12" s="162"/>
      <c r="W12" s="163"/>
      <c r="X12" s="161"/>
      <c r="Y12" s="162"/>
      <c r="Z12" s="162"/>
      <c r="AA12" s="163"/>
    </row>
    <row r="13" spans="1:31" s="140" customFormat="1" ht="11.25" customHeight="1">
      <c r="A13" s="127" t="s">
        <v>4354</v>
      </c>
      <c r="B13" s="146"/>
      <c r="C13" s="147"/>
      <c r="D13" s="148"/>
      <c r="E13" s="156"/>
      <c r="F13" s="2434"/>
      <c r="G13" s="337"/>
      <c r="H13" s="164">
        <f>D13*E13</f>
        <v>0</v>
      </c>
      <c r="I13" s="165"/>
      <c r="J13" s="165"/>
      <c r="K13" s="166"/>
      <c r="L13" s="164"/>
      <c r="M13" s="165"/>
      <c r="N13" s="165"/>
      <c r="O13" s="166"/>
      <c r="P13" s="164"/>
      <c r="Q13" s="165"/>
      <c r="R13" s="165"/>
      <c r="S13" s="166"/>
      <c r="T13" s="164"/>
      <c r="U13" s="165"/>
      <c r="V13" s="165"/>
      <c r="W13" s="166"/>
      <c r="X13" s="164"/>
      <c r="Y13" s="165"/>
      <c r="Z13" s="165"/>
      <c r="AA13" s="166"/>
    </row>
    <row r="14" spans="1:31">
      <c r="A14" s="80"/>
      <c r="B14" s="144"/>
      <c r="C14" s="145"/>
      <c r="D14" s="151"/>
      <c r="E14" s="157"/>
      <c r="F14" s="332"/>
      <c r="G14" s="338"/>
      <c r="H14" s="167"/>
      <c r="I14" s="168"/>
      <c r="J14" s="168"/>
      <c r="K14" s="169"/>
      <c r="L14" s="167"/>
      <c r="M14" s="168"/>
      <c r="N14" s="168"/>
      <c r="O14" s="169"/>
      <c r="P14" s="167"/>
      <c r="Q14" s="168"/>
      <c r="R14" s="168"/>
      <c r="S14" s="169"/>
      <c r="T14" s="167"/>
      <c r="U14" s="168"/>
      <c r="V14" s="168"/>
      <c r="W14" s="169"/>
      <c r="X14" s="167"/>
      <c r="Y14" s="168"/>
      <c r="Z14" s="168"/>
      <c r="AA14" s="169"/>
    </row>
    <row r="15" spans="1:31" ht="15" customHeight="1">
      <c r="B15" s="143" t="s">
        <v>4355</v>
      </c>
      <c r="C15"/>
      <c r="D15"/>
      <c r="E15"/>
      <c r="F15"/>
      <c r="G15"/>
      <c r="H15"/>
      <c r="I15"/>
      <c r="J15"/>
      <c r="K15"/>
      <c r="L15"/>
      <c r="M15"/>
      <c r="N15"/>
      <c r="O15"/>
    </row>
    <row r="16" spans="1:31" ht="13.5" customHeight="1">
      <c r="B16" s="134" t="s">
        <v>4356</v>
      </c>
      <c r="C16" s="135"/>
      <c r="D16" s="136"/>
      <c r="E16" s="2738" t="s">
        <v>4357</v>
      </c>
      <c r="F16" s="2739"/>
      <c r="G16" s="2739"/>
      <c r="H16" s="2739"/>
      <c r="I16" s="2739"/>
      <c r="J16" s="2739"/>
      <c r="K16" s="2739"/>
      <c r="L16" s="2739"/>
      <c r="M16" s="2739"/>
      <c r="N16" s="2739"/>
      <c r="O16" s="2739"/>
      <c r="P16" s="2739"/>
      <c r="Q16" s="2739"/>
      <c r="R16" s="2740"/>
      <c r="S16" s="2741"/>
      <c r="T16" s="2735" t="s">
        <v>4358</v>
      </c>
      <c r="U16" s="2742"/>
      <c r="V16" s="2742"/>
      <c r="W16" s="2743"/>
    </row>
    <row r="17" spans="1:23" ht="12.75" customHeight="1">
      <c r="B17" s="192"/>
      <c r="C17" s="193"/>
      <c r="D17" s="194"/>
      <c r="E17" s="242" t="s">
        <v>4100</v>
      </c>
      <c r="F17" s="243" t="s">
        <v>4101</v>
      </c>
      <c r="G17" s="243" t="s">
        <v>4359</v>
      </c>
      <c r="H17" s="243" t="s">
        <v>4359</v>
      </c>
      <c r="I17" s="243" t="s">
        <v>4104</v>
      </c>
      <c r="J17" s="244" t="s">
        <v>4360</v>
      </c>
      <c r="K17" s="246" t="s">
        <v>4361</v>
      </c>
      <c r="L17" s="243" t="s">
        <v>4362</v>
      </c>
      <c r="M17" s="243" t="s">
        <v>4363</v>
      </c>
      <c r="N17" s="243" t="s">
        <v>4364</v>
      </c>
      <c r="O17" s="247" t="s">
        <v>4365</v>
      </c>
      <c r="P17" s="248" t="s">
        <v>4366</v>
      </c>
      <c r="Q17" s="312" t="s">
        <v>4367</v>
      </c>
      <c r="R17" s="313" t="s">
        <v>4108</v>
      </c>
      <c r="S17" s="314" t="s">
        <v>4109</v>
      </c>
      <c r="T17" s="315" t="s">
        <v>4115</v>
      </c>
      <c r="U17" s="243" t="s">
        <v>4116</v>
      </c>
      <c r="V17" s="313" t="s">
        <v>4368</v>
      </c>
      <c r="W17" s="314" t="s">
        <v>4118</v>
      </c>
    </row>
    <row r="18" spans="1:23">
      <c r="B18" s="133" t="s">
        <v>4099</v>
      </c>
      <c r="C18" s="117" t="s">
        <v>4326</v>
      </c>
      <c r="D18" s="129" t="s">
        <v>4327</v>
      </c>
      <c r="E18" s="275"/>
      <c r="F18" s="245"/>
      <c r="G18" s="245" t="s">
        <v>4369</v>
      </c>
      <c r="H18" s="245" t="s">
        <v>4370</v>
      </c>
      <c r="I18" s="245"/>
      <c r="J18" s="245" t="s">
        <v>4371</v>
      </c>
      <c r="K18" s="245" t="s">
        <v>4372</v>
      </c>
      <c r="L18" s="245"/>
      <c r="M18" s="245" t="s">
        <v>4373</v>
      </c>
      <c r="N18" s="245" t="s">
        <v>4374</v>
      </c>
      <c r="O18" s="245" t="s">
        <v>1439</v>
      </c>
      <c r="P18" s="245" t="s">
        <v>4375</v>
      </c>
      <c r="Q18" s="316" t="s">
        <v>4376</v>
      </c>
      <c r="R18" s="194" t="s">
        <v>4377</v>
      </c>
      <c r="S18" s="317" t="s">
        <v>4377</v>
      </c>
      <c r="T18" s="318"/>
      <c r="U18" s="193"/>
      <c r="V18" s="319"/>
      <c r="W18" s="317"/>
    </row>
    <row r="19" spans="1:23" s="140" customFormat="1" ht="15.75" customHeight="1">
      <c r="A19" s="137"/>
      <c r="B19" s="138"/>
      <c r="C19" s="139"/>
      <c r="D19" s="141"/>
      <c r="E19" s="158">
        <f t="shared" ref="E19:W19" si="1">SUM(E20:E28)</f>
        <v>2394</v>
      </c>
      <c r="F19" s="159">
        <f t="shared" si="1"/>
        <v>0</v>
      </c>
      <c r="G19" s="159">
        <f t="shared" si="1"/>
        <v>0</v>
      </c>
      <c r="H19" s="159">
        <f t="shared" si="1"/>
        <v>0</v>
      </c>
      <c r="I19" s="159">
        <f t="shared" si="1"/>
        <v>0</v>
      </c>
      <c r="J19" s="159">
        <f t="shared" si="1"/>
        <v>798</v>
      </c>
      <c r="K19" s="159">
        <f t="shared" si="1"/>
        <v>0</v>
      </c>
      <c r="L19" s="159">
        <f t="shared" si="1"/>
        <v>0</v>
      </c>
      <c r="M19" s="159">
        <f t="shared" si="1"/>
        <v>0</v>
      </c>
      <c r="N19" s="159">
        <f t="shared" si="1"/>
        <v>0</v>
      </c>
      <c r="O19" s="276">
        <f t="shared" si="1"/>
        <v>0</v>
      </c>
      <c r="P19" s="159">
        <f t="shared" si="1"/>
        <v>0</v>
      </c>
      <c r="Q19" s="320">
        <f t="shared" si="1"/>
        <v>0</v>
      </c>
      <c r="R19" s="159">
        <f t="shared" si="1"/>
        <v>0</v>
      </c>
      <c r="S19" s="160">
        <f t="shared" si="1"/>
        <v>0</v>
      </c>
      <c r="T19" s="323">
        <f t="shared" si="1"/>
        <v>0</v>
      </c>
      <c r="U19" s="159">
        <f t="shared" si="1"/>
        <v>0</v>
      </c>
      <c r="V19" s="320">
        <f t="shared" si="1"/>
        <v>0</v>
      </c>
      <c r="W19" s="160">
        <f t="shared" si="1"/>
        <v>0</v>
      </c>
    </row>
    <row r="20" spans="1:23" s="140" customFormat="1" ht="11.25" customHeight="1">
      <c r="B20" s="146"/>
      <c r="C20" s="147"/>
      <c r="D20" s="148"/>
      <c r="E20" s="164"/>
      <c r="F20" s="165"/>
      <c r="G20" s="165"/>
      <c r="H20" s="165"/>
      <c r="I20" s="165"/>
      <c r="J20" s="165"/>
      <c r="K20" s="165"/>
      <c r="L20" s="165"/>
      <c r="M20" s="165"/>
      <c r="N20" s="165"/>
      <c r="O20" s="249"/>
      <c r="P20" s="165"/>
      <c r="Q20" s="321"/>
      <c r="R20" s="165"/>
      <c r="S20" s="166"/>
      <c r="T20" s="324"/>
      <c r="U20" s="165"/>
      <c r="V20" s="321"/>
      <c r="W20" s="327"/>
    </row>
    <row r="21" spans="1:23" s="140" customFormat="1" ht="11.25" customHeight="1">
      <c r="B21" s="146" t="s">
        <v>4346</v>
      </c>
      <c r="C21" s="147" t="s">
        <v>4347</v>
      </c>
      <c r="D21" s="148">
        <v>39.9</v>
      </c>
      <c r="E21" s="164">
        <f>D21*60</f>
        <v>2394</v>
      </c>
      <c r="F21" s="165"/>
      <c r="G21" s="165"/>
      <c r="H21" s="165"/>
      <c r="I21" s="165"/>
      <c r="J21" s="165">
        <f>D21*20</f>
        <v>798</v>
      </c>
      <c r="K21" s="165"/>
      <c r="L21" s="165"/>
      <c r="M21" s="165"/>
      <c r="N21" s="165"/>
      <c r="O21" s="249"/>
      <c r="P21" s="165"/>
      <c r="Q21" s="321"/>
      <c r="R21" s="165"/>
      <c r="S21" s="166"/>
      <c r="T21" s="324"/>
      <c r="U21" s="165"/>
      <c r="V21" s="321"/>
      <c r="W21" s="327"/>
    </row>
    <row r="22" spans="1:23" s="140" customFormat="1" ht="11.25" customHeight="1">
      <c r="B22" s="146"/>
      <c r="C22" s="147"/>
      <c r="D22" s="148"/>
      <c r="E22" s="164"/>
      <c r="F22" s="165"/>
      <c r="G22" s="165"/>
      <c r="H22" s="165"/>
      <c r="I22" s="165"/>
      <c r="J22" s="165"/>
      <c r="K22" s="165"/>
      <c r="L22" s="165"/>
      <c r="M22" s="165"/>
      <c r="N22" s="165"/>
      <c r="O22" s="249"/>
      <c r="P22" s="165"/>
      <c r="Q22" s="321"/>
      <c r="R22" s="165"/>
      <c r="S22" s="166"/>
      <c r="T22" s="324"/>
      <c r="U22" s="165"/>
      <c r="V22" s="321"/>
      <c r="W22" s="327"/>
    </row>
    <row r="23" spans="1:23" s="140" customFormat="1" ht="11.25" customHeight="1">
      <c r="A23" s="127" t="s">
        <v>4378</v>
      </c>
      <c r="B23" s="146"/>
      <c r="C23" s="147"/>
      <c r="D23" s="148"/>
      <c r="E23" s="164"/>
      <c r="F23" s="165"/>
      <c r="G23" s="165"/>
      <c r="H23" s="165"/>
      <c r="I23" s="165"/>
      <c r="J23" s="165"/>
      <c r="K23" s="165"/>
      <c r="L23" s="165"/>
      <c r="M23" s="165"/>
      <c r="N23" s="165"/>
      <c r="O23" s="249"/>
      <c r="P23" s="165"/>
      <c r="Q23" s="321"/>
      <c r="R23" s="165"/>
      <c r="S23" s="166"/>
      <c r="T23" s="324"/>
      <c r="U23" s="165">
        <f>$D23*O23</f>
        <v>0</v>
      </c>
      <c r="V23" s="321">
        <f>$D23*P23</f>
        <v>0</v>
      </c>
      <c r="W23" s="329"/>
    </row>
    <row r="24" spans="1:23">
      <c r="A24" s="80"/>
      <c r="B24" s="144"/>
      <c r="C24" s="145"/>
      <c r="D24" s="151"/>
      <c r="E24" s="167"/>
      <c r="F24" s="168"/>
      <c r="G24" s="168"/>
      <c r="H24" s="250"/>
      <c r="I24" s="250"/>
      <c r="J24" s="250"/>
      <c r="K24" s="250"/>
      <c r="L24" s="250"/>
      <c r="M24" s="250"/>
      <c r="N24" s="250"/>
      <c r="O24" s="250"/>
      <c r="P24" s="250"/>
      <c r="Q24" s="322"/>
      <c r="R24" s="168"/>
      <c r="S24" s="169"/>
      <c r="T24" s="325"/>
      <c r="U24" s="168">
        <f>$D24*O24</f>
        <v>0</v>
      </c>
      <c r="V24" s="326">
        <f>$D24*P24</f>
        <v>0</v>
      </c>
      <c r="W24" s="328"/>
    </row>
    <row r="25" spans="1:23">
      <c r="E25" s="80"/>
    </row>
  </sheetData>
  <mergeCells count="15">
    <mergeCell ref="G2:J2"/>
    <mergeCell ref="O2:R2"/>
    <mergeCell ref="G3:J3"/>
    <mergeCell ref="O3:R3"/>
    <mergeCell ref="G4:J4"/>
    <mergeCell ref="O4:R4"/>
    <mergeCell ref="X7:AA7"/>
    <mergeCell ref="E16:S16"/>
    <mergeCell ref="T16:W16"/>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CC66FF"/>
    <pageSetUpPr fitToPage="1"/>
  </sheetPr>
  <dimension ref="A1:AI209"/>
  <sheetViews>
    <sheetView zoomScale="75" zoomScaleNormal="75" workbookViewId="0">
      <pane xSplit="13" topLeftCell="N1" activePane="topRight" state="frozen"/>
      <selection activeCell="A3" sqref="A3:H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4904</v>
      </c>
      <c r="E2" s="34" t="s">
        <v>153</v>
      </c>
      <c r="F2" s="37">
        <f>工事2!J2</f>
        <v>25</v>
      </c>
      <c r="G2" s="1" t="s">
        <v>154</v>
      </c>
      <c r="H2" s="4">
        <f>表紙!H25</f>
        <v>69</v>
      </c>
      <c r="I2" s="4" t="s">
        <v>155</v>
      </c>
      <c r="J2" s="37">
        <f>VLOOKUP("EOL",$M$25:$N$65651,2,FALSE)</f>
        <v>33</v>
      </c>
      <c r="K2" s="2514"/>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ア)東梅田駅の部-列車停止位置変更に伴う建築工事</v>
      </c>
      <c r="D5" s="2348"/>
      <c r="E5" s="632"/>
      <c r="F5" s="1889"/>
      <c r="G5" s="2349"/>
      <c r="H5" s="2061" t="s">
        <v>117</v>
      </c>
      <c r="I5" s="2061" t="s">
        <v>117</v>
      </c>
      <c r="J5" s="2759"/>
      <c r="K5" s="2733"/>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2351"/>
      <c r="E6" s="639"/>
      <c r="F6" s="640"/>
      <c r="G6" s="641"/>
      <c r="H6" s="1883"/>
      <c r="I6" s="1883"/>
      <c r="J6" s="2351"/>
      <c r="K6" s="2351"/>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2351" t="s">
        <v>4120</v>
      </c>
      <c r="E7" s="639"/>
      <c r="F7" s="640">
        <v>1</v>
      </c>
      <c r="G7" s="641" t="s">
        <v>119</v>
      </c>
      <c r="H7" s="1883"/>
      <c r="I7" s="1883">
        <f>I70</f>
        <v>151065</v>
      </c>
      <c r="J7" s="2351"/>
      <c r="K7" s="2351"/>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2351" t="s">
        <v>4122</v>
      </c>
      <c r="E8" s="639"/>
      <c r="F8" s="640">
        <v>1</v>
      </c>
      <c r="G8" s="641" t="s">
        <v>119</v>
      </c>
      <c r="H8" s="1883"/>
      <c r="I8" s="1883">
        <f>I93</f>
        <v>1137300</v>
      </c>
      <c r="J8" s="2351"/>
      <c r="K8" s="2351"/>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2351" t="s">
        <v>4123</v>
      </c>
      <c r="E9" s="639"/>
      <c r="F9" s="640">
        <v>1</v>
      </c>
      <c r="G9" s="641" t="s">
        <v>119</v>
      </c>
      <c r="H9" s="1883"/>
      <c r="I9" s="1883">
        <f>I116</f>
        <v>30024</v>
      </c>
      <c r="J9" s="2351"/>
      <c r="K9" s="2351"/>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2351" t="s">
        <v>4125</v>
      </c>
      <c r="E10" s="639"/>
      <c r="F10" s="640">
        <v>1</v>
      </c>
      <c r="G10" s="641" t="s">
        <v>119</v>
      </c>
      <c r="H10" s="1883"/>
      <c r="I10" s="1883">
        <f>I139</f>
        <v>518810</v>
      </c>
      <c r="J10" s="2351"/>
      <c r="K10" s="2351"/>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2351" t="s">
        <v>4126</v>
      </c>
      <c r="E11" s="639"/>
      <c r="F11" s="640">
        <v>1</v>
      </c>
      <c r="G11" s="641" t="s">
        <v>119</v>
      </c>
      <c r="H11" s="1883"/>
      <c r="I11" s="1883">
        <f>I185</f>
        <v>215282</v>
      </c>
      <c r="J11" s="2351"/>
      <c r="K11" s="2351"/>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2351"/>
      <c r="E12" s="639"/>
      <c r="F12" s="640"/>
      <c r="G12" s="641"/>
      <c r="H12" s="1883"/>
      <c r="I12" s="1883"/>
      <c r="J12" s="2351"/>
      <c r="K12" s="2351"/>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2351"/>
      <c r="E13" s="639"/>
      <c r="F13" s="640"/>
      <c r="G13" s="641"/>
      <c r="H13" s="1883"/>
      <c r="I13" s="1883"/>
      <c r="J13" s="2351"/>
      <c r="K13" s="2351"/>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2351"/>
      <c r="E14" s="639"/>
      <c r="F14" s="640"/>
      <c r="G14" s="641"/>
      <c r="H14" s="1883"/>
      <c r="I14" s="1883"/>
      <c r="J14" s="2351"/>
      <c r="K14" s="2351"/>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2351"/>
      <c r="E15" s="639"/>
      <c r="F15" s="640"/>
      <c r="G15" s="641"/>
      <c r="H15" s="1883"/>
      <c r="I15" s="1883"/>
      <c r="J15" s="2351"/>
      <c r="K15" s="2351"/>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2351" t="s">
        <v>126</v>
      </c>
      <c r="E16" s="639"/>
      <c r="F16" s="640"/>
      <c r="G16" s="641"/>
      <c r="H16" s="1883"/>
      <c r="I16" s="1883">
        <f>SUM(I7:I15)</f>
        <v>2052481</v>
      </c>
      <c r="J16" s="2358" t="str">
        <f>IF(COUNTIF(N:N,"費用")=0,"","うち費用")</f>
        <v>うち費用</v>
      </c>
      <c r="K16" s="2437">
        <f>IF(COUNTIF(N:N,"費用")=0,"",SUMIF(N:N,"費用",I:I))</f>
        <v>215282</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360"/>
      <c r="E17" s="639"/>
      <c r="F17" s="640"/>
      <c r="G17" s="641"/>
      <c r="H17" s="1883"/>
      <c r="I17" s="1883"/>
      <c r="J17" s="2351"/>
      <c r="K17" s="2351"/>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2351"/>
      <c r="E18" s="639"/>
      <c r="F18" s="640"/>
      <c r="G18" s="641"/>
      <c r="H18" s="1883"/>
      <c r="I18" s="1883"/>
      <c r="J18" s="2351"/>
      <c r="K18" s="2351"/>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2351" t="s">
        <v>4128</v>
      </c>
      <c r="E19" s="639"/>
      <c r="F19" s="640">
        <v>1</v>
      </c>
      <c r="G19" s="641" t="s">
        <v>119</v>
      </c>
      <c r="H19" s="1883"/>
      <c r="I19" s="1883">
        <f>+I47</f>
        <v>79180</v>
      </c>
      <c r="J19" s="2351"/>
      <c r="K19" s="2351"/>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2351" t="s">
        <v>4129</v>
      </c>
      <c r="E20" s="639"/>
      <c r="F20" s="640">
        <v>1</v>
      </c>
      <c r="G20" s="641" t="s">
        <v>119</v>
      </c>
      <c r="H20" s="1883"/>
      <c r="I20" s="1883">
        <f>+諸経費表!I21</f>
        <v>496339</v>
      </c>
      <c r="J20" s="2361"/>
      <c r="K20" s="2351"/>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2351"/>
      <c r="E21" s="639"/>
      <c r="F21" s="640"/>
      <c r="G21" s="641"/>
      <c r="H21" s="1883"/>
      <c r="I21" s="1883"/>
      <c r="J21" s="2351"/>
      <c r="K21" s="2351"/>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2351" t="s">
        <v>126</v>
      </c>
      <c r="E22" s="639"/>
      <c r="F22" s="640"/>
      <c r="G22" s="641"/>
      <c r="H22" s="1883"/>
      <c r="I22" s="1883">
        <f>+I19+I20</f>
        <v>575519</v>
      </c>
      <c r="J22" s="2351"/>
      <c r="K22" s="2351"/>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2351"/>
      <c r="E23" s="639"/>
      <c r="F23" s="640"/>
      <c r="G23" s="641"/>
      <c r="H23" s="1883"/>
      <c r="I23" s="1883"/>
      <c r="J23" s="2351"/>
      <c r="K23" s="2351"/>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362"/>
      <c r="D24" s="2363" t="s">
        <v>4130</v>
      </c>
      <c r="E24" s="2364"/>
      <c r="F24" s="2365"/>
      <c r="G24" s="2366"/>
      <c r="H24" s="2367" t="s">
        <v>4131</v>
      </c>
      <c r="I24" s="2368">
        <f>+I22+I16</f>
        <v>2628000</v>
      </c>
      <c r="J24" s="2363" t="s">
        <v>4132</v>
      </c>
      <c r="K24" s="2363"/>
      <c r="L24" s="2369"/>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26</v>
      </c>
      <c r="G25" s="103" t="s">
        <v>131</v>
      </c>
      <c r="H25" s="104">
        <f>H2</f>
        <v>69</v>
      </c>
      <c r="M25" s="38" t="str">
        <f>IF(A27="","EOL","")</f>
        <v/>
      </c>
      <c r="N25" s="6">
        <f>+F25</f>
        <v>26</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2351" t="s">
        <v>4134</v>
      </c>
      <c r="E29" s="639"/>
      <c r="F29" s="640"/>
      <c r="G29" s="641"/>
      <c r="H29" s="642"/>
      <c r="I29" s="1883" t="str">
        <f t="shared" ref="I29:I44" si="0">IF(F29="","",INT(F29*H29))</f>
        <v/>
      </c>
      <c r="J29" s="2351"/>
      <c r="K29" s="2351"/>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2351" t="s">
        <v>4135</v>
      </c>
      <c r="E30" s="639"/>
      <c r="F30" s="640">
        <v>1</v>
      </c>
      <c r="G30" s="641" t="s">
        <v>122</v>
      </c>
      <c r="H30" s="642">
        <f>+'東梅田　諸'!I16</f>
        <v>58877</v>
      </c>
      <c r="I30" s="1883">
        <f t="shared" si="0"/>
        <v>58877</v>
      </c>
      <c r="J30" s="2351"/>
      <c r="K30" s="2351"/>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2351"/>
      <c r="E31" s="639"/>
      <c r="F31" s="640"/>
      <c r="G31" s="641"/>
      <c r="H31" s="642"/>
      <c r="I31" s="1883" t="str">
        <f t="shared" si="0"/>
        <v/>
      </c>
      <c r="J31" s="2351"/>
      <c r="K31" s="2351"/>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373"/>
      <c r="D32" s="2374" t="s">
        <v>4136</v>
      </c>
      <c r="E32" s="2375"/>
      <c r="F32" s="2376"/>
      <c r="G32" s="2377"/>
      <c r="H32" s="2378"/>
      <c r="I32" s="2379">
        <f>SUM(I30:I31)</f>
        <v>58877</v>
      </c>
      <c r="J32" s="2374"/>
      <c r="K32" s="2374"/>
      <c r="L32" s="2380"/>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2351" t="s">
        <v>4137</v>
      </c>
      <c r="E34" s="639"/>
      <c r="F34" s="640"/>
      <c r="G34" s="641"/>
      <c r="H34" s="642"/>
      <c r="I34" s="1883" t="str">
        <f t="shared" si="0"/>
        <v/>
      </c>
      <c r="J34" s="2351"/>
      <c r="K34" s="2351"/>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2351"/>
      <c r="E35" s="639"/>
      <c r="F35" s="640"/>
      <c r="G35" s="641"/>
      <c r="H35" s="642"/>
      <c r="I35" s="1883" t="str">
        <f t="shared" si="0"/>
        <v/>
      </c>
      <c r="J35" s="2351"/>
      <c r="K35" s="2351"/>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2351" t="s">
        <v>4138</v>
      </c>
      <c r="E36" s="639"/>
      <c r="F36" s="640">
        <v>1</v>
      </c>
      <c r="G36" s="641" t="s">
        <v>119</v>
      </c>
      <c r="H36" s="642">
        <f>+[3]集計!$F$20</f>
        <v>7143</v>
      </c>
      <c r="I36" s="1883">
        <f t="shared" si="0"/>
        <v>7143</v>
      </c>
      <c r="J36" s="2351"/>
      <c r="K36" s="2351"/>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2351" t="s">
        <v>4139</v>
      </c>
      <c r="E37" s="639"/>
      <c r="F37" s="640">
        <v>1</v>
      </c>
      <c r="G37" s="641" t="s">
        <v>119</v>
      </c>
      <c r="H37" s="642">
        <f>+[3]集計!$F$21</f>
        <v>932</v>
      </c>
      <c r="I37" s="1883">
        <f t="shared" si="0"/>
        <v>932</v>
      </c>
      <c r="J37" s="2351"/>
      <c r="K37" s="2351"/>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2351" t="s">
        <v>4140</v>
      </c>
      <c r="E38" s="639"/>
      <c r="F38" s="640">
        <v>1</v>
      </c>
      <c r="G38" s="641" t="s">
        <v>119</v>
      </c>
      <c r="H38" s="642">
        <f>+[3]集計!$F$22</f>
        <v>0</v>
      </c>
      <c r="I38" s="1883">
        <f t="shared" si="0"/>
        <v>0</v>
      </c>
      <c r="J38" s="2351"/>
      <c r="K38" s="2351"/>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2351" t="s">
        <v>4141</v>
      </c>
      <c r="E39" s="639"/>
      <c r="F39" s="640">
        <v>1</v>
      </c>
      <c r="G39" s="641" t="s">
        <v>119</v>
      </c>
      <c r="H39" s="642">
        <f>+[3]集計!$F$24</f>
        <v>264</v>
      </c>
      <c r="I39" s="1883">
        <f t="shared" si="0"/>
        <v>264</v>
      </c>
      <c r="J39" s="2351"/>
      <c r="K39" s="2351"/>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2351" t="s">
        <v>4142</v>
      </c>
      <c r="E40" s="639"/>
      <c r="F40" s="640">
        <v>1</v>
      </c>
      <c r="G40" s="641" t="s">
        <v>119</v>
      </c>
      <c r="H40" s="642">
        <f>+[3]集計!$F$25</f>
        <v>11964</v>
      </c>
      <c r="I40" s="1883">
        <f t="shared" si="0"/>
        <v>11964</v>
      </c>
      <c r="J40" s="2351"/>
      <c r="K40" s="2351"/>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2351"/>
      <c r="E41" s="639"/>
      <c r="F41" s="640"/>
      <c r="G41" s="641"/>
      <c r="H41" s="642"/>
      <c r="I41" s="1883" t="str">
        <f t="shared" si="0"/>
        <v/>
      </c>
      <c r="J41" s="2351"/>
      <c r="K41" s="2351"/>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2351"/>
      <c r="E42" s="639"/>
      <c r="F42" s="640"/>
      <c r="G42" s="641"/>
      <c r="H42" s="642"/>
      <c r="I42" s="1883" t="str">
        <f t="shared" si="0"/>
        <v/>
      </c>
      <c r="J42" s="2351"/>
      <c r="K42" s="2351"/>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2351"/>
      <c r="E43" s="639"/>
      <c r="F43" s="640"/>
      <c r="G43" s="641"/>
      <c r="H43" s="642"/>
      <c r="I43" s="1883" t="str">
        <f t="shared" si="0"/>
        <v/>
      </c>
      <c r="J43" s="2351"/>
      <c r="K43" s="2351"/>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2351"/>
      <c r="E44" s="639"/>
      <c r="F44" s="640"/>
      <c r="G44" s="641"/>
      <c r="H44" s="642"/>
      <c r="I44" s="1883" t="str">
        <f t="shared" si="0"/>
        <v/>
      </c>
      <c r="J44" s="2351"/>
      <c r="K44" s="2351"/>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381"/>
      <c r="D45" s="2374" t="s">
        <v>4143</v>
      </c>
      <c r="E45" s="2375"/>
      <c r="F45" s="2376"/>
      <c r="G45" s="2377"/>
      <c r="H45" s="2378"/>
      <c r="I45" s="2379">
        <f>SUM(I35:I44)</f>
        <v>20303</v>
      </c>
      <c r="J45" s="2374"/>
      <c r="K45" s="2374"/>
      <c r="L45" s="2380"/>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2351"/>
      <c r="E46" s="639"/>
      <c r="F46" s="640"/>
      <c r="G46" s="641"/>
      <c r="H46" s="642"/>
      <c r="I46" s="1883" t="str">
        <f t="shared" ref="I46" si="1">IF(F46="","",INT(F46*H46))</f>
        <v/>
      </c>
      <c r="J46" s="2351"/>
      <c r="K46" s="2351"/>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362"/>
      <c r="D47" s="2363" t="s">
        <v>4144</v>
      </c>
      <c r="E47" s="2364"/>
      <c r="F47" s="2365"/>
      <c r="G47" s="2366"/>
      <c r="H47" s="2382" t="s">
        <v>4131</v>
      </c>
      <c r="I47" s="2368">
        <f>I32+I45</f>
        <v>79180</v>
      </c>
      <c r="J47" s="2363" t="s">
        <v>4132</v>
      </c>
      <c r="K47" s="2363"/>
      <c r="L47" s="2369"/>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27</v>
      </c>
      <c r="G48" s="103" t="s">
        <v>131</v>
      </c>
      <c r="H48" s="104">
        <f>+$H$25</f>
        <v>69</v>
      </c>
      <c r="I48" s="104"/>
      <c r="M48" s="38" t="str">
        <f>IF(A50="","EOL","")</f>
        <v/>
      </c>
      <c r="N48" s="6">
        <f>+F48</f>
        <v>27</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33"/>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2351"/>
      <c r="K52" s="2351"/>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+[2]集計!$F$17</f>
        <v>9500</v>
      </c>
      <c r="I53" s="1883">
        <f t="shared" ref="I53:I69" si="2">IF(F53="","",INT(F53*H53))</f>
        <v>9500</v>
      </c>
      <c r="J53" s="2351"/>
      <c r="K53" s="2351"/>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+[2]集計!$F$18</f>
        <v>30774</v>
      </c>
      <c r="I54" s="1883">
        <f t="shared" si="2"/>
        <v>30774</v>
      </c>
      <c r="J54" s="2351"/>
      <c r="K54" s="2351"/>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+[2]集計!$F$19</f>
        <v>110791</v>
      </c>
      <c r="I55" s="1883">
        <f t="shared" si="2"/>
        <v>110791</v>
      </c>
      <c r="J55" s="2351"/>
      <c r="K55" s="2351"/>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+[2]集計!$F$20</f>
        <v>0</v>
      </c>
      <c r="I56" s="1883">
        <f t="shared" si="2"/>
        <v>0</v>
      </c>
      <c r="J56" s="2351"/>
      <c r="K56" s="2351"/>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+[2]集計!$F$21</f>
        <v>0</v>
      </c>
      <c r="I57" s="1883">
        <f t="shared" si="2"/>
        <v>0</v>
      </c>
      <c r="J57" s="2351"/>
      <c r="K57" s="2351"/>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+[2]集計!$F$22</f>
        <v>0</v>
      </c>
      <c r="I58" s="1883">
        <f t="shared" si="2"/>
        <v>0</v>
      </c>
      <c r="J58" s="2351"/>
      <c r="K58" s="2351"/>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2351"/>
      <c r="K59" s="2351"/>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2351"/>
      <c r="K60" s="2351"/>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2351"/>
      <c r="K61" s="2351"/>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2351"/>
      <c r="K62" s="2351"/>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2351"/>
      <c r="K63" s="2351"/>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2351"/>
      <c r="K64" s="2351"/>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2351"/>
      <c r="K65" s="2351"/>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2351"/>
      <c r="K66" s="2351"/>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2351"/>
      <c r="K67" s="2351"/>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2351"/>
      <c r="K68" s="2351"/>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2351"/>
      <c r="K69" s="2351"/>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362"/>
      <c r="D70" s="2363" t="s">
        <v>4144</v>
      </c>
      <c r="E70" s="2364"/>
      <c r="F70" s="2365"/>
      <c r="G70" s="2366"/>
      <c r="H70" s="2382" t="s">
        <v>4131</v>
      </c>
      <c r="I70" s="2368">
        <f>SUM(I52:I69)</f>
        <v>151065</v>
      </c>
      <c r="J70" s="2363" t="s">
        <v>4132</v>
      </c>
      <c r="K70" s="2363"/>
      <c r="L70" s="2369"/>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28</v>
      </c>
      <c r="G71" s="103" t="s">
        <v>131</v>
      </c>
      <c r="H71" s="104">
        <f>+H48</f>
        <v>69</v>
      </c>
      <c r="I71" s="104"/>
      <c r="M71" s="598" t="str">
        <f>IF(A73="","EOL","")</f>
        <v/>
      </c>
      <c r="N71" s="1">
        <f>+F71</f>
        <v>28</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4122</v>
      </c>
      <c r="D74" s="2385"/>
      <c r="E74" s="623"/>
      <c r="F74" s="1889"/>
      <c r="G74" s="1890"/>
      <c r="H74" s="2386" t="s">
        <v>117</v>
      </c>
      <c r="I74" s="2386" t="s">
        <v>117</v>
      </c>
      <c r="J74" s="2759"/>
      <c r="K74" s="2733"/>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388"/>
      <c r="E75" s="621"/>
      <c r="F75" s="640"/>
      <c r="G75" s="641"/>
      <c r="H75" s="1882"/>
      <c r="I75" s="1883" t="str">
        <f t="shared" ref="I75:I92" si="3">IF(F75="","",INT(F75*H75))</f>
        <v/>
      </c>
      <c r="J75" s="2391"/>
      <c r="K75" s="2351"/>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881">
        <v>404</v>
      </c>
      <c r="D76" s="2399" t="s">
        <v>4166</v>
      </c>
      <c r="E76" s="621" t="s">
        <v>4390</v>
      </c>
      <c r="F76" s="640">
        <v>1</v>
      </c>
      <c r="G76" s="641" t="s">
        <v>4168</v>
      </c>
      <c r="H76" s="1882">
        <f>見積比較!O$99</f>
        <v>1137300</v>
      </c>
      <c r="I76" s="1883">
        <f>IF(F76="","",INT(F76*H76))</f>
        <v>1137300</v>
      </c>
      <c r="J76" s="2391" t="s">
        <v>4169</v>
      </c>
      <c r="K76" s="2351"/>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388"/>
      <c r="E77" s="621"/>
      <c r="F77" s="640"/>
      <c r="G77" s="641"/>
      <c r="H77" s="1882"/>
      <c r="I77" s="1883" t="str">
        <f t="shared" ref="I77:I78" si="4">IF(F77="","",INT(F77*H77))</f>
        <v/>
      </c>
      <c r="J77" s="2391"/>
      <c r="K77" s="2351"/>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c r="B78" s="36"/>
      <c r="C78" s="1881"/>
      <c r="D78" s="2388"/>
      <c r="E78" s="621"/>
      <c r="F78" s="640"/>
      <c r="G78" s="641"/>
      <c r="H78" s="1882"/>
      <c r="I78" s="1883" t="str">
        <f t="shared" si="4"/>
        <v/>
      </c>
      <c r="J78" s="2391"/>
      <c r="K78" s="2351"/>
      <c r="L78" s="2356"/>
      <c r="M78" s="602"/>
      <c r="N78" s="603"/>
      <c r="O78" s="597"/>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c r="B79" s="36"/>
      <c r="C79" s="1881"/>
      <c r="D79" s="2388"/>
      <c r="E79" s="621"/>
      <c r="F79" s="640"/>
      <c r="G79" s="641"/>
      <c r="H79" s="1882"/>
      <c r="I79" s="1883" t="str">
        <f t="shared" si="3"/>
        <v/>
      </c>
      <c r="J79" s="2391"/>
      <c r="K79" s="2351"/>
      <c r="L79" s="2356"/>
      <c r="M79" s="602"/>
      <c r="N79" s="603"/>
      <c r="O79" s="597"/>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388"/>
      <c r="E80" s="621"/>
      <c r="F80" s="640"/>
      <c r="G80" s="641"/>
      <c r="H80" s="1882"/>
      <c r="I80" s="1883" t="str">
        <f t="shared" si="3"/>
        <v/>
      </c>
      <c r="J80" s="2391"/>
      <c r="K80" s="2351"/>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388"/>
      <c r="E81" s="621"/>
      <c r="F81" s="640"/>
      <c r="G81" s="641"/>
      <c r="H81" s="1882"/>
      <c r="I81" s="1883" t="str">
        <f t="shared" si="3"/>
        <v/>
      </c>
      <c r="J81" s="2391"/>
      <c r="K81" s="2351"/>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388"/>
      <c r="E82" s="621"/>
      <c r="F82" s="640"/>
      <c r="G82" s="641"/>
      <c r="H82" s="1882"/>
      <c r="I82" s="1883" t="str">
        <f t="shared" si="3"/>
        <v/>
      </c>
      <c r="J82" s="2391"/>
      <c r="K82" s="2351"/>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388"/>
      <c r="E83" s="621"/>
      <c r="F83" s="640"/>
      <c r="G83" s="641"/>
      <c r="H83" s="1882"/>
      <c r="I83" s="1883" t="str">
        <f t="shared" si="3"/>
        <v/>
      </c>
      <c r="J83" s="2391"/>
      <c r="K83" s="2351"/>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388"/>
      <c r="E84" s="621"/>
      <c r="F84" s="640"/>
      <c r="G84" s="641"/>
      <c r="H84" s="1882"/>
      <c r="I84" s="1883" t="str">
        <f t="shared" si="3"/>
        <v/>
      </c>
      <c r="J84" s="2391"/>
      <c r="K84" s="2351"/>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388"/>
      <c r="E85" s="621"/>
      <c r="F85" s="640"/>
      <c r="G85" s="641"/>
      <c r="H85" s="1882"/>
      <c r="I85" s="1883" t="str">
        <f t="shared" si="3"/>
        <v/>
      </c>
      <c r="J85" s="2391"/>
      <c r="K85" s="2351"/>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388"/>
      <c r="E86" s="621"/>
      <c r="F86" s="640"/>
      <c r="G86" s="641"/>
      <c r="H86" s="1882"/>
      <c r="I86" s="1883" t="str">
        <f t="shared" si="3"/>
        <v/>
      </c>
      <c r="J86" s="2391"/>
      <c r="K86" s="2351"/>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388"/>
      <c r="E87" s="621"/>
      <c r="F87" s="640"/>
      <c r="G87" s="641"/>
      <c r="H87" s="1882"/>
      <c r="I87" s="1883" t="str">
        <f t="shared" si="3"/>
        <v/>
      </c>
      <c r="J87" s="2391"/>
      <c r="K87" s="2351"/>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388"/>
      <c r="E88" s="621"/>
      <c r="F88" s="640"/>
      <c r="G88" s="641"/>
      <c r="H88" s="1882"/>
      <c r="I88" s="1883" t="str">
        <f t="shared" si="3"/>
        <v/>
      </c>
      <c r="J88" s="2391"/>
      <c r="K88" s="2351"/>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388"/>
      <c r="E89" s="621"/>
      <c r="F89" s="640"/>
      <c r="G89" s="641"/>
      <c r="H89" s="1882"/>
      <c r="I89" s="1883" t="str">
        <f t="shared" si="3"/>
        <v/>
      </c>
      <c r="J89" s="2391"/>
      <c r="K89" s="2351"/>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388"/>
      <c r="E90" s="621"/>
      <c r="F90" s="640"/>
      <c r="G90" s="641"/>
      <c r="H90" s="1882"/>
      <c r="I90" s="1883" t="str">
        <f t="shared" si="3"/>
        <v/>
      </c>
      <c r="J90" s="2391"/>
      <c r="K90" s="2351"/>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388"/>
      <c r="E91" s="621"/>
      <c r="F91" s="640"/>
      <c r="G91" s="641"/>
      <c r="H91" s="1882"/>
      <c r="I91" s="1883" t="str">
        <f t="shared" si="3"/>
        <v/>
      </c>
      <c r="J91" s="2391"/>
      <c r="K91" s="2351"/>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388"/>
      <c r="E92" s="621"/>
      <c r="F92" s="640"/>
      <c r="G92" s="641"/>
      <c r="H92" s="1882"/>
      <c r="I92" s="1883" t="str">
        <f t="shared" si="3"/>
        <v/>
      </c>
      <c r="J92" s="2391"/>
      <c r="K92" s="2351"/>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362"/>
      <c r="D93" s="2363" t="s">
        <v>4144</v>
      </c>
      <c r="E93" s="2364"/>
      <c r="F93" s="2365"/>
      <c r="G93" s="2366"/>
      <c r="H93" s="2382" t="s">
        <v>4131</v>
      </c>
      <c r="I93" s="2368">
        <f>SUM(I75:I92)</f>
        <v>1137300</v>
      </c>
      <c r="J93" s="2383" t="str">
        <f>IF(C74="部分撤去工事","）うち費用",")")</f>
        <v>)</v>
      </c>
      <c r="K93" s="2393">
        <f>IF(C74="部分撤去工事",(K70+L93),0)</f>
        <v>0</v>
      </c>
      <c r="L93" s="2384">
        <f>IF(C74="部分撤去工事",SUMIF(N75:N92,"費用",I75:I92),0)</f>
        <v>0</v>
      </c>
      <c r="M93" s="2394"/>
      <c r="N93" s="2400"/>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29</v>
      </c>
      <c r="G94" s="103" t="s">
        <v>131</v>
      </c>
      <c r="H94" s="104">
        <f>+H71</f>
        <v>69</v>
      </c>
      <c r="I94" s="104"/>
      <c r="M94" s="598" t="str">
        <f>IF(A96="","EOL","")</f>
        <v/>
      </c>
      <c r="N94" s="1">
        <f>+F94</f>
        <v>29</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4123</v>
      </c>
      <c r="D97" s="2385"/>
      <c r="E97" s="623"/>
      <c r="F97" s="1889"/>
      <c r="G97" s="1890"/>
      <c r="H97" s="2386" t="s">
        <v>117</v>
      </c>
      <c r="I97" s="2386" t="s">
        <v>117</v>
      </c>
      <c r="J97" s="2759"/>
      <c r="K97" s="2733"/>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388"/>
      <c r="E98" s="621"/>
      <c r="F98" s="640"/>
      <c r="G98" s="641"/>
      <c r="H98" s="1882"/>
      <c r="I98" s="1883" t="str">
        <f t="shared" ref="I98:I115" si="5">IF(F98="","",INT(F98*H98))</f>
        <v/>
      </c>
      <c r="J98" s="2391"/>
      <c r="K98" s="2351"/>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881"/>
      <c r="D99" s="2399" t="s">
        <v>4187</v>
      </c>
      <c r="E99" s="1912" t="s">
        <v>4188</v>
      </c>
      <c r="F99" s="1913">
        <v>5.4</v>
      </c>
      <c r="G99" s="1914" t="s">
        <v>4157</v>
      </c>
      <c r="H99" s="1915">
        <v>5560</v>
      </c>
      <c r="I99" s="1919">
        <f>IF(F99="","",INT(F99*H99))</f>
        <v>30024</v>
      </c>
      <c r="J99" s="2408" t="s">
        <v>4189</v>
      </c>
      <c r="K99" s="2408"/>
      <c r="L99" s="2356"/>
      <c r="M99" s="602"/>
      <c r="N99" s="603"/>
      <c r="O99" s="597">
        <v>77</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881"/>
      <c r="D100" s="2388"/>
      <c r="E100" s="621"/>
      <c r="F100" s="640"/>
      <c r="G100" s="641"/>
      <c r="H100" s="1882"/>
      <c r="I100" s="1883" t="str">
        <f t="shared" si="5"/>
        <v/>
      </c>
      <c r="J100" s="2391"/>
      <c r="K100" s="2351"/>
      <c r="L100" s="2356"/>
      <c r="M100" s="602"/>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c r="B101" s="36"/>
      <c r="C101" s="1881"/>
      <c r="D101" s="2388"/>
      <c r="E101" s="621"/>
      <c r="F101" s="640"/>
      <c r="G101" s="641"/>
      <c r="H101" s="1882"/>
      <c r="I101" s="1883" t="str">
        <f t="shared" si="5"/>
        <v/>
      </c>
      <c r="J101" s="2391"/>
      <c r="K101" s="2351"/>
      <c r="L101" s="2356"/>
      <c r="M101" s="602"/>
      <c r="N101" s="603"/>
      <c r="O101" s="597"/>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881"/>
      <c r="D102" s="2388"/>
      <c r="E102" s="621"/>
      <c r="F102" s="640"/>
      <c r="G102" s="641"/>
      <c r="H102" s="1882"/>
      <c r="I102" s="1883" t="str">
        <f t="shared" si="5"/>
        <v/>
      </c>
      <c r="J102" s="2391"/>
      <c r="K102" s="2351"/>
      <c r="L102" s="2356"/>
      <c r="M102" s="602"/>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c r="B103" s="36"/>
      <c r="C103" s="1881"/>
      <c r="D103" s="2388"/>
      <c r="E103" s="621"/>
      <c r="F103" s="640"/>
      <c r="G103" s="641"/>
      <c r="H103" s="1882"/>
      <c r="I103" s="1883" t="str">
        <f t="shared" si="5"/>
        <v/>
      </c>
      <c r="J103" s="2391"/>
      <c r="K103" s="2351"/>
      <c r="L103" s="2356"/>
      <c r="M103" s="602"/>
      <c r="N103" s="603"/>
      <c r="O103" s="597"/>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881"/>
      <c r="D104" s="2388"/>
      <c r="E104" s="621"/>
      <c r="F104" s="640"/>
      <c r="G104" s="641"/>
      <c r="H104" s="1882"/>
      <c r="I104" s="1883" t="str">
        <f t="shared" si="5"/>
        <v/>
      </c>
      <c r="J104" s="2391"/>
      <c r="K104" s="2351"/>
      <c r="L104" s="2356"/>
      <c r="M104" s="602"/>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c r="B105" s="36"/>
      <c r="C105" s="1881"/>
      <c r="D105" s="2388"/>
      <c r="E105" s="621"/>
      <c r="F105" s="640"/>
      <c r="G105" s="641"/>
      <c r="H105" s="1882"/>
      <c r="I105" s="1883" t="str">
        <f t="shared" si="5"/>
        <v/>
      </c>
      <c r="J105" s="2391"/>
      <c r="K105" s="2351"/>
      <c r="L105" s="2356"/>
      <c r="M105" s="602"/>
      <c r="N105" s="603"/>
      <c r="O105" s="597"/>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881"/>
      <c r="D106" s="2388"/>
      <c r="E106" s="621"/>
      <c r="F106" s="640"/>
      <c r="G106" s="641"/>
      <c r="H106" s="1882"/>
      <c r="I106" s="1883" t="str">
        <f t="shared" si="5"/>
        <v/>
      </c>
      <c r="J106" s="2391"/>
      <c r="K106" s="2351"/>
      <c r="L106" s="2356"/>
      <c r="M106" s="602"/>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c r="B107" s="36"/>
      <c r="C107" s="1881"/>
      <c r="D107" s="2388"/>
      <c r="E107" s="621"/>
      <c r="F107" s="640"/>
      <c r="G107" s="641"/>
      <c r="H107" s="1882"/>
      <c r="I107" s="1883" t="str">
        <f t="shared" si="5"/>
        <v/>
      </c>
      <c r="J107" s="2391"/>
      <c r="K107" s="2351"/>
      <c r="L107" s="2356"/>
      <c r="M107" s="602"/>
      <c r="N107" s="603"/>
      <c r="O107" s="597"/>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c r="B108" s="36"/>
      <c r="C108" s="1881"/>
      <c r="D108" s="2388"/>
      <c r="E108" s="621"/>
      <c r="F108" s="640"/>
      <c r="G108" s="641"/>
      <c r="H108" s="1882"/>
      <c r="I108" s="1883" t="str">
        <f t="shared" si="5"/>
        <v/>
      </c>
      <c r="J108" s="2391"/>
      <c r="K108" s="2351"/>
      <c r="L108" s="2356"/>
      <c r="M108" s="602"/>
      <c r="N108" s="603"/>
      <c r="O108" s="597"/>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c r="B109" s="36"/>
      <c r="C109" s="1881"/>
      <c r="D109" s="2388"/>
      <c r="E109" s="621"/>
      <c r="F109" s="640"/>
      <c r="G109" s="641"/>
      <c r="H109" s="1882"/>
      <c r="I109" s="1883" t="str">
        <f t="shared" si="5"/>
        <v/>
      </c>
      <c r="J109" s="2391"/>
      <c r="K109" s="2351"/>
      <c r="L109" s="2356"/>
      <c r="M109" s="602"/>
      <c r="N109" s="603"/>
      <c r="O109" s="597"/>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881"/>
      <c r="D110" s="2388"/>
      <c r="E110" s="621"/>
      <c r="F110" s="640"/>
      <c r="G110" s="641"/>
      <c r="H110" s="1882"/>
      <c r="I110" s="1883" t="str">
        <f t="shared" si="5"/>
        <v/>
      </c>
      <c r="J110" s="2391"/>
      <c r="K110" s="2351"/>
      <c r="L110" s="2356"/>
      <c r="M110" s="602"/>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881"/>
      <c r="D111" s="2388"/>
      <c r="E111" s="621"/>
      <c r="F111" s="640"/>
      <c r="G111" s="641"/>
      <c r="H111" s="1882"/>
      <c r="I111" s="1883" t="str">
        <f t="shared" si="5"/>
        <v/>
      </c>
      <c r="J111" s="2391"/>
      <c r="K111" s="2351"/>
      <c r="L111" s="2356"/>
      <c r="M111" s="602"/>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881"/>
      <c r="D112" s="2388"/>
      <c r="E112" s="621"/>
      <c r="F112" s="640"/>
      <c r="G112" s="641"/>
      <c r="H112" s="1882"/>
      <c r="I112" s="1883" t="str">
        <f t="shared" si="5"/>
        <v/>
      </c>
      <c r="J112" s="2391"/>
      <c r="K112" s="2351"/>
      <c r="L112" s="2356"/>
      <c r="M112" s="602"/>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881"/>
      <c r="D113" s="2388"/>
      <c r="E113" s="621"/>
      <c r="F113" s="640"/>
      <c r="G113" s="641"/>
      <c r="H113" s="1882"/>
      <c r="I113" s="1883" t="str">
        <f t="shared" si="5"/>
        <v/>
      </c>
      <c r="J113" s="2391"/>
      <c r="K113" s="2351"/>
      <c r="L113" s="2356"/>
      <c r="M113" s="602"/>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388"/>
      <c r="E114" s="621"/>
      <c r="F114" s="640"/>
      <c r="G114" s="641"/>
      <c r="H114" s="1882"/>
      <c r="I114" s="1883" t="str">
        <f t="shared" si="5"/>
        <v/>
      </c>
      <c r="J114" s="2391"/>
      <c r="K114" s="2351"/>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388"/>
      <c r="E115" s="621"/>
      <c r="F115" s="640"/>
      <c r="G115" s="641"/>
      <c r="H115" s="1882"/>
      <c r="I115" s="1883" t="str">
        <f t="shared" si="5"/>
        <v/>
      </c>
      <c r="J115" s="2391"/>
      <c r="K115" s="2351"/>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362"/>
      <c r="D116" s="2363" t="s">
        <v>4144</v>
      </c>
      <c r="E116" s="2364"/>
      <c r="F116" s="2365"/>
      <c r="G116" s="2366"/>
      <c r="H116" s="2382" t="s">
        <v>4131</v>
      </c>
      <c r="I116" s="2368">
        <f>SUM(I98:I115)</f>
        <v>30024</v>
      </c>
      <c r="J116" s="2383" t="str">
        <f>IF(C97="部分撤去工事","）うち費用",")")</f>
        <v>)</v>
      </c>
      <c r="K116" s="2393">
        <f>IF(C97="部分撤去工事",(K93+L116),0)</f>
        <v>0</v>
      </c>
      <c r="L116" s="2384">
        <f>IF(C97="部分撤去工事",SUMIF(N98:N115,"費用",I98:I115),0)</f>
        <v>0</v>
      </c>
      <c r="M116" s="2394"/>
      <c r="N116" s="2400"/>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30</v>
      </c>
      <c r="G117" s="103" t="s">
        <v>131</v>
      </c>
      <c r="H117" s="104">
        <f>+H94</f>
        <v>69</v>
      </c>
      <c r="I117" s="104"/>
      <c r="M117" s="598" t="str">
        <f>IF(A119="","EOL","")</f>
        <v/>
      </c>
      <c r="N117" s="1">
        <f>+F117</f>
        <v>30</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4125</v>
      </c>
      <c r="D120" s="2385"/>
      <c r="E120" s="623"/>
      <c r="F120" s="1889"/>
      <c r="G120" s="1890"/>
      <c r="H120" s="2386" t="s">
        <v>117</v>
      </c>
      <c r="I120" s="2386" t="s">
        <v>117</v>
      </c>
      <c r="J120" s="2759"/>
      <c r="K120" s="2733"/>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388"/>
      <c r="E121" s="621"/>
      <c r="F121" s="640"/>
      <c r="G121" s="641"/>
      <c r="H121" s="1882"/>
      <c r="I121" s="1883" t="str">
        <f t="shared" ref="I121:I138" si="6">IF(F121="","",INT(F121*H121))</f>
        <v/>
      </c>
      <c r="J121" s="2391"/>
      <c r="K121" s="2351"/>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881">
        <v>2100601</v>
      </c>
      <c r="D122" s="2399" t="s">
        <v>4200</v>
      </c>
      <c r="E122" s="621" t="s">
        <v>4201</v>
      </c>
      <c r="F122" s="640">
        <v>25</v>
      </c>
      <c r="G122" s="641" t="s">
        <v>4202</v>
      </c>
      <c r="H122" s="1882">
        <v>4830</v>
      </c>
      <c r="I122" s="1883">
        <f>IF(F122="","",INT(F122*H122))</f>
        <v>120750</v>
      </c>
      <c r="J122" s="2391" t="s">
        <v>4203</v>
      </c>
      <c r="K122" s="2351"/>
      <c r="L122" s="2356"/>
      <c r="M122" s="602"/>
      <c r="N122" s="603"/>
      <c r="O122" s="597">
        <v>1.3</v>
      </c>
      <c r="P122" s="187"/>
      <c r="Q122" s="188"/>
      <c r="R122" s="188"/>
      <c r="S122" s="188"/>
      <c r="T122" s="188"/>
      <c r="U122" s="188"/>
      <c r="V122" s="188"/>
      <c r="W122" s="188"/>
      <c r="X122" s="189"/>
      <c r="Y122" s="189"/>
      <c r="Z122" s="189"/>
      <c r="AA122" s="189"/>
      <c r="AB122" s="189"/>
      <c r="AC122" s="188"/>
      <c r="AD122" s="309"/>
      <c r="AE122" s="310"/>
      <c r="AF122" s="188"/>
      <c r="AG122" s="188"/>
      <c r="AH122" s="519"/>
      <c r="AI122" s="557"/>
    </row>
    <row r="123" spans="1:35" s="37" customFormat="1" ht="24" customHeight="1">
      <c r="A123" s="36">
        <v>4</v>
      </c>
      <c r="B123" s="36">
        <v>4</v>
      </c>
      <c r="C123" s="1881">
        <v>20109</v>
      </c>
      <c r="D123" s="2399" t="s">
        <v>4391</v>
      </c>
      <c r="E123" s="621" t="s">
        <v>4392</v>
      </c>
      <c r="F123" s="640">
        <v>22</v>
      </c>
      <c r="G123" s="641" t="s">
        <v>4174</v>
      </c>
      <c r="H123" s="1882">
        <v>2730</v>
      </c>
      <c r="I123" s="1883">
        <f>IF(F123="","",INT(F123*H123))</f>
        <v>60060</v>
      </c>
      <c r="J123" s="2391" t="s">
        <v>4393</v>
      </c>
      <c r="K123" s="2351"/>
      <c r="L123" s="2356"/>
      <c r="M123" s="602"/>
      <c r="N123" s="603"/>
      <c r="O123" s="597">
        <v>0.4</v>
      </c>
      <c r="P123" s="187"/>
      <c r="Q123" s="188"/>
      <c r="R123" s="188"/>
      <c r="S123" s="188"/>
      <c r="T123" s="188"/>
      <c r="U123" s="188"/>
      <c r="V123" s="188"/>
      <c r="W123" s="188"/>
      <c r="X123" s="189"/>
      <c r="Y123" s="189"/>
      <c r="Z123" s="189"/>
      <c r="AA123" s="189"/>
      <c r="AB123" s="189"/>
      <c r="AC123" s="188"/>
      <c r="AD123" s="309"/>
      <c r="AE123" s="310"/>
      <c r="AF123" s="188"/>
      <c r="AG123" s="188"/>
      <c r="AH123" s="519"/>
      <c r="AI123" s="557"/>
    </row>
    <row r="124" spans="1:35" s="37" customFormat="1" ht="24" customHeight="1">
      <c r="A124" s="36"/>
      <c r="B124" s="36"/>
      <c r="C124" s="1881"/>
      <c r="D124" s="2399"/>
      <c r="E124" s="621"/>
      <c r="F124" s="640"/>
      <c r="G124" s="641"/>
      <c r="H124" s="1882"/>
      <c r="I124" s="1883"/>
      <c r="J124" s="2351"/>
      <c r="K124" s="2351"/>
      <c r="L124" s="2356"/>
      <c r="M124" s="602"/>
      <c r="N124" s="603"/>
      <c r="O124" s="597"/>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1881"/>
      <c r="D125" s="2388"/>
      <c r="E125" s="621"/>
      <c r="F125" s="640"/>
      <c r="G125" s="641"/>
      <c r="H125" s="1882"/>
      <c r="I125" s="1883" t="str">
        <f t="shared" ref="I125:I129" si="7">IF(F125="","",INT(F125*H125))</f>
        <v/>
      </c>
      <c r="J125" s="2391"/>
      <c r="K125" s="2351"/>
      <c r="L125" s="2356"/>
      <c r="M125" s="602"/>
      <c r="N125" s="603"/>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v>4</v>
      </c>
      <c r="B126" s="36">
        <v>4</v>
      </c>
      <c r="C126" s="1910">
        <v>808</v>
      </c>
      <c r="D126" s="2399" t="s">
        <v>4394</v>
      </c>
      <c r="E126" s="621" t="s">
        <v>4395</v>
      </c>
      <c r="F126" s="640">
        <v>4</v>
      </c>
      <c r="G126" s="641" t="s">
        <v>4174</v>
      </c>
      <c r="H126" s="1882">
        <f>見積比較!O$218</f>
        <v>84500</v>
      </c>
      <c r="I126" s="1883">
        <f>IF(F126="","",INT(F126*H126))</f>
        <v>338000</v>
      </c>
      <c r="J126" s="2391" t="s">
        <v>4206</v>
      </c>
      <c r="K126" s="2351"/>
      <c r="L126" s="2356"/>
      <c r="M126" s="1917" t="s">
        <v>4207</v>
      </c>
      <c r="N126" s="603" t="s">
        <v>4208</v>
      </c>
      <c r="O126" s="597">
        <v>0</v>
      </c>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1881"/>
      <c r="D127" s="2388"/>
      <c r="E127" s="621"/>
      <c r="F127" s="640"/>
      <c r="G127" s="641"/>
      <c r="H127" s="1882"/>
      <c r="I127" s="1883" t="str">
        <f t="shared" si="7"/>
        <v/>
      </c>
      <c r="J127" s="2391"/>
      <c r="K127" s="2351"/>
      <c r="L127" s="2356"/>
      <c r="M127" s="602"/>
      <c r="N127" s="603"/>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1881"/>
      <c r="D128" s="2388"/>
      <c r="E128" s="621"/>
      <c r="F128" s="640"/>
      <c r="G128" s="641"/>
      <c r="H128" s="1882"/>
      <c r="I128" s="1883" t="str">
        <f t="shared" si="7"/>
        <v/>
      </c>
      <c r="J128" s="2391"/>
      <c r="K128" s="2351"/>
      <c r="L128" s="2356"/>
      <c r="M128" s="602"/>
      <c r="N128" s="603"/>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388"/>
      <c r="E129" s="621"/>
      <c r="F129" s="640"/>
      <c r="G129" s="641"/>
      <c r="H129" s="1882"/>
      <c r="I129" s="1883" t="str">
        <f t="shared" si="7"/>
        <v/>
      </c>
      <c r="J129" s="2391"/>
      <c r="K129" s="2351"/>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c r="B130" s="36"/>
      <c r="C130" s="1881"/>
      <c r="D130" s="2388"/>
      <c r="E130" s="621"/>
      <c r="F130" s="640"/>
      <c r="G130" s="641"/>
      <c r="H130" s="1882"/>
      <c r="I130" s="1883" t="str">
        <f t="shared" si="6"/>
        <v/>
      </c>
      <c r="J130" s="2391"/>
      <c r="K130" s="2351"/>
      <c r="L130" s="2356"/>
      <c r="M130" s="602"/>
      <c r="N130" s="603"/>
      <c r="O130" s="597"/>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388"/>
      <c r="E131" s="621"/>
      <c r="F131" s="640"/>
      <c r="G131" s="641"/>
      <c r="H131" s="1882"/>
      <c r="I131" s="1883" t="str">
        <f t="shared" si="6"/>
        <v/>
      </c>
      <c r="J131" s="2391"/>
      <c r="K131" s="2351"/>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c r="B132" s="36"/>
      <c r="C132" s="1881"/>
      <c r="D132" s="2388"/>
      <c r="E132" s="621"/>
      <c r="F132" s="640"/>
      <c r="G132" s="641"/>
      <c r="H132" s="1882"/>
      <c r="I132" s="1883" t="str">
        <f t="shared" si="6"/>
        <v/>
      </c>
      <c r="J132" s="2391"/>
      <c r="K132" s="2351"/>
      <c r="L132" s="2356"/>
      <c r="M132" s="602"/>
      <c r="N132" s="603"/>
      <c r="O132" s="597"/>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2388"/>
      <c r="E133" s="621"/>
      <c r="F133" s="640"/>
      <c r="G133" s="641"/>
      <c r="H133" s="1882"/>
      <c r="I133" s="1883" t="str">
        <f t="shared" si="6"/>
        <v/>
      </c>
      <c r="J133" s="2391"/>
      <c r="K133" s="2351"/>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c r="B134" s="36"/>
      <c r="C134" s="1881"/>
      <c r="D134" s="2388"/>
      <c r="E134" s="621"/>
      <c r="F134" s="640"/>
      <c r="G134" s="641"/>
      <c r="H134" s="1882"/>
      <c r="I134" s="1883" t="str">
        <f t="shared" si="6"/>
        <v/>
      </c>
      <c r="J134" s="2391"/>
      <c r="K134" s="2351"/>
      <c r="L134" s="2356"/>
      <c r="M134" s="602"/>
      <c r="N134" s="603"/>
      <c r="O134" s="597"/>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1881"/>
      <c r="D135" s="2388"/>
      <c r="E135" s="621"/>
      <c r="F135" s="640"/>
      <c r="G135" s="641"/>
      <c r="H135" s="1882"/>
      <c r="I135" s="1883" t="str">
        <f t="shared" si="6"/>
        <v/>
      </c>
      <c r="J135" s="2391"/>
      <c r="K135" s="2351"/>
      <c r="L135" s="2356"/>
      <c r="M135" s="602"/>
      <c r="N135" s="603"/>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1881"/>
      <c r="D136" s="2388"/>
      <c r="E136" s="621"/>
      <c r="F136" s="640"/>
      <c r="G136" s="641"/>
      <c r="H136" s="1882"/>
      <c r="I136" s="1883" t="str">
        <f t="shared" si="6"/>
        <v/>
      </c>
      <c r="J136" s="2391"/>
      <c r="K136" s="2351"/>
      <c r="L136" s="2356"/>
      <c r="M136" s="602"/>
      <c r="N136" s="603"/>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2388"/>
      <c r="E137" s="621"/>
      <c r="F137" s="640"/>
      <c r="G137" s="641"/>
      <c r="H137" s="1882"/>
      <c r="I137" s="1883" t="str">
        <f t="shared" si="6"/>
        <v/>
      </c>
      <c r="J137" s="2391"/>
      <c r="K137" s="2351"/>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388"/>
      <c r="E138" s="621"/>
      <c r="F138" s="640"/>
      <c r="G138" s="641"/>
      <c r="H138" s="1882"/>
      <c r="I138" s="1883" t="str">
        <f t="shared" si="6"/>
        <v/>
      </c>
      <c r="J138" s="2391"/>
      <c r="K138" s="2351"/>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362"/>
      <c r="D139" s="2363" t="s">
        <v>4144</v>
      </c>
      <c r="E139" s="2364"/>
      <c r="F139" s="2365"/>
      <c r="G139" s="2366"/>
      <c r="H139" s="2382" t="s">
        <v>4131</v>
      </c>
      <c r="I139" s="2368">
        <f>SUM(I121:I138)</f>
        <v>518810</v>
      </c>
      <c r="J139" s="2383" t="str">
        <f>IF(C120="部分撤去工事","）うち費用",")")</f>
        <v>)</v>
      </c>
      <c r="K139" s="2393">
        <f>IF(C120="部分撤去工事",(K116+L139),0)</f>
        <v>0</v>
      </c>
      <c r="L139" s="2384">
        <f>IF(C120="部分撤去工事",SUMIF(N121:N138,"費用",I121:I138),0)</f>
        <v>0</v>
      </c>
      <c r="M139" s="2394"/>
      <c r="N139" s="2400"/>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31</v>
      </c>
      <c r="G140" s="103" t="s">
        <v>131</v>
      </c>
      <c r="H140" s="104">
        <f>+H117</f>
        <v>69</v>
      </c>
      <c r="I140" s="104"/>
      <c r="M140" s="598" t="str">
        <f>IF(A142="","EOL","")</f>
        <v/>
      </c>
      <c r="N140" s="1">
        <f>+F140</f>
        <v>31</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N141" s="1"/>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4126</v>
      </c>
      <c r="D143" s="2385"/>
      <c r="E143" s="623"/>
      <c r="F143" s="1889"/>
      <c r="G143" s="1890"/>
      <c r="H143" s="2386" t="s">
        <v>117</v>
      </c>
      <c r="I143" s="2386" t="s">
        <v>117</v>
      </c>
      <c r="J143" s="2759"/>
      <c r="K143" s="2733"/>
      <c r="L143" s="2734"/>
      <c r="M143" s="600"/>
      <c r="N143" s="601"/>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1881"/>
      <c r="D144" s="2388"/>
      <c r="E144" s="621"/>
      <c r="F144" s="640"/>
      <c r="G144" s="641"/>
      <c r="H144" s="1882"/>
      <c r="I144" s="1883" t="str">
        <f t="shared" ref="I144:I161" si="8">IF(F144="","",INT(F144*H144))</f>
        <v/>
      </c>
      <c r="J144" s="2391"/>
      <c r="K144" s="2351"/>
      <c r="L144" s="2356"/>
      <c r="M144" s="602"/>
      <c r="N144" s="603"/>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4</v>
      </c>
      <c r="B145" s="36">
        <v>4</v>
      </c>
      <c r="C145" s="1911">
        <v>23064</v>
      </c>
      <c r="D145" s="2399" t="s">
        <v>4224</v>
      </c>
      <c r="E145" s="621" t="s">
        <v>4225</v>
      </c>
      <c r="F145" s="640">
        <v>5.4</v>
      </c>
      <c r="G145" s="641" t="s">
        <v>4157</v>
      </c>
      <c r="H145" s="1882">
        <v>9150</v>
      </c>
      <c r="I145" s="1883">
        <f>IF(F145="","",INT(F145*H145))</f>
        <v>49410</v>
      </c>
      <c r="J145" s="2391" t="s">
        <v>4226</v>
      </c>
      <c r="K145" s="2351"/>
      <c r="L145" s="2356"/>
      <c r="M145" s="602"/>
      <c r="N145" s="603" t="s">
        <v>4223</v>
      </c>
      <c r="O145" s="597"/>
      <c r="P145" s="187">
        <v>60</v>
      </c>
      <c r="Q145" s="188"/>
      <c r="R145" s="188"/>
      <c r="S145" s="188"/>
      <c r="T145" s="188"/>
      <c r="U145" s="188">
        <v>20</v>
      </c>
      <c r="V145" s="188"/>
      <c r="W145" s="188"/>
      <c r="X145" s="189"/>
      <c r="Y145" s="189"/>
      <c r="Z145" s="189"/>
      <c r="AA145" s="189"/>
      <c r="AB145" s="189"/>
      <c r="AC145" s="188"/>
      <c r="AD145" s="309"/>
      <c r="AE145" s="310"/>
      <c r="AF145" s="188"/>
      <c r="AG145" s="188"/>
      <c r="AH145" s="519"/>
      <c r="AI145" s="557"/>
    </row>
    <row r="146" spans="1:35" s="37" customFormat="1" ht="24" customHeight="1">
      <c r="A146" s="36">
        <v>4</v>
      </c>
      <c r="B146" s="36">
        <v>4</v>
      </c>
      <c r="C146" s="1881">
        <v>20021</v>
      </c>
      <c r="D146" s="2399" t="s">
        <v>4224</v>
      </c>
      <c r="E146" s="621" t="s">
        <v>4231</v>
      </c>
      <c r="F146" s="640">
        <v>22</v>
      </c>
      <c r="G146" s="641" t="s">
        <v>4232</v>
      </c>
      <c r="H146" s="1882">
        <v>90</v>
      </c>
      <c r="I146" s="1883">
        <f>IF(F146="","",INT(F146*H146))</f>
        <v>1980</v>
      </c>
      <c r="J146" s="2351" t="s">
        <v>4393</v>
      </c>
      <c r="K146" s="2351"/>
      <c r="L146" s="2356"/>
      <c r="M146" s="602"/>
      <c r="N146" s="603" t="s">
        <v>4223</v>
      </c>
      <c r="O146" s="597"/>
      <c r="P146" s="187"/>
      <c r="Q146" s="188"/>
      <c r="R146" s="188"/>
      <c r="S146" s="188"/>
      <c r="T146" s="188">
        <v>0.39</v>
      </c>
      <c r="U146" s="188"/>
      <c r="V146" s="188"/>
      <c r="W146" s="188"/>
      <c r="X146" s="189"/>
      <c r="Y146" s="189"/>
      <c r="Z146" s="189"/>
      <c r="AA146" s="189"/>
      <c r="AB146" s="189"/>
      <c r="AC146" s="188"/>
      <c r="AD146" s="309"/>
      <c r="AE146" s="310"/>
      <c r="AF146" s="188"/>
      <c r="AG146" s="188"/>
      <c r="AH146" s="519"/>
      <c r="AI146" s="557"/>
    </row>
    <row r="147" spans="1:35" s="37" customFormat="1" ht="24" customHeight="1">
      <c r="A147" s="36">
        <v>4</v>
      </c>
      <c r="B147" s="36">
        <v>4</v>
      </c>
      <c r="C147" s="1881">
        <v>23090</v>
      </c>
      <c r="D147" s="2399" t="s">
        <v>4238</v>
      </c>
      <c r="E147" s="621" t="s">
        <v>4239</v>
      </c>
      <c r="F147" s="640">
        <v>35.4</v>
      </c>
      <c r="G147" s="641" t="s">
        <v>4237</v>
      </c>
      <c r="H147" s="1882">
        <v>2280</v>
      </c>
      <c r="I147" s="1883">
        <f>IF(F147="","",INT(F147*H147))</f>
        <v>80712</v>
      </c>
      <c r="J147" s="2391" t="s">
        <v>4240</v>
      </c>
      <c r="K147" s="2351"/>
      <c r="L147" s="2356"/>
      <c r="M147" s="602"/>
      <c r="N147" s="603" t="s">
        <v>4223</v>
      </c>
      <c r="O147" s="597">
        <v>0</v>
      </c>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c r="B148" s="36"/>
      <c r="C148" s="1881"/>
      <c r="D148" s="2388"/>
      <c r="E148" s="621"/>
      <c r="F148" s="640"/>
      <c r="G148" s="641"/>
      <c r="H148" s="1882"/>
      <c r="I148" s="1883" t="str">
        <f t="shared" ref="I148:I155" si="9">IF(F148="","",INT(F148*H148))</f>
        <v/>
      </c>
      <c r="J148" s="2391"/>
      <c r="K148" s="2351"/>
      <c r="L148" s="2356"/>
      <c r="M148" s="602"/>
      <c r="N148" s="603"/>
      <c r="O148" s="597"/>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v>4</v>
      </c>
      <c r="B149" s="36">
        <v>4</v>
      </c>
      <c r="C149" s="1881">
        <v>23512</v>
      </c>
      <c r="D149" s="2399" t="s">
        <v>4224</v>
      </c>
      <c r="E149" s="621" t="s">
        <v>4236</v>
      </c>
      <c r="F149" s="640">
        <v>9</v>
      </c>
      <c r="G149" s="641" t="s">
        <v>4237</v>
      </c>
      <c r="H149" s="1882">
        <v>2680</v>
      </c>
      <c r="I149" s="1883">
        <f>IF(F149="","",INT(F149*H149))</f>
        <v>24120</v>
      </c>
      <c r="J149" s="2391"/>
      <c r="K149" s="2351"/>
      <c r="L149" s="2356"/>
      <c r="M149" s="602"/>
      <c r="N149" s="603" t="s">
        <v>4223</v>
      </c>
      <c r="O149" s="597"/>
      <c r="P149" s="187"/>
      <c r="Q149" s="188"/>
      <c r="R149" s="188"/>
      <c r="S149" s="188"/>
      <c r="T149" s="188"/>
      <c r="U149" s="188"/>
      <c r="V149" s="188"/>
      <c r="W149" s="188"/>
      <c r="X149" s="189"/>
      <c r="Y149" s="189"/>
      <c r="Z149" s="189"/>
      <c r="AA149" s="189"/>
      <c r="AB149" s="189"/>
      <c r="AC149" s="188"/>
      <c r="AD149" s="309"/>
      <c r="AE149" s="310"/>
      <c r="AF149" s="188">
        <v>20</v>
      </c>
      <c r="AG149" s="188"/>
      <c r="AH149" s="519"/>
      <c r="AI149" s="557"/>
    </row>
    <row r="150" spans="1:35" s="37" customFormat="1" ht="24" customHeight="1">
      <c r="A150" s="36"/>
      <c r="B150" s="36"/>
      <c r="C150" s="1881"/>
      <c r="D150" s="2388"/>
      <c r="E150" s="621"/>
      <c r="F150" s="640"/>
      <c r="G150" s="641"/>
      <c r="H150" s="1882"/>
      <c r="I150" s="1883" t="str">
        <f t="shared" si="9"/>
        <v/>
      </c>
      <c r="J150" s="2391"/>
      <c r="K150" s="2351"/>
      <c r="L150" s="2356"/>
      <c r="M150" s="602"/>
      <c r="N150" s="603"/>
      <c r="O150" s="597"/>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v>4</v>
      </c>
      <c r="B151" s="36">
        <v>4</v>
      </c>
      <c r="C151" s="1881">
        <v>20060</v>
      </c>
      <c r="D151" s="2399" t="s">
        <v>4248</v>
      </c>
      <c r="E151" s="621" t="s">
        <v>4396</v>
      </c>
      <c r="F151" s="640">
        <f>ROUND('3'!N3*0.001,2)</f>
        <v>0.46</v>
      </c>
      <c r="G151" s="641" t="s">
        <v>4262</v>
      </c>
      <c r="H151" s="1882">
        <v>920</v>
      </c>
      <c r="I151" s="1883">
        <f>IF(F151="","",INT(F151*H151))</f>
        <v>423</v>
      </c>
      <c r="J151" s="2391" t="s">
        <v>4397</v>
      </c>
      <c r="K151" s="2351"/>
      <c r="L151" s="2356"/>
      <c r="M151" s="602"/>
      <c r="N151" s="603" t="s">
        <v>4223</v>
      </c>
      <c r="O151" s="597">
        <v>0</v>
      </c>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v>4</v>
      </c>
      <c r="B152" s="36">
        <v>4</v>
      </c>
      <c r="C152" s="1881">
        <v>20061</v>
      </c>
      <c r="D152" s="2399" t="s">
        <v>4248</v>
      </c>
      <c r="E152" s="621" t="s">
        <v>4249</v>
      </c>
      <c r="F152" s="640">
        <f>ROUND('3'!N2*0.001,1)</f>
        <v>1.1000000000000001</v>
      </c>
      <c r="G152" s="641" t="s">
        <v>4250</v>
      </c>
      <c r="H152" s="1882">
        <f>10900*L152</f>
        <v>54500</v>
      </c>
      <c r="I152" s="1883">
        <f>IF(F152="","",INT(F152*H152))</f>
        <v>59950</v>
      </c>
      <c r="J152" s="2391" t="s">
        <v>4251</v>
      </c>
      <c r="K152" s="2351"/>
      <c r="L152" s="2356">
        <v>5</v>
      </c>
      <c r="M152" s="602"/>
      <c r="N152" s="603" t="s">
        <v>4223</v>
      </c>
      <c r="O152" s="597">
        <v>0</v>
      </c>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1881"/>
      <c r="D153" s="2388"/>
      <c r="E153" s="621"/>
      <c r="F153" s="640"/>
      <c r="G153" s="641"/>
      <c r="H153" s="1882"/>
      <c r="I153" s="1883" t="str">
        <f t="shared" si="9"/>
        <v/>
      </c>
      <c r="J153" s="2391"/>
      <c r="K153" s="2351"/>
      <c r="L153" s="2356"/>
      <c r="M153" s="602"/>
      <c r="N153" s="603"/>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v>4</v>
      </c>
      <c r="B154" s="36">
        <v>4</v>
      </c>
      <c r="C154" s="1881">
        <v>24020</v>
      </c>
      <c r="D154" s="2399" t="s">
        <v>4254</v>
      </c>
      <c r="E154" s="621" t="s">
        <v>4255</v>
      </c>
      <c r="F154" s="640">
        <f>ROUND('3'!V2*0.001,2)</f>
        <v>0.62</v>
      </c>
      <c r="G154" s="641" t="s">
        <v>4250</v>
      </c>
      <c r="H154" s="1882">
        <v>4410</v>
      </c>
      <c r="I154" s="1883">
        <f>IF(F154="","",INT(F154*H154))</f>
        <v>2734</v>
      </c>
      <c r="J154" s="2391"/>
      <c r="K154" s="2351"/>
      <c r="L154" s="2356"/>
      <c r="M154" s="602"/>
      <c r="N154" s="603" t="s">
        <v>4223</v>
      </c>
      <c r="O154" s="597">
        <v>0</v>
      </c>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c r="B155" s="36"/>
      <c r="C155" s="1881"/>
      <c r="D155" s="2388"/>
      <c r="E155" s="621"/>
      <c r="F155" s="640"/>
      <c r="G155" s="641"/>
      <c r="H155" s="1882"/>
      <c r="I155" s="1883" t="str">
        <f t="shared" si="9"/>
        <v/>
      </c>
      <c r="J155" s="2391"/>
      <c r="K155" s="2351"/>
      <c r="L155" s="2356"/>
      <c r="M155" s="602"/>
      <c r="N155" s="603"/>
      <c r="O155" s="597"/>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v>4</v>
      </c>
      <c r="B156" s="36">
        <v>4</v>
      </c>
      <c r="C156" s="1881"/>
      <c r="D156" s="2399" t="s">
        <v>4256</v>
      </c>
      <c r="E156" s="621" t="s">
        <v>4257</v>
      </c>
      <c r="F156" s="640">
        <v>1</v>
      </c>
      <c r="G156" s="641" t="s">
        <v>122</v>
      </c>
      <c r="H156" s="1882"/>
      <c r="I156" s="1883">
        <f>+[4]残材運搬費按分表!$T$93</f>
        <v>4991</v>
      </c>
      <c r="J156" s="2391" t="s">
        <v>4147</v>
      </c>
      <c r="K156" s="2351"/>
      <c r="L156" s="2356"/>
      <c r="M156" s="602"/>
      <c r="N156" s="603" t="s">
        <v>4223</v>
      </c>
      <c r="O156" s="597">
        <v>0</v>
      </c>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v>4</v>
      </c>
      <c r="B157" s="36">
        <v>4</v>
      </c>
      <c r="C157" s="1881"/>
      <c r="D157" s="2399" t="s">
        <v>4256</v>
      </c>
      <c r="E157" s="621" t="s">
        <v>4258</v>
      </c>
      <c r="F157" s="640">
        <v>1</v>
      </c>
      <c r="G157" s="641" t="s">
        <v>122</v>
      </c>
      <c r="H157" s="1882"/>
      <c r="I157" s="1883">
        <f>+[4]スクラップ運搬費按分表!$T$93</f>
        <v>3769</v>
      </c>
      <c r="J157" s="2391" t="s">
        <v>4149</v>
      </c>
      <c r="K157" s="2351"/>
      <c r="L157" s="2356"/>
      <c r="M157" s="602"/>
      <c r="N157" s="603" t="s">
        <v>4223</v>
      </c>
      <c r="O157" s="597">
        <v>0</v>
      </c>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1881"/>
      <c r="D158" s="2399"/>
      <c r="E158" s="621"/>
      <c r="F158" s="640"/>
      <c r="G158" s="641"/>
      <c r="H158" s="1882"/>
      <c r="I158" s="1883"/>
      <c r="J158" s="2391"/>
      <c r="K158" s="2351"/>
      <c r="L158" s="2356"/>
      <c r="M158" s="602"/>
      <c r="N158" s="603"/>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1881"/>
      <c r="D159" s="2399"/>
      <c r="E159" s="621"/>
      <c r="F159" s="640"/>
      <c r="G159" s="641"/>
      <c r="H159" s="1882"/>
      <c r="I159" s="1883"/>
      <c r="J159" s="2391"/>
      <c r="K159" s="2351"/>
      <c r="L159" s="2356"/>
      <c r="M159" s="602"/>
      <c r="N159" s="603"/>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1881"/>
      <c r="D160" s="2399"/>
      <c r="E160" s="621"/>
      <c r="F160" s="640"/>
      <c r="G160" s="641"/>
      <c r="H160" s="1882"/>
      <c r="I160" s="1883"/>
      <c r="J160" s="2391"/>
      <c r="K160" s="2351"/>
      <c r="L160" s="2356"/>
      <c r="M160" s="602"/>
      <c r="N160" s="603"/>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1881"/>
      <c r="D161" s="2388"/>
      <c r="E161" s="621"/>
      <c r="F161" s="640"/>
      <c r="G161" s="641"/>
      <c r="H161" s="1882"/>
      <c r="I161" s="1883" t="str">
        <f t="shared" si="8"/>
        <v/>
      </c>
      <c r="J161" s="2391"/>
      <c r="K161" s="2351"/>
      <c r="L161" s="2356"/>
      <c r="M161" s="602"/>
      <c r="N161" s="603"/>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362"/>
      <c r="D162" s="2363"/>
      <c r="E162" s="2364"/>
      <c r="F162" s="2365"/>
      <c r="G162" s="2366"/>
      <c r="H162" s="2382"/>
      <c r="I162" s="2416">
        <f>SUM(I144:I161)</f>
        <v>228089</v>
      </c>
      <c r="J162" s="2383"/>
      <c r="K162" s="2393">
        <f>IF(C143="部分撤去工事",(K139+L162),0)</f>
        <v>228089</v>
      </c>
      <c r="L162" s="2384">
        <f>IF(C143="部分撤去工事",SUMIF(N144:N161,"費用",I144:I161),0)</f>
        <v>228089</v>
      </c>
      <c r="M162" s="2394"/>
      <c r="N162" s="2400"/>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32</v>
      </c>
      <c r="G163" s="103" t="s">
        <v>131</v>
      </c>
      <c r="H163" s="104">
        <f>+H140</f>
        <v>69</v>
      </c>
      <c r="I163" s="104"/>
      <c r="M163" s="598" t="str">
        <f>IF(A165="","EOL","")</f>
        <v/>
      </c>
      <c r="N163" s="1">
        <f>+F163</f>
        <v>32</v>
      </c>
      <c r="Q163" s="37"/>
      <c r="R163" s="37"/>
      <c r="S163" s="37"/>
      <c r="T163" s="37"/>
      <c r="U163" s="37"/>
      <c r="V163" s="37"/>
      <c r="W163" s="37"/>
      <c r="X163" s="37"/>
      <c r="Y163" s="37"/>
      <c r="Z163" s="37"/>
    </row>
    <row r="164" spans="1:35" ht="26.1" customHeight="1" thickBot="1">
      <c r="C164" s="2517" t="s">
        <v>107</v>
      </c>
      <c r="D164" s="2517"/>
      <c r="E164" s="2517"/>
      <c r="F164" s="2517"/>
      <c r="G164" s="2517"/>
      <c r="H164" s="2517"/>
      <c r="I164" s="2517"/>
      <c r="J164" s="2517"/>
      <c r="K164" s="2517"/>
      <c r="L164" s="2517"/>
      <c r="N164" s="1"/>
      <c r="O164" s="2730" t="s">
        <v>4098</v>
      </c>
      <c r="P164" s="2730"/>
      <c r="Q164" s="2730"/>
      <c r="R164" s="2730"/>
      <c r="S164" s="2730"/>
      <c r="T164" s="2730"/>
      <c r="U164" s="2730"/>
      <c r="V164" s="2730"/>
      <c r="W164" s="2730"/>
      <c r="X164" s="2730"/>
      <c r="Y164" s="2730"/>
      <c r="Z164" s="2730"/>
      <c r="AA164" s="2730"/>
      <c r="AB164" s="2730"/>
      <c r="AC164" s="2730"/>
      <c r="AD164" s="2730"/>
      <c r="AE164" s="2730"/>
      <c r="AF164" s="2730"/>
      <c r="AG164" s="2730"/>
      <c r="AH164" s="2731"/>
      <c r="AI164" s="555"/>
    </row>
    <row r="165" spans="1:35" ht="41.25" customHeight="1">
      <c r="A165" s="5" t="s">
        <v>108</v>
      </c>
      <c r="B165" s="5" t="s">
        <v>4145</v>
      </c>
      <c r="C165" s="99" t="s">
        <v>110</v>
      </c>
      <c r="D165" s="95"/>
      <c r="E165" s="96" t="s">
        <v>111</v>
      </c>
      <c r="F165" s="97" t="s">
        <v>112</v>
      </c>
      <c r="G165" s="97" t="s">
        <v>113</v>
      </c>
      <c r="H165" s="98" t="s">
        <v>114</v>
      </c>
      <c r="I165" s="98" t="s">
        <v>115</v>
      </c>
      <c r="J165" s="2552" t="s">
        <v>116</v>
      </c>
      <c r="K165" s="2553"/>
      <c r="L165" s="2554"/>
      <c r="M165" s="599"/>
      <c r="N165" s="604" t="s">
        <v>4154</v>
      </c>
      <c r="O165" s="596" t="s">
        <v>4099</v>
      </c>
      <c r="P165" s="303" t="s">
        <v>4100</v>
      </c>
      <c r="Q165" s="241" t="s">
        <v>4101</v>
      </c>
      <c r="R165" s="241" t="s">
        <v>4102</v>
      </c>
      <c r="S165" s="241" t="s">
        <v>4103</v>
      </c>
      <c r="T165" s="241" t="s">
        <v>4104</v>
      </c>
      <c r="U165" s="241" t="s">
        <v>4105</v>
      </c>
      <c r="V165" s="125" t="s">
        <v>4106</v>
      </c>
      <c r="W165" s="241" t="s">
        <v>4107</v>
      </c>
      <c r="X165" s="180" t="s">
        <v>4108</v>
      </c>
      <c r="Y165" s="180" t="s">
        <v>4109</v>
      </c>
      <c r="Z165" s="180" t="s">
        <v>4110</v>
      </c>
      <c r="AA165" s="180" t="s">
        <v>4111</v>
      </c>
      <c r="AB165" s="180" t="s">
        <v>4112</v>
      </c>
      <c r="AC165" s="306" t="s">
        <v>4113</v>
      </c>
      <c r="AD165" s="307" t="s">
        <v>4114</v>
      </c>
      <c r="AE165" s="308" t="s">
        <v>4115</v>
      </c>
      <c r="AF165" s="124" t="s">
        <v>4116</v>
      </c>
      <c r="AG165" s="124" t="s">
        <v>4117</v>
      </c>
      <c r="AH165" s="124" t="s">
        <v>4118</v>
      </c>
      <c r="AI165" s="556"/>
    </row>
    <row r="166" spans="1:35" ht="24" customHeight="1">
      <c r="A166" s="36"/>
      <c r="B166" s="36"/>
      <c r="C166" s="2370" t="s">
        <v>4126</v>
      </c>
      <c r="D166" s="2385"/>
      <c r="E166" s="623"/>
      <c r="F166" s="1889"/>
      <c r="G166" s="1890"/>
      <c r="H166" s="2386" t="s">
        <v>117</v>
      </c>
      <c r="I166" s="2386" t="s">
        <v>117</v>
      </c>
      <c r="J166" s="2759"/>
      <c r="K166" s="2733"/>
      <c r="L166" s="2734"/>
      <c r="M166" s="600"/>
      <c r="N166" s="601"/>
      <c r="O166" s="597"/>
      <c r="P166" s="187"/>
      <c r="Q166" s="188"/>
      <c r="R166" s="188"/>
      <c r="S166" s="188"/>
      <c r="T166" s="188"/>
      <c r="U166" s="188"/>
      <c r="V166" s="188"/>
      <c r="W166" s="188"/>
      <c r="X166" s="189"/>
      <c r="Y166" s="189"/>
      <c r="Z166" s="189"/>
      <c r="AA166" s="189"/>
      <c r="AB166" s="189"/>
      <c r="AC166" s="188"/>
      <c r="AD166" s="309"/>
      <c r="AE166" s="310"/>
      <c r="AF166" s="188"/>
      <c r="AG166" s="188"/>
      <c r="AH166" s="188"/>
      <c r="AI166" s="557"/>
    </row>
    <row r="167" spans="1:35" s="37" customFormat="1" ht="24" customHeight="1">
      <c r="A167" s="36"/>
      <c r="B167" s="36"/>
      <c r="C167" s="1881"/>
      <c r="D167" s="2388"/>
      <c r="E167" s="621"/>
      <c r="F167" s="640"/>
      <c r="G167" s="641"/>
      <c r="H167" s="1882"/>
      <c r="I167" s="1883" t="str">
        <f t="shared" ref="I167:I184" si="10">IF(F167="","",INT(F167*H167))</f>
        <v/>
      </c>
      <c r="J167" s="2391"/>
      <c r="K167" s="2351"/>
      <c r="L167" s="2356"/>
      <c r="M167" s="602"/>
      <c r="N167" s="603"/>
      <c r="O167" s="597"/>
      <c r="P167" s="187"/>
      <c r="Q167" s="188"/>
      <c r="R167" s="188"/>
      <c r="S167" s="188"/>
      <c r="T167" s="188"/>
      <c r="U167" s="188"/>
      <c r="V167" s="188"/>
      <c r="W167" s="188"/>
      <c r="X167" s="189"/>
      <c r="Y167" s="189"/>
      <c r="Z167" s="189"/>
      <c r="AA167" s="189"/>
      <c r="AB167" s="189"/>
      <c r="AC167" s="188"/>
      <c r="AD167" s="309"/>
      <c r="AE167" s="310"/>
      <c r="AF167" s="188"/>
      <c r="AG167" s="188"/>
      <c r="AH167" s="519"/>
      <c r="AI167" s="557"/>
    </row>
    <row r="168" spans="1:35" s="37" customFormat="1" ht="24" customHeight="1">
      <c r="A168" s="36">
        <v>4</v>
      </c>
      <c r="B168" s="36">
        <v>4</v>
      </c>
      <c r="C168" s="1881">
        <v>24063</v>
      </c>
      <c r="D168" s="2399" t="s">
        <v>4260</v>
      </c>
      <c r="E168" s="621" t="s">
        <v>4261</v>
      </c>
      <c r="F168" s="640">
        <f>ROUND('3'!E24*0.001,2)</f>
        <v>0.32</v>
      </c>
      <c r="G168" s="641" t="s">
        <v>4262</v>
      </c>
      <c r="H168" s="1882">
        <v>1180</v>
      </c>
      <c r="I168" s="1883">
        <f>IF(F168="","",INT(F168*H168))</f>
        <v>377</v>
      </c>
      <c r="J168" s="2391"/>
      <c r="K168" s="2351"/>
      <c r="L168" s="2356"/>
      <c r="M168" s="602"/>
      <c r="N168" s="603" t="s">
        <v>4223</v>
      </c>
      <c r="O168" s="597">
        <v>0</v>
      </c>
      <c r="P168" s="187"/>
      <c r="Q168" s="188"/>
      <c r="R168" s="188"/>
      <c r="S168" s="188"/>
      <c r="T168" s="188"/>
      <c r="U168" s="188"/>
      <c r="V168" s="188"/>
      <c r="W168" s="188"/>
      <c r="X168" s="189"/>
      <c r="Y168" s="189"/>
      <c r="Z168" s="189"/>
      <c r="AA168" s="189"/>
      <c r="AB168" s="189"/>
      <c r="AC168" s="188"/>
      <c r="AD168" s="309"/>
      <c r="AE168" s="310"/>
      <c r="AF168" s="188"/>
      <c r="AG168" s="188"/>
      <c r="AH168" s="519"/>
      <c r="AI168" s="557"/>
    </row>
    <row r="169" spans="1:35" s="37" customFormat="1" ht="24" customHeight="1">
      <c r="A169" s="36">
        <v>4</v>
      </c>
      <c r="B169" s="36">
        <v>4</v>
      </c>
      <c r="C169" s="1881">
        <v>24008</v>
      </c>
      <c r="D169" s="2399" t="s">
        <v>4260</v>
      </c>
      <c r="E169" s="621" t="s">
        <v>4263</v>
      </c>
      <c r="F169" s="640">
        <f>ROUND('3'!I24*0.001,3)</f>
        <v>8.9999999999999993E-3</v>
      </c>
      <c r="G169" s="641" t="s">
        <v>4262</v>
      </c>
      <c r="H169" s="1882">
        <v>12900</v>
      </c>
      <c r="I169" s="1883">
        <f>IF(F169="","",INT(F169*H169))</f>
        <v>116</v>
      </c>
      <c r="J169" s="2391"/>
      <c r="K169" s="2351"/>
      <c r="L169" s="2356"/>
      <c r="M169" s="602"/>
      <c r="N169" s="603" t="s">
        <v>4223</v>
      </c>
      <c r="O169" s="597">
        <v>0</v>
      </c>
      <c r="P169" s="187"/>
      <c r="Q169" s="188"/>
      <c r="R169" s="188"/>
      <c r="S169" s="188"/>
      <c r="T169" s="188"/>
      <c r="U169" s="188"/>
      <c r="V169" s="188"/>
      <c r="W169" s="188"/>
      <c r="X169" s="189"/>
      <c r="Y169" s="189"/>
      <c r="Z169" s="189"/>
      <c r="AA169" s="189"/>
      <c r="AB169" s="189"/>
      <c r="AC169" s="188"/>
      <c r="AD169" s="309"/>
      <c r="AE169" s="310"/>
      <c r="AF169" s="188"/>
      <c r="AG169" s="188"/>
      <c r="AH169" s="519"/>
      <c r="AI169" s="557"/>
    </row>
    <row r="170" spans="1:35" s="37" customFormat="1" ht="24" customHeight="1">
      <c r="A170" s="36">
        <v>4</v>
      </c>
      <c r="B170" s="36">
        <v>4</v>
      </c>
      <c r="C170" s="1881">
        <v>24006</v>
      </c>
      <c r="D170" s="2399" t="s">
        <v>4260</v>
      </c>
      <c r="E170" s="621" t="s">
        <v>4264</v>
      </c>
      <c r="F170" s="640">
        <f>ROUND('3'!J24*0.001,2)</f>
        <v>0.11</v>
      </c>
      <c r="G170" s="641" t="s">
        <v>4250</v>
      </c>
      <c r="H170" s="1882">
        <v>10000</v>
      </c>
      <c r="I170" s="1883">
        <f>IF(F170="","",INT(F170*H170))</f>
        <v>1100</v>
      </c>
      <c r="J170" s="2391"/>
      <c r="K170" s="2351"/>
      <c r="L170" s="2356"/>
      <c r="M170" s="602"/>
      <c r="N170" s="603" t="s">
        <v>4223</v>
      </c>
      <c r="O170" s="597">
        <v>0</v>
      </c>
      <c r="P170" s="187"/>
      <c r="Q170" s="188"/>
      <c r="R170" s="188"/>
      <c r="S170" s="188"/>
      <c r="T170" s="188"/>
      <c r="U170" s="188"/>
      <c r="V170" s="188"/>
      <c r="W170" s="188"/>
      <c r="X170" s="189"/>
      <c r="Y170" s="189"/>
      <c r="Z170" s="189"/>
      <c r="AA170" s="189"/>
      <c r="AB170" s="189"/>
      <c r="AC170" s="188"/>
      <c r="AD170" s="309"/>
      <c r="AE170" s="310"/>
      <c r="AF170" s="188"/>
      <c r="AG170" s="188"/>
      <c r="AH170" s="519"/>
      <c r="AI170" s="557"/>
    </row>
    <row r="171" spans="1:35" s="37" customFormat="1" ht="24" customHeight="1">
      <c r="A171" s="36"/>
      <c r="B171" s="36"/>
      <c r="C171" s="1881"/>
      <c r="D171" s="2388"/>
      <c r="E171" s="621"/>
      <c r="F171" s="640"/>
      <c r="G171" s="641"/>
      <c r="H171" s="1882"/>
      <c r="I171" s="1883" t="str">
        <f t="shared" si="10"/>
        <v/>
      </c>
      <c r="J171" s="2391"/>
      <c r="K171" s="2351"/>
      <c r="L171" s="2356"/>
      <c r="M171" s="602"/>
      <c r="N171" s="603"/>
      <c r="O171" s="597"/>
      <c r="P171" s="187"/>
      <c r="Q171" s="188"/>
      <c r="R171" s="188"/>
      <c r="S171" s="188"/>
      <c r="T171" s="188"/>
      <c r="U171" s="188"/>
      <c r="V171" s="188"/>
      <c r="W171" s="188"/>
      <c r="X171" s="189"/>
      <c r="Y171" s="189"/>
      <c r="Z171" s="189"/>
      <c r="AA171" s="189"/>
      <c r="AB171" s="189"/>
      <c r="AC171" s="188"/>
      <c r="AD171" s="309"/>
      <c r="AE171" s="310"/>
      <c r="AF171" s="188"/>
      <c r="AG171" s="188"/>
      <c r="AH171" s="519"/>
      <c r="AI171" s="557"/>
    </row>
    <row r="172" spans="1:35" s="37" customFormat="1" ht="24" customHeight="1">
      <c r="A172" s="36"/>
      <c r="B172" s="36"/>
      <c r="C172" s="1881"/>
      <c r="D172" s="2388" t="s">
        <v>4267</v>
      </c>
      <c r="E172" s="621" t="s">
        <v>4268</v>
      </c>
      <c r="F172" s="640">
        <f>ROUND('3'!U24*0.001,2)</f>
        <v>0.18</v>
      </c>
      <c r="G172" s="641" t="s">
        <v>4262</v>
      </c>
      <c r="H172" s="1882">
        <v>-80000</v>
      </c>
      <c r="I172" s="1883">
        <f t="shared" si="10"/>
        <v>-14400</v>
      </c>
      <c r="J172" s="2391" t="s">
        <v>4269</v>
      </c>
      <c r="K172" s="2351"/>
      <c r="L172" s="2356"/>
      <c r="M172" s="602"/>
      <c r="N172" s="603" t="s">
        <v>4223</v>
      </c>
      <c r="O172" s="597"/>
      <c r="P172" s="187"/>
      <c r="Q172" s="188"/>
      <c r="R172" s="188"/>
      <c r="S172" s="188"/>
      <c r="T172" s="188"/>
      <c r="U172" s="188"/>
      <c r="V172" s="188"/>
      <c r="W172" s="188"/>
      <c r="X172" s="189"/>
      <c r="Y172" s="189"/>
      <c r="Z172" s="189"/>
      <c r="AA172" s="189"/>
      <c r="AB172" s="189"/>
      <c r="AC172" s="188"/>
      <c r="AD172" s="309"/>
      <c r="AE172" s="310"/>
      <c r="AF172" s="188"/>
      <c r="AG172" s="188"/>
      <c r="AH172" s="519"/>
      <c r="AI172" s="557"/>
    </row>
    <row r="173" spans="1:35" s="37" customFormat="1" ht="24" customHeight="1">
      <c r="A173" s="36"/>
      <c r="B173" s="36"/>
      <c r="C173" s="1881"/>
      <c r="D173" s="2388"/>
      <c r="E173" s="621"/>
      <c r="F173" s="640"/>
      <c r="G173" s="641"/>
      <c r="H173" s="1882"/>
      <c r="I173" s="1883" t="str">
        <f t="shared" si="10"/>
        <v/>
      </c>
      <c r="J173" s="2391"/>
      <c r="K173" s="2351"/>
      <c r="L173" s="2356"/>
      <c r="M173" s="602"/>
      <c r="N173" s="603"/>
      <c r="O173" s="597"/>
      <c r="P173" s="187"/>
      <c r="Q173" s="188"/>
      <c r="R173" s="188"/>
      <c r="S173" s="188"/>
      <c r="T173" s="188"/>
      <c r="U173" s="188"/>
      <c r="V173" s="188"/>
      <c r="W173" s="188"/>
      <c r="X173" s="189"/>
      <c r="Y173" s="189"/>
      <c r="Z173" s="189"/>
      <c r="AA173" s="189"/>
      <c r="AB173" s="189"/>
      <c r="AC173" s="188"/>
      <c r="AD173" s="309"/>
      <c r="AE173" s="310"/>
      <c r="AF173" s="188"/>
      <c r="AG173" s="188"/>
      <c r="AH173" s="519"/>
      <c r="AI173" s="557"/>
    </row>
    <row r="174" spans="1:35" s="37" customFormat="1" ht="24" customHeight="1">
      <c r="A174" s="36"/>
      <c r="B174" s="36"/>
      <c r="C174" s="1881"/>
      <c r="D174" s="2388"/>
      <c r="E174" s="621"/>
      <c r="F174" s="640"/>
      <c r="G174" s="641"/>
      <c r="H174" s="1882"/>
      <c r="I174" s="1883" t="str">
        <f t="shared" si="10"/>
        <v/>
      </c>
      <c r="J174" s="2391"/>
      <c r="K174" s="2351"/>
      <c r="L174" s="2356"/>
      <c r="M174" s="602"/>
      <c r="N174" s="603"/>
      <c r="O174" s="597"/>
      <c r="P174" s="187"/>
      <c r="Q174" s="188"/>
      <c r="R174" s="188"/>
      <c r="S174" s="188"/>
      <c r="T174" s="188"/>
      <c r="U174" s="188"/>
      <c r="V174" s="188"/>
      <c r="W174" s="188"/>
      <c r="X174" s="189"/>
      <c r="Y174" s="189"/>
      <c r="Z174" s="189"/>
      <c r="AA174" s="189"/>
      <c r="AB174" s="189"/>
      <c r="AC174" s="188"/>
      <c r="AD174" s="309"/>
      <c r="AE174" s="310"/>
      <c r="AF174" s="188"/>
      <c r="AG174" s="188"/>
      <c r="AH174" s="519"/>
      <c r="AI174" s="557"/>
    </row>
    <row r="175" spans="1:35" s="37" customFormat="1" ht="24" customHeight="1">
      <c r="A175" s="36"/>
      <c r="B175" s="36"/>
      <c r="C175" s="1881"/>
      <c r="D175" s="2388"/>
      <c r="E175" s="621"/>
      <c r="F175" s="640"/>
      <c r="G175" s="641"/>
      <c r="H175" s="1882"/>
      <c r="I175" s="1883" t="str">
        <f t="shared" si="10"/>
        <v/>
      </c>
      <c r="J175" s="2391"/>
      <c r="K175" s="2351"/>
      <c r="L175" s="2356"/>
      <c r="M175" s="602"/>
      <c r="N175" s="603"/>
      <c r="O175" s="597"/>
      <c r="P175" s="187"/>
      <c r="Q175" s="188"/>
      <c r="R175" s="188"/>
      <c r="S175" s="188"/>
      <c r="T175" s="188"/>
      <c r="U175" s="188"/>
      <c r="V175" s="188"/>
      <c r="W175" s="188"/>
      <c r="X175" s="189"/>
      <c r="Y175" s="189"/>
      <c r="Z175" s="189"/>
      <c r="AA175" s="189"/>
      <c r="AB175" s="189"/>
      <c r="AC175" s="188"/>
      <c r="AD175" s="309"/>
      <c r="AE175" s="310"/>
      <c r="AF175" s="188"/>
      <c r="AG175" s="188"/>
      <c r="AH175" s="519"/>
      <c r="AI175" s="557"/>
    </row>
    <row r="176" spans="1:35" s="37" customFormat="1" ht="24" customHeight="1">
      <c r="A176" s="36"/>
      <c r="B176" s="36"/>
      <c r="C176" s="1881"/>
      <c r="D176" s="2388"/>
      <c r="E176" s="621"/>
      <c r="F176" s="640"/>
      <c r="G176" s="641"/>
      <c r="H176" s="1882"/>
      <c r="I176" s="1883" t="str">
        <f t="shared" si="10"/>
        <v/>
      </c>
      <c r="J176" s="2391"/>
      <c r="K176" s="2351"/>
      <c r="L176" s="2356"/>
      <c r="M176" s="602"/>
      <c r="N176" s="603"/>
      <c r="O176" s="597"/>
      <c r="P176" s="187"/>
      <c r="Q176" s="188"/>
      <c r="R176" s="188"/>
      <c r="S176" s="188"/>
      <c r="T176" s="188"/>
      <c r="U176" s="188"/>
      <c r="V176" s="188"/>
      <c r="W176" s="188"/>
      <c r="X176" s="189"/>
      <c r="Y176" s="189"/>
      <c r="Z176" s="189"/>
      <c r="AA176" s="189"/>
      <c r="AB176" s="189"/>
      <c r="AC176" s="188"/>
      <c r="AD176" s="309"/>
      <c r="AE176" s="310"/>
      <c r="AF176" s="188"/>
      <c r="AG176" s="188"/>
      <c r="AH176" s="519"/>
      <c r="AI176" s="557"/>
    </row>
    <row r="177" spans="1:35" s="37" customFormat="1" ht="24" customHeight="1">
      <c r="A177" s="36"/>
      <c r="B177" s="36"/>
      <c r="C177" s="1881"/>
      <c r="D177" s="2388"/>
      <c r="E177" s="621"/>
      <c r="F177" s="640"/>
      <c r="G177" s="641"/>
      <c r="H177" s="1882"/>
      <c r="I177" s="1883" t="str">
        <f t="shared" si="10"/>
        <v/>
      </c>
      <c r="J177" s="2391"/>
      <c r="K177" s="2351"/>
      <c r="L177" s="2356"/>
      <c r="M177" s="602"/>
      <c r="N177" s="603"/>
      <c r="O177" s="597"/>
      <c r="P177" s="187"/>
      <c r="Q177" s="188"/>
      <c r="R177" s="188"/>
      <c r="S177" s="188"/>
      <c r="T177" s="188"/>
      <c r="U177" s="188"/>
      <c r="V177" s="188"/>
      <c r="W177" s="188"/>
      <c r="X177" s="189"/>
      <c r="Y177" s="189"/>
      <c r="Z177" s="189"/>
      <c r="AA177" s="189"/>
      <c r="AB177" s="189"/>
      <c r="AC177" s="188"/>
      <c r="AD177" s="309"/>
      <c r="AE177" s="310"/>
      <c r="AF177" s="188"/>
      <c r="AG177" s="188"/>
      <c r="AH177" s="519"/>
      <c r="AI177" s="557"/>
    </row>
    <row r="178" spans="1:35" s="37" customFormat="1" ht="24" customHeight="1">
      <c r="A178" s="36"/>
      <c r="B178" s="36"/>
      <c r="C178" s="1881"/>
      <c r="D178" s="2388"/>
      <c r="E178" s="621"/>
      <c r="F178" s="640"/>
      <c r="G178" s="641"/>
      <c r="H178" s="1882"/>
      <c r="I178" s="1883" t="str">
        <f t="shared" si="10"/>
        <v/>
      </c>
      <c r="J178" s="2391"/>
      <c r="K178" s="2351"/>
      <c r="L178" s="2356"/>
      <c r="M178" s="602"/>
      <c r="N178" s="603"/>
      <c r="O178" s="597"/>
      <c r="P178" s="187"/>
      <c r="Q178" s="188"/>
      <c r="R178" s="188"/>
      <c r="S178" s="188"/>
      <c r="T178" s="188"/>
      <c r="U178" s="188"/>
      <c r="V178" s="188"/>
      <c r="W178" s="188"/>
      <c r="X178" s="189"/>
      <c r="Y178" s="189"/>
      <c r="Z178" s="189"/>
      <c r="AA178" s="189"/>
      <c r="AB178" s="189"/>
      <c r="AC178" s="188"/>
      <c r="AD178" s="309"/>
      <c r="AE178" s="310"/>
      <c r="AF178" s="188"/>
      <c r="AG178" s="188"/>
      <c r="AH178" s="519"/>
      <c r="AI178" s="557"/>
    </row>
    <row r="179" spans="1:35" s="37" customFormat="1" ht="24" customHeight="1">
      <c r="A179" s="36"/>
      <c r="B179" s="36"/>
      <c r="C179" s="1881"/>
      <c r="D179" s="2388"/>
      <c r="E179" s="621"/>
      <c r="F179" s="640"/>
      <c r="G179" s="641"/>
      <c r="H179" s="1882"/>
      <c r="I179" s="1883" t="str">
        <f t="shared" si="10"/>
        <v/>
      </c>
      <c r="J179" s="2391"/>
      <c r="K179" s="2351"/>
      <c r="L179" s="2356"/>
      <c r="M179" s="602"/>
      <c r="N179" s="603"/>
      <c r="O179" s="597"/>
      <c r="P179" s="187"/>
      <c r="Q179" s="188"/>
      <c r="R179" s="188"/>
      <c r="S179" s="188"/>
      <c r="T179" s="188"/>
      <c r="U179" s="188"/>
      <c r="V179" s="188"/>
      <c r="W179" s="188"/>
      <c r="X179" s="189"/>
      <c r="Y179" s="189"/>
      <c r="Z179" s="189"/>
      <c r="AA179" s="189"/>
      <c r="AB179" s="189"/>
      <c r="AC179" s="188"/>
      <c r="AD179" s="309"/>
      <c r="AE179" s="310"/>
      <c r="AF179" s="188"/>
      <c r="AG179" s="188"/>
      <c r="AH179" s="519"/>
      <c r="AI179" s="557"/>
    </row>
    <row r="180" spans="1:35" s="37" customFormat="1" ht="24" customHeight="1">
      <c r="A180" s="36"/>
      <c r="B180" s="36"/>
      <c r="C180" s="1881"/>
      <c r="D180" s="2388"/>
      <c r="E180" s="621"/>
      <c r="F180" s="640"/>
      <c r="G180" s="641"/>
      <c r="H180" s="1882"/>
      <c r="I180" s="1883" t="str">
        <f t="shared" si="10"/>
        <v/>
      </c>
      <c r="J180" s="2391"/>
      <c r="K180" s="2351"/>
      <c r="L180" s="2356"/>
      <c r="M180" s="602"/>
      <c r="N180" s="603"/>
      <c r="O180" s="597"/>
      <c r="P180" s="187"/>
      <c r="Q180" s="188"/>
      <c r="R180" s="188"/>
      <c r="S180" s="188"/>
      <c r="T180" s="188"/>
      <c r="U180" s="188"/>
      <c r="V180" s="188"/>
      <c r="W180" s="188"/>
      <c r="X180" s="189"/>
      <c r="Y180" s="189"/>
      <c r="Z180" s="189"/>
      <c r="AA180" s="189"/>
      <c r="AB180" s="189"/>
      <c r="AC180" s="188"/>
      <c r="AD180" s="309"/>
      <c r="AE180" s="310"/>
      <c r="AF180" s="188"/>
      <c r="AG180" s="188"/>
      <c r="AH180" s="519"/>
      <c r="AI180" s="557"/>
    </row>
    <row r="181" spans="1:35" s="37" customFormat="1" ht="24" customHeight="1">
      <c r="A181" s="36"/>
      <c r="B181" s="36"/>
      <c r="C181" s="1881"/>
      <c r="D181" s="2388"/>
      <c r="E181" s="621"/>
      <c r="F181" s="640"/>
      <c r="G181" s="641"/>
      <c r="H181" s="1882"/>
      <c r="I181" s="1883" t="str">
        <f t="shared" si="10"/>
        <v/>
      </c>
      <c r="J181" s="2391"/>
      <c r="K181" s="2351"/>
      <c r="L181" s="2356"/>
      <c r="M181" s="602"/>
      <c r="N181" s="603"/>
      <c r="O181" s="597"/>
      <c r="P181" s="187"/>
      <c r="Q181" s="188"/>
      <c r="R181" s="188"/>
      <c r="S181" s="188"/>
      <c r="T181" s="188"/>
      <c r="U181" s="188"/>
      <c r="V181" s="188"/>
      <c r="W181" s="188"/>
      <c r="X181" s="189"/>
      <c r="Y181" s="189"/>
      <c r="Z181" s="189"/>
      <c r="AA181" s="189"/>
      <c r="AB181" s="189"/>
      <c r="AC181" s="188"/>
      <c r="AD181" s="309"/>
      <c r="AE181" s="310"/>
      <c r="AF181" s="188"/>
      <c r="AG181" s="188"/>
      <c r="AH181" s="519"/>
      <c r="AI181" s="557"/>
    </row>
    <row r="182" spans="1:35" s="37" customFormat="1" ht="24" customHeight="1">
      <c r="A182" s="36"/>
      <c r="B182" s="36"/>
      <c r="C182" s="1881"/>
      <c r="D182" s="2388"/>
      <c r="E182" s="621"/>
      <c r="F182" s="640"/>
      <c r="G182" s="641"/>
      <c r="H182" s="1882"/>
      <c r="I182" s="1883" t="str">
        <f t="shared" si="10"/>
        <v/>
      </c>
      <c r="J182" s="2391"/>
      <c r="K182" s="2351"/>
      <c r="L182" s="2356"/>
      <c r="M182" s="602"/>
      <c r="N182" s="603"/>
      <c r="O182" s="597"/>
      <c r="P182" s="187"/>
      <c r="Q182" s="188"/>
      <c r="R182" s="188"/>
      <c r="S182" s="188"/>
      <c r="T182" s="188"/>
      <c r="U182" s="188"/>
      <c r="V182" s="188"/>
      <c r="W182" s="188"/>
      <c r="X182" s="189"/>
      <c r="Y182" s="189"/>
      <c r="Z182" s="189"/>
      <c r="AA182" s="189"/>
      <c r="AB182" s="189"/>
      <c r="AC182" s="188"/>
      <c r="AD182" s="309"/>
      <c r="AE182" s="310"/>
      <c r="AF182" s="188"/>
      <c r="AG182" s="188"/>
      <c r="AH182" s="519"/>
      <c r="AI182" s="557"/>
    </row>
    <row r="183" spans="1:35" s="37" customFormat="1" ht="24" customHeight="1">
      <c r="A183" s="36"/>
      <c r="B183" s="36"/>
      <c r="C183" s="1881"/>
      <c r="D183" s="2388"/>
      <c r="E183" s="621"/>
      <c r="F183" s="640"/>
      <c r="G183" s="641"/>
      <c r="H183" s="1882"/>
      <c r="I183" s="1883" t="str">
        <f t="shared" si="10"/>
        <v/>
      </c>
      <c r="J183" s="2391"/>
      <c r="K183" s="2351"/>
      <c r="L183" s="2356"/>
      <c r="M183" s="602"/>
      <c r="N183" s="603"/>
      <c r="O183" s="597"/>
      <c r="P183" s="187"/>
      <c r="Q183" s="188"/>
      <c r="R183" s="188"/>
      <c r="S183" s="188"/>
      <c r="T183" s="188"/>
      <c r="U183" s="188"/>
      <c r="V183" s="188"/>
      <c r="W183" s="188"/>
      <c r="X183" s="189"/>
      <c r="Y183" s="189"/>
      <c r="Z183" s="189"/>
      <c r="AA183" s="189"/>
      <c r="AB183" s="189"/>
      <c r="AC183" s="188"/>
      <c r="AD183" s="309"/>
      <c r="AE183" s="310"/>
      <c r="AF183" s="188"/>
      <c r="AG183" s="188"/>
      <c r="AH183" s="519"/>
      <c r="AI183" s="557"/>
    </row>
    <row r="184" spans="1:35" s="37" customFormat="1" ht="24" customHeight="1">
      <c r="A184" s="36"/>
      <c r="B184" s="36"/>
      <c r="C184" s="1881"/>
      <c r="D184" s="2388"/>
      <c r="E184" s="621"/>
      <c r="F184" s="640"/>
      <c r="G184" s="641"/>
      <c r="H184" s="1882"/>
      <c r="I184" s="1883" t="str">
        <f t="shared" si="10"/>
        <v/>
      </c>
      <c r="J184" s="2391"/>
      <c r="K184" s="2351"/>
      <c r="L184" s="2356"/>
      <c r="M184" s="602"/>
      <c r="N184" s="603"/>
      <c r="O184" s="597"/>
      <c r="P184" s="187"/>
      <c r="Q184" s="188"/>
      <c r="R184" s="188"/>
      <c r="S184" s="188"/>
      <c r="T184" s="188"/>
      <c r="U184" s="188"/>
      <c r="V184" s="188"/>
      <c r="W184" s="188"/>
      <c r="X184" s="189"/>
      <c r="Y184" s="189"/>
      <c r="Z184" s="189"/>
      <c r="AA184" s="189"/>
      <c r="AB184" s="189"/>
      <c r="AC184" s="188"/>
      <c r="AD184" s="309"/>
      <c r="AE184" s="310"/>
      <c r="AF184" s="188"/>
      <c r="AG184" s="188"/>
      <c r="AH184" s="519"/>
      <c r="AI184" s="557"/>
    </row>
    <row r="185" spans="1:35" ht="24" customHeight="1" thickBot="1">
      <c r="A185" s="36"/>
      <c r="B185" s="36"/>
      <c r="C185" s="2362"/>
      <c r="D185" s="2363" t="s">
        <v>4144</v>
      </c>
      <c r="E185" s="2364"/>
      <c r="F185" s="2365"/>
      <c r="G185" s="2366"/>
      <c r="H185" s="2382" t="s">
        <v>4131</v>
      </c>
      <c r="I185" s="2368">
        <f>SUM(I167:I184)+I162</f>
        <v>215282</v>
      </c>
      <c r="J185" s="2383" t="str">
        <f>IF(C166="部分撤去工事","）うち費用",")")</f>
        <v>）うち費用</v>
      </c>
      <c r="K185" s="2436">
        <f>IF(C166="部分撤去工事",(K162+L185),0)</f>
        <v>215282</v>
      </c>
      <c r="L185" s="2384">
        <f>IF(C166="部分撤去工事",SUMIF(N167:N184,"費用",I167:I184),0)</f>
        <v>-12807</v>
      </c>
      <c r="M185" s="2394"/>
      <c r="N185" s="2400"/>
      <c r="O185" s="597"/>
      <c r="P185" s="187"/>
      <c r="Q185" s="188"/>
      <c r="R185" s="188"/>
      <c r="S185" s="188"/>
      <c r="T185" s="188"/>
      <c r="U185" s="188"/>
      <c r="V185" s="188"/>
      <c r="W185" s="188"/>
      <c r="X185" s="189"/>
      <c r="Y185" s="189"/>
      <c r="Z185" s="189"/>
      <c r="AA185" s="189"/>
      <c r="AB185" s="189"/>
      <c r="AC185" s="188"/>
      <c r="AD185" s="309"/>
      <c r="AE185" s="310"/>
      <c r="AF185" s="188"/>
      <c r="AG185" s="188"/>
      <c r="AH185" s="188"/>
      <c r="AI185" s="557"/>
    </row>
    <row r="186" spans="1:35" ht="14.25" customHeight="1">
      <c r="E186" s="101" t="s">
        <v>130</v>
      </c>
      <c r="F186" s="102">
        <f>+F163+1</f>
        <v>33</v>
      </c>
      <c r="G186" s="103" t="s">
        <v>131</v>
      </c>
      <c r="H186" s="104">
        <f>+H163</f>
        <v>69</v>
      </c>
      <c r="I186" s="104"/>
      <c r="M186" s="598" t="str">
        <f>IF(A188="","EOL","")</f>
        <v>EOL</v>
      </c>
      <c r="N186" s="1">
        <f>+F186</f>
        <v>33</v>
      </c>
      <c r="Q186" s="37"/>
      <c r="R186" s="37"/>
      <c r="S186" s="37"/>
      <c r="T186" s="37"/>
      <c r="U186" s="37"/>
      <c r="V186" s="37"/>
      <c r="W186" s="37"/>
      <c r="X186" s="37"/>
      <c r="Y186" s="37"/>
      <c r="Z186" s="37"/>
    </row>
    <row r="187" spans="1:35" ht="26.1" customHeight="1">
      <c r="O187" s="185"/>
      <c r="P187" s="185"/>
      <c r="Q187" s="185"/>
      <c r="R187" s="185"/>
      <c r="S187" s="185"/>
      <c r="T187" s="185"/>
      <c r="U187" s="185"/>
      <c r="V187" s="185"/>
      <c r="W187" s="185"/>
      <c r="X187" s="185"/>
      <c r="Y187" s="185"/>
      <c r="Z187" s="185"/>
      <c r="AA187" s="185"/>
    </row>
    <row r="188" spans="1:35" ht="26.1" customHeight="1">
      <c r="O188" s="1990"/>
      <c r="P188" s="1990"/>
      <c r="Q188" s="181"/>
      <c r="R188" s="182"/>
      <c r="S188" s="183"/>
      <c r="T188" s="183"/>
      <c r="U188" s="181"/>
      <c r="V188" s="181"/>
      <c r="W188" s="183"/>
      <c r="X188" s="1990"/>
      <c r="Y188" s="1990"/>
      <c r="Z188" s="1990"/>
      <c r="AA188" s="1990"/>
    </row>
    <row r="189" spans="1:35" ht="26.1" customHeight="1">
      <c r="O189" s="184"/>
      <c r="P189" s="184"/>
      <c r="Q189" s="181"/>
      <c r="R189" s="181"/>
      <c r="S189" s="181"/>
      <c r="T189" s="181"/>
      <c r="U189" s="181"/>
      <c r="V189" s="181"/>
      <c r="W189" s="181"/>
      <c r="X189" s="181"/>
      <c r="Y189" s="181"/>
      <c r="Z189" s="181"/>
      <c r="AA189" s="181"/>
    </row>
    <row r="190" spans="1:35" ht="26.1" customHeight="1">
      <c r="O190" s="184"/>
      <c r="P190" s="184"/>
      <c r="Q190" s="181"/>
      <c r="R190" s="181"/>
      <c r="S190" s="181"/>
      <c r="T190" s="181"/>
      <c r="U190" s="181"/>
      <c r="V190" s="181"/>
      <c r="W190" s="181"/>
      <c r="X190" s="181"/>
      <c r="Y190" s="181"/>
      <c r="Z190" s="181"/>
      <c r="AA190" s="181"/>
    </row>
    <row r="191" spans="1:35" ht="26.1" customHeight="1">
      <c r="O191" s="184"/>
      <c r="P191" s="184"/>
      <c r="Q191" s="181"/>
      <c r="R191" s="181"/>
      <c r="S191" s="181"/>
      <c r="T191" s="181"/>
      <c r="U191" s="181"/>
      <c r="V191" s="181"/>
      <c r="W191" s="181"/>
      <c r="X191" s="181"/>
      <c r="Y191" s="181"/>
      <c r="Z191" s="181"/>
      <c r="AA191" s="181"/>
    </row>
    <row r="192" spans="1:35" ht="26.1" customHeight="1">
      <c r="O192" s="184"/>
      <c r="P192" s="184"/>
      <c r="Q192" s="181"/>
      <c r="R192" s="181"/>
      <c r="S192" s="181"/>
      <c r="T192" s="181"/>
      <c r="U192" s="181"/>
      <c r="V192" s="181"/>
      <c r="W192" s="181"/>
      <c r="X192" s="181"/>
      <c r="Y192" s="181"/>
      <c r="Z192" s="181"/>
      <c r="AA192" s="181"/>
    </row>
    <row r="193" spans="15:27" ht="26.1" customHeight="1">
      <c r="O193" s="184"/>
      <c r="P193" s="184"/>
      <c r="Q193" s="181"/>
      <c r="R193" s="181"/>
      <c r="S193" s="181"/>
      <c r="T193" s="181"/>
      <c r="U193" s="181"/>
      <c r="V193" s="181"/>
      <c r="W193" s="181"/>
      <c r="X193" s="181"/>
      <c r="Y193" s="181"/>
      <c r="Z193" s="181"/>
      <c r="AA193" s="181"/>
    </row>
    <row r="194" spans="15:27" ht="26.1" customHeight="1">
      <c r="O194" s="184"/>
      <c r="P194" s="184"/>
      <c r="Q194" s="181"/>
      <c r="R194" s="181"/>
      <c r="S194" s="181"/>
      <c r="T194" s="181"/>
      <c r="U194" s="181"/>
      <c r="V194" s="181"/>
      <c r="W194" s="181"/>
      <c r="X194" s="181"/>
      <c r="Y194" s="181"/>
      <c r="Z194" s="181"/>
      <c r="AA194" s="181"/>
    </row>
    <row r="195" spans="15:27" ht="26.1" customHeight="1">
      <c r="O195" s="184"/>
      <c r="P195" s="184"/>
      <c r="Q195" s="181"/>
      <c r="R195" s="181"/>
      <c r="S195" s="181"/>
      <c r="T195" s="181"/>
      <c r="U195" s="181"/>
      <c r="V195" s="181"/>
      <c r="W195" s="181"/>
      <c r="X195" s="181"/>
      <c r="Y195" s="181"/>
      <c r="Z195" s="181"/>
      <c r="AA195" s="181"/>
    </row>
    <row r="196" spans="15:27" ht="26.1" customHeight="1">
      <c r="O196" s="184"/>
      <c r="P196" s="184"/>
      <c r="Q196" s="181"/>
      <c r="R196" s="181"/>
      <c r="S196" s="181"/>
      <c r="T196" s="181"/>
      <c r="U196" s="181"/>
      <c r="V196" s="181"/>
      <c r="W196" s="181"/>
      <c r="X196" s="181"/>
      <c r="Y196" s="181"/>
      <c r="Z196" s="181"/>
      <c r="AA196" s="181"/>
    </row>
    <row r="197" spans="15:27" ht="26.1" customHeight="1">
      <c r="O197" s="184"/>
      <c r="P197" s="184"/>
      <c r="Q197" s="181"/>
      <c r="R197" s="181"/>
      <c r="S197" s="181"/>
      <c r="T197" s="181"/>
      <c r="U197" s="181"/>
      <c r="V197" s="181"/>
      <c r="W197" s="181"/>
      <c r="X197" s="181"/>
      <c r="Y197" s="181"/>
      <c r="Z197" s="181"/>
      <c r="AA197" s="181"/>
    </row>
    <row r="198" spans="15:27" ht="26.1" customHeight="1">
      <c r="O198" s="184"/>
      <c r="P198" s="184"/>
      <c r="Q198" s="181"/>
      <c r="R198" s="181"/>
      <c r="S198" s="181"/>
      <c r="T198" s="181"/>
      <c r="U198" s="181"/>
      <c r="V198" s="181"/>
      <c r="W198" s="181"/>
      <c r="X198" s="181"/>
      <c r="Y198" s="181"/>
      <c r="Z198" s="181"/>
      <c r="AA198" s="181"/>
    </row>
    <row r="199" spans="15:27" ht="26.1" customHeight="1">
      <c r="O199" s="184"/>
      <c r="P199" s="184"/>
      <c r="Q199" s="181"/>
      <c r="R199" s="181"/>
      <c r="S199" s="181"/>
      <c r="T199" s="181"/>
      <c r="U199" s="181"/>
      <c r="V199" s="181"/>
      <c r="W199" s="181"/>
      <c r="X199" s="181"/>
      <c r="Y199" s="181"/>
      <c r="Z199" s="181"/>
      <c r="AA199" s="181"/>
    </row>
    <row r="200" spans="15:27" ht="26.1" customHeight="1">
      <c r="O200" s="184"/>
      <c r="P200" s="184"/>
      <c r="Q200" s="181"/>
      <c r="R200" s="181"/>
      <c r="S200" s="181"/>
      <c r="T200" s="181"/>
      <c r="U200" s="181"/>
      <c r="V200" s="181"/>
      <c r="W200" s="181"/>
      <c r="X200" s="181"/>
      <c r="Y200" s="181"/>
      <c r="Z200" s="181"/>
      <c r="AA200" s="181"/>
    </row>
    <row r="201" spans="15:27" ht="26.1" customHeight="1">
      <c r="O201" s="184"/>
      <c r="P201" s="184"/>
      <c r="Q201" s="181"/>
      <c r="R201" s="181"/>
      <c r="S201" s="181"/>
      <c r="T201" s="181"/>
      <c r="U201" s="181"/>
      <c r="V201" s="181"/>
      <c r="W201" s="181"/>
      <c r="X201" s="181"/>
      <c r="Y201" s="181"/>
      <c r="Z201" s="181"/>
      <c r="AA201" s="181"/>
    </row>
    <row r="202" spans="15:27" ht="26.1" customHeight="1">
      <c r="O202" s="184"/>
      <c r="P202" s="184"/>
      <c r="Q202" s="181"/>
      <c r="R202" s="181"/>
      <c r="S202" s="181"/>
      <c r="T202" s="181"/>
      <c r="U202" s="181"/>
      <c r="V202" s="181"/>
      <c r="W202" s="181"/>
      <c r="X202" s="181"/>
      <c r="Y202" s="181"/>
      <c r="Z202" s="181"/>
      <c r="AA202" s="181"/>
    </row>
    <row r="203" spans="15:27" ht="26.1" customHeight="1">
      <c r="O203" s="184"/>
      <c r="P203" s="184"/>
      <c r="Q203" s="181"/>
      <c r="R203" s="181"/>
      <c r="S203" s="181"/>
      <c r="T203" s="181"/>
      <c r="U203" s="181"/>
      <c r="V203" s="181"/>
      <c r="W203" s="181"/>
      <c r="X203" s="181"/>
      <c r="Y203" s="181"/>
      <c r="Z203" s="181"/>
      <c r="AA203" s="181"/>
    </row>
    <row r="204" spans="15:27" ht="26.1" customHeight="1">
      <c r="O204" s="184"/>
      <c r="P204" s="184"/>
      <c r="Q204" s="181"/>
      <c r="R204" s="181"/>
      <c r="S204" s="181"/>
      <c r="T204" s="181"/>
      <c r="U204" s="181"/>
      <c r="V204" s="181"/>
      <c r="W204" s="181"/>
      <c r="X204" s="181"/>
      <c r="Y204" s="181"/>
      <c r="Z204" s="181"/>
      <c r="AA204" s="181"/>
    </row>
    <row r="205" spans="15:27" ht="26.1" customHeight="1">
      <c r="O205" s="184"/>
      <c r="P205" s="184"/>
      <c r="Q205" s="181"/>
      <c r="R205" s="181"/>
      <c r="S205" s="181"/>
      <c r="T205" s="181"/>
      <c r="U205" s="181"/>
      <c r="V205" s="181"/>
      <c r="W205" s="181"/>
      <c r="X205" s="181"/>
      <c r="Y205" s="181"/>
      <c r="Z205" s="181"/>
      <c r="AA205" s="181"/>
    </row>
    <row r="206" spans="15:27" ht="26.1" customHeight="1">
      <c r="O206" s="184"/>
      <c r="P206" s="184"/>
      <c r="Q206" s="181"/>
      <c r="R206" s="181"/>
      <c r="S206" s="181"/>
      <c r="T206" s="181"/>
      <c r="U206" s="181"/>
      <c r="V206" s="181"/>
      <c r="W206" s="181"/>
      <c r="X206" s="181"/>
      <c r="Y206" s="181"/>
      <c r="Z206" s="181"/>
      <c r="AA206" s="181"/>
    </row>
    <row r="207" spans="15:27" ht="26.1" customHeight="1">
      <c r="O207" s="184"/>
      <c r="P207" s="184"/>
      <c r="Q207" s="181"/>
      <c r="R207" s="181"/>
      <c r="S207" s="181"/>
      <c r="T207" s="181"/>
      <c r="U207" s="181"/>
      <c r="V207" s="181"/>
      <c r="W207" s="181"/>
      <c r="X207" s="181"/>
      <c r="Y207" s="181"/>
      <c r="Z207" s="181"/>
      <c r="AA207" s="181"/>
    </row>
    <row r="208" spans="15:27" ht="26.1" customHeight="1">
      <c r="O208" s="184"/>
      <c r="P208" s="184"/>
      <c r="Q208" s="181"/>
      <c r="R208" s="181"/>
      <c r="S208" s="181"/>
      <c r="T208" s="181"/>
      <c r="U208" s="181"/>
      <c r="V208" s="181"/>
      <c r="W208" s="181"/>
      <c r="X208" s="181"/>
      <c r="Y208" s="181"/>
      <c r="Z208" s="181"/>
      <c r="AA208" s="181"/>
    </row>
    <row r="209" spans="15:16" ht="26.1" customHeight="1">
      <c r="O209" s="1"/>
      <c r="P209" s="1"/>
    </row>
  </sheetData>
  <mergeCells count="31">
    <mergeCell ref="C3:L3"/>
    <mergeCell ref="O3:AH3"/>
    <mergeCell ref="J4:L4"/>
    <mergeCell ref="J5:L5"/>
    <mergeCell ref="C26:L26"/>
    <mergeCell ref="O26:AH26"/>
    <mergeCell ref="J97:L97"/>
    <mergeCell ref="J27:L27"/>
    <mergeCell ref="C49:L49"/>
    <mergeCell ref="O49:AH49"/>
    <mergeCell ref="J50:L50"/>
    <mergeCell ref="J51:L51"/>
    <mergeCell ref="C72:L72"/>
    <mergeCell ref="O72:AH72"/>
    <mergeCell ref="J73:L73"/>
    <mergeCell ref="J74:L74"/>
    <mergeCell ref="C95:L95"/>
    <mergeCell ref="O95:AH95"/>
    <mergeCell ref="J96:L96"/>
    <mergeCell ref="C118:L118"/>
    <mergeCell ref="O118:AH118"/>
    <mergeCell ref="J119:L119"/>
    <mergeCell ref="J120:L120"/>
    <mergeCell ref="C141:L141"/>
    <mergeCell ref="O141:AH141"/>
    <mergeCell ref="C164:L164"/>
    <mergeCell ref="O164:AH164"/>
    <mergeCell ref="J165:L165"/>
    <mergeCell ref="J166:L166"/>
    <mergeCell ref="J142:L142"/>
    <mergeCell ref="J143:L143"/>
  </mergeCells>
  <phoneticPr fontId="2"/>
  <dataValidations count="1">
    <dataValidation type="list" allowBlank="1" showInputMessage="1" showErrorMessage="1" prompt="費用/建物附属設備/工具・器具・備品の場合、選択してください。" sqref="N121:N138 N75:N92 N98:N115 N144:N161 N167:N184" xr:uid="{00000000-0002-0000-0B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16" orientation="portrait" r:id="rId1"/>
  <headerFooter alignWithMargins="0"/>
  <rowBreaks count="1" manualBreakCount="1">
    <brk id="2"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dimension ref="A1:AE32"/>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工事3!C2</f>
        <v>ア)東梅田駅の部-列車停止位置変更に伴う建築工事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1077.6799999999998</v>
      </c>
      <c r="O2" s="2750" t="s">
        <v>4315</v>
      </c>
      <c r="P2" s="2751"/>
      <c r="Q2" s="2751"/>
      <c r="R2" s="2752"/>
      <c r="S2" s="294">
        <f>+P9+T9+X9</f>
        <v>0</v>
      </c>
      <c r="T2" s="295">
        <f>+Q9+U9+Y9</f>
        <v>0</v>
      </c>
      <c r="U2" s="295">
        <f>+R9+V9+Z9</f>
        <v>0</v>
      </c>
      <c r="V2" s="296">
        <f>+S9+W9+AA9</f>
        <v>620.57999999999993</v>
      </c>
      <c r="W2" s="277"/>
    </row>
    <row r="3" spans="1:31" ht="15" customHeight="1">
      <c r="B3" s="142"/>
      <c r="E3" s="278"/>
      <c r="G3" s="2753" t="s">
        <v>4316</v>
      </c>
      <c r="H3" s="2754"/>
      <c r="I3" s="2754"/>
      <c r="J3" s="2755"/>
      <c r="K3" s="297">
        <f>+H9</f>
        <v>0</v>
      </c>
      <c r="L3" s="298">
        <f>+I9</f>
        <v>0</v>
      </c>
      <c r="M3" s="298">
        <f>+J9</f>
        <v>0</v>
      </c>
      <c r="N3" s="299">
        <f>+K9</f>
        <v>457.1</v>
      </c>
      <c r="O3" s="2756" t="s">
        <v>4317</v>
      </c>
      <c r="P3" s="2757"/>
      <c r="Q3" s="2757"/>
      <c r="R3" s="2758"/>
      <c r="S3" s="297">
        <f>+P9</f>
        <v>0</v>
      </c>
      <c r="T3" s="298">
        <f>+Q9</f>
        <v>0</v>
      </c>
      <c r="U3" s="298">
        <f>+R9</f>
        <v>0</v>
      </c>
      <c r="V3" s="299">
        <f>+S9</f>
        <v>440.58</v>
      </c>
      <c r="W3" s="277"/>
    </row>
    <row r="4" spans="1:31" ht="15" customHeight="1">
      <c r="B4" s="142"/>
      <c r="E4" s="278"/>
      <c r="G4" s="2753" t="s">
        <v>4318</v>
      </c>
      <c r="H4" s="2754"/>
      <c r="I4" s="2754"/>
      <c r="J4" s="2755"/>
      <c r="K4" s="297">
        <f>+L9</f>
        <v>0</v>
      </c>
      <c r="L4" s="298">
        <f>+M9</f>
        <v>0</v>
      </c>
      <c r="M4" s="298">
        <f>+N9</f>
        <v>0</v>
      </c>
      <c r="N4" s="299">
        <f>+O9</f>
        <v>620.57999999999993</v>
      </c>
      <c r="O4" s="2756" t="s">
        <v>4319</v>
      </c>
      <c r="P4" s="2757"/>
      <c r="Q4" s="2757"/>
      <c r="R4" s="2758"/>
      <c r="S4" s="297">
        <f>+T9</f>
        <v>0</v>
      </c>
      <c r="T4" s="298">
        <f>+U9</f>
        <v>0</v>
      </c>
      <c r="U4" s="298">
        <f>+V9</f>
        <v>0</v>
      </c>
      <c r="V4" s="299">
        <f>+W9</f>
        <v>180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SUM(H10:H19)</f>
        <v>0</v>
      </c>
      <c r="I9" s="159">
        <f t="shared" si="0"/>
        <v>0</v>
      </c>
      <c r="J9" s="159">
        <f t="shared" si="0"/>
        <v>0</v>
      </c>
      <c r="K9" s="160">
        <f t="shared" si="0"/>
        <v>457.1</v>
      </c>
      <c r="L9" s="158">
        <f t="shared" si="0"/>
        <v>0</v>
      </c>
      <c r="M9" s="159">
        <f t="shared" si="0"/>
        <v>0</v>
      </c>
      <c r="N9" s="159">
        <f t="shared" si="0"/>
        <v>0</v>
      </c>
      <c r="O9" s="160">
        <f t="shared" si="0"/>
        <v>620.57999999999993</v>
      </c>
      <c r="P9" s="158">
        <f t="shared" si="0"/>
        <v>0</v>
      </c>
      <c r="Q9" s="159">
        <f t="shared" si="0"/>
        <v>0</v>
      </c>
      <c r="R9" s="159">
        <f t="shared" si="0"/>
        <v>0</v>
      </c>
      <c r="S9" s="160">
        <f t="shared" si="0"/>
        <v>440.58</v>
      </c>
      <c r="T9" s="159">
        <f t="shared" si="0"/>
        <v>0</v>
      </c>
      <c r="U9" s="159">
        <f t="shared" si="0"/>
        <v>0</v>
      </c>
      <c r="V9" s="159">
        <f t="shared" si="0"/>
        <v>0</v>
      </c>
      <c r="W9" s="160">
        <f t="shared" si="0"/>
        <v>180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4337</v>
      </c>
      <c r="C11" s="153" t="s">
        <v>4398</v>
      </c>
      <c r="D11" s="154">
        <v>5.4</v>
      </c>
      <c r="E11" s="155">
        <v>77</v>
      </c>
      <c r="F11" s="1916"/>
      <c r="G11" s="336"/>
      <c r="H11" s="161"/>
      <c r="I11" s="162"/>
      <c r="J11" s="162"/>
      <c r="K11" s="163">
        <f>D11*E11</f>
        <v>415.8</v>
      </c>
      <c r="L11" s="161"/>
      <c r="M11" s="162"/>
      <c r="N11" s="162"/>
      <c r="O11" s="163"/>
      <c r="P11" s="161"/>
      <c r="Q11" s="162"/>
      <c r="R11" s="162"/>
      <c r="S11" s="163"/>
      <c r="T11" s="161"/>
      <c r="U11" s="162"/>
      <c r="V11" s="162"/>
      <c r="W11" s="163"/>
      <c r="X11" s="161"/>
      <c r="Y11" s="162"/>
      <c r="Z11" s="162"/>
      <c r="AA11" s="163"/>
    </row>
    <row r="12" spans="1:31" s="140" customFormat="1" ht="11.25" customHeight="1">
      <c r="B12" s="152" t="s">
        <v>4344</v>
      </c>
      <c r="C12" s="153" t="s">
        <v>4345</v>
      </c>
      <c r="D12" s="154">
        <v>25</v>
      </c>
      <c r="E12" s="155">
        <v>1.3</v>
      </c>
      <c r="F12" s="1916"/>
      <c r="G12" s="336"/>
      <c r="H12" s="161"/>
      <c r="I12" s="162"/>
      <c r="J12" s="162"/>
      <c r="K12" s="163">
        <f>D12*E12</f>
        <v>32.5</v>
      </c>
      <c r="L12" s="161"/>
      <c r="M12" s="162"/>
      <c r="N12" s="162"/>
      <c r="O12" s="163"/>
      <c r="P12" s="161"/>
      <c r="Q12" s="162"/>
      <c r="R12" s="162"/>
      <c r="S12" s="163"/>
      <c r="T12" s="161"/>
      <c r="U12" s="162"/>
      <c r="V12" s="162"/>
      <c r="W12" s="163"/>
      <c r="X12" s="161"/>
      <c r="Y12" s="162"/>
      <c r="Z12" s="162"/>
      <c r="AA12" s="163"/>
    </row>
    <row r="13" spans="1:31" s="140" customFormat="1" ht="11.25" customHeight="1">
      <c r="B13" s="152" t="s">
        <v>4399</v>
      </c>
      <c r="C13" s="153" t="s">
        <v>4228</v>
      </c>
      <c r="D13" s="154">
        <v>22</v>
      </c>
      <c r="E13" s="155">
        <v>0.4</v>
      </c>
      <c r="F13" s="1916"/>
      <c r="G13" s="336"/>
      <c r="H13" s="161"/>
      <c r="I13" s="162"/>
      <c r="J13" s="162"/>
      <c r="K13" s="163">
        <f>D13*E13</f>
        <v>8.8000000000000007</v>
      </c>
      <c r="L13" s="161"/>
      <c r="M13" s="162"/>
      <c r="N13" s="162"/>
      <c r="O13" s="163"/>
      <c r="P13" s="161"/>
      <c r="Q13" s="162"/>
      <c r="R13" s="162"/>
      <c r="S13" s="163"/>
      <c r="T13" s="161"/>
      <c r="U13" s="162"/>
      <c r="V13" s="162"/>
      <c r="W13" s="163"/>
      <c r="X13" s="161"/>
      <c r="Y13" s="162"/>
      <c r="Z13" s="162"/>
      <c r="AA13" s="163"/>
    </row>
    <row r="14" spans="1:31" s="140" customFormat="1" ht="11.25" customHeight="1">
      <c r="B14" s="152" t="s">
        <v>4348</v>
      </c>
      <c r="C14" s="153" t="s">
        <v>4349</v>
      </c>
      <c r="D14" s="154">
        <v>5.4</v>
      </c>
      <c r="E14" s="155">
        <v>80</v>
      </c>
      <c r="F14" s="1916">
        <v>0</v>
      </c>
      <c r="G14" s="336">
        <v>0</v>
      </c>
      <c r="H14" s="161"/>
      <c r="I14" s="162"/>
      <c r="J14" s="162"/>
      <c r="K14" s="163"/>
      <c r="L14" s="161"/>
      <c r="M14" s="162"/>
      <c r="N14" s="162"/>
      <c r="O14" s="163">
        <f>D14*(E14+F14+G14)</f>
        <v>432</v>
      </c>
      <c r="P14" s="161"/>
      <c r="Q14" s="162"/>
      <c r="R14" s="162"/>
      <c r="S14" s="163">
        <f>D14*E14</f>
        <v>432</v>
      </c>
      <c r="T14" s="161"/>
      <c r="U14" s="162"/>
      <c r="V14" s="162"/>
      <c r="W14" s="163">
        <f>D14*F14</f>
        <v>0</v>
      </c>
      <c r="X14" s="161"/>
      <c r="Y14" s="162"/>
      <c r="Z14" s="162"/>
      <c r="AA14" s="163">
        <f>D14*G14</f>
        <v>0</v>
      </c>
    </row>
    <row r="15" spans="1:31" s="140" customFormat="1" ht="11.25" customHeight="1">
      <c r="B15" s="152" t="s">
        <v>4348</v>
      </c>
      <c r="C15" s="153" t="s">
        <v>4351</v>
      </c>
      <c r="D15" s="154">
        <v>22</v>
      </c>
      <c r="E15" s="155">
        <v>0.39</v>
      </c>
      <c r="F15" s="1916">
        <v>0</v>
      </c>
      <c r="G15" s="336">
        <v>0</v>
      </c>
      <c r="H15" s="161"/>
      <c r="I15" s="162"/>
      <c r="J15" s="162"/>
      <c r="K15" s="163"/>
      <c r="L15" s="161"/>
      <c r="M15" s="162"/>
      <c r="N15" s="162"/>
      <c r="O15" s="163">
        <f>D15*(E15+F15+G15)</f>
        <v>8.58</v>
      </c>
      <c r="P15" s="161"/>
      <c r="Q15" s="162"/>
      <c r="R15" s="162"/>
      <c r="S15" s="163">
        <f>D15*E15</f>
        <v>8.58</v>
      </c>
      <c r="T15" s="161"/>
      <c r="U15" s="162"/>
      <c r="V15" s="162"/>
      <c r="W15" s="163">
        <f>D15*F15</f>
        <v>0</v>
      </c>
      <c r="X15" s="161"/>
      <c r="Y15" s="162"/>
      <c r="Z15" s="162"/>
      <c r="AA15" s="163">
        <f>D15*G15</f>
        <v>0</v>
      </c>
    </row>
    <row r="16" spans="1:31" s="140" customFormat="1" ht="11.25" customHeight="1">
      <c r="B16" s="152" t="s">
        <v>4348</v>
      </c>
      <c r="C16" s="153" t="s">
        <v>4353</v>
      </c>
      <c r="D16" s="154">
        <v>9</v>
      </c>
      <c r="E16" s="155">
        <v>0</v>
      </c>
      <c r="F16" s="1916">
        <v>20</v>
      </c>
      <c r="G16" s="336">
        <v>0</v>
      </c>
      <c r="H16" s="161"/>
      <c r="I16" s="162"/>
      <c r="J16" s="162"/>
      <c r="K16" s="163"/>
      <c r="L16" s="161"/>
      <c r="M16" s="162"/>
      <c r="N16" s="162"/>
      <c r="O16" s="163">
        <f>D16*(E16+F16+G16)</f>
        <v>180</v>
      </c>
      <c r="P16" s="161"/>
      <c r="Q16" s="162"/>
      <c r="R16" s="162"/>
      <c r="S16" s="163">
        <f>D16*E16</f>
        <v>0</v>
      </c>
      <c r="T16" s="161"/>
      <c r="U16" s="162"/>
      <c r="V16" s="162"/>
      <c r="W16" s="163">
        <f>D16*F16</f>
        <v>180</v>
      </c>
      <c r="X16" s="161"/>
      <c r="Y16" s="162"/>
      <c r="Z16" s="162"/>
      <c r="AA16" s="163">
        <f>D16*G16</f>
        <v>0</v>
      </c>
    </row>
    <row r="17" spans="1:27" s="140" customFormat="1" ht="11.25" customHeight="1">
      <c r="B17" s="152"/>
      <c r="C17" s="153"/>
      <c r="D17" s="154"/>
      <c r="E17" s="155"/>
      <c r="F17" s="1916"/>
      <c r="G17" s="336"/>
      <c r="H17" s="161"/>
      <c r="I17" s="162"/>
      <c r="J17" s="162"/>
      <c r="K17" s="163"/>
      <c r="L17" s="161"/>
      <c r="M17" s="162"/>
      <c r="N17" s="162"/>
      <c r="O17" s="163"/>
      <c r="P17" s="161"/>
      <c r="Q17" s="162"/>
      <c r="R17" s="162"/>
      <c r="S17" s="163"/>
      <c r="T17" s="161"/>
      <c r="U17" s="162"/>
      <c r="V17" s="162"/>
      <c r="W17" s="163"/>
      <c r="X17" s="161"/>
      <c r="Y17" s="162"/>
      <c r="Z17" s="162"/>
      <c r="AA17" s="163"/>
    </row>
    <row r="18" spans="1:27" s="140" customFormat="1" ht="11.25" customHeight="1">
      <c r="A18" s="127" t="s">
        <v>4354</v>
      </c>
      <c r="B18" s="146"/>
      <c r="C18" s="147"/>
      <c r="D18" s="148"/>
      <c r="E18" s="156"/>
      <c r="F18" s="2434"/>
      <c r="G18" s="337"/>
      <c r="H18" s="164">
        <f>D18*E18</f>
        <v>0</v>
      </c>
      <c r="I18" s="165"/>
      <c r="J18" s="165"/>
      <c r="K18" s="166"/>
      <c r="L18" s="164"/>
      <c r="M18" s="165"/>
      <c r="N18" s="165"/>
      <c r="O18" s="166"/>
      <c r="P18" s="164"/>
      <c r="Q18" s="165"/>
      <c r="R18" s="165"/>
      <c r="S18" s="166"/>
      <c r="T18" s="164"/>
      <c r="U18" s="165"/>
      <c r="V18" s="165"/>
      <c r="W18" s="166"/>
      <c r="X18" s="164"/>
      <c r="Y18" s="165"/>
      <c r="Z18" s="165"/>
      <c r="AA18" s="166"/>
    </row>
    <row r="19" spans="1:27">
      <c r="A19" s="80"/>
      <c r="B19" s="144"/>
      <c r="C19" s="145"/>
      <c r="D19" s="151"/>
      <c r="E19" s="157"/>
      <c r="F19" s="332"/>
      <c r="G19" s="338"/>
      <c r="H19" s="167"/>
      <c r="I19" s="168"/>
      <c r="J19" s="168"/>
      <c r="K19" s="169"/>
      <c r="L19" s="167"/>
      <c r="M19" s="168"/>
      <c r="N19" s="168"/>
      <c r="O19" s="169"/>
      <c r="P19" s="167"/>
      <c r="Q19" s="168"/>
      <c r="R19" s="168"/>
      <c r="S19" s="169"/>
      <c r="T19" s="167"/>
      <c r="U19" s="168"/>
      <c r="V19" s="168"/>
      <c r="W19" s="169"/>
      <c r="X19" s="167"/>
      <c r="Y19" s="168"/>
      <c r="Z19" s="168"/>
      <c r="AA19" s="169"/>
    </row>
    <row r="20" spans="1:27" ht="15" customHeight="1">
      <c r="B20" s="143" t="s">
        <v>4355</v>
      </c>
      <c r="C20"/>
      <c r="D20"/>
      <c r="E20"/>
      <c r="F20"/>
      <c r="G20"/>
      <c r="H20"/>
      <c r="I20"/>
      <c r="J20"/>
      <c r="K20"/>
      <c r="L20"/>
      <c r="M20"/>
      <c r="N20"/>
      <c r="O20"/>
    </row>
    <row r="21" spans="1:27" ht="13.5" customHeight="1">
      <c r="B21" s="134" t="s">
        <v>4356</v>
      </c>
      <c r="C21" s="135"/>
      <c r="D21" s="136"/>
      <c r="E21" s="2738" t="s">
        <v>4357</v>
      </c>
      <c r="F21" s="2739"/>
      <c r="G21" s="2739"/>
      <c r="H21" s="2739"/>
      <c r="I21" s="2739"/>
      <c r="J21" s="2739"/>
      <c r="K21" s="2739"/>
      <c r="L21" s="2739"/>
      <c r="M21" s="2739"/>
      <c r="N21" s="2739"/>
      <c r="O21" s="2739"/>
      <c r="P21" s="2739"/>
      <c r="Q21" s="2739"/>
      <c r="R21" s="2740"/>
      <c r="S21" s="2741"/>
      <c r="T21" s="2735" t="s">
        <v>4358</v>
      </c>
      <c r="U21" s="2742"/>
      <c r="V21" s="2742"/>
      <c r="W21" s="2743"/>
    </row>
    <row r="22" spans="1:27" ht="12.75" customHeight="1">
      <c r="B22" s="192"/>
      <c r="C22" s="193"/>
      <c r="D22" s="194"/>
      <c r="E22" s="242" t="s">
        <v>4100</v>
      </c>
      <c r="F22" s="243" t="s">
        <v>4101</v>
      </c>
      <c r="G22" s="243" t="s">
        <v>4359</v>
      </c>
      <c r="H22" s="243" t="s">
        <v>4359</v>
      </c>
      <c r="I22" s="243" t="s">
        <v>4104</v>
      </c>
      <c r="J22" s="244" t="s">
        <v>4360</v>
      </c>
      <c r="K22" s="246" t="s">
        <v>4361</v>
      </c>
      <c r="L22" s="243" t="s">
        <v>4362</v>
      </c>
      <c r="M22" s="243" t="s">
        <v>4363</v>
      </c>
      <c r="N22" s="243" t="s">
        <v>4364</v>
      </c>
      <c r="O22" s="247" t="s">
        <v>4365</v>
      </c>
      <c r="P22" s="248" t="s">
        <v>4366</v>
      </c>
      <c r="Q22" s="312" t="s">
        <v>4367</v>
      </c>
      <c r="R22" s="313" t="s">
        <v>4108</v>
      </c>
      <c r="S22" s="314" t="s">
        <v>4109</v>
      </c>
      <c r="T22" s="315" t="s">
        <v>4115</v>
      </c>
      <c r="U22" s="243" t="s">
        <v>4116</v>
      </c>
      <c r="V22" s="313" t="s">
        <v>4368</v>
      </c>
      <c r="W22" s="314" t="s">
        <v>4118</v>
      </c>
    </row>
    <row r="23" spans="1:27">
      <c r="B23" s="133" t="s">
        <v>4099</v>
      </c>
      <c r="C23" s="117" t="s">
        <v>4326</v>
      </c>
      <c r="D23" s="129" t="s">
        <v>4327</v>
      </c>
      <c r="E23" s="275"/>
      <c r="F23" s="245"/>
      <c r="G23" s="245" t="s">
        <v>4369</v>
      </c>
      <c r="H23" s="245" t="s">
        <v>4370</v>
      </c>
      <c r="I23" s="245"/>
      <c r="J23" s="245" t="s">
        <v>4371</v>
      </c>
      <c r="K23" s="245" t="s">
        <v>4372</v>
      </c>
      <c r="L23" s="245"/>
      <c r="M23" s="245" t="s">
        <v>4373</v>
      </c>
      <c r="N23" s="245" t="s">
        <v>4374</v>
      </c>
      <c r="O23" s="245" t="s">
        <v>1439</v>
      </c>
      <c r="P23" s="245" t="s">
        <v>4375</v>
      </c>
      <c r="Q23" s="316" t="s">
        <v>4376</v>
      </c>
      <c r="R23" s="194" t="s">
        <v>4377</v>
      </c>
      <c r="S23" s="317" t="s">
        <v>4377</v>
      </c>
      <c r="T23" s="318"/>
      <c r="U23" s="193"/>
      <c r="V23" s="319"/>
      <c r="W23" s="317"/>
    </row>
    <row r="24" spans="1:27" s="140" customFormat="1" ht="15.75" customHeight="1">
      <c r="A24" s="137"/>
      <c r="B24" s="138"/>
      <c r="C24" s="139"/>
      <c r="D24" s="141"/>
      <c r="E24" s="158">
        <f t="shared" ref="E24:W24" si="1">SUM(E25:E35)</f>
        <v>324</v>
      </c>
      <c r="F24" s="159">
        <f t="shared" si="1"/>
        <v>0</v>
      </c>
      <c r="G24" s="159">
        <f t="shared" si="1"/>
        <v>0</v>
      </c>
      <c r="H24" s="159">
        <f t="shared" si="1"/>
        <v>0</v>
      </c>
      <c r="I24" s="159">
        <f t="shared" si="1"/>
        <v>8.58</v>
      </c>
      <c r="J24" s="159">
        <f t="shared" si="1"/>
        <v>108</v>
      </c>
      <c r="K24" s="159">
        <f t="shared" si="1"/>
        <v>0</v>
      </c>
      <c r="L24" s="159">
        <f t="shared" si="1"/>
        <v>0</v>
      </c>
      <c r="M24" s="159">
        <f t="shared" si="1"/>
        <v>0</v>
      </c>
      <c r="N24" s="159">
        <f t="shared" si="1"/>
        <v>0</v>
      </c>
      <c r="O24" s="276">
        <f t="shared" si="1"/>
        <v>0</v>
      </c>
      <c r="P24" s="159">
        <f t="shared" si="1"/>
        <v>0</v>
      </c>
      <c r="Q24" s="320">
        <f t="shared" si="1"/>
        <v>0</v>
      </c>
      <c r="R24" s="159">
        <f t="shared" si="1"/>
        <v>0</v>
      </c>
      <c r="S24" s="160">
        <f t="shared" si="1"/>
        <v>0</v>
      </c>
      <c r="T24" s="323">
        <f t="shared" si="1"/>
        <v>0</v>
      </c>
      <c r="U24" s="159">
        <f t="shared" si="1"/>
        <v>180</v>
      </c>
      <c r="V24" s="320">
        <f t="shared" si="1"/>
        <v>0</v>
      </c>
      <c r="W24" s="160">
        <f t="shared" si="1"/>
        <v>0</v>
      </c>
    </row>
    <row r="25" spans="1:27" s="140" customFormat="1" ht="11.25" customHeight="1">
      <c r="B25" s="146"/>
      <c r="C25" s="147"/>
      <c r="D25" s="148"/>
      <c r="E25" s="164"/>
      <c r="F25" s="165"/>
      <c r="G25" s="165"/>
      <c r="H25" s="165"/>
      <c r="I25" s="165"/>
      <c r="J25" s="165"/>
      <c r="K25" s="165"/>
      <c r="L25" s="165"/>
      <c r="M25" s="165"/>
      <c r="N25" s="165"/>
      <c r="O25" s="249"/>
      <c r="P25" s="165"/>
      <c r="Q25" s="321"/>
      <c r="R25" s="165"/>
      <c r="S25" s="166"/>
      <c r="T25" s="324"/>
      <c r="U25" s="165"/>
      <c r="V25" s="321"/>
      <c r="W25" s="327"/>
    </row>
    <row r="26" spans="1:27" s="140" customFormat="1" ht="11.25" customHeight="1">
      <c r="B26" s="146" t="s">
        <v>4348</v>
      </c>
      <c r="C26" s="147" t="s">
        <v>4349</v>
      </c>
      <c r="D26" s="148">
        <v>5.4</v>
      </c>
      <c r="E26" s="164">
        <f>D26*60</f>
        <v>324</v>
      </c>
      <c r="F26" s="165"/>
      <c r="G26" s="165"/>
      <c r="H26" s="165"/>
      <c r="I26" s="165"/>
      <c r="J26" s="165">
        <f>D26*20</f>
        <v>108</v>
      </c>
      <c r="K26" s="165"/>
      <c r="L26" s="165"/>
      <c r="M26" s="165"/>
      <c r="N26" s="165"/>
      <c r="O26" s="249"/>
      <c r="P26" s="165"/>
      <c r="Q26" s="321"/>
      <c r="R26" s="165"/>
      <c r="S26" s="166"/>
      <c r="T26" s="324"/>
      <c r="U26" s="165"/>
      <c r="V26" s="321"/>
      <c r="W26" s="327"/>
    </row>
    <row r="27" spans="1:27" s="140" customFormat="1" ht="11.25" customHeight="1">
      <c r="B27" s="146" t="s">
        <v>4348</v>
      </c>
      <c r="C27" s="147" t="s">
        <v>4351</v>
      </c>
      <c r="D27" s="148">
        <v>22</v>
      </c>
      <c r="E27" s="164"/>
      <c r="F27" s="165"/>
      <c r="G27" s="165"/>
      <c r="H27" s="165"/>
      <c r="I27" s="165">
        <f>D27*0.39</f>
        <v>8.58</v>
      </c>
      <c r="J27" s="165"/>
      <c r="K27" s="165"/>
      <c r="L27" s="165"/>
      <c r="M27" s="165"/>
      <c r="N27" s="165"/>
      <c r="O27" s="249"/>
      <c r="P27" s="165"/>
      <c r="Q27" s="321"/>
      <c r="R27" s="165"/>
      <c r="S27" s="166"/>
      <c r="T27" s="324"/>
      <c r="U27" s="165"/>
      <c r="V27" s="321"/>
      <c r="W27" s="327"/>
    </row>
    <row r="28" spans="1:27" s="140" customFormat="1" ht="11.25" customHeight="1">
      <c r="B28" s="146" t="s">
        <v>4348</v>
      </c>
      <c r="C28" s="147" t="s">
        <v>4353</v>
      </c>
      <c r="D28" s="148">
        <v>9</v>
      </c>
      <c r="E28" s="164"/>
      <c r="F28" s="165"/>
      <c r="G28" s="165"/>
      <c r="H28" s="165"/>
      <c r="I28" s="165"/>
      <c r="J28" s="165"/>
      <c r="K28" s="165"/>
      <c r="L28" s="165"/>
      <c r="M28" s="165"/>
      <c r="N28" s="165"/>
      <c r="O28" s="249"/>
      <c r="P28" s="165"/>
      <c r="Q28" s="321"/>
      <c r="R28" s="165"/>
      <c r="S28" s="166"/>
      <c r="T28" s="324"/>
      <c r="U28" s="165">
        <f>D28*20</f>
        <v>180</v>
      </c>
      <c r="V28" s="321"/>
      <c r="W28" s="327"/>
    </row>
    <row r="29" spans="1:27" s="140" customFormat="1" ht="11.25" customHeight="1">
      <c r="B29" s="146"/>
      <c r="C29" s="147"/>
      <c r="D29" s="148"/>
      <c r="E29" s="164"/>
      <c r="F29" s="165"/>
      <c r="G29" s="165"/>
      <c r="H29" s="165"/>
      <c r="I29" s="165"/>
      <c r="J29" s="165"/>
      <c r="K29" s="165"/>
      <c r="L29" s="165"/>
      <c r="M29" s="165"/>
      <c r="N29" s="165"/>
      <c r="O29" s="249"/>
      <c r="P29" s="165"/>
      <c r="Q29" s="321"/>
      <c r="R29" s="165"/>
      <c r="S29" s="166"/>
      <c r="T29" s="324"/>
      <c r="U29" s="165"/>
      <c r="V29" s="321"/>
      <c r="W29" s="327"/>
    </row>
    <row r="30" spans="1:27" s="140" customFormat="1" ht="11.25" customHeight="1">
      <c r="A30" s="127" t="s">
        <v>4378</v>
      </c>
      <c r="B30" s="146"/>
      <c r="C30" s="147"/>
      <c r="D30" s="148"/>
      <c r="E30" s="164"/>
      <c r="F30" s="165"/>
      <c r="G30" s="165"/>
      <c r="H30" s="165"/>
      <c r="I30" s="165"/>
      <c r="J30" s="165"/>
      <c r="K30" s="165"/>
      <c r="L30" s="165"/>
      <c r="M30" s="165"/>
      <c r="N30" s="165"/>
      <c r="O30" s="249"/>
      <c r="P30" s="165"/>
      <c r="Q30" s="321"/>
      <c r="R30" s="165"/>
      <c r="S30" s="166"/>
      <c r="T30" s="324"/>
      <c r="U30" s="165">
        <f>$D30*O30</f>
        <v>0</v>
      </c>
      <c r="V30" s="321">
        <f>$D30*P30</f>
        <v>0</v>
      </c>
      <c r="W30" s="329"/>
    </row>
    <row r="31" spans="1:27">
      <c r="A31" s="80"/>
      <c r="B31" s="144"/>
      <c r="C31" s="145"/>
      <c r="D31" s="151"/>
      <c r="E31" s="167"/>
      <c r="F31" s="168"/>
      <c r="G31" s="168"/>
      <c r="H31" s="250"/>
      <c r="I31" s="250"/>
      <c r="J31" s="250"/>
      <c r="K31" s="250"/>
      <c r="L31" s="250"/>
      <c r="M31" s="250"/>
      <c r="N31" s="250"/>
      <c r="O31" s="250"/>
      <c r="P31" s="250"/>
      <c r="Q31" s="322"/>
      <c r="R31" s="168"/>
      <c r="S31" s="169"/>
      <c r="T31" s="325"/>
      <c r="U31" s="168">
        <f>$D31*O31</f>
        <v>0</v>
      </c>
      <c r="V31" s="326">
        <f>$D31*P31</f>
        <v>0</v>
      </c>
      <c r="W31" s="328"/>
    </row>
    <row r="32" spans="1:27">
      <c r="E32" s="80"/>
    </row>
  </sheetData>
  <mergeCells count="15">
    <mergeCell ref="G2:J2"/>
    <mergeCell ref="O2:R2"/>
    <mergeCell ref="G3:J3"/>
    <mergeCell ref="O3:R3"/>
    <mergeCell ref="G4:J4"/>
    <mergeCell ref="O4:R4"/>
    <mergeCell ref="X7:AA7"/>
    <mergeCell ref="E21:S21"/>
    <mergeCell ref="T21:W21"/>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CC66FF"/>
    <pageSetUpPr fitToPage="1"/>
  </sheetPr>
  <dimension ref="A1:AI186"/>
  <sheetViews>
    <sheetView zoomScale="75" zoomScaleNormal="75" workbookViewId="0">
      <pane xSplit="13" topLeftCell="T1" activePane="topRight" state="frozen"/>
      <selection activeCell="A3" sqref="A3:H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4903</v>
      </c>
      <c r="E2" s="34" t="s">
        <v>153</v>
      </c>
      <c r="F2" s="37">
        <f>工事3!J2</f>
        <v>33</v>
      </c>
      <c r="G2" s="1" t="s">
        <v>154</v>
      </c>
      <c r="H2" s="4">
        <f>表紙!H25</f>
        <v>69</v>
      </c>
      <c r="I2" s="4" t="s">
        <v>155</v>
      </c>
      <c r="J2" s="37">
        <f>VLOOKUP("EOL",$M$25:$N$65628,2,FALSE)</f>
        <v>40</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ア)東梅田駅の部-床仕上改造その他工事</v>
      </c>
      <c r="D5" s="2348"/>
      <c r="E5" s="632"/>
      <c r="F5" s="1889"/>
      <c r="G5" s="2349"/>
      <c r="H5" s="2061" t="s">
        <v>117</v>
      </c>
      <c r="I5" s="2061" t="s">
        <v>117</v>
      </c>
      <c r="J5" s="2759"/>
      <c r="K5" s="2733"/>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2351"/>
      <c r="E6" s="639"/>
      <c r="F6" s="640"/>
      <c r="G6" s="641"/>
      <c r="H6" s="1883"/>
      <c r="I6" s="1883"/>
      <c r="J6" s="2351"/>
      <c r="K6" s="2351"/>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2351" t="s">
        <v>4120</v>
      </c>
      <c r="E7" s="639"/>
      <c r="F7" s="640">
        <v>1</v>
      </c>
      <c r="G7" s="641" t="s">
        <v>119</v>
      </c>
      <c r="H7" s="1883"/>
      <c r="I7" s="1883">
        <f>I70</f>
        <v>2706600</v>
      </c>
      <c r="J7" s="2351"/>
      <c r="K7" s="2351"/>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2351" t="s">
        <v>4121</v>
      </c>
      <c r="E8" s="639"/>
      <c r="F8" s="640">
        <v>1</v>
      </c>
      <c r="G8" s="641" t="s">
        <v>119</v>
      </c>
      <c r="H8" s="1883"/>
      <c r="I8" s="1883">
        <f>I93</f>
        <v>48449340</v>
      </c>
      <c r="J8" s="2351"/>
      <c r="K8" s="2351"/>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2351" t="s">
        <v>4125</v>
      </c>
      <c r="E9" s="639"/>
      <c r="F9" s="640">
        <v>1</v>
      </c>
      <c r="G9" s="641" t="s">
        <v>119</v>
      </c>
      <c r="H9" s="1883"/>
      <c r="I9" s="1883">
        <f>I116</f>
        <v>1086800</v>
      </c>
      <c r="J9" s="2351"/>
      <c r="K9" s="2351"/>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2351" t="s">
        <v>4126</v>
      </c>
      <c r="E10" s="639"/>
      <c r="F10" s="640">
        <v>1</v>
      </c>
      <c r="G10" s="641" t="s">
        <v>119</v>
      </c>
      <c r="H10" s="1883"/>
      <c r="I10" s="1883">
        <f>I162</f>
        <v>50969756</v>
      </c>
      <c r="J10" s="2351"/>
      <c r="K10" s="2351"/>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2351"/>
      <c r="E11" s="639"/>
      <c r="F11" s="640"/>
      <c r="G11" s="641"/>
      <c r="H11" s="1883"/>
      <c r="I11" s="1883"/>
      <c r="J11" s="2351"/>
      <c r="K11" s="2351"/>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2351"/>
      <c r="E12" s="639"/>
      <c r="F12" s="640"/>
      <c r="G12" s="641"/>
      <c r="H12" s="1883"/>
      <c r="I12" s="1883"/>
      <c r="J12" s="2351"/>
      <c r="K12" s="2351"/>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2351"/>
      <c r="E13" s="639"/>
      <c r="F13" s="640"/>
      <c r="G13" s="641"/>
      <c r="H13" s="1883"/>
      <c r="I13" s="1883"/>
      <c r="J13" s="2351"/>
      <c r="K13" s="2351"/>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2351"/>
      <c r="E14" s="639"/>
      <c r="F14" s="640"/>
      <c r="G14" s="641"/>
      <c r="H14" s="1883"/>
      <c r="I14" s="1883"/>
      <c r="J14" s="2351"/>
      <c r="K14" s="2351"/>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2351"/>
      <c r="E15" s="639"/>
      <c r="F15" s="640"/>
      <c r="G15" s="641"/>
      <c r="H15" s="1883"/>
      <c r="I15" s="1883"/>
      <c r="J15" s="2351"/>
      <c r="K15" s="2351"/>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2351" t="s">
        <v>126</v>
      </c>
      <c r="E16" s="639"/>
      <c r="F16" s="640"/>
      <c r="G16" s="641"/>
      <c r="H16" s="1883"/>
      <c r="I16" s="1883">
        <f>SUM(I7:I15)</f>
        <v>103212496</v>
      </c>
      <c r="J16" s="2358" t="str">
        <f>IF(COUNTIF(N:N,"費用")=0,"","うち費用")</f>
        <v>うち費用</v>
      </c>
      <c r="K16" s="2359">
        <f>IF(COUNTIF(N:N,"費用")=0,"",SUMIF(N:N,"費用",I:I))</f>
        <v>50969756</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360"/>
      <c r="E17" s="639"/>
      <c r="F17" s="640"/>
      <c r="G17" s="641"/>
      <c r="H17" s="1883"/>
      <c r="I17" s="1883"/>
      <c r="J17" s="2351"/>
      <c r="K17" s="2351"/>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2351"/>
      <c r="E18" s="639"/>
      <c r="F18" s="640"/>
      <c r="G18" s="641"/>
      <c r="H18" s="1883"/>
      <c r="I18" s="1883"/>
      <c r="J18" s="2351"/>
      <c r="K18" s="2351"/>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2351" t="s">
        <v>4128</v>
      </c>
      <c r="E19" s="639"/>
      <c r="F19" s="640">
        <v>1</v>
      </c>
      <c r="G19" s="641" t="s">
        <v>119</v>
      </c>
      <c r="H19" s="1883"/>
      <c r="I19" s="1883">
        <f>+I47</f>
        <v>4716990</v>
      </c>
      <c r="J19" s="2351"/>
      <c r="K19" s="2351"/>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2351" t="s">
        <v>4129</v>
      </c>
      <c r="E20" s="639"/>
      <c r="F20" s="640">
        <v>1</v>
      </c>
      <c r="G20" s="641" t="s">
        <v>119</v>
      </c>
      <c r="H20" s="1883"/>
      <c r="I20" s="1883">
        <f>+諸経費表!J21</f>
        <v>26905514</v>
      </c>
      <c r="J20" s="2361"/>
      <c r="K20" s="2351"/>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2351"/>
      <c r="E21" s="639"/>
      <c r="F21" s="640"/>
      <c r="G21" s="641"/>
      <c r="H21" s="1883"/>
      <c r="I21" s="1883"/>
      <c r="J21" s="2351"/>
      <c r="K21" s="2351"/>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2351" t="s">
        <v>126</v>
      </c>
      <c r="E22" s="639"/>
      <c r="F22" s="640"/>
      <c r="G22" s="641"/>
      <c r="H22" s="1883"/>
      <c r="I22" s="1883">
        <f>+I19+I20</f>
        <v>31622504</v>
      </c>
      <c r="J22" s="2351"/>
      <c r="K22" s="2351"/>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2351"/>
      <c r="E23" s="639"/>
      <c r="F23" s="640"/>
      <c r="G23" s="641"/>
      <c r="H23" s="1883"/>
      <c r="I23" s="1883"/>
      <c r="J23" s="2351"/>
      <c r="K23" s="2351"/>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362"/>
      <c r="D24" s="2363" t="s">
        <v>4130</v>
      </c>
      <c r="E24" s="2364"/>
      <c r="F24" s="2365"/>
      <c r="G24" s="2366"/>
      <c r="H24" s="2367" t="s">
        <v>4131</v>
      </c>
      <c r="I24" s="2368">
        <f>+I22+I16</f>
        <v>134835000</v>
      </c>
      <c r="J24" s="2363" t="s">
        <v>4132</v>
      </c>
      <c r="K24" s="2363"/>
      <c r="L24" s="2369"/>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34</v>
      </c>
      <c r="G25" s="103" t="s">
        <v>131</v>
      </c>
      <c r="H25" s="104">
        <f>H2</f>
        <v>69</v>
      </c>
      <c r="M25" s="38" t="str">
        <f>IF(A27="","EOL","")</f>
        <v/>
      </c>
      <c r="N25" s="6">
        <f>+F25</f>
        <v>34</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2351" t="s">
        <v>4134</v>
      </c>
      <c r="E29" s="639"/>
      <c r="F29" s="640"/>
      <c r="G29" s="641"/>
      <c r="H29" s="642"/>
      <c r="I29" s="1883" t="str">
        <f t="shared" ref="I29:I44" si="0">IF(F29="","",INT(F29*H29))</f>
        <v/>
      </c>
      <c r="J29" s="2351"/>
      <c r="K29" s="2351"/>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2351" t="s">
        <v>4135</v>
      </c>
      <c r="E30" s="639"/>
      <c r="F30" s="640">
        <v>1</v>
      </c>
      <c r="G30" s="641" t="s">
        <v>122</v>
      </c>
      <c r="H30" s="642">
        <f>+'東梅田　諸'!J16</f>
        <v>3307304</v>
      </c>
      <c r="I30" s="1883">
        <f t="shared" si="0"/>
        <v>3307304</v>
      </c>
      <c r="J30" s="2351"/>
      <c r="K30" s="2351"/>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2351"/>
      <c r="E31" s="639"/>
      <c r="F31" s="640"/>
      <c r="G31" s="641"/>
      <c r="H31" s="642"/>
      <c r="I31" s="1883" t="str">
        <f t="shared" si="0"/>
        <v/>
      </c>
      <c r="J31" s="2351"/>
      <c r="K31" s="2351"/>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373"/>
      <c r="D32" s="2374" t="s">
        <v>4136</v>
      </c>
      <c r="E32" s="2375"/>
      <c r="F32" s="2376"/>
      <c r="G32" s="2377"/>
      <c r="H32" s="2378"/>
      <c r="I32" s="2379">
        <f>SUM(I30:I31)</f>
        <v>3307304</v>
      </c>
      <c r="J32" s="2374"/>
      <c r="K32" s="2374"/>
      <c r="L32" s="2380"/>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2351" t="s">
        <v>4137</v>
      </c>
      <c r="E34" s="639"/>
      <c r="F34" s="640"/>
      <c r="G34" s="641"/>
      <c r="H34" s="642"/>
      <c r="I34" s="1883" t="str">
        <f t="shared" si="0"/>
        <v/>
      </c>
      <c r="J34" s="2351"/>
      <c r="K34" s="2351"/>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2351"/>
      <c r="E35" s="639"/>
      <c r="F35" s="640"/>
      <c r="G35" s="641"/>
      <c r="H35" s="642"/>
      <c r="I35" s="1883" t="str">
        <f t="shared" si="0"/>
        <v/>
      </c>
      <c r="J35" s="2351"/>
      <c r="K35" s="2351"/>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2351" t="s">
        <v>4138</v>
      </c>
      <c r="E36" s="639"/>
      <c r="F36" s="640">
        <v>1</v>
      </c>
      <c r="G36" s="641" t="s">
        <v>119</v>
      </c>
      <c r="H36" s="642">
        <f>+[3]集計!$G$20</f>
        <v>371811</v>
      </c>
      <c r="I36" s="1883">
        <f t="shared" si="0"/>
        <v>371811</v>
      </c>
      <c r="J36" s="2351"/>
      <c r="K36" s="2351"/>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2351" t="s">
        <v>4139</v>
      </c>
      <c r="E37" s="639"/>
      <c r="F37" s="640">
        <v>1</v>
      </c>
      <c r="G37" s="641" t="s">
        <v>119</v>
      </c>
      <c r="H37" s="642">
        <f>+[3]集計!$G$21</f>
        <v>48524</v>
      </c>
      <c r="I37" s="1883">
        <f t="shared" si="0"/>
        <v>48524</v>
      </c>
      <c r="J37" s="2351"/>
      <c r="K37" s="2351"/>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2351" t="s">
        <v>4140</v>
      </c>
      <c r="E38" s="639"/>
      <c r="F38" s="640">
        <v>1</v>
      </c>
      <c r="G38" s="641" t="s">
        <v>119</v>
      </c>
      <c r="H38" s="642">
        <f>+[3]集計!$G$22</f>
        <v>0</v>
      </c>
      <c r="I38" s="1883">
        <f t="shared" si="0"/>
        <v>0</v>
      </c>
      <c r="J38" s="2351"/>
      <c r="K38" s="2351"/>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2351" t="s">
        <v>4141</v>
      </c>
      <c r="E39" s="639"/>
      <c r="F39" s="640">
        <v>1</v>
      </c>
      <c r="G39" s="641" t="s">
        <v>119</v>
      </c>
      <c r="H39" s="642">
        <f>+[3]集計!$G$24</f>
        <v>13759</v>
      </c>
      <c r="I39" s="1883">
        <f t="shared" si="0"/>
        <v>13759</v>
      </c>
      <c r="J39" s="2351"/>
      <c r="K39" s="2351"/>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2351" t="s">
        <v>4142</v>
      </c>
      <c r="E40" s="639"/>
      <c r="F40" s="640">
        <v>1</v>
      </c>
      <c r="G40" s="641" t="s">
        <v>119</v>
      </c>
      <c r="H40" s="642">
        <f>+[3]集計!$G$25</f>
        <v>975592</v>
      </c>
      <c r="I40" s="1883">
        <f t="shared" si="0"/>
        <v>975592</v>
      </c>
      <c r="J40" s="2351"/>
      <c r="K40" s="2351"/>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2351"/>
      <c r="E41" s="639"/>
      <c r="F41" s="640"/>
      <c r="G41" s="641"/>
      <c r="H41" s="642"/>
      <c r="I41" s="1883" t="str">
        <f t="shared" si="0"/>
        <v/>
      </c>
      <c r="J41" s="2351"/>
      <c r="K41" s="2351"/>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2351"/>
      <c r="E42" s="639"/>
      <c r="F42" s="640"/>
      <c r="G42" s="641"/>
      <c r="H42" s="642"/>
      <c r="I42" s="1883" t="str">
        <f t="shared" si="0"/>
        <v/>
      </c>
      <c r="J42" s="2351"/>
      <c r="K42" s="2351"/>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2351"/>
      <c r="E43" s="639"/>
      <c r="F43" s="640"/>
      <c r="G43" s="641"/>
      <c r="H43" s="642"/>
      <c r="I43" s="1883" t="str">
        <f t="shared" si="0"/>
        <v/>
      </c>
      <c r="J43" s="2351"/>
      <c r="K43" s="2351"/>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2351"/>
      <c r="E44" s="639"/>
      <c r="F44" s="640"/>
      <c r="G44" s="641"/>
      <c r="H44" s="642"/>
      <c r="I44" s="1883" t="str">
        <f t="shared" si="0"/>
        <v/>
      </c>
      <c r="J44" s="2351"/>
      <c r="K44" s="2351"/>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381"/>
      <c r="D45" s="2374" t="s">
        <v>4143</v>
      </c>
      <c r="E45" s="2375"/>
      <c r="F45" s="2376"/>
      <c r="G45" s="2377"/>
      <c r="H45" s="2378"/>
      <c r="I45" s="2379">
        <f>SUM(I35:I44)</f>
        <v>1409686</v>
      </c>
      <c r="J45" s="2374"/>
      <c r="K45" s="2374"/>
      <c r="L45" s="2380"/>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2351"/>
      <c r="E46" s="639"/>
      <c r="F46" s="640"/>
      <c r="G46" s="641"/>
      <c r="H46" s="642"/>
      <c r="I46" s="1883" t="str">
        <f t="shared" ref="I46" si="1">IF(F46="","",INT(F46*H46))</f>
        <v/>
      </c>
      <c r="J46" s="2351"/>
      <c r="K46" s="2351"/>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362"/>
      <c r="D47" s="2363" t="s">
        <v>4144</v>
      </c>
      <c r="E47" s="2364"/>
      <c r="F47" s="2365"/>
      <c r="G47" s="2366"/>
      <c r="H47" s="2382" t="s">
        <v>4131</v>
      </c>
      <c r="I47" s="2368">
        <f>I32+I45</f>
        <v>4716990</v>
      </c>
      <c r="J47" s="2363" t="s">
        <v>4132</v>
      </c>
      <c r="K47" s="2363"/>
      <c r="L47" s="2369"/>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35</v>
      </c>
      <c r="G48" s="103" t="s">
        <v>131</v>
      </c>
      <c r="H48" s="104">
        <f>+$H$25</f>
        <v>69</v>
      </c>
      <c r="I48" s="104"/>
      <c r="M48" s="38" t="str">
        <f>IF(A50="","EOL","")</f>
        <v/>
      </c>
      <c r="N48" s="6">
        <f>+F48</f>
        <v>35</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33"/>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2351"/>
      <c r="K52" s="2351"/>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+[2]集計!$G$17</f>
        <v>0</v>
      </c>
      <c r="I53" s="1883">
        <f t="shared" ref="I53:I69" si="2">IF(F53="","",INT(F53*H53))</f>
        <v>0</v>
      </c>
      <c r="J53" s="2351"/>
      <c r="K53" s="2351"/>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+[2]集計!$G$18</f>
        <v>582960</v>
      </c>
      <c r="I54" s="1883">
        <f t="shared" si="2"/>
        <v>582960</v>
      </c>
      <c r="J54" s="2351"/>
      <c r="K54" s="2351"/>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+[2]集計!$G$19</f>
        <v>2123640</v>
      </c>
      <c r="I55" s="1883">
        <f t="shared" si="2"/>
        <v>2123640</v>
      </c>
      <c r="J55" s="2351"/>
      <c r="K55" s="2351"/>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+[2]集計!$G$20</f>
        <v>0</v>
      </c>
      <c r="I56" s="1883">
        <f t="shared" si="2"/>
        <v>0</v>
      </c>
      <c r="J56" s="2351"/>
      <c r="K56" s="2351"/>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+[2]集計!$G$21</f>
        <v>0</v>
      </c>
      <c r="I57" s="1883">
        <f t="shared" si="2"/>
        <v>0</v>
      </c>
      <c r="J57" s="2351"/>
      <c r="K57" s="2351"/>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+[2]集計!$G$22</f>
        <v>0</v>
      </c>
      <c r="I58" s="1883">
        <f t="shared" si="2"/>
        <v>0</v>
      </c>
      <c r="J58" s="2351"/>
      <c r="K58" s="2351"/>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2351"/>
      <c r="K59" s="2351"/>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2351"/>
      <c r="K60" s="2351"/>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2351"/>
      <c r="K61" s="2351"/>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2351"/>
      <c r="K62" s="2351"/>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2351"/>
      <c r="K63" s="2351"/>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2351"/>
      <c r="K64" s="2351"/>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2351"/>
      <c r="K65" s="2351"/>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2351"/>
      <c r="K66" s="2351"/>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2351"/>
      <c r="K67" s="2351"/>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2351"/>
      <c r="K68" s="2351"/>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2351"/>
      <c r="K69" s="2351"/>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362"/>
      <c r="D70" s="2363" t="s">
        <v>4144</v>
      </c>
      <c r="E70" s="2364"/>
      <c r="F70" s="2365"/>
      <c r="G70" s="2366"/>
      <c r="H70" s="2382" t="s">
        <v>4131</v>
      </c>
      <c r="I70" s="2368">
        <f>SUM(I52:I69)</f>
        <v>2706600</v>
      </c>
      <c r="J70" s="2363" t="s">
        <v>4132</v>
      </c>
      <c r="K70" s="2363"/>
      <c r="L70" s="2369"/>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36</v>
      </c>
      <c r="G71" s="103" t="s">
        <v>131</v>
      </c>
      <c r="H71" s="104">
        <f>+H48</f>
        <v>69</v>
      </c>
      <c r="I71" s="104"/>
      <c r="M71" s="598" t="str">
        <f>IF(A73="","EOL","")</f>
        <v/>
      </c>
      <c r="N71" s="1">
        <f>+F71</f>
        <v>36</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33"/>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388"/>
      <c r="E75" s="621"/>
      <c r="F75" s="640"/>
      <c r="G75" s="641"/>
      <c r="H75" s="1882"/>
      <c r="I75" s="1883" t="str">
        <f t="shared" ref="I75:I92" si="3">IF(F75="","",INT(F75*H75))</f>
        <v/>
      </c>
      <c r="J75" s="2391"/>
      <c r="K75" s="2351"/>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881">
        <v>303</v>
      </c>
      <c r="D76" s="2399" t="s">
        <v>4155</v>
      </c>
      <c r="E76" s="621" t="s">
        <v>4156</v>
      </c>
      <c r="F76" s="640">
        <v>1350</v>
      </c>
      <c r="G76" s="641" t="s">
        <v>4157</v>
      </c>
      <c r="H76" s="1882">
        <f>見積比較!O$11</f>
        <v>34200</v>
      </c>
      <c r="I76" s="1883">
        <f>IF(F76="","",INT(F76*H76))</f>
        <v>46170000</v>
      </c>
      <c r="J76" s="2391" t="s">
        <v>4158</v>
      </c>
      <c r="K76" s="2351"/>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388"/>
      <c r="E77" s="621"/>
      <c r="F77" s="640"/>
      <c r="G77" s="641"/>
      <c r="H77" s="1882"/>
      <c r="I77" s="1883" t="str">
        <f t="shared" ref="I77:I81" si="4">IF(F77="","",INT(F77*H77))</f>
        <v/>
      </c>
      <c r="J77" s="2391"/>
      <c r="K77" s="2351"/>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v>4</v>
      </c>
      <c r="B78" s="36">
        <v>4</v>
      </c>
      <c r="C78" s="1881">
        <v>304</v>
      </c>
      <c r="D78" s="2399" t="s">
        <v>4159</v>
      </c>
      <c r="E78" s="621" t="s">
        <v>4160</v>
      </c>
      <c r="F78" s="640">
        <v>37.799999999999997</v>
      </c>
      <c r="G78" s="641" t="s">
        <v>4157</v>
      </c>
      <c r="H78" s="1882">
        <f>見積比較!O$66</f>
        <v>21900</v>
      </c>
      <c r="I78" s="1883">
        <f>IF(F78="","",INT(F78*H78))</f>
        <v>827820</v>
      </c>
      <c r="J78" s="2391" t="s">
        <v>4161</v>
      </c>
      <c r="K78" s="2351"/>
      <c r="L78" s="2356"/>
      <c r="M78" s="602"/>
      <c r="N78" s="603"/>
      <c r="O78" s="597">
        <v>0</v>
      </c>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v>4</v>
      </c>
      <c r="B79" s="36">
        <v>4</v>
      </c>
      <c r="C79" s="1881">
        <v>25011</v>
      </c>
      <c r="D79" s="2399" t="s">
        <v>4400</v>
      </c>
      <c r="E79" s="621" t="s">
        <v>4401</v>
      </c>
      <c r="F79" s="640">
        <v>37.799999999999997</v>
      </c>
      <c r="G79" s="641" t="s">
        <v>4193</v>
      </c>
      <c r="H79" s="1882">
        <v>38400</v>
      </c>
      <c r="I79" s="1883">
        <f>IF(F79="","",INT(F79*H79))</f>
        <v>1451520</v>
      </c>
      <c r="J79" s="2391" t="s">
        <v>4402</v>
      </c>
      <c r="K79" s="2351"/>
      <c r="L79" s="2356"/>
      <c r="M79" s="602"/>
      <c r="N79" s="603"/>
      <c r="O79" s="597">
        <v>0</v>
      </c>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388"/>
      <c r="E80" s="621"/>
      <c r="F80" s="640"/>
      <c r="G80" s="641"/>
      <c r="H80" s="1882"/>
      <c r="I80" s="1883" t="str">
        <f t="shared" si="4"/>
        <v/>
      </c>
      <c r="J80" s="2391"/>
      <c r="K80" s="2351"/>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388"/>
      <c r="E81" s="621"/>
      <c r="F81" s="640"/>
      <c r="G81" s="641"/>
      <c r="H81" s="1882"/>
      <c r="I81" s="1883" t="str">
        <f t="shared" si="4"/>
        <v/>
      </c>
      <c r="J81" s="2391"/>
      <c r="K81" s="2351"/>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388"/>
      <c r="E82" s="621"/>
      <c r="F82" s="640"/>
      <c r="G82" s="641"/>
      <c r="H82" s="1882"/>
      <c r="I82" s="1883" t="str">
        <f t="shared" si="3"/>
        <v/>
      </c>
      <c r="J82" s="2391"/>
      <c r="K82" s="2351"/>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388"/>
      <c r="E83" s="621"/>
      <c r="F83" s="640"/>
      <c r="G83" s="641"/>
      <c r="H83" s="1882"/>
      <c r="I83" s="1883" t="str">
        <f t="shared" si="3"/>
        <v/>
      </c>
      <c r="J83" s="2391"/>
      <c r="K83" s="2351"/>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388"/>
      <c r="E84" s="621"/>
      <c r="F84" s="640"/>
      <c r="G84" s="641"/>
      <c r="H84" s="1882"/>
      <c r="I84" s="1883" t="str">
        <f t="shared" si="3"/>
        <v/>
      </c>
      <c r="J84" s="2391"/>
      <c r="K84" s="2351"/>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388"/>
      <c r="E85" s="621"/>
      <c r="F85" s="640"/>
      <c r="G85" s="641"/>
      <c r="H85" s="1882"/>
      <c r="I85" s="1883" t="str">
        <f t="shared" si="3"/>
        <v/>
      </c>
      <c r="J85" s="2391"/>
      <c r="K85" s="2351"/>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388"/>
      <c r="E86" s="621"/>
      <c r="F86" s="640"/>
      <c r="G86" s="641"/>
      <c r="H86" s="1882"/>
      <c r="I86" s="1883" t="str">
        <f t="shared" si="3"/>
        <v/>
      </c>
      <c r="J86" s="2391"/>
      <c r="K86" s="2351"/>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388"/>
      <c r="E87" s="621"/>
      <c r="F87" s="640"/>
      <c r="G87" s="641"/>
      <c r="H87" s="1882"/>
      <c r="I87" s="1883" t="str">
        <f t="shared" si="3"/>
        <v/>
      </c>
      <c r="J87" s="2391"/>
      <c r="K87" s="2351"/>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388"/>
      <c r="E88" s="621"/>
      <c r="F88" s="640"/>
      <c r="G88" s="641"/>
      <c r="H88" s="1882"/>
      <c r="I88" s="1883" t="str">
        <f t="shared" si="3"/>
        <v/>
      </c>
      <c r="J88" s="2391"/>
      <c r="K88" s="2351"/>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388"/>
      <c r="E89" s="621"/>
      <c r="F89" s="640"/>
      <c r="G89" s="641"/>
      <c r="H89" s="1882"/>
      <c r="I89" s="1883" t="str">
        <f t="shared" si="3"/>
        <v/>
      </c>
      <c r="J89" s="2391"/>
      <c r="K89" s="2351"/>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388"/>
      <c r="E90" s="621"/>
      <c r="F90" s="640"/>
      <c r="G90" s="641"/>
      <c r="H90" s="1882"/>
      <c r="I90" s="1883" t="str">
        <f t="shared" si="3"/>
        <v/>
      </c>
      <c r="J90" s="2391"/>
      <c r="K90" s="2351"/>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388"/>
      <c r="E91" s="621"/>
      <c r="F91" s="640"/>
      <c r="G91" s="641"/>
      <c r="H91" s="1882"/>
      <c r="I91" s="1883" t="str">
        <f t="shared" si="3"/>
        <v/>
      </c>
      <c r="J91" s="2391"/>
      <c r="K91" s="2351"/>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388"/>
      <c r="E92" s="621"/>
      <c r="F92" s="640"/>
      <c r="G92" s="641"/>
      <c r="H92" s="1882"/>
      <c r="I92" s="1883" t="str">
        <f t="shared" si="3"/>
        <v/>
      </c>
      <c r="J92" s="2391"/>
      <c r="K92" s="2351"/>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362"/>
      <c r="D93" s="2363" t="s">
        <v>4144</v>
      </c>
      <c r="E93" s="2364"/>
      <c r="F93" s="2365"/>
      <c r="G93" s="2366"/>
      <c r="H93" s="2382" t="s">
        <v>4131</v>
      </c>
      <c r="I93" s="2368">
        <f>SUM(I75:I92)</f>
        <v>48449340</v>
      </c>
      <c r="J93" s="2383" t="str">
        <f>IF(C74="部分撤去工事","）うち費用",")")</f>
        <v>)</v>
      </c>
      <c r="K93" s="2393">
        <f>IF(C74="部分撤去工事",(K70+L93),0)</f>
        <v>0</v>
      </c>
      <c r="L93" s="2384">
        <f>IF(C74="部分撤去工事",SUMIF(N75:N92,"費用",I75:I92),0)</f>
        <v>0</v>
      </c>
      <c r="M93" s="2394"/>
      <c r="N93" s="2400"/>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37</v>
      </c>
      <c r="G94" s="103" t="s">
        <v>131</v>
      </c>
      <c r="H94" s="104">
        <f>+H71</f>
        <v>69</v>
      </c>
      <c r="I94" s="104"/>
      <c r="M94" s="598" t="str">
        <f>IF(A96="","EOL","")</f>
        <v/>
      </c>
      <c r="N94" s="1">
        <f>+F94</f>
        <v>37</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4125</v>
      </c>
      <c r="D97" s="2385"/>
      <c r="E97" s="623"/>
      <c r="F97" s="1889"/>
      <c r="G97" s="1890"/>
      <c r="H97" s="2386" t="s">
        <v>117</v>
      </c>
      <c r="I97" s="2386" t="s">
        <v>117</v>
      </c>
      <c r="J97" s="2759"/>
      <c r="K97" s="2733"/>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388"/>
      <c r="E98" s="621"/>
      <c r="F98" s="640"/>
      <c r="G98" s="641"/>
      <c r="H98" s="1882"/>
      <c r="I98" s="1883" t="str">
        <f t="shared" ref="I98:I115" si="5">IF(F98="","",INT(F98*H98))</f>
        <v/>
      </c>
      <c r="J98" s="2391"/>
      <c r="K98" s="2351"/>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910">
        <v>806</v>
      </c>
      <c r="D99" s="2399" t="s">
        <v>4403</v>
      </c>
      <c r="E99" s="621" t="s">
        <v>4395</v>
      </c>
      <c r="F99" s="640">
        <v>8</v>
      </c>
      <c r="G99" s="641" t="s">
        <v>4174</v>
      </c>
      <c r="H99" s="1882">
        <f>見積比較!O$214</f>
        <v>80600</v>
      </c>
      <c r="I99" s="1883">
        <f>IF(F99="","",INT(F99*H99))</f>
        <v>644800</v>
      </c>
      <c r="J99" s="2391" t="s">
        <v>4206</v>
      </c>
      <c r="K99" s="2351"/>
      <c r="L99" s="2356"/>
      <c r="M99" s="1917" t="s">
        <v>4207</v>
      </c>
      <c r="N99" s="603" t="s">
        <v>4208</v>
      </c>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881"/>
      <c r="D100" s="2388"/>
      <c r="E100" s="621"/>
      <c r="F100" s="640"/>
      <c r="G100" s="641"/>
      <c r="H100" s="1882"/>
      <c r="I100" s="1883" t="str">
        <f t="shared" ref="I100:I105" si="6">IF(F100="","",INT(F100*H100))</f>
        <v/>
      </c>
      <c r="J100" s="2391"/>
      <c r="K100" s="2351"/>
      <c r="L100" s="2356"/>
      <c r="M100" s="602"/>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v>4</v>
      </c>
      <c r="B101" s="36">
        <v>4</v>
      </c>
      <c r="C101" s="1910">
        <v>807</v>
      </c>
      <c r="D101" s="2399" t="s">
        <v>4404</v>
      </c>
      <c r="E101" s="621" t="s">
        <v>4405</v>
      </c>
      <c r="F101" s="640">
        <v>2</v>
      </c>
      <c r="G101" s="641" t="s">
        <v>4174</v>
      </c>
      <c r="H101" s="1882">
        <f>見積比較!O$216</f>
        <v>221000</v>
      </c>
      <c r="I101" s="1883">
        <f>IF(F101="","",INT(F101*H101))</f>
        <v>442000</v>
      </c>
      <c r="J101" s="2391" t="s">
        <v>4206</v>
      </c>
      <c r="K101" s="2351"/>
      <c r="L101" s="2356"/>
      <c r="M101" s="1917" t="s">
        <v>4207</v>
      </c>
      <c r="N101" s="603" t="s">
        <v>4208</v>
      </c>
      <c r="O101" s="597">
        <v>0</v>
      </c>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881"/>
      <c r="D102" s="2388"/>
      <c r="E102" s="621"/>
      <c r="F102" s="640"/>
      <c r="G102" s="641"/>
      <c r="H102" s="1882"/>
      <c r="I102" s="1883" t="str">
        <f t="shared" si="6"/>
        <v/>
      </c>
      <c r="J102" s="2391"/>
      <c r="K102" s="2351"/>
      <c r="L102" s="2356"/>
      <c r="M102" s="602"/>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c r="B103" s="36"/>
      <c r="C103" s="1881"/>
      <c r="D103" s="2388"/>
      <c r="E103" s="621"/>
      <c r="F103" s="640"/>
      <c r="G103" s="641"/>
      <c r="H103" s="1882"/>
      <c r="I103" s="1883" t="str">
        <f t="shared" si="6"/>
        <v/>
      </c>
      <c r="J103" s="2391"/>
      <c r="K103" s="2351"/>
      <c r="L103" s="2356"/>
      <c r="M103" s="602"/>
      <c r="N103" s="603"/>
      <c r="O103" s="597"/>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881"/>
      <c r="D104" s="2388"/>
      <c r="E104" s="621"/>
      <c r="F104" s="640"/>
      <c r="G104" s="641"/>
      <c r="H104" s="1882"/>
      <c r="I104" s="1883" t="str">
        <f t="shared" si="6"/>
        <v/>
      </c>
      <c r="J104" s="2391"/>
      <c r="K104" s="2351"/>
      <c r="L104" s="2356"/>
      <c r="M104" s="602"/>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c r="B105" s="36"/>
      <c r="C105" s="1881"/>
      <c r="D105" s="2388"/>
      <c r="E105" s="621"/>
      <c r="F105" s="640"/>
      <c r="G105" s="641"/>
      <c r="H105" s="1882"/>
      <c r="I105" s="1883" t="str">
        <f t="shared" si="6"/>
        <v/>
      </c>
      <c r="J105" s="2391"/>
      <c r="K105" s="2351"/>
      <c r="L105" s="2356"/>
      <c r="M105" s="602"/>
      <c r="N105" s="603"/>
      <c r="O105" s="597"/>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881"/>
      <c r="D106" s="2388"/>
      <c r="E106" s="621"/>
      <c r="F106" s="640"/>
      <c r="G106" s="641"/>
      <c r="H106" s="1882"/>
      <c r="I106" s="1883" t="str">
        <f t="shared" si="5"/>
        <v/>
      </c>
      <c r="J106" s="2391"/>
      <c r="K106" s="2351"/>
      <c r="L106" s="2356"/>
      <c r="M106" s="602"/>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c r="B107" s="36"/>
      <c r="C107" s="1881"/>
      <c r="D107" s="2388"/>
      <c r="E107" s="621"/>
      <c r="F107" s="640"/>
      <c r="G107" s="641"/>
      <c r="H107" s="1882"/>
      <c r="I107" s="1883" t="str">
        <f t="shared" si="5"/>
        <v/>
      </c>
      <c r="J107" s="2391"/>
      <c r="K107" s="2351"/>
      <c r="L107" s="2356"/>
      <c r="M107" s="602"/>
      <c r="N107" s="603"/>
      <c r="O107" s="597"/>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c r="B108" s="36"/>
      <c r="C108" s="1881"/>
      <c r="D108" s="2388"/>
      <c r="E108" s="621"/>
      <c r="F108" s="640"/>
      <c r="G108" s="641"/>
      <c r="H108" s="1882"/>
      <c r="I108" s="1883" t="str">
        <f t="shared" si="5"/>
        <v/>
      </c>
      <c r="J108" s="2391"/>
      <c r="K108" s="2351"/>
      <c r="L108" s="2356"/>
      <c r="M108" s="602"/>
      <c r="N108" s="603"/>
      <c r="O108" s="597"/>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c r="B109" s="36"/>
      <c r="C109" s="1881"/>
      <c r="D109" s="2388"/>
      <c r="E109" s="621"/>
      <c r="F109" s="640"/>
      <c r="G109" s="641"/>
      <c r="H109" s="1882"/>
      <c r="I109" s="1883" t="str">
        <f t="shared" si="5"/>
        <v/>
      </c>
      <c r="J109" s="2391"/>
      <c r="K109" s="2351"/>
      <c r="L109" s="2356"/>
      <c r="M109" s="602"/>
      <c r="N109" s="603"/>
      <c r="O109" s="597"/>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881"/>
      <c r="D110" s="2388"/>
      <c r="E110" s="621"/>
      <c r="F110" s="640"/>
      <c r="G110" s="641"/>
      <c r="H110" s="1882"/>
      <c r="I110" s="1883" t="str">
        <f t="shared" si="5"/>
        <v/>
      </c>
      <c r="J110" s="2391"/>
      <c r="K110" s="2351"/>
      <c r="L110" s="2356"/>
      <c r="M110" s="602"/>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881"/>
      <c r="D111" s="2388"/>
      <c r="E111" s="621"/>
      <c r="F111" s="640"/>
      <c r="G111" s="641"/>
      <c r="H111" s="1882"/>
      <c r="I111" s="1883" t="str">
        <f t="shared" si="5"/>
        <v/>
      </c>
      <c r="J111" s="2391"/>
      <c r="K111" s="2351"/>
      <c r="L111" s="2356"/>
      <c r="M111" s="602"/>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881"/>
      <c r="D112" s="2388"/>
      <c r="E112" s="621"/>
      <c r="F112" s="640"/>
      <c r="G112" s="641"/>
      <c r="H112" s="1882"/>
      <c r="I112" s="1883" t="str">
        <f t="shared" si="5"/>
        <v/>
      </c>
      <c r="J112" s="2391"/>
      <c r="K112" s="2351"/>
      <c r="L112" s="2356"/>
      <c r="M112" s="602"/>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881"/>
      <c r="D113" s="2388"/>
      <c r="E113" s="621"/>
      <c r="F113" s="640"/>
      <c r="G113" s="641"/>
      <c r="H113" s="1882"/>
      <c r="I113" s="1883" t="str">
        <f t="shared" si="5"/>
        <v/>
      </c>
      <c r="J113" s="2391"/>
      <c r="K113" s="2351"/>
      <c r="L113" s="2356"/>
      <c r="M113" s="602"/>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388"/>
      <c r="E114" s="621"/>
      <c r="F114" s="640"/>
      <c r="G114" s="641"/>
      <c r="H114" s="1882"/>
      <c r="I114" s="1883" t="str">
        <f t="shared" si="5"/>
        <v/>
      </c>
      <c r="J114" s="2391"/>
      <c r="K114" s="2351"/>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388"/>
      <c r="E115" s="621"/>
      <c r="F115" s="640"/>
      <c r="G115" s="641"/>
      <c r="H115" s="1882"/>
      <c r="I115" s="1883" t="str">
        <f t="shared" si="5"/>
        <v/>
      </c>
      <c r="J115" s="2391"/>
      <c r="K115" s="2351"/>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362"/>
      <c r="D116" s="2363" t="s">
        <v>4144</v>
      </c>
      <c r="E116" s="2364"/>
      <c r="F116" s="2365"/>
      <c r="G116" s="2366"/>
      <c r="H116" s="2382" t="s">
        <v>4131</v>
      </c>
      <c r="I116" s="2368">
        <f>SUM(I98:I115)</f>
        <v>1086800</v>
      </c>
      <c r="J116" s="2383" t="str">
        <f>IF(C97="部分撤去工事","）うち費用",")")</f>
        <v>)</v>
      </c>
      <c r="K116" s="2393">
        <f>IF(C97="部分撤去工事",(#REF!+L116),0)</f>
        <v>0</v>
      </c>
      <c r="L116" s="2384">
        <f>IF(C97="部分撤去工事",SUMIF(N98:N115,"費用",I98:I115),0)</f>
        <v>0</v>
      </c>
      <c r="M116" s="2394"/>
      <c r="N116" s="2400"/>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38</v>
      </c>
      <c r="G117" s="103" t="s">
        <v>131</v>
      </c>
      <c r="H117" s="104">
        <f>+H94</f>
        <v>69</v>
      </c>
      <c r="I117" s="104"/>
      <c r="M117" s="598" t="str">
        <f>IF(A119="","EOL","")</f>
        <v/>
      </c>
      <c r="N117" s="1">
        <f>+F117</f>
        <v>38</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4126</v>
      </c>
      <c r="D120" s="2385"/>
      <c r="E120" s="623"/>
      <c r="F120" s="1889"/>
      <c r="G120" s="1890"/>
      <c r="H120" s="2386" t="s">
        <v>117</v>
      </c>
      <c r="I120" s="2386" t="s">
        <v>117</v>
      </c>
      <c r="J120" s="2759"/>
      <c r="K120" s="2733"/>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399"/>
      <c r="E121" s="621"/>
      <c r="F121" s="640"/>
      <c r="G121" s="641"/>
      <c r="H121" s="1882"/>
      <c r="I121" s="1883"/>
      <c r="J121" s="2391"/>
      <c r="K121" s="2351"/>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881">
        <v>25012</v>
      </c>
      <c r="D122" s="2399" t="s">
        <v>4219</v>
      </c>
      <c r="E122" s="621" t="s">
        <v>4220</v>
      </c>
      <c r="F122" s="1913">
        <v>37.799999999999997</v>
      </c>
      <c r="G122" s="641" t="s">
        <v>4193</v>
      </c>
      <c r="H122" s="1882">
        <v>29100</v>
      </c>
      <c r="I122" s="1883">
        <f>IF(F122="","",INT(F122*H122))</f>
        <v>1099980</v>
      </c>
      <c r="J122" s="2391" t="s">
        <v>4221</v>
      </c>
      <c r="K122" s="2351" t="s">
        <v>4222</v>
      </c>
      <c r="L122" s="2356"/>
      <c r="M122" s="602"/>
      <c r="N122" s="603" t="s">
        <v>4223</v>
      </c>
      <c r="O122" s="597"/>
      <c r="P122" s="187">
        <v>60</v>
      </c>
      <c r="Q122" s="188"/>
      <c r="R122" s="188"/>
      <c r="S122" s="188"/>
      <c r="T122" s="188"/>
      <c r="U122" s="188">
        <v>20</v>
      </c>
      <c r="V122" s="188"/>
      <c r="W122" s="188"/>
      <c r="X122" s="189"/>
      <c r="Y122" s="189"/>
      <c r="Z122" s="189"/>
      <c r="AA122" s="189"/>
      <c r="AB122" s="189"/>
      <c r="AC122" s="188"/>
      <c r="AD122" s="309"/>
      <c r="AE122" s="310"/>
      <c r="AF122" s="188"/>
      <c r="AG122" s="188"/>
      <c r="AH122" s="519"/>
      <c r="AI122" s="557"/>
    </row>
    <row r="123" spans="1:35" s="37" customFormat="1" ht="24" customHeight="1">
      <c r="A123" s="36">
        <v>4</v>
      </c>
      <c r="B123" s="36">
        <v>4</v>
      </c>
      <c r="C123" s="1881">
        <v>25012</v>
      </c>
      <c r="D123" s="2399" t="s">
        <v>4219</v>
      </c>
      <c r="E123" s="621" t="s">
        <v>4220</v>
      </c>
      <c r="F123" s="1913">
        <v>1375</v>
      </c>
      <c r="G123" s="641" t="s">
        <v>4193</v>
      </c>
      <c r="H123" s="1882">
        <v>29100</v>
      </c>
      <c r="I123" s="1883">
        <f>IF(F123="","",INT(F123*H123))</f>
        <v>40012500</v>
      </c>
      <c r="J123" s="2391" t="s">
        <v>4221</v>
      </c>
      <c r="K123" s="2351"/>
      <c r="L123" s="2356"/>
      <c r="M123" s="602"/>
      <c r="N123" s="603" t="s">
        <v>4223</v>
      </c>
      <c r="O123" s="597"/>
      <c r="P123" s="187">
        <v>60</v>
      </c>
      <c r="Q123" s="188"/>
      <c r="R123" s="188"/>
      <c r="S123" s="188"/>
      <c r="T123" s="188"/>
      <c r="U123" s="188">
        <v>20</v>
      </c>
      <c r="V123" s="188"/>
      <c r="W123" s="188"/>
      <c r="X123" s="189"/>
      <c r="Y123" s="189"/>
      <c r="Z123" s="189"/>
      <c r="AA123" s="189"/>
      <c r="AB123" s="189"/>
      <c r="AC123" s="188"/>
      <c r="AD123" s="309"/>
      <c r="AE123" s="310"/>
      <c r="AF123" s="188"/>
      <c r="AG123" s="188"/>
      <c r="AH123" s="519"/>
      <c r="AI123" s="557"/>
    </row>
    <row r="124" spans="1:35" s="37" customFormat="1" ht="24" customHeight="1">
      <c r="A124" s="36"/>
      <c r="B124" s="36"/>
      <c r="C124" s="1881"/>
      <c r="D124" s="2388"/>
      <c r="E124" s="621"/>
      <c r="F124" s="640"/>
      <c r="G124" s="641"/>
      <c r="H124" s="1882"/>
      <c r="I124" s="1883" t="str">
        <f t="shared" ref="I124:I135" si="7">IF(F124="","",INT(F124*H124))</f>
        <v/>
      </c>
      <c r="J124" s="2391"/>
      <c r="K124" s="2351"/>
      <c r="L124" s="2356"/>
      <c r="M124" s="602"/>
      <c r="N124" s="603"/>
      <c r="O124" s="597"/>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v>4</v>
      </c>
      <c r="B125" s="36">
        <v>4</v>
      </c>
      <c r="C125" s="1881">
        <v>20020</v>
      </c>
      <c r="D125" s="2399" t="s">
        <v>4224</v>
      </c>
      <c r="E125" s="621" t="s">
        <v>4231</v>
      </c>
      <c r="F125" s="640">
        <v>48.2</v>
      </c>
      <c r="G125" s="641" t="s">
        <v>4202</v>
      </c>
      <c r="H125" s="1882">
        <v>330</v>
      </c>
      <c r="I125" s="1883">
        <f>IF(F125="","",INT(F125*H125))</f>
        <v>15906</v>
      </c>
      <c r="J125" s="2391"/>
      <c r="K125" s="2351"/>
      <c r="L125" s="2356"/>
      <c r="M125" s="602"/>
      <c r="N125" s="603" t="s">
        <v>4223</v>
      </c>
      <c r="O125" s="597"/>
      <c r="P125" s="187"/>
      <c r="Q125" s="188"/>
      <c r="R125" s="188"/>
      <c r="S125" s="188"/>
      <c r="T125" s="188">
        <v>1.3</v>
      </c>
      <c r="U125" s="188"/>
      <c r="V125" s="188"/>
      <c r="W125" s="188"/>
      <c r="X125" s="189"/>
      <c r="Y125" s="189"/>
      <c r="Z125" s="189"/>
      <c r="AA125" s="189"/>
      <c r="AB125" s="189"/>
      <c r="AC125" s="188"/>
      <c r="AD125" s="309"/>
      <c r="AE125" s="310"/>
      <c r="AF125" s="188"/>
      <c r="AG125" s="188"/>
      <c r="AH125" s="519"/>
      <c r="AI125" s="557"/>
    </row>
    <row r="126" spans="1:35" s="37" customFormat="1" ht="24" customHeight="1">
      <c r="A126" s="36"/>
      <c r="B126" s="36"/>
      <c r="C126" s="1881"/>
      <c r="D126" s="2388"/>
      <c r="E126" s="621"/>
      <c r="F126" s="640"/>
      <c r="G126" s="641"/>
      <c r="H126" s="1882"/>
      <c r="I126" s="1883" t="str">
        <f t="shared" si="7"/>
        <v/>
      </c>
      <c r="J126" s="2391"/>
      <c r="K126" s="2351"/>
      <c r="L126" s="2356"/>
      <c r="M126" s="602"/>
      <c r="N126" s="603"/>
      <c r="O126" s="597"/>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v>4</v>
      </c>
      <c r="B127" s="36">
        <v>4</v>
      </c>
      <c r="C127" s="1881">
        <v>23090</v>
      </c>
      <c r="D127" s="2399" t="s">
        <v>4238</v>
      </c>
      <c r="E127" s="621" t="s">
        <v>4239</v>
      </c>
      <c r="F127" s="640">
        <v>667</v>
      </c>
      <c r="G127" s="641" t="s">
        <v>4237</v>
      </c>
      <c r="H127" s="1882">
        <v>2280</v>
      </c>
      <c r="I127" s="1883">
        <f>IF(F127="","",INT(F127*H127))</f>
        <v>1520760</v>
      </c>
      <c r="J127" s="2391" t="s">
        <v>4240</v>
      </c>
      <c r="K127" s="2351"/>
      <c r="L127" s="2356"/>
      <c r="M127" s="602"/>
      <c r="N127" s="603" t="s">
        <v>4223</v>
      </c>
      <c r="O127" s="597">
        <v>0</v>
      </c>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1881"/>
      <c r="D128" s="2388"/>
      <c r="E128" s="621"/>
      <c r="F128" s="640"/>
      <c r="G128" s="641"/>
      <c r="H128" s="1882"/>
      <c r="I128" s="1883" t="str">
        <f t="shared" si="7"/>
        <v/>
      </c>
      <c r="J128" s="2391"/>
      <c r="K128" s="2351"/>
      <c r="L128" s="2356"/>
      <c r="M128" s="602"/>
      <c r="N128" s="603"/>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399"/>
      <c r="E129" s="621"/>
      <c r="F129" s="640"/>
      <c r="G129" s="641"/>
      <c r="H129" s="1882"/>
      <c r="I129" s="1883"/>
      <c r="J129" s="2391"/>
      <c r="K129" s="2351"/>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v>4</v>
      </c>
      <c r="B130" s="36">
        <v>4</v>
      </c>
      <c r="C130" s="1881">
        <v>20061</v>
      </c>
      <c r="D130" s="2399" t="s">
        <v>4248</v>
      </c>
      <c r="E130" s="621" t="s">
        <v>4249</v>
      </c>
      <c r="F130" s="640">
        <f>ROUND('4'!N2*0.001,0)</f>
        <v>113</v>
      </c>
      <c r="G130" s="641" t="s">
        <v>4250</v>
      </c>
      <c r="H130" s="1882">
        <f>10900*L130</f>
        <v>54500</v>
      </c>
      <c r="I130" s="1883">
        <f>IF(F130="","",INT(F130*H130))</f>
        <v>6158500</v>
      </c>
      <c r="J130" s="2391" t="s">
        <v>4251</v>
      </c>
      <c r="K130" s="2351"/>
      <c r="L130" s="2356">
        <v>5</v>
      </c>
      <c r="M130" s="602"/>
      <c r="N130" s="603" t="s">
        <v>4223</v>
      </c>
      <c r="O130" s="597">
        <v>0</v>
      </c>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388"/>
      <c r="E131" s="621"/>
      <c r="F131" s="640"/>
      <c r="G131" s="641"/>
      <c r="H131" s="1882"/>
      <c r="I131" s="1883" t="str">
        <f t="shared" si="7"/>
        <v/>
      </c>
      <c r="J131" s="2391"/>
      <c r="K131" s="2351"/>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v>4</v>
      </c>
      <c r="B132" s="36">
        <v>4</v>
      </c>
      <c r="C132" s="1881">
        <v>24020</v>
      </c>
      <c r="D132" s="2399" t="s">
        <v>4254</v>
      </c>
      <c r="E132" s="621" t="s">
        <v>4255</v>
      </c>
      <c r="F132" s="640">
        <f>ROUND('4'!V2*0.001,0)</f>
        <v>113</v>
      </c>
      <c r="G132" s="641" t="s">
        <v>4250</v>
      </c>
      <c r="H132" s="1882">
        <v>4410</v>
      </c>
      <c r="I132" s="1883">
        <f>IF(F132="","",INT(F132*H132))</f>
        <v>498330</v>
      </c>
      <c r="J132" s="2391"/>
      <c r="K132" s="2351"/>
      <c r="L132" s="2356"/>
      <c r="M132" s="602"/>
      <c r="N132" s="603" t="s">
        <v>4223</v>
      </c>
      <c r="O132" s="597">
        <v>0</v>
      </c>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2388"/>
      <c r="E133" s="621"/>
      <c r="F133" s="640"/>
      <c r="G133" s="641"/>
      <c r="H133" s="1882"/>
      <c r="I133" s="1883" t="str">
        <f t="shared" si="7"/>
        <v/>
      </c>
      <c r="J133" s="2391"/>
      <c r="K133" s="2351"/>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v>4</v>
      </c>
      <c r="B134" s="36">
        <v>4</v>
      </c>
      <c r="C134" s="1881"/>
      <c r="D134" s="2399" t="s">
        <v>4256</v>
      </c>
      <c r="E134" s="621" t="s">
        <v>4257</v>
      </c>
      <c r="F134" s="640">
        <v>1</v>
      </c>
      <c r="G134" s="641" t="s">
        <v>122</v>
      </c>
      <c r="H134" s="1882"/>
      <c r="I134" s="1883">
        <f>+[4]残材運搬費按分表!$T$94</f>
        <v>1279942</v>
      </c>
      <c r="J134" s="2391" t="s">
        <v>4147</v>
      </c>
      <c r="K134" s="2351"/>
      <c r="L134" s="2356"/>
      <c r="M134" s="602"/>
      <c r="N134" s="603" t="s">
        <v>4223</v>
      </c>
      <c r="O134" s="597">
        <v>0</v>
      </c>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1881"/>
      <c r="D135" s="2388"/>
      <c r="E135" s="621"/>
      <c r="F135" s="640"/>
      <c r="G135" s="641"/>
      <c r="H135" s="1882"/>
      <c r="I135" s="1883" t="str">
        <f t="shared" si="7"/>
        <v/>
      </c>
      <c r="J135" s="2391"/>
      <c r="K135" s="2351"/>
      <c r="L135" s="2356"/>
      <c r="M135" s="602"/>
      <c r="N135" s="603"/>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1881"/>
      <c r="D136" s="2388"/>
      <c r="E136" s="621"/>
      <c r="F136" s="640"/>
      <c r="G136" s="641"/>
      <c r="H136" s="1882"/>
      <c r="I136" s="1883" t="str">
        <f t="shared" ref="I136:I138" si="8">IF(F136="","",INT(F136*H136))</f>
        <v/>
      </c>
      <c r="J136" s="2391"/>
      <c r="K136" s="2351"/>
      <c r="L136" s="2356"/>
      <c r="M136" s="602"/>
      <c r="N136" s="603"/>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2388"/>
      <c r="E137" s="621"/>
      <c r="F137" s="640"/>
      <c r="G137" s="641"/>
      <c r="H137" s="1882"/>
      <c r="I137" s="1883" t="str">
        <f t="shared" si="8"/>
        <v/>
      </c>
      <c r="J137" s="2391"/>
      <c r="K137" s="2351"/>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388"/>
      <c r="E138" s="621"/>
      <c r="F138" s="640"/>
      <c r="G138" s="641"/>
      <c r="H138" s="1882"/>
      <c r="I138" s="1883" t="str">
        <f t="shared" si="8"/>
        <v/>
      </c>
      <c r="J138" s="2391"/>
      <c r="K138" s="2351"/>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362"/>
      <c r="D139" s="2363"/>
      <c r="E139" s="2364"/>
      <c r="F139" s="2365"/>
      <c r="G139" s="2366"/>
      <c r="H139" s="2382"/>
      <c r="I139" s="2416">
        <f>SUM(I121:I138)</f>
        <v>50585918</v>
      </c>
      <c r="J139" s="2383"/>
      <c r="K139" s="2436">
        <f>IF(C120="部分撤去工事",(K116+L139),0)</f>
        <v>50585918</v>
      </c>
      <c r="L139" s="2384">
        <f>IF(C120="部分撤去工事",SUMIF(N121:N138,"費用",I121:I138),0)</f>
        <v>50585918</v>
      </c>
      <c r="M139" s="2394"/>
      <c r="N139" s="2400"/>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39</v>
      </c>
      <c r="G140" s="103" t="s">
        <v>131</v>
      </c>
      <c r="H140" s="104">
        <f>+H117</f>
        <v>69</v>
      </c>
      <c r="I140" s="104"/>
      <c r="M140" s="598" t="str">
        <f>IF(A142="","EOL","")</f>
        <v/>
      </c>
      <c r="N140" s="1">
        <f>+F140</f>
        <v>39</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N141" s="1"/>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4126</v>
      </c>
      <c r="D143" s="2385"/>
      <c r="E143" s="623"/>
      <c r="F143" s="1889"/>
      <c r="G143" s="1890"/>
      <c r="H143" s="2386" t="s">
        <v>117</v>
      </c>
      <c r="I143" s="2386" t="s">
        <v>117</v>
      </c>
      <c r="J143" s="2759"/>
      <c r="K143" s="2733"/>
      <c r="L143" s="2734"/>
      <c r="M143" s="600"/>
      <c r="N143" s="601"/>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1881"/>
      <c r="D144" s="2388"/>
      <c r="E144" s="621"/>
      <c r="F144" s="640"/>
      <c r="G144" s="641"/>
      <c r="H144" s="1882"/>
      <c r="I144" s="1883" t="str">
        <f t="shared" ref="I144:I161" si="9">IF(F144="","",INT(F144*H144))</f>
        <v/>
      </c>
      <c r="J144" s="2391"/>
      <c r="K144" s="2351"/>
      <c r="L144" s="2356"/>
      <c r="M144" s="602"/>
      <c r="N144" s="603"/>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4</v>
      </c>
      <c r="B145" s="36">
        <v>4</v>
      </c>
      <c r="C145" s="1881">
        <v>24063</v>
      </c>
      <c r="D145" s="2399" t="s">
        <v>4260</v>
      </c>
      <c r="E145" s="621" t="s">
        <v>4261</v>
      </c>
      <c r="F145" s="640">
        <f>ROUND('4'!E21*0.001,1)</f>
        <v>84.8</v>
      </c>
      <c r="G145" s="641" t="s">
        <v>4262</v>
      </c>
      <c r="H145" s="1882">
        <v>1180</v>
      </c>
      <c r="I145" s="1883">
        <f>IF(F145="","",INT(F145*H145))</f>
        <v>100064</v>
      </c>
      <c r="J145" s="2391"/>
      <c r="K145" s="2351"/>
      <c r="L145" s="2356"/>
      <c r="M145" s="602"/>
      <c r="N145" s="603" t="s">
        <v>4223</v>
      </c>
      <c r="O145" s="597">
        <v>0</v>
      </c>
      <c r="P145" s="187"/>
      <c r="Q145" s="188"/>
      <c r="R145" s="188"/>
      <c r="S145" s="188"/>
      <c r="T145" s="188"/>
      <c r="U145" s="188"/>
      <c r="V145" s="188"/>
      <c r="W145" s="188"/>
      <c r="X145" s="189"/>
      <c r="Y145" s="189"/>
      <c r="Z145" s="189"/>
      <c r="AA145" s="189"/>
      <c r="AB145" s="189"/>
      <c r="AC145" s="188"/>
      <c r="AD145" s="309"/>
      <c r="AE145" s="310"/>
      <c r="AF145" s="188"/>
      <c r="AG145" s="188"/>
      <c r="AH145" s="519"/>
      <c r="AI145" s="557"/>
    </row>
    <row r="146" spans="1:35" s="37" customFormat="1" ht="24" customHeight="1">
      <c r="A146" s="36">
        <v>4</v>
      </c>
      <c r="B146" s="36">
        <v>4</v>
      </c>
      <c r="C146" s="1881">
        <v>24008</v>
      </c>
      <c r="D146" s="2399" t="s">
        <v>4260</v>
      </c>
      <c r="E146" s="621" t="s">
        <v>4263</v>
      </c>
      <c r="F146" s="640">
        <f>ROUND('4'!I21*0.001,2)</f>
        <v>0.06</v>
      </c>
      <c r="G146" s="641" t="s">
        <v>4262</v>
      </c>
      <c r="H146" s="1882">
        <v>12900</v>
      </c>
      <c r="I146" s="1883">
        <f>IF(F146="","",INT(F146*H146))</f>
        <v>774</v>
      </c>
      <c r="J146" s="2391"/>
      <c r="K146" s="2351"/>
      <c r="L146" s="2356"/>
      <c r="M146" s="602"/>
      <c r="N146" s="603" t="s">
        <v>4223</v>
      </c>
      <c r="O146" s="597">
        <v>0</v>
      </c>
      <c r="P146" s="187"/>
      <c r="Q146" s="188"/>
      <c r="R146" s="188"/>
      <c r="S146" s="188"/>
      <c r="T146" s="188"/>
      <c r="U146" s="188"/>
      <c r="V146" s="188"/>
      <c r="W146" s="188"/>
      <c r="X146" s="189"/>
      <c r="Y146" s="189"/>
      <c r="Z146" s="189"/>
      <c r="AA146" s="189"/>
      <c r="AB146" s="189"/>
      <c r="AC146" s="188"/>
      <c r="AD146" s="309"/>
      <c r="AE146" s="310"/>
      <c r="AF146" s="188"/>
      <c r="AG146" s="188"/>
      <c r="AH146" s="519"/>
      <c r="AI146" s="557"/>
    </row>
    <row r="147" spans="1:35" s="37" customFormat="1" ht="24" customHeight="1">
      <c r="A147" s="36">
        <v>4</v>
      </c>
      <c r="B147" s="36">
        <v>4</v>
      </c>
      <c r="C147" s="1881">
        <v>24006</v>
      </c>
      <c r="D147" s="2399" t="s">
        <v>4260</v>
      </c>
      <c r="E147" s="621" t="s">
        <v>4264</v>
      </c>
      <c r="F147" s="640">
        <f>ROUND('4'!J21*0.001,1)</f>
        <v>28.3</v>
      </c>
      <c r="G147" s="641" t="s">
        <v>4250</v>
      </c>
      <c r="H147" s="1882">
        <v>10000</v>
      </c>
      <c r="I147" s="1883">
        <f>IF(F147="","",INT(F147*H147))</f>
        <v>283000</v>
      </c>
      <c r="J147" s="2391"/>
      <c r="K147" s="2351"/>
      <c r="L147" s="2356"/>
      <c r="M147" s="602"/>
      <c r="N147" s="603" t="s">
        <v>4223</v>
      </c>
      <c r="O147" s="597">
        <v>0</v>
      </c>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c r="B148" s="36"/>
      <c r="C148" s="1881"/>
      <c r="D148" s="2388"/>
      <c r="E148" s="621"/>
      <c r="F148" s="640"/>
      <c r="G148" s="641"/>
      <c r="H148" s="1882"/>
      <c r="I148" s="1883" t="str">
        <f t="shared" si="9"/>
        <v/>
      </c>
      <c r="J148" s="2391"/>
      <c r="K148" s="2351"/>
      <c r="L148" s="2356"/>
      <c r="M148" s="602"/>
      <c r="N148" s="603"/>
      <c r="O148" s="597"/>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c r="B149" s="36"/>
      <c r="C149" s="1881"/>
      <c r="D149" s="2388"/>
      <c r="E149" s="621"/>
      <c r="F149" s="640"/>
      <c r="G149" s="641"/>
      <c r="H149" s="1882"/>
      <c r="I149" s="1883" t="str">
        <f t="shared" si="9"/>
        <v/>
      </c>
      <c r="J149" s="2391"/>
      <c r="K149" s="2351"/>
      <c r="L149" s="2356"/>
      <c r="M149" s="602"/>
      <c r="N149" s="603"/>
      <c r="O149" s="597"/>
      <c r="P149" s="187"/>
      <c r="Q149" s="188"/>
      <c r="R149" s="188"/>
      <c r="S149" s="188"/>
      <c r="T149" s="188"/>
      <c r="U149" s="188"/>
      <c r="V149" s="188"/>
      <c r="W149" s="188"/>
      <c r="X149" s="189"/>
      <c r="Y149" s="189"/>
      <c r="Z149" s="189"/>
      <c r="AA149" s="189"/>
      <c r="AB149" s="189"/>
      <c r="AC149" s="188"/>
      <c r="AD149" s="309"/>
      <c r="AE149" s="310"/>
      <c r="AF149" s="188"/>
      <c r="AG149" s="188"/>
      <c r="AH149" s="519"/>
      <c r="AI149" s="557"/>
    </row>
    <row r="150" spans="1:35" s="37" customFormat="1" ht="24" customHeight="1">
      <c r="A150" s="36"/>
      <c r="B150" s="36"/>
      <c r="C150" s="1881"/>
      <c r="D150" s="2388"/>
      <c r="E150" s="621"/>
      <c r="F150" s="640"/>
      <c r="G150" s="641"/>
      <c r="H150" s="1882"/>
      <c r="I150" s="1883" t="str">
        <f t="shared" si="9"/>
        <v/>
      </c>
      <c r="J150" s="2391"/>
      <c r="K150" s="2351"/>
      <c r="L150" s="2356"/>
      <c r="M150" s="602"/>
      <c r="N150" s="603"/>
      <c r="O150" s="597"/>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c r="B151" s="36"/>
      <c r="C151" s="1881"/>
      <c r="D151" s="2388"/>
      <c r="E151" s="621"/>
      <c r="F151" s="640"/>
      <c r="G151" s="641"/>
      <c r="H151" s="1882"/>
      <c r="I151" s="1883" t="str">
        <f t="shared" si="9"/>
        <v/>
      </c>
      <c r="J151" s="2391"/>
      <c r="K151" s="2351"/>
      <c r="L151" s="2356"/>
      <c r="M151" s="602"/>
      <c r="N151" s="603"/>
      <c r="O151" s="597"/>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c r="B152" s="36"/>
      <c r="C152" s="1881"/>
      <c r="D152" s="2388"/>
      <c r="E152" s="621"/>
      <c r="F152" s="640"/>
      <c r="G152" s="641"/>
      <c r="H152" s="1882"/>
      <c r="I152" s="1883" t="str">
        <f t="shared" si="9"/>
        <v/>
      </c>
      <c r="J152" s="2391"/>
      <c r="K152" s="2351"/>
      <c r="L152" s="2356"/>
      <c r="M152" s="602"/>
      <c r="N152" s="603"/>
      <c r="O152" s="597"/>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1881"/>
      <c r="D153" s="2388"/>
      <c r="E153" s="621"/>
      <c r="F153" s="640"/>
      <c r="G153" s="641"/>
      <c r="H153" s="1882"/>
      <c r="I153" s="1883" t="str">
        <f t="shared" si="9"/>
        <v/>
      </c>
      <c r="J153" s="2391"/>
      <c r="K153" s="2351"/>
      <c r="L153" s="2356"/>
      <c r="M153" s="602"/>
      <c r="N153" s="603"/>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c r="B154" s="36"/>
      <c r="C154" s="1881"/>
      <c r="D154" s="2388"/>
      <c r="E154" s="621"/>
      <c r="F154" s="640"/>
      <c r="G154" s="641"/>
      <c r="H154" s="1882"/>
      <c r="I154" s="1883" t="str">
        <f t="shared" si="9"/>
        <v/>
      </c>
      <c r="J154" s="2391"/>
      <c r="K154" s="2351"/>
      <c r="L154" s="2356"/>
      <c r="M154" s="602"/>
      <c r="N154" s="603"/>
      <c r="O154" s="597"/>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c r="B155" s="36"/>
      <c r="C155" s="1881"/>
      <c r="D155" s="2388"/>
      <c r="E155" s="621"/>
      <c r="F155" s="640"/>
      <c r="G155" s="641"/>
      <c r="H155" s="1882"/>
      <c r="I155" s="1883" t="str">
        <f t="shared" si="9"/>
        <v/>
      </c>
      <c r="J155" s="2391"/>
      <c r="K155" s="2351"/>
      <c r="L155" s="2356"/>
      <c r="M155" s="602"/>
      <c r="N155" s="603"/>
      <c r="O155" s="597"/>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c r="B156" s="36"/>
      <c r="C156" s="1881"/>
      <c r="D156" s="2388"/>
      <c r="E156" s="621"/>
      <c r="F156" s="640"/>
      <c r="G156" s="641"/>
      <c r="H156" s="1882"/>
      <c r="I156" s="1883" t="str">
        <f t="shared" si="9"/>
        <v/>
      </c>
      <c r="J156" s="2391"/>
      <c r="K156" s="2351"/>
      <c r="L156" s="2356"/>
      <c r="M156" s="602"/>
      <c r="N156" s="603"/>
      <c r="O156" s="597"/>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c r="B157" s="36"/>
      <c r="C157" s="1881"/>
      <c r="D157" s="2388"/>
      <c r="E157" s="621"/>
      <c r="F157" s="640"/>
      <c r="G157" s="641"/>
      <c r="H157" s="1882"/>
      <c r="I157" s="1883" t="str">
        <f t="shared" si="9"/>
        <v/>
      </c>
      <c r="J157" s="2391"/>
      <c r="K157" s="2351"/>
      <c r="L157" s="2356"/>
      <c r="M157" s="602"/>
      <c r="N157" s="603"/>
      <c r="O157" s="597"/>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1881"/>
      <c r="D158" s="2388"/>
      <c r="E158" s="621"/>
      <c r="F158" s="640"/>
      <c r="G158" s="641"/>
      <c r="H158" s="1882"/>
      <c r="I158" s="1883" t="str">
        <f t="shared" si="9"/>
        <v/>
      </c>
      <c r="J158" s="2391"/>
      <c r="K158" s="2351"/>
      <c r="L158" s="2356"/>
      <c r="M158" s="602"/>
      <c r="N158" s="603"/>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1881"/>
      <c r="D159" s="2388"/>
      <c r="E159" s="621"/>
      <c r="F159" s="640"/>
      <c r="G159" s="641"/>
      <c r="H159" s="1882"/>
      <c r="I159" s="1883" t="str">
        <f t="shared" si="9"/>
        <v/>
      </c>
      <c r="J159" s="2391"/>
      <c r="K159" s="2351"/>
      <c r="L159" s="2356"/>
      <c r="M159" s="602"/>
      <c r="N159" s="603"/>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1881"/>
      <c r="D160" s="2388"/>
      <c r="E160" s="621"/>
      <c r="F160" s="640"/>
      <c r="G160" s="641"/>
      <c r="H160" s="1882"/>
      <c r="I160" s="1883" t="str">
        <f t="shared" si="9"/>
        <v/>
      </c>
      <c r="J160" s="2391"/>
      <c r="K160" s="2351"/>
      <c r="L160" s="2356"/>
      <c r="M160" s="602"/>
      <c r="N160" s="603"/>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1881"/>
      <c r="D161" s="2388"/>
      <c r="E161" s="621"/>
      <c r="F161" s="640"/>
      <c r="G161" s="641"/>
      <c r="H161" s="1882"/>
      <c r="I161" s="1883" t="str">
        <f t="shared" si="9"/>
        <v/>
      </c>
      <c r="J161" s="2391"/>
      <c r="K161" s="2351"/>
      <c r="L161" s="2356"/>
      <c r="M161" s="602"/>
      <c r="N161" s="603"/>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362"/>
      <c r="D162" s="2363" t="s">
        <v>4144</v>
      </c>
      <c r="E162" s="2364"/>
      <c r="F162" s="2365"/>
      <c r="G162" s="2366"/>
      <c r="H162" s="2382" t="s">
        <v>4131</v>
      </c>
      <c r="I162" s="2368">
        <f>SUM(I144:I161)+I139</f>
        <v>50969756</v>
      </c>
      <c r="J162" s="2383" t="str">
        <f>IF(C143="部分撤去工事","）うち費用",")")</f>
        <v>）うち費用</v>
      </c>
      <c r="K162" s="2436">
        <f>IF(C143="部分撤去工事",(K139+L162),0)</f>
        <v>50969756</v>
      </c>
      <c r="L162" s="2384">
        <f>IF(C143="部分撤去工事",SUMIF(N144:N161,"費用",I144:I161),0)</f>
        <v>383838</v>
      </c>
      <c r="M162" s="2394"/>
      <c r="N162" s="2400"/>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40</v>
      </c>
      <c r="G163" s="103" t="s">
        <v>131</v>
      </c>
      <c r="H163" s="104">
        <f>+H140</f>
        <v>69</v>
      </c>
      <c r="I163" s="104"/>
      <c r="M163" s="598" t="str">
        <f>IF(A165="","EOL","")</f>
        <v>EOL</v>
      </c>
      <c r="N163" s="1">
        <f>+F163</f>
        <v>40</v>
      </c>
      <c r="Q163" s="37"/>
      <c r="R163" s="37"/>
      <c r="S163" s="37"/>
      <c r="T163" s="37"/>
      <c r="U163" s="37"/>
      <c r="V163" s="37"/>
      <c r="W163" s="37"/>
      <c r="X163" s="37"/>
      <c r="Y163" s="37"/>
      <c r="Z163" s="37"/>
    </row>
    <row r="164" spans="1:35" ht="26.1" customHeight="1">
      <c r="O164" s="185"/>
      <c r="P164" s="185"/>
      <c r="Q164" s="185"/>
      <c r="R164" s="185"/>
      <c r="S164" s="185"/>
      <c r="T164" s="185"/>
      <c r="U164" s="185"/>
      <c r="V164" s="185"/>
      <c r="W164" s="185"/>
      <c r="X164" s="185"/>
      <c r="Y164" s="185"/>
      <c r="Z164" s="185"/>
      <c r="AA164" s="185"/>
    </row>
    <row r="165" spans="1:35" ht="26.1" customHeight="1">
      <c r="O165" s="1990"/>
      <c r="P165" s="1990"/>
      <c r="Q165" s="181"/>
      <c r="R165" s="182"/>
      <c r="S165" s="183"/>
      <c r="T165" s="183"/>
      <c r="U165" s="181"/>
      <c r="V165" s="181"/>
      <c r="W165" s="183"/>
      <c r="X165" s="1990"/>
      <c r="Y165" s="1990"/>
      <c r="Z165" s="1990"/>
      <c r="AA165" s="1990"/>
    </row>
    <row r="166" spans="1:35" ht="26.1" customHeight="1">
      <c r="O166" s="184"/>
      <c r="P166" s="184"/>
      <c r="Q166" s="181"/>
      <c r="R166" s="181"/>
      <c r="S166" s="181"/>
      <c r="T166" s="181"/>
      <c r="U166" s="181"/>
      <c r="V166" s="181"/>
      <c r="W166" s="181"/>
      <c r="X166" s="181"/>
      <c r="Y166" s="181"/>
      <c r="Z166" s="181"/>
      <c r="AA166" s="181"/>
    </row>
    <row r="167" spans="1:35" ht="26.1" customHeight="1">
      <c r="O167" s="184"/>
      <c r="P167" s="184"/>
      <c r="Q167" s="181"/>
      <c r="R167" s="181"/>
      <c r="S167" s="181"/>
      <c r="T167" s="181"/>
      <c r="U167" s="181"/>
      <c r="V167" s="181"/>
      <c r="W167" s="181"/>
      <c r="X167" s="181"/>
      <c r="Y167" s="181"/>
      <c r="Z167" s="181"/>
      <c r="AA167" s="181"/>
    </row>
    <row r="168" spans="1:35" ht="26.1" customHeight="1">
      <c r="O168" s="184"/>
      <c r="P168" s="184"/>
      <c r="Q168" s="181"/>
      <c r="R168" s="181"/>
      <c r="S168" s="181"/>
      <c r="T168" s="181"/>
      <c r="U168" s="181"/>
      <c r="V168" s="181"/>
      <c r="W168" s="181"/>
      <c r="X168" s="181"/>
      <c r="Y168" s="181"/>
      <c r="Z168" s="181"/>
      <c r="AA168" s="181"/>
    </row>
    <row r="169" spans="1:35" ht="26.1" customHeight="1">
      <c r="O169" s="184"/>
      <c r="P169" s="184"/>
      <c r="Q169" s="181"/>
      <c r="R169" s="181"/>
      <c r="S169" s="181"/>
      <c r="T169" s="181"/>
      <c r="U169" s="181"/>
      <c r="V169" s="181"/>
      <c r="W169" s="181"/>
      <c r="X169" s="181"/>
      <c r="Y169" s="181"/>
      <c r="Z169" s="181"/>
      <c r="AA169" s="181"/>
    </row>
    <row r="170" spans="1:35" ht="26.1" customHeight="1">
      <c r="O170" s="184"/>
      <c r="P170" s="184"/>
      <c r="Q170" s="181"/>
      <c r="R170" s="181"/>
      <c r="S170" s="181"/>
      <c r="T170" s="181"/>
      <c r="U170" s="181"/>
      <c r="V170" s="181"/>
      <c r="W170" s="181"/>
      <c r="X170" s="181"/>
      <c r="Y170" s="181"/>
      <c r="Z170" s="181"/>
      <c r="AA170" s="181"/>
    </row>
    <row r="171" spans="1:35" ht="26.1" customHeight="1">
      <c r="O171" s="184"/>
      <c r="P171" s="184"/>
      <c r="Q171" s="181"/>
      <c r="R171" s="181"/>
      <c r="S171" s="181"/>
      <c r="T171" s="181"/>
      <c r="U171" s="181"/>
      <c r="V171" s="181"/>
      <c r="W171" s="181"/>
      <c r="X171" s="181"/>
      <c r="Y171" s="181"/>
      <c r="Z171" s="181"/>
      <c r="AA171" s="181"/>
    </row>
    <row r="172" spans="1:35" ht="26.1" customHeight="1">
      <c r="O172" s="184"/>
      <c r="P172" s="184"/>
      <c r="Q172" s="181"/>
      <c r="R172" s="181"/>
      <c r="S172" s="181"/>
      <c r="T172" s="181"/>
      <c r="U172" s="181"/>
      <c r="V172" s="181"/>
      <c r="W172" s="181"/>
      <c r="X172" s="181"/>
      <c r="Y172" s="181"/>
      <c r="Z172" s="181"/>
      <c r="AA172" s="181"/>
    </row>
    <row r="173" spans="1:35" ht="26.1" customHeight="1">
      <c r="O173" s="184"/>
      <c r="P173" s="184"/>
      <c r="Q173" s="181"/>
      <c r="R173" s="181"/>
      <c r="S173" s="181"/>
      <c r="T173" s="181"/>
      <c r="U173" s="181"/>
      <c r="V173" s="181"/>
      <c r="W173" s="181"/>
      <c r="X173" s="181"/>
      <c r="Y173" s="181"/>
      <c r="Z173" s="181"/>
      <c r="AA173" s="181"/>
    </row>
    <row r="174" spans="1:35" ht="26.1" customHeight="1">
      <c r="O174" s="184"/>
      <c r="P174" s="184"/>
      <c r="Q174" s="181"/>
      <c r="R174" s="181"/>
      <c r="S174" s="181"/>
      <c r="T174" s="181"/>
      <c r="U174" s="181"/>
      <c r="V174" s="181"/>
      <c r="W174" s="181"/>
      <c r="X174" s="181"/>
      <c r="Y174" s="181"/>
      <c r="Z174" s="181"/>
      <c r="AA174" s="181"/>
    </row>
    <row r="175" spans="1:35" ht="26.1" customHeight="1">
      <c r="O175" s="184"/>
      <c r="P175" s="184"/>
      <c r="Q175" s="181"/>
      <c r="R175" s="181"/>
      <c r="S175" s="181"/>
      <c r="T175" s="181"/>
      <c r="U175" s="181"/>
      <c r="V175" s="181"/>
      <c r="W175" s="181"/>
      <c r="X175" s="181"/>
      <c r="Y175" s="181"/>
      <c r="Z175" s="181"/>
      <c r="AA175" s="181"/>
    </row>
    <row r="176" spans="1:35" ht="26.1" customHeight="1">
      <c r="O176" s="184"/>
      <c r="P176" s="184"/>
      <c r="Q176" s="181"/>
      <c r="R176" s="181"/>
      <c r="S176" s="181"/>
      <c r="T176" s="181"/>
      <c r="U176" s="181"/>
      <c r="V176" s="181"/>
      <c r="W176" s="181"/>
      <c r="X176" s="181"/>
      <c r="Y176" s="181"/>
      <c r="Z176" s="181"/>
      <c r="AA176" s="181"/>
    </row>
    <row r="177" spans="15:27" ht="26.1" customHeight="1">
      <c r="O177" s="184"/>
      <c r="P177" s="184"/>
      <c r="Q177" s="181"/>
      <c r="R177" s="181"/>
      <c r="S177" s="181"/>
      <c r="T177" s="181"/>
      <c r="U177" s="181"/>
      <c r="V177" s="181"/>
      <c r="W177" s="181"/>
      <c r="X177" s="181"/>
      <c r="Y177" s="181"/>
      <c r="Z177" s="181"/>
      <c r="AA177" s="181"/>
    </row>
    <row r="178" spans="15:27" ht="26.1" customHeight="1">
      <c r="O178" s="184"/>
      <c r="P178" s="184"/>
      <c r="Q178" s="181"/>
      <c r="R178" s="181"/>
      <c r="S178" s="181"/>
      <c r="T178" s="181"/>
      <c r="U178" s="181"/>
      <c r="V178" s="181"/>
      <c r="W178" s="181"/>
      <c r="X178" s="181"/>
      <c r="Y178" s="181"/>
      <c r="Z178" s="181"/>
      <c r="AA178" s="181"/>
    </row>
    <row r="179" spans="15:27" ht="26.1" customHeight="1">
      <c r="O179" s="184"/>
      <c r="P179" s="184"/>
      <c r="Q179" s="181"/>
      <c r="R179" s="181"/>
      <c r="S179" s="181"/>
      <c r="T179" s="181"/>
      <c r="U179" s="181"/>
      <c r="V179" s="181"/>
      <c r="W179" s="181"/>
      <c r="X179" s="181"/>
      <c r="Y179" s="181"/>
      <c r="Z179" s="181"/>
      <c r="AA179" s="181"/>
    </row>
    <row r="180" spans="15:27" ht="26.1" customHeight="1">
      <c r="O180" s="184"/>
      <c r="P180" s="184"/>
      <c r="Q180" s="181"/>
      <c r="R180" s="181"/>
      <c r="S180" s="181"/>
      <c r="T180" s="181"/>
      <c r="U180" s="181"/>
      <c r="V180" s="181"/>
      <c r="W180" s="181"/>
      <c r="X180" s="181"/>
      <c r="Y180" s="181"/>
      <c r="Z180" s="181"/>
      <c r="AA180" s="181"/>
    </row>
    <row r="181" spans="15:27" ht="26.1" customHeight="1">
      <c r="O181" s="184"/>
      <c r="P181" s="184"/>
      <c r="Q181" s="181"/>
      <c r="R181" s="181"/>
      <c r="S181" s="181"/>
      <c r="T181" s="181"/>
      <c r="U181" s="181"/>
      <c r="V181" s="181"/>
      <c r="W181" s="181"/>
      <c r="X181" s="181"/>
      <c r="Y181" s="181"/>
      <c r="Z181" s="181"/>
      <c r="AA181" s="181"/>
    </row>
    <row r="182" spans="15:27" ht="26.1" customHeight="1">
      <c r="O182" s="184"/>
      <c r="P182" s="184"/>
      <c r="Q182" s="181"/>
      <c r="R182" s="181"/>
      <c r="S182" s="181"/>
      <c r="T182" s="181"/>
      <c r="U182" s="181"/>
      <c r="V182" s="181"/>
      <c r="W182" s="181"/>
      <c r="X182" s="181"/>
      <c r="Y182" s="181"/>
      <c r="Z182" s="181"/>
      <c r="AA182" s="181"/>
    </row>
    <row r="183" spans="15:27" ht="26.1" customHeight="1">
      <c r="O183" s="184"/>
      <c r="P183" s="184"/>
      <c r="Q183" s="181"/>
      <c r="R183" s="181"/>
      <c r="S183" s="181"/>
      <c r="T183" s="181"/>
      <c r="U183" s="181"/>
      <c r="V183" s="181"/>
      <c r="W183" s="181"/>
      <c r="X183" s="181"/>
      <c r="Y183" s="181"/>
      <c r="Z183" s="181"/>
      <c r="AA183" s="181"/>
    </row>
    <row r="184" spans="15:27" ht="26.1" customHeight="1">
      <c r="O184" s="184"/>
      <c r="P184" s="184"/>
      <c r="Q184" s="181"/>
      <c r="R184" s="181"/>
      <c r="S184" s="181"/>
      <c r="T184" s="181"/>
      <c r="U184" s="181"/>
      <c r="V184" s="181"/>
      <c r="W184" s="181"/>
      <c r="X184" s="181"/>
      <c r="Y184" s="181"/>
      <c r="Z184" s="181"/>
      <c r="AA184" s="181"/>
    </row>
    <row r="185" spans="15:27" ht="26.1" customHeight="1">
      <c r="O185" s="184"/>
      <c r="P185" s="184"/>
      <c r="Q185" s="181"/>
      <c r="R185" s="181"/>
      <c r="S185" s="181"/>
      <c r="T185" s="181"/>
      <c r="U185" s="181"/>
      <c r="V185" s="181"/>
      <c r="W185" s="181"/>
      <c r="X185" s="181"/>
      <c r="Y185" s="181"/>
      <c r="Z185" s="181"/>
      <c r="AA185" s="181"/>
    </row>
    <row r="186" spans="15:27" ht="26.1" customHeight="1">
      <c r="O186" s="1"/>
      <c r="P186" s="1"/>
    </row>
  </sheetData>
  <mergeCells count="27">
    <mergeCell ref="C72:L72"/>
    <mergeCell ref="O72:AH72"/>
    <mergeCell ref="J73:L73"/>
    <mergeCell ref="J74:L74"/>
    <mergeCell ref="C3:L3"/>
    <mergeCell ref="O3:AH3"/>
    <mergeCell ref="J4:L4"/>
    <mergeCell ref="J5:L5"/>
    <mergeCell ref="C26:L26"/>
    <mergeCell ref="O26:AH26"/>
    <mergeCell ref="J27:L27"/>
    <mergeCell ref="C49:L49"/>
    <mergeCell ref="O49:AH49"/>
    <mergeCell ref="J50:L50"/>
    <mergeCell ref="J51:L51"/>
    <mergeCell ref="C95:L95"/>
    <mergeCell ref="O95:AH95"/>
    <mergeCell ref="J96:L96"/>
    <mergeCell ref="J97:L97"/>
    <mergeCell ref="C118:L118"/>
    <mergeCell ref="O118:AH118"/>
    <mergeCell ref="C141:L141"/>
    <mergeCell ref="O141:AH141"/>
    <mergeCell ref="J142:L142"/>
    <mergeCell ref="J143:L143"/>
    <mergeCell ref="J119:L119"/>
    <mergeCell ref="J120:L120"/>
  </mergeCells>
  <phoneticPr fontId="2"/>
  <dataValidations count="1">
    <dataValidation type="list" allowBlank="1" showInputMessage="1" showErrorMessage="1" prompt="費用/建物附属設備/工具・器具・備品の場合、選択してください。" sqref="N98:N115 N121:N138 N75:N92 N144:N161" xr:uid="{00000000-0002-0000-0D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19" orientation="portrait" r:id="rId1"/>
  <headerFooter alignWithMargins="0"/>
  <rowBreaks count="1" manualBreakCount="1">
    <brk id="2"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AE29"/>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工事4!C2</f>
        <v>ア)東梅田駅の部-床仕上改造その他工事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113086.66</v>
      </c>
      <c r="O2" s="2750" t="s">
        <v>4315</v>
      </c>
      <c r="P2" s="2751"/>
      <c r="Q2" s="2751"/>
      <c r="R2" s="2752"/>
      <c r="S2" s="294">
        <f>+P9+T9+X9</f>
        <v>0</v>
      </c>
      <c r="T2" s="295">
        <f>+Q9+U9+Y9</f>
        <v>0</v>
      </c>
      <c r="U2" s="295">
        <f>+R9+V9+Z9</f>
        <v>0</v>
      </c>
      <c r="V2" s="296">
        <f>+S9+W9+AA9</f>
        <v>113086.66</v>
      </c>
      <c r="W2" s="277"/>
    </row>
    <row r="3" spans="1:31" ht="15" customHeight="1">
      <c r="B3" s="142"/>
      <c r="E3" s="278"/>
      <c r="G3" s="2753" t="s">
        <v>4316</v>
      </c>
      <c r="H3" s="2754"/>
      <c r="I3" s="2754"/>
      <c r="J3" s="2755"/>
      <c r="K3" s="297">
        <f>+H9</f>
        <v>0</v>
      </c>
      <c r="L3" s="298">
        <f>+I9</f>
        <v>0</v>
      </c>
      <c r="M3" s="298">
        <f>+J9</f>
        <v>0</v>
      </c>
      <c r="N3" s="299">
        <f>+K9</f>
        <v>0</v>
      </c>
      <c r="O3" s="2756" t="s">
        <v>4317</v>
      </c>
      <c r="P3" s="2757"/>
      <c r="Q3" s="2757"/>
      <c r="R3" s="2758"/>
      <c r="S3" s="297">
        <f>+P9</f>
        <v>0</v>
      </c>
      <c r="T3" s="298">
        <f>+Q9</f>
        <v>0</v>
      </c>
      <c r="U3" s="298">
        <f>+R9</f>
        <v>0</v>
      </c>
      <c r="V3" s="299">
        <f>+S9</f>
        <v>113086.66</v>
      </c>
      <c r="W3" s="277"/>
    </row>
    <row r="4" spans="1:31" ht="15" customHeight="1">
      <c r="B4" s="142"/>
      <c r="E4" s="278"/>
      <c r="G4" s="2753" t="s">
        <v>4318</v>
      </c>
      <c r="H4" s="2754"/>
      <c r="I4" s="2754"/>
      <c r="J4" s="2755"/>
      <c r="K4" s="297">
        <f>+L9</f>
        <v>0</v>
      </c>
      <c r="L4" s="298">
        <f>+M9</f>
        <v>0</v>
      </c>
      <c r="M4" s="298">
        <f>+N9</f>
        <v>0</v>
      </c>
      <c r="N4" s="299">
        <f>+O9</f>
        <v>113086.66</v>
      </c>
      <c r="O4" s="2756" t="s">
        <v>4319</v>
      </c>
      <c r="P4" s="2757"/>
      <c r="Q4" s="2757"/>
      <c r="R4" s="2758"/>
      <c r="S4" s="297">
        <f>+T9</f>
        <v>0</v>
      </c>
      <c r="T4" s="298">
        <f>+U9</f>
        <v>0</v>
      </c>
      <c r="U4" s="298">
        <f>+V9</f>
        <v>0</v>
      </c>
      <c r="V4" s="299">
        <f>+W9</f>
        <v>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SUM(H10:H16)</f>
        <v>0</v>
      </c>
      <c r="I9" s="159">
        <f t="shared" si="0"/>
        <v>0</v>
      </c>
      <c r="J9" s="159">
        <f t="shared" si="0"/>
        <v>0</v>
      </c>
      <c r="K9" s="160">
        <f t="shared" si="0"/>
        <v>0</v>
      </c>
      <c r="L9" s="158">
        <f t="shared" si="0"/>
        <v>0</v>
      </c>
      <c r="M9" s="159">
        <f t="shared" si="0"/>
        <v>0</v>
      </c>
      <c r="N9" s="159">
        <f t="shared" si="0"/>
        <v>0</v>
      </c>
      <c r="O9" s="160">
        <f t="shared" si="0"/>
        <v>113086.66</v>
      </c>
      <c r="P9" s="158">
        <f t="shared" si="0"/>
        <v>0</v>
      </c>
      <c r="Q9" s="159">
        <f t="shared" si="0"/>
        <v>0</v>
      </c>
      <c r="R9" s="159">
        <f t="shared" si="0"/>
        <v>0</v>
      </c>
      <c r="S9" s="160">
        <f t="shared" si="0"/>
        <v>113086.66</v>
      </c>
      <c r="T9" s="159">
        <f t="shared" si="0"/>
        <v>0</v>
      </c>
      <c r="U9" s="159">
        <f t="shared" si="0"/>
        <v>0</v>
      </c>
      <c r="V9" s="159">
        <f t="shared" si="0"/>
        <v>0</v>
      </c>
      <c r="W9" s="160">
        <f t="shared" si="0"/>
        <v>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4346</v>
      </c>
      <c r="C11" s="153" t="s">
        <v>4347</v>
      </c>
      <c r="D11" s="154">
        <v>37.799999999999997</v>
      </c>
      <c r="E11" s="155">
        <v>80</v>
      </c>
      <c r="F11" s="1916">
        <v>0</v>
      </c>
      <c r="G11" s="336">
        <v>0</v>
      </c>
      <c r="H11" s="161"/>
      <c r="I11" s="162"/>
      <c r="J11" s="162"/>
      <c r="K11" s="163"/>
      <c r="L11" s="161"/>
      <c r="M11" s="162"/>
      <c r="N11" s="162"/>
      <c r="O11" s="163">
        <f>D11*(E11+F11+G11)</f>
        <v>3024</v>
      </c>
      <c r="P11" s="161"/>
      <c r="Q11" s="162"/>
      <c r="R11" s="162"/>
      <c r="S11" s="163">
        <f>D11*E11</f>
        <v>3024</v>
      </c>
      <c r="T11" s="161"/>
      <c r="U11" s="162"/>
      <c r="V11" s="162"/>
      <c r="W11" s="163">
        <f>D11*F11</f>
        <v>0</v>
      </c>
      <c r="X11" s="161"/>
      <c r="Y11" s="162"/>
      <c r="Z11" s="162"/>
      <c r="AA11" s="163">
        <f>D11*G11</f>
        <v>0</v>
      </c>
    </row>
    <row r="12" spans="1:31" s="140" customFormat="1" ht="11.25" customHeight="1">
      <c r="B12" s="152" t="s">
        <v>4346</v>
      </c>
      <c r="C12" s="153" t="s">
        <v>4347</v>
      </c>
      <c r="D12" s="154">
        <v>1375</v>
      </c>
      <c r="E12" s="155">
        <v>80</v>
      </c>
      <c r="F12" s="1916">
        <v>0</v>
      </c>
      <c r="G12" s="336">
        <v>0</v>
      </c>
      <c r="H12" s="161"/>
      <c r="I12" s="162"/>
      <c r="J12" s="162"/>
      <c r="K12" s="163"/>
      <c r="L12" s="161"/>
      <c r="M12" s="162"/>
      <c r="N12" s="162"/>
      <c r="O12" s="163">
        <f>D12*(E12+F12+G12)</f>
        <v>110000</v>
      </c>
      <c r="P12" s="161"/>
      <c r="Q12" s="162"/>
      <c r="R12" s="162"/>
      <c r="S12" s="163">
        <f>D12*E12</f>
        <v>110000</v>
      </c>
      <c r="T12" s="161"/>
      <c r="U12" s="162"/>
      <c r="V12" s="162"/>
      <c r="W12" s="163">
        <f>D12*F12</f>
        <v>0</v>
      </c>
      <c r="X12" s="161"/>
      <c r="Y12" s="162"/>
      <c r="Z12" s="162"/>
      <c r="AA12" s="163">
        <f>D12*G12</f>
        <v>0</v>
      </c>
    </row>
    <row r="13" spans="1:31" s="140" customFormat="1" ht="11.25" customHeight="1">
      <c r="B13" s="152" t="s">
        <v>4348</v>
      </c>
      <c r="C13" s="153" t="s">
        <v>4351</v>
      </c>
      <c r="D13" s="154">
        <v>48.2</v>
      </c>
      <c r="E13" s="155">
        <v>1.3</v>
      </c>
      <c r="F13" s="1916">
        <v>0</v>
      </c>
      <c r="G13" s="336">
        <v>0</v>
      </c>
      <c r="H13" s="161"/>
      <c r="I13" s="162"/>
      <c r="J13" s="162"/>
      <c r="K13" s="163"/>
      <c r="L13" s="161"/>
      <c r="M13" s="162"/>
      <c r="N13" s="162"/>
      <c r="O13" s="163">
        <f>D13*(E13+F13+G13)</f>
        <v>62.660000000000004</v>
      </c>
      <c r="P13" s="161"/>
      <c r="Q13" s="162"/>
      <c r="R13" s="162"/>
      <c r="S13" s="163">
        <f>D13*E13</f>
        <v>62.660000000000004</v>
      </c>
      <c r="T13" s="161"/>
      <c r="U13" s="162"/>
      <c r="V13" s="162"/>
      <c r="W13" s="163">
        <f>D13*F13</f>
        <v>0</v>
      </c>
      <c r="X13" s="161"/>
      <c r="Y13" s="162"/>
      <c r="Z13" s="162"/>
      <c r="AA13" s="163">
        <f>D13*G13</f>
        <v>0</v>
      </c>
    </row>
    <row r="14" spans="1:31" s="140" customFormat="1" ht="11.25" customHeight="1">
      <c r="B14" s="152"/>
      <c r="C14" s="153"/>
      <c r="D14" s="154"/>
      <c r="E14" s="155"/>
      <c r="F14" s="1916"/>
      <c r="G14" s="336"/>
      <c r="H14" s="161"/>
      <c r="I14" s="162"/>
      <c r="J14" s="162"/>
      <c r="K14" s="163"/>
      <c r="L14" s="161"/>
      <c r="M14" s="162"/>
      <c r="N14" s="162"/>
      <c r="O14" s="163"/>
      <c r="P14" s="161"/>
      <c r="Q14" s="162"/>
      <c r="R14" s="162"/>
      <c r="S14" s="163"/>
      <c r="T14" s="161"/>
      <c r="U14" s="162"/>
      <c r="V14" s="162"/>
      <c r="W14" s="163"/>
      <c r="X14" s="161"/>
      <c r="Y14" s="162"/>
      <c r="Z14" s="162"/>
      <c r="AA14" s="163"/>
    </row>
    <row r="15" spans="1:31" s="140" customFormat="1" ht="11.25" customHeight="1">
      <c r="A15" s="127" t="s">
        <v>4354</v>
      </c>
      <c r="B15" s="146"/>
      <c r="C15" s="147"/>
      <c r="D15" s="148"/>
      <c r="E15" s="156"/>
      <c r="F15" s="2434"/>
      <c r="G15" s="337"/>
      <c r="H15" s="164">
        <f>D15*E15</f>
        <v>0</v>
      </c>
      <c r="I15" s="165"/>
      <c r="J15" s="165"/>
      <c r="K15" s="166"/>
      <c r="L15" s="164"/>
      <c r="M15" s="165"/>
      <c r="N15" s="165"/>
      <c r="O15" s="166"/>
      <c r="P15" s="164"/>
      <c r="Q15" s="165"/>
      <c r="R15" s="165"/>
      <c r="S15" s="166"/>
      <c r="T15" s="164"/>
      <c r="U15" s="165"/>
      <c r="V15" s="165"/>
      <c r="W15" s="166"/>
      <c r="X15" s="164"/>
      <c r="Y15" s="165"/>
      <c r="Z15" s="165"/>
      <c r="AA15" s="166"/>
    </row>
    <row r="16" spans="1:31">
      <c r="A16" s="80"/>
      <c r="B16" s="144"/>
      <c r="C16" s="145"/>
      <c r="D16" s="151"/>
      <c r="E16" s="157"/>
      <c r="F16" s="332"/>
      <c r="G16" s="338"/>
      <c r="H16" s="167"/>
      <c r="I16" s="168"/>
      <c r="J16" s="168"/>
      <c r="K16" s="169"/>
      <c r="L16" s="167"/>
      <c r="M16" s="168"/>
      <c r="N16" s="168"/>
      <c r="O16" s="169"/>
      <c r="P16" s="167"/>
      <c r="Q16" s="168"/>
      <c r="R16" s="168"/>
      <c r="S16" s="169"/>
      <c r="T16" s="167"/>
      <c r="U16" s="168"/>
      <c r="V16" s="168"/>
      <c r="W16" s="169"/>
      <c r="X16" s="167"/>
      <c r="Y16" s="168"/>
      <c r="Z16" s="168"/>
      <c r="AA16" s="169"/>
    </row>
    <row r="17" spans="1:23" ht="15" customHeight="1">
      <c r="B17" s="143" t="s">
        <v>4355</v>
      </c>
      <c r="C17"/>
      <c r="D17"/>
      <c r="E17"/>
      <c r="F17"/>
      <c r="G17"/>
      <c r="H17"/>
      <c r="I17"/>
      <c r="J17"/>
      <c r="K17"/>
      <c r="L17"/>
      <c r="M17"/>
      <c r="N17"/>
      <c r="O17"/>
    </row>
    <row r="18" spans="1:23" ht="13.5" customHeight="1">
      <c r="B18" s="134" t="s">
        <v>4356</v>
      </c>
      <c r="C18" s="135"/>
      <c r="D18" s="136"/>
      <c r="E18" s="2738" t="s">
        <v>4357</v>
      </c>
      <c r="F18" s="2739"/>
      <c r="G18" s="2739"/>
      <c r="H18" s="2739"/>
      <c r="I18" s="2739"/>
      <c r="J18" s="2739"/>
      <c r="K18" s="2739"/>
      <c r="L18" s="2739"/>
      <c r="M18" s="2739"/>
      <c r="N18" s="2739"/>
      <c r="O18" s="2739"/>
      <c r="P18" s="2739"/>
      <c r="Q18" s="2739"/>
      <c r="R18" s="2740"/>
      <c r="S18" s="2741"/>
      <c r="T18" s="2735" t="s">
        <v>4358</v>
      </c>
      <c r="U18" s="2742"/>
      <c r="V18" s="2742"/>
      <c r="W18" s="2743"/>
    </row>
    <row r="19" spans="1:23" ht="12.75" customHeight="1">
      <c r="B19" s="192"/>
      <c r="C19" s="193"/>
      <c r="D19" s="194"/>
      <c r="E19" s="242" t="s">
        <v>4100</v>
      </c>
      <c r="F19" s="243" t="s">
        <v>4101</v>
      </c>
      <c r="G19" s="243" t="s">
        <v>4359</v>
      </c>
      <c r="H19" s="243" t="s">
        <v>4359</v>
      </c>
      <c r="I19" s="243" t="s">
        <v>4104</v>
      </c>
      <c r="J19" s="244" t="s">
        <v>4360</v>
      </c>
      <c r="K19" s="246" t="s">
        <v>4361</v>
      </c>
      <c r="L19" s="243" t="s">
        <v>4362</v>
      </c>
      <c r="M19" s="243" t="s">
        <v>4363</v>
      </c>
      <c r="N19" s="243" t="s">
        <v>4364</v>
      </c>
      <c r="O19" s="247" t="s">
        <v>4365</v>
      </c>
      <c r="P19" s="248" t="s">
        <v>4366</v>
      </c>
      <c r="Q19" s="312" t="s">
        <v>4367</v>
      </c>
      <c r="R19" s="313" t="s">
        <v>4108</v>
      </c>
      <c r="S19" s="314" t="s">
        <v>4109</v>
      </c>
      <c r="T19" s="315" t="s">
        <v>4115</v>
      </c>
      <c r="U19" s="243" t="s">
        <v>4116</v>
      </c>
      <c r="V19" s="313" t="s">
        <v>4368</v>
      </c>
      <c r="W19" s="314" t="s">
        <v>4118</v>
      </c>
    </row>
    <row r="20" spans="1:23">
      <c r="B20" s="133" t="s">
        <v>4099</v>
      </c>
      <c r="C20" s="117" t="s">
        <v>4326</v>
      </c>
      <c r="D20" s="129" t="s">
        <v>4327</v>
      </c>
      <c r="E20" s="275"/>
      <c r="F20" s="245"/>
      <c r="G20" s="245" t="s">
        <v>4369</v>
      </c>
      <c r="H20" s="245" t="s">
        <v>4370</v>
      </c>
      <c r="I20" s="245"/>
      <c r="J20" s="245" t="s">
        <v>4371</v>
      </c>
      <c r="K20" s="245" t="s">
        <v>4372</v>
      </c>
      <c r="L20" s="245"/>
      <c r="M20" s="245" t="s">
        <v>4373</v>
      </c>
      <c r="N20" s="245" t="s">
        <v>4374</v>
      </c>
      <c r="O20" s="245" t="s">
        <v>1439</v>
      </c>
      <c r="P20" s="245" t="s">
        <v>4375</v>
      </c>
      <c r="Q20" s="316" t="s">
        <v>4376</v>
      </c>
      <c r="R20" s="194" t="s">
        <v>4377</v>
      </c>
      <c r="S20" s="317" t="s">
        <v>4377</v>
      </c>
      <c r="T20" s="318"/>
      <c r="U20" s="193"/>
      <c r="V20" s="319"/>
      <c r="W20" s="317"/>
    </row>
    <row r="21" spans="1:23" s="140" customFormat="1" ht="15.75" customHeight="1">
      <c r="A21" s="137"/>
      <c r="B21" s="138"/>
      <c r="C21" s="139"/>
      <c r="D21" s="141"/>
      <c r="E21" s="158">
        <f t="shared" ref="E21:W21" si="1">SUM(E22:E32)</f>
        <v>84768</v>
      </c>
      <c r="F21" s="159">
        <f t="shared" si="1"/>
        <v>0</v>
      </c>
      <c r="G21" s="159">
        <f t="shared" si="1"/>
        <v>0</v>
      </c>
      <c r="H21" s="159">
        <f t="shared" si="1"/>
        <v>0</v>
      </c>
      <c r="I21" s="159">
        <f t="shared" si="1"/>
        <v>62.660000000000004</v>
      </c>
      <c r="J21" s="159">
        <f t="shared" si="1"/>
        <v>28256</v>
      </c>
      <c r="K21" s="159">
        <f t="shared" si="1"/>
        <v>0</v>
      </c>
      <c r="L21" s="159">
        <f t="shared" si="1"/>
        <v>0</v>
      </c>
      <c r="M21" s="159">
        <f t="shared" si="1"/>
        <v>0</v>
      </c>
      <c r="N21" s="159">
        <f t="shared" si="1"/>
        <v>0</v>
      </c>
      <c r="O21" s="276">
        <f t="shared" si="1"/>
        <v>0</v>
      </c>
      <c r="P21" s="159">
        <f t="shared" si="1"/>
        <v>0</v>
      </c>
      <c r="Q21" s="320">
        <f t="shared" si="1"/>
        <v>0</v>
      </c>
      <c r="R21" s="159">
        <f t="shared" si="1"/>
        <v>0</v>
      </c>
      <c r="S21" s="160">
        <f t="shared" si="1"/>
        <v>0</v>
      </c>
      <c r="T21" s="323">
        <f t="shared" si="1"/>
        <v>0</v>
      </c>
      <c r="U21" s="159">
        <f t="shared" si="1"/>
        <v>0</v>
      </c>
      <c r="V21" s="320">
        <f t="shared" si="1"/>
        <v>0</v>
      </c>
      <c r="W21" s="160">
        <f t="shared" si="1"/>
        <v>0</v>
      </c>
    </row>
    <row r="22" spans="1:23" s="140" customFormat="1" ht="11.25" customHeight="1">
      <c r="B22" s="146"/>
      <c r="C22" s="147"/>
      <c r="D22" s="148"/>
      <c r="E22" s="164"/>
      <c r="F22" s="165"/>
      <c r="G22" s="165"/>
      <c r="H22" s="165"/>
      <c r="I22" s="165"/>
      <c r="J22" s="165"/>
      <c r="K22" s="165"/>
      <c r="L22" s="165"/>
      <c r="M22" s="165"/>
      <c r="N22" s="165"/>
      <c r="O22" s="249"/>
      <c r="P22" s="165"/>
      <c r="Q22" s="321"/>
      <c r="R22" s="165"/>
      <c r="S22" s="166"/>
      <c r="T22" s="324"/>
      <c r="U22" s="165"/>
      <c r="V22" s="321"/>
      <c r="W22" s="327"/>
    </row>
    <row r="23" spans="1:23" s="140" customFormat="1" ht="11.25" customHeight="1">
      <c r="B23" s="146" t="s">
        <v>4346</v>
      </c>
      <c r="C23" s="147" t="s">
        <v>4347</v>
      </c>
      <c r="D23" s="148">
        <v>37.799999999999997</v>
      </c>
      <c r="E23" s="164">
        <f>D23*60</f>
        <v>2268</v>
      </c>
      <c r="F23" s="165"/>
      <c r="G23" s="165"/>
      <c r="H23" s="165"/>
      <c r="I23" s="165"/>
      <c r="J23" s="165">
        <f>D23*20</f>
        <v>756</v>
      </c>
      <c r="K23" s="165"/>
      <c r="L23" s="165"/>
      <c r="M23" s="165"/>
      <c r="N23" s="165"/>
      <c r="O23" s="249"/>
      <c r="P23" s="165"/>
      <c r="Q23" s="321"/>
      <c r="R23" s="165"/>
      <c r="S23" s="166"/>
      <c r="T23" s="324"/>
      <c r="U23" s="165"/>
      <c r="V23" s="321"/>
      <c r="W23" s="327"/>
    </row>
    <row r="24" spans="1:23" s="140" customFormat="1" ht="11.25" customHeight="1">
      <c r="B24" s="146" t="s">
        <v>4346</v>
      </c>
      <c r="C24" s="147" t="s">
        <v>4347</v>
      </c>
      <c r="D24" s="148">
        <v>1375</v>
      </c>
      <c r="E24" s="164">
        <f>D24*60</f>
        <v>82500</v>
      </c>
      <c r="F24" s="165"/>
      <c r="G24" s="165"/>
      <c r="H24" s="165"/>
      <c r="I24" s="165"/>
      <c r="J24" s="165">
        <f>D24*20</f>
        <v>27500</v>
      </c>
      <c r="K24" s="165"/>
      <c r="L24" s="165"/>
      <c r="M24" s="165"/>
      <c r="N24" s="165"/>
      <c r="O24" s="249"/>
      <c r="P24" s="165"/>
      <c r="Q24" s="321"/>
      <c r="R24" s="165"/>
      <c r="S24" s="166"/>
      <c r="T24" s="324"/>
      <c r="U24" s="165"/>
      <c r="V24" s="321"/>
      <c r="W24" s="327"/>
    </row>
    <row r="25" spans="1:23" s="140" customFormat="1" ht="11.25" customHeight="1">
      <c r="B25" s="146" t="s">
        <v>4348</v>
      </c>
      <c r="C25" s="147" t="s">
        <v>4351</v>
      </c>
      <c r="D25" s="148">
        <v>48.2</v>
      </c>
      <c r="E25" s="164"/>
      <c r="F25" s="165"/>
      <c r="G25" s="165"/>
      <c r="H25" s="165"/>
      <c r="I25" s="165">
        <f>D25*1.3</f>
        <v>62.660000000000004</v>
      </c>
      <c r="J25" s="165"/>
      <c r="K25" s="165"/>
      <c r="L25" s="165"/>
      <c r="M25" s="165"/>
      <c r="N25" s="165"/>
      <c r="O25" s="249"/>
      <c r="P25" s="165"/>
      <c r="Q25" s="321"/>
      <c r="R25" s="165"/>
      <c r="S25" s="166"/>
      <c r="T25" s="324"/>
      <c r="U25" s="165"/>
      <c r="V25" s="321"/>
      <c r="W25" s="327"/>
    </row>
    <row r="26" spans="1:23" s="140" customFormat="1" ht="11.25" customHeight="1">
      <c r="B26" s="146"/>
      <c r="C26" s="147"/>
      <c r="D26" s="148"/>
      <c r="E26" s="164"/>
      <c r="F26" s="165"/>
      <c r="G26" s="165"/>
      <c r="H26" s="165"/>
      <c r="I26" s="165"/>
      <c r="J26" s="165"/>
      <c r="K26" s="165"/>
      <c r="L26" s="165"/>
      <c r="M26" s="165"/>
      <c r="N26" s="165"/>
      <c r="O26" s="249"/>
      <c r="P26" s="165"/>
      <c r="Q26" s="321"/>
      <c r="R26" s="165"/>
      <c r="S26" s="166"/>
      <c r="T26" s="324"/>
      <c r="U26" s="165"/>
      <c r="V26" s="321"/>
      <c r="W26" s="327"/>
    </row>
    <row r="27" spans="1:23" s="140" customFormat="1" ht="11.25" customHeight="1">
      <c r="A27" s="127" t="s">
        <v>4378</v>
      </c>
      <c r="B27" s="146"/>
      <c r="C27" s="147"/>
      <c r="D27" s="148"/>
      <c r="E27" s="164"/>
      <c r="F27" s="165"/>
      <c r="G27" s="165"/>
      <c r="H27" s="165"/>
      <c r="I27" s="165"/>
      <c r="J27" s="165"/>
      <c r="K27" s="165"/>
      <c r="L27" s="165"/>
      <c r="M27" s="165"/>
      <c r="N27" s="165"/>
      <c r="O27" s="249"/>
      <c r="P27" s="165"/>
      <c r="Q27" s="321"/>
      <c r="R27" s="165"/>
      <c r="S27" s="166"/>
      <c r="T27" s="324"/>
      <c r="U27" s="165">
        <f>$D27*O27</f>
        <v>0</v>
      </c>
      <c r="V27" s="321">
        <f>$D27*P27</f>
        <v>0</v>
      </c>
      <c r="W27" s="329"/>
    </row>
    <row r="28" spans="1:23">
      <c r="A28" s="80"/>
      <c r="B28" s="144"/>
      <c r="C28" s="145"/>
      <c r="D28" s="151"/>
      <c r="E28" s="167"/>
      <c r="F28" s="168"/>
      <c r="G28" s="168"/>
      <c r="H28" s="250"/>
      <c r="I28" s="250"/>
      <c r="J28" s="250"/>
      <c r="K28" s="250"/>
      <c r="L28" s="250"/>
      <c r="M28" s="250"/>
      <c r="N28" s="250"/>
      <c r="O28" s="250"/>
      <c r="P28" s="250"/>
      <c r="Q28" s="322"/>
      <c r="R28" s="168"/>
      <c r="S28" s="169"/>
      <c r="T28" s="325"/>
      <c r="U28" s="168">
        <f>$D28*O28</f>
        <v>0</v>
      </c>
      <c r="V28" s="326">
        <f>$D28*P28</f>
        <v>0</v>
      </c>
      <c r="W28" s="328"/>
    </row>
    <row r="29" spans="1:23">
      <c r="E29" s="80"/>
    </row>
  </sheetData>
  <mergeCells count="15">
    <mergeCell ref="G2:J2"/>
    <mergeCell ref="O2:R2"/>
    <mergeCell ref="G3:J3"/>
    <mergeCell ref="O3:R3"/>
    <mergeCell ref="G4:J4"/>
    <mergeCell ref="O4:R4"/>
    <mergeCell ref="X7:AA7"/>
    <mergeCell ref="E18:S18"/>
    <mergeCell ref="T18:W18"/>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CC66FF"/>
    <pageSetUpPr fitToPage="1"/>
  </sheetPr>
  <dimension ref="A1:AI140"/>
  <sheetViews>
    <sheetView zoomScale="75" zoomScaleNormal="75" workbookViewId="0">
      <pane xSplit="13" topLeftCell="N1" activePane="topRight" state="frozen"/>
      <selection activeCell="C3" sqref="C3:L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4907</v>
      </c>
      <c r="E2" s="34" t="s">
        <v>153</v>
      </c>
      <c r="F2" s="37">
        <f>工事4!J2</f>
        <v>40</v>
      </c>
      <c r="G2" s="1" t="s">
        <v>154</v>
      </c>
      <c r="H2" s="4">
        <f>表紙!H25</f>
        <v>69</v>
      </c>
      <c r="I2" s="4" t="s">
        <v>155</v>
      </c>
      <c r="J2" s="37">
        <f>VLOOKUP("EOL",$M$25:$N$65582,2,FALSE)</f>
        <v>45</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ア)東梅田駅の部-整列乗車対策工事</v>
      </c>
      <c r="D5" s="2348"/>
      <c r="E5" s="632"/>
      <c r="F5" s="1889"/>
      <c r="G5" s="2349"/>
      <c r="H5" s="2061" t="s">
        <v>117</v>
      </c>
      <c r="I5" s="2061" t="s">
        <v>117</v>
      </c>
      <c r="J5" s="2759"/>
      <c r="K5" s="2733"/>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2351"/>
      <c r="E6" s="639"/>
      <c r="F6" s="640"/>
      <c r="G6" s="641"/>
      <c r="H6" s="1883"/>
      <c r="I6" s="1883"/>
      <c r="J6" s="2351"/>
      <c r="K6" s="2351"/>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2351" t="s">
        <v>4120</v>
      </c>
      <c r="E7" s="639"/>
      <c r="F7" s="640">
        <v>1</v>
      </c>
      <c r="G7" s="641" t="s">
        <v>119</v>
      </c>
      <c r="H7" s="1883"/>
      <c r="I7" s="1883">
        <f>I70</f>
        <v>1197300</v>
      </c>
      <c r="J7" s="2351"/>
      <c r="K7" s="2351"/>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2351" t="s">
        <v>4121</v>
      </c>
      <c r="E8" s="639"/>
      <c r="F8" s="640">
        <v>1</v>
      </c>
      <c r="G8" s="641" t="s">
        <v>119</v>
      </c>
      <c r="H8" s="1883"/>
      <c r="I8" s="1883">
        <f>I93</f>
        <v>8194560</v>
      </c>
      <c r="J8" s="2351"/>
      <c r="K8" s="2351"/>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2351" t="s">
        <v>4125</v>
      </c>
      <c r="E9" s="639"/>
      <c r="F9" s="640">
        <v>1</v>
      </c>
      <c r="G9" s="641" t="s">
        <v>119</v>
      </c>
      <c r="H9" s="1883"/>
      <c r="I9" s="1883">
        <f>I116</f>
        <v>399700</v>
      </c>
      <c r="J9" s="2351"/>
      <c r="K9" s="2351"/>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2351"/>
      <c r="E10" s="639"/>
      <c r="F10" s="640"/>
      <c r="G10" s="641"/>
      <c r="H10" s="1883"/>
      <c r="I10" s="1883"/>
      <c r="J10" s="2351"/>
      <c r="K10" s="2351"/>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2351"/>
      <c r="E11" s="639"/>
      <c r="F11" s="640"/>
      <c r="G11" s="641"/>
      <c r="H11" s="1883"/>
      <c r="I11" s="1883"/>
      <c r="J11" s="2351"/>
      <c r="K11" s="2351"/>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2351"/>
      <c r="E12" s="639"/>
      <c r="F12" s="640"/>
      <c r="G12" s="641"/>
      <c r="H12" s="1883"/>
      <c r="I12" s="1883"/>
      <c r="J12" s="2351"/>
      <c r="K12" s="2351"/>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2351"/>
      <c r="E13" s="639"/>
      <c r="F13" s="640"/>
      <c r="G13" s="641"/>
      <c r="H13" s="1883"/>
      <c r="I13" s="1883"/>
      <c r="J13" s="2351"/>
      <c r="K13" s="2351"/>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2351"/>
      <c r="E14" s="639"/>
      <c r="F14" s="640"/>
      <c r="G14" s="641"/>
      <c r="H14" s="1883"/>
      <c r="I14" s="1883"/>
      <c r="J14" s="2351"/>
      <c r="K14" s="2351"/>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2351"/>
      <c r="E15" s="639"/>
      <c r="F15" s="640"/>
      <c r="G15" s="641"/>
      <c r="H15" s="1883"/>
      <c r="I15" s="1883"/>
      <c r="J15" s="2351"/>
      <c r="K15" s="2351"/>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2351" t="s">
        <v>126</v>
      </c>
      <c r="E16" s="639"/>
      <c r="F16" s="640"/>
      <c r="G16" s="641"/>
      <c r="H16" s="1883"/>
      <c r="I16" s="1883">
        <f>SUM(I7:I15)</f>
        <v>9791560</v>
      </c>
      <c r="J16" s="2358" t="str">
        <f>IF(COUNTIF(N:N,"費用")=0,"","うち費用")</f>
        <v/>
      </c>
      <c r="K16" s="2437" t="str">
        <f>IF(COUNTIF(N:N,"費用")=0,"",SUMIF(N:N,"費用",I:I))</f>
        <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360"/>
      <c r="E17" s="639"/>
      <c r="F17" s="640"/>
      <c r="G17" s="641"/>
      <c r="H17" s="1883"/>
      <c r="I17" s="1883"/>
      <c r="J17" s="2351"/>
      <c r="K17" s="2351"/>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2351"/>
      <c r="E18" s="639"/>
      <c r="F18" s="640"/>
      <c r="G18" s="641"/>
      <c r="H18" s="1883"/>
      <c r="I18" s="1883"/>
      <c r="J18" s="2351"/>
      <c r="K18" s="2351"/>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2351" t="s">
        <v>4128</v>
      </c>
      <c r="E19" s="639"/>
      <c r="F19" s="640">
        <v>1</v>
      </c>
      <c r="G19" s="641" t="s">
        <v>119</v>
      </c>
      <c r="H19" s="1883"/>
      <c r="I19" s="1883">
        <f>+I47</f>
        <v>416603</v>
      </c>
      <c r="J19" s="2351"/>
      <c r="K19" s="2351"/>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2351" t="s">
        <v>4129</v>
      </c>
      <c r="E20" s="639"/>
      <c r="F20" s="640">
        <v>1</v>
      </c>
      <c r="G20" s="641" t="s">
        <v>119</v>
      </c>
      <c r="H20" s="1883"/>
      <c r="I20" s="1883">
        <f>+諸経費表!K21</f>
        <v>2515837</v>
      </c>
      <c r="J20" s="2361"/>
      <c r="K20" s="2351"/>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2351"/>
      <c r="E21" s="639"/>
      <c r="F21" s="640"/>
      <c r="G21" s="641"/>
      <c r="H21" s="1883"/>
      <c r="I21" s="1883"/>
      <c r="J21" s="2351"/>
      <c r="K21" s="2351"/>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2351" t="s">
        <v>126</v>
      </c>
      <c r="E22" s="639"/>
      <c r="F22" s="640"/>
      <c r="G22" s="641"/>
      <c r="H22" s="1883"/>
      <c r="I22" s="1883">
        <f>+I19+I20</f>
        <v>2932440</v>
      </c>
      <c r="J22" s="2351"/>
      <c r="K22" s="2351"/>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2351"/>
      <c r="E23" s="639"/>
      <c r="F23" s="640"/>
      <c r="G23" s="641"/>
      <c r="H23" s="1883"/>
      <c r="I23" s="1883"/>
      <c r="J23" s="2351"/>
      <c r="K23" s="2351"/>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362"/>
      <c r="D24" s="2363" t="s">
        <v>4130</v>
      </c>
      <c r="E24" s="2364"/>
      <c r="F24" s="2365"/>
      <c r="G24" s="2366"/>
      <c r="H24" s="2367" t="s">
        <v>4131</v>
      </c>
      <c r="I24" s="2368">
        <f>+I22+I16</f>
        <v>12724000</v>
      </c>
      <c r="J24" s="2363" t="s">
        <v>4132</v>
      </c>
      <c r="K24" s="2363"/>
      <c r="L24" s="2369"/>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41</v>
      </c>
      <c r="G25" s="103" t="s">
        <v>131</v>
      </c>
      <c r="H25" s="104">
        <f>H2</f>
        <v>69</v>
      </c>
      <c r="M25" s="38" t="str">
        <f>IF(A27="","EOL","")</f>
        <v/>
      </c>
      <c r="N25" s="6">
        <f>+F25</f>
        <v>41</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2351" t="s">
        <v>4134</v>
      </c>
      <c r="E29" s="639"/>
      <c r="F29" s="640"/>
      <c r="G29" s="641"/>
      <c r="H29" s="642"/>
      <c r="I29" s="1883" t="str">
        <f t="shared" ref="I29:I44" si="0">IF(F29="","",INT(F29*H29))</f>
        <v/>
      </c>
      <c r="J29" s="2351"/>
      <c r="K29" s="2351"/>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2351" t="s">
        <v>4135</v>
      </c>
      <c r="E30" s="639"/>
      <c r="F30" s="640">
        <v>1</v>
      </c>
      <c r="G30" s="641" t="s">
        <v>122</v>
      </c>
      <c r="H30" s="642">
        <f>+'東梅田　諸'!K16</f>
        <v>308293</v>
      </c>
      <c r="I30" s="1883">
        <f t="shared" si="0"/>
        <v>308293</v>
      </c>
      <c r="J30" s="2351"/>
      <c r="K30" s="2351"/>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2351"/>
      <c r="E31" s="639"/>
      <c r="F31" s="640"/>
      <c r="G31" s="641"/>
      <c r="H31" s="642"/>
      <c r="I31" s="1883" t="str">
        <f t="shared" si="0"/>
        <v/>
      </c>
      <c r="J31" s="2351"/>
      <c r="K31" s="2351"/>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373"/>
      <c r="D32" s="2374" t="s">
        <v>4136</v>
      </c>
      <c r="E32" s="2375"/>
      <c r="F32" s="2376"/>
      <c r="G32" s="2377"/>
      <c r="H32" s="2378"/>
      <c r="I32" s="2379">
        <f>SUM(I30:I31)</f>
        <v>308293</v>
      </c>
      <c r="J32" s="2374"/>
      <c r="K32" s="2374"/>
      <c r="L32" s="2380"/>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2351" t="s">
        <v>4137</v>
      </c>
      <c r="E34" s="639"/>
      <c r="F34" s="640"/>
      <c r="G34" s="641"/>
      <c r="H34" s="642"/>
      <c r="I34" s="1883" t="str">
        <f t="shared" si="0"/>
        <v/>
      </c>
      <c r="J34" s="2351"/>
      <c r="K34" s="2351"/>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2351"/>
      <c r="E35" s="639"/>
      <c r="F35" s="640"/>
      <c r="G35" s="641"/>
      <c r="H35" s="642"/>
      <c r="I35" s="1883" t="str">
        <f t="shared" si="0"/>
        <v/>
      </c>
      <c r="J35" s="2351"/>
      <c r="K35" s="2351"/>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2351" t="s">
        <v>4138</v>
      </c>
      <c r="E36" s="639"/>
      <c r="F36" s="640">
        <v>1</v>
      </c>
      <c r="G36" s="641" t="s">
        <v>119</v>
      </c>
      <c r="H36" s="642">
        <f>+[3]集計!$H$20</f>
        <v>91118</v>
      </c>
      <c r="I36" s="1883">
        <f t="shared" si="0"/>
        <v>91118</v>
      </c>
      <c r="J36" s="2351"/>
      <c r="K36" s="2351"/>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2351" t="s">
        <v>4139</v>
      </c>
      <c r="E37" s="639"/>
      <c r="F37" s="640">
        <v>1</v>
      </c>
      <c r="G37" s="641" t="s">
        <v>119</v>
      </c>
      <c r="H37" s="642">
        <f>+[3]集計!$H$21</f>
        <v>11891</v>
      </c>
      <c r="I37" s="1883">
        <f t="shared" si="0"/>
        <v>11891</v>
      </c>
      <c r="J37" s="2351"/>
      <c r="K37" s="2351"/>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2351" t="s">
        <v>4140</v>
      </c>
      <c r="E38" s="639"/>
      <c r="F38" s="640">
        <v>1</v>
      </c>
      <c r="G38" s="641" t="s">
        <v>119</v>
      </c>
      <c r="H38" s="642">
        <f>+[3]集計!$H$22</f>
        <v>0</v>
      </c>
      <c r="I38" s="1883">
        <f t="shared" si="0"/>
        <v>0</v>
      </c>
      <c r="J38" s="2351"/>
      <c r="K38" s="2351"/>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2351" t="s">
        <v>4141</v>
      </c>
      <c r="E39" s="639"/>
      <c r="F39" s="640">
        <v>1</v>
      </c>
      <c r="G39" s="641" t="s">
        <v>119</v>
      </c>
      <c r="H39" s="642">
        <f>+[3]集計!$H$24</f>
        <v>3371</v>
      </c>
      <c r="I39" s="1883">
        <f t="shared" si="0"/>
        <v>3371</v>
      </c>
      <c r="J39" s="2351"/>
      <c r="K39" s="2351"/>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2351" t="s">
        <v>4142</v>
      </c>
      <c r="E40" s="639"/>
      <c r="F40" s="640">
        <v>1</v>
      </c>
      <c r="G40" s="641" t="s">
        <v>119</v>
      </c>
      <c r="H40" s="642">
        <f>+[3]集計!$H$25</f>
        <v>1930</v>
      </c>
      <c r="I40" s="1883">
        <f t="shared" si="0"/>
        <v>1930</v>
      </c>
      <c r="J40" s="2351"/>
      <c r="K40" s="2351"/>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2351"/>
      <c r="E41" s="639"/>
      <c r="F41" s="640"/>
      <c r="G41" s="641"/>
      <c r="H41" s="642"/>
      <c r="I41" s="1883" t="str">
        <f t="shared" si="0"/>
        <v/>
      </c>
      <c r="J41" s="2351"/>
      <c r="K41" s="2351"/>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2351"/>
      <c r="E42" s="639"/>
      <c r="F42" s="640"/>
      <c r="G42" s="641"/>
      <c r="H42" s="642"/>
      <c r="I42" s="1883" t="str">
        <f t="shared" si="0"/>
        <v/>
      </c>
      <c r="J42" s="2351"/>
      <c r="K42" s="2351"/>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2351"/>
      <c r="E43" s="639"/>
      <c r="F43" s="640"/>
      <c r="G43" s="641"/>
      <c r="H43" s="642"/>
      <c r="I43" s="1883" t="str">
        <f t="shared" si="0"/>
        <v/>
      </c>
      <c r="J43" s="2351"/>
      <c r="K43" s="2351"/>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2351"/>
      <c r="E44" s="639"/>
      <c r="F44" s="640"/>
      <c r="G44" s="641"/>
      <c r="H44" s="642"/>
      <c r="I44" s="1883" t="str">
        <f t="shared" si="0"/>
        <v/>
      </c>
      <c r="J44" s="2351"/>
      <c r="K44" s="2351"/>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381"/>
      <c r="D45" s="2374" t="s">
        <v>4143</v>
      </c>
      <c r="E45" s="2375"/>
      <c r="F45" s="2376"/>
      <c r="G45" s="2377"/>
      <c r="H45" s="2378"/>
      <c r="I45" s="2379">
        <f>SUM(I35:I44)</f>
        <v>108310</v>
      </c>
      <c r="J45" s="2374"/>
      <c r="K45" s="2374"/>
      <c r="L45" s="2380"/>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2351"/>
      <c r="E46" s="639"/>
      <c r="F46" s="640"/>
      <c r="G46" s="641"/>
      <c r="H46" s="642"/>
      <c r="I46" s="1883" t="str">
        <f t="shared" ref="I46" si="1">IF(F46="","",INT(F46*H46))</f>
        <v/>
      </c>
      <c r="J46" s="2351"/>
      <c r="K46" s="2351"/>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362"/>
      <c r="D47" s="2363" t="s">
        <v>4144</v>
      </c>
      <c r="E47" s="2364"/>
      <c r="F47" s="2365"/>
      <c r="G47" s="2366"/>
      <c r="H47" s="2382" t="s">
        <v>4131</v>
      </c>
      <c r="I47" s="2368">
        <f>I32+I45</f>
        <v>416603</v>
      </c>
      <c r="J47" s="2363" t="s">
        <v>4132</v>
      </c>
      <c r="K47" s="2363"/>
      <c r="L47" s="2369"/>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42</v>
      </c>
      <c r="G48" s="103" t="s">
        <v>131</v>
      </c>
      <c r="H48" s="104">
        <f>+$H$25</f>
        <v>69</v>
      </c>
      <c r="I48" s="104"/>
      <c r="M48" s="38" t="str">
        <f>IF(A50="","EOL","")</f>
        <v/>
      </c>
      <c r="N48" s="6">
        <f>+F48</f>
        <v>42</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33"/>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2351"/>
      <c r="K52" s="2351"/>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+[2]集計!$H$17</f>
        <v>0</v>
      </c>
      <c r="I53" s="1883">
        <f t="shared" ref="I53:I69" si="2">IF(F53="","",INT(F53*H53))</f>
        <v>0</v>
      </c>
      <c r="J53" s="2351"/>
      <c r="K53" s="2351"/>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+[2]集計!$H$18</f>
        <v>257880</v>
      </c>
      <c r="I54" s="1883">
        <f t="shared" si="2"/>
        <v>257880</v>
      </c>
      <c r="J54" s="2351"/>
      <c r="K54" s="2351"/>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+[2]集計!$H$19</f>
        <v>939420</v>
      </c>
      <c r="I55" s="1883">
        <f t="shared" si="2"/>
        <v>939420</v>
      </c>
      <c r="J55" s="2351"/>
      <c r="K55" s="2351"/>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+[2]集計!$H$20</f>
        <v>0</v>
      </c>
      <c r="I56" s="1883">
        <f t="shared" si="2"/>
        <v>0</v>
      </c>
      <c r="J56" s="2351"/>
      <c r="K56" s="2351"/>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+[2]集計!$H$21</f>
        <v>0</v>
      </c>
      <c r="I57" s="1883">
        <f t="shared" si="2"/>
        <v>0</v>
      </c>
      <c r="J57" s="2351"/>
      <c r="K57" s="2351"/>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+[2]集計!$H$22</f>
        <v>0</v>
      </c>
      <c r="I58" s="1883">
        <f t="shared" si="2"/>
        <v>0</v>
      </c>
      <c r="J58" s="2351"/>
      <c r="K58" s="2351"/>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2351"/>
      <c r="K59" s="2351"/>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2351"/>
      <c r="K60" s="2351"/>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2351"/>
      <c r="K61" s="2351"/>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2351"/>
      <c r="K62" s="2351"/>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2351"/>
      <c r="K63" s="2351"/>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2351"/>
      <c r="K64" s="2351"/>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2351"/>
      <c r="K65" s="2351"/>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2351"/>
      <c r="K66" s="2351"/>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2351"/>
      <c r="K67" s="2351"/>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2351"/>
      <c r="K68" s="2351"/>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2351"/>
      <c r="K69" s="2351"/>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362"/>
      <c r="D70" s="2363" t="s">
        <v>4144</v>
      </c>
      <c r="E70" s="2364"/>
      <c r="F70" s="2365"/>
      <c r="G70" s="2366"/>
      <c r="H70" s="2382" t="s">
        <v>4131</v>
      </c>
      <c r="I70" s="2368">
        <f>SUM(I52:I69)</f>
        <v>1197300</v>
      </c>
      <c r="J70" s="2363" t="s">
        <v>4132</v>
      </c>
      <c r="K70" s="2363"/>
      <c r="L70" s="2369"/>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43</v>
      </c>
      <c r="G71" s="103" t="s">
        <v>131</v>
      </c>
      <c r="H71" s="104">
        <f>+H48</f>
        <v>69</v>
      </c>
      <c r="I71" s="104"/>
      <c r="M71" s="598" t="str">
        <f>IF(A73="","EOL","")</f>
        <v/>
      </c>
      <c r="N71" s="1">
        <f>+F71</f>
        <v>43</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33"/>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388"/>
      <c r="E75" s="621"/>
      <c r="F75" s="640"/>
      <c r="G75" s="641"/>
      <c r="H75" s="1882"/>
      <c r="I75" s="1883" t="str">
        <f t="shared" ref="I75:I92" si="3">IF(F75="","",INT(F75*H75))</f>
        <v/>
      </c>
      <c r="J75" s="2391"/>
      <c r="K75" s="2351"/>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881">
        <v>305</v>
      </c>
      <c r="D76" s="2399" t="s">
        <v>4406</v>
      </c>
      <c r="E76" s="621" t="s">
        <v>4407</v>
      </c>
      <c r="F76" s="640">
        <v>24</v>
      </c>
      <c r="G76" s="641" t="s">
        <v>4174</v>
      </c>
      <c r="H76" s="1882">
        <f>見積比較!O$15</f>
        <v>41200</v>
      </c>
      <c r="I76" s="1883">
        <f>IF(F76="","",INT(F76*H76))</f>
        <v>988800</v>
      </c>
      <c r="J76" s="2391" t="s">
        <v>4158</v>
      </c>
      <c r="K76" s="2351"/>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388" t="s">
        <v>4408</v>
      </c>
      <c r="E77" s="621" t="s">
        <v>4409</v>
      </c>
      <c r="F77" s="640"/>
      <c r="G77" s="641"/>
      <c r="H77" s="1882"/>
      <c r="I77" s="1883" t="str">
        <f t="shared" ref="I77:I86" si="4">IF(F77="","",INT(F77*H77))</f>
        <v/>
      </c>
      <c r="J77" s="2391"/>
      <c r="K77" s="2351"/>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c r="B78" s="36"/>
      <c r="C78" s="1881"/>
      <c r="D78" s="2388"/>
      <c r="E78" s="621"/>
      <c r="F78" s="640"/>
      <c r="G78" s="641"/>
      <c r="H78" s="1882"/>
      <c r="I78" s="1883" t="str">
        <f t="shared" si="4"/>
        <v/>
      </c>
      <c r="J78" s="2391"/>
      <c r="K78" s="2351"/>
      <c r="L78" s="2356"/>
      <c r="M78" s="602"/>
      <c r="N78" s="603"/>
      <c r="O78" s="597"/>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v>4</v>
      </c>
      <c r="B79" s="36">
        <v>4</v>
      </c>
      <c r="C79" s="1881">
        <v>306</v>
      </c>
      <c r="D79" s="2399" t="s">
        <v>4410</v>
      </c>
      <c r="E79" s="621" t="s">
        <v>4411</v>
      </c>
      <c r="F79" s="640">
        <v>96</v>
      </c>
      <c r="G79" s="641" t="s">
        <v>4174</v>
      </c>
      <c r="H79" s="1882">
        <f>見積比較!O$18</f>
        <v>61800</v>
      </c>
      <c r="I79" s="1883">
        <f>IF(F79="","",INT(F79*H79))</f>
        <v>5932800</v>
      </c>
      <c r="J79" s="2391" t="s">
        <v>4158</v>
      </c>
      <c r="K79" s="2351"/>
      <c r="L79" s="2356"/>
      <c r="M79" s="602"/>
      <c r="N79" s="603"/>
      <c r="O79" s="597">
        <v>0</v>
      </c>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388" t="s">
        <v>4408</v>
      </c>
      <c r="E80" s="621" t="s">
        <v>4409</v>
      </c>
      <c r="F80" s="640"/>
      <c r="G80" s="641"/>
      <c r="H80" s="1882"/>
      <c r="I80" s="1883" t="str">
        <f t="shared" si="4"/>
        <v/>
      </c>
      <c r="J80" s="2391"/>
      <c r="K80" s="2351"/>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388"/>
      <c r="E81" s="621"/>
      <c r="F81" s="640"/>
      <c r="G81" s="641"/>
      <c r="H81" s="1882"/>
      <c r="I81" s="1883" t="str">
        <f t="shared" si="4"/>
        <v/>
      </c>
      <c r="J81" s="2391"/>
      <c r="K81" s="2351"/>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v>4</v>
      </c>
      <c r="B82" s="36">
        <v>4</v>
      </c>
      <c r="C82" s="1881">
        <v>307</v>
      </c>
      <c r="D82" s="2399" t="s">
        <v>4412</v>
      </c>
      <c r="E82" s="621" t="s">
        <v>4413</v>
      </c>
      <c r="F82" s="640">
        <v>96</v>
      </c>
      <c r="G82" s="641" t="s">
        <v>4174</v>
      </c>
      <c r="H82" s="1882">
        <f>見積比較!O$21</f>
        <v>7660</v>
      </c>
      <c r="I82" s="1883">
        <f>IF(F82="","",INT(F82*H82))</f>
        <v>735360</v>
      </c>
      <c r="J82" s="2391" t="s">
        <v>4158</v>
      </c>
      <c r="K82" s="2351"/>
      <c r="L82" s="2356"/>
      <c r="M82" s="602"/>
      <c r="N82" s="603"/>
      <c r="O82" s="597">
        <v>0</v>
      </c>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388"/>
      <c r="E83" s="621"/>
      <c r="F83" s="640"/>
      <c r="G83" s="641"/>
      <c r="H83" s="1882"/>
      <c r="I83" s="1883" t="str">
        <f t="shared" si="4"/>
        <v/>
      </c>
      <c r="J83" s="2391"/>
      <c r="K83" s="2351"/>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v>4</v>
      </c>
      <c r="B84" s="36">
        <v>4</v>
      </c>
      <c r="C84" s="1881">
        <v>308</v>
      </c>
      <c r="D84" s="2399" t="s">
        <v>4412</v>
      </c>
      <c r="E84" s="621" t="s">
        <v>4414</v>
      </c>
      <c r="F84" s="640">
        <v>48</v>
      </c>
      <c r="G84" s="641" t="s">
        <v>4174</v>
      </c>
      <c r="H84" s="1882">
        <f>見積比較!O$23</f>
        <v>11200</v>
      </c>
      <c r="I84" s="1883">
        <f>IF(F84="","",INT(F84*H84))</f>
        <v>537600</v>
      </c>
      <c r="J84" s="2391" t="s">
        <v>4158</v>
      </c>
      <c r="K84" s="2351"/>
      <c r="L84" s="2356"/>
      <c r="M84" s="602"/>
      <c r="N84" s="603"/>
      <c r="O84" s="597">
        <v>0</v>
      </c>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388"/>
      <c r="E85" s="621"/>
      <c r="F85" s="640"/>
      <c r="G85" s="641"/>
      <c r="H85" s="1882"/>
      <c r="I85" s="1883" t="str">
        <f t="shared" si="4"/>
        <v/>
      </c>
      <c r="J85" s="2391"/>
      <c r="K85" s="2351"/>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388"/>
      <c r="E86" s="621"/>
      <c r="F86" s="640"/>
      <c r="G86" s="641"/>
      <c r="H86" s="1882"/>
      <c r="I86" s="1883" t="str">
        <f t="shared" si="4"/>
        <v/>
      </c>
      <c r="J86" s="2391"/>
      <c r="K86" s="2351"/>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388"/>
      <c r="E87" s="621"/>
      <c r="F87" s="640"/>
      <c r="G87" s="641"/>
      <c r="H87" s="1882"/>
      <c r="I87" s="1883" t="str">
        <f t="shared" si="3"/>
        <v/>
      </c>
      <c r="J87" s="2391"/>
      <c r="K87" s="2351"/>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388"/>
      <c r="E88" s="621"/>
      <c r="F88" s="640"/>
      <c r="G88" s="641"/>
      <c r="H88" s="1882"/>
      <c r="I88" s="1883" t="str">
        <f t="shared" si="3"/>
        <v/>
      </c>
      <c r="J88" s="2391"/>
      <c r="K88" s="2351"/>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388"/>
      <c r="E89" s="621"/>
      <c r="F89" s="640"/>
      <c r="G89" s="641"/>
      <c r="H89" s="1882"/>
      <c r="I89" s="1883" t="str">
        <f t="shared" si="3"/>
        <v/>
      </c>
      <c r="J89" s="2391"/>
      <c r="K89" s="2351"/>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388"/>
      <c r="E90" s="621"/>
      <c r="F90" s="640"/>
      <c r="G90" s="641"/>
      <c r="H90" s="1882"/>
      <c r="I90" s="1883" t="str">
        <f t="shared" si="3"/>
        <v/>
      </c>
      <c r="J90" s="2391"/>
      <c r="K90" s="2351"/>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388"/>
      <c r="E91" s="621"/>
      <c r="F91" s="640"/>
      <c r="G91" s="641"/>
      <c r="H91" s="1882"/>
      <c r="I91" s="1883" t="str">
        <f t="shared" si="3"/>
        <v/>
      </c>
      <c r="J91" s="2391"/>
      <c r="K91" s="2351"/>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388"/>
      <c r="E92" s="621"/>
      <c r="F92" s="640"/>
      <c r="G92" s="641"/>
      <c r="H92" s="1882"/>
      <c r="I92" s="1883" t="str">
        <f t="shared" si="3"/>
        <v/>
      </c>
      <c r="J92" s="2391"/>
      <c r="K92" s="2351"/>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362"/>
      <c r="D93" s="2363" t="s">
        <v>4144</v>
      </c>
      <c r="E93" s="2364"/>
      <c r="F93" s="2365"/>
      <c r="G93" s="2366"/>
      <c r="H93" s="2382" t="s">
        <v>4131</v>
      </c>
      <c r="I93" s="2368">
        <f>SUM(I75:I92)</f>
        <v>8194560</v>
      </c>
      <c r="J93" s="2383" t="str">
        <f>IF(C74="部分撤去工事","）うち費用",")")</f>
        <v>)</v>
      </c>
      <c r="K93" s="2393">
        <f>IF(C74="部分撤去工事",(K70+L93),0)</f>
        <v>0</v>
      </c>
      <c r="L93" s="2384">
        <f>IF(C74="部分撤去工事",SUMIF(N75:N92,"費用",I75:I92),0)</f>
        <v>0</v>
      </c>
      <c r="M93" s="2394"/>
      <c r="N93" s="2400"/>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44</v>
      </c>
      <c r="G94" s="103" t="s">
        <v>131</v>
      </c>
      <c r="H94" s="104">
        <f>+H71</f>
        <v>69</v>
      </c>
      <c r="I94" s="104"/>
      <c r="M94" s="598" t="str">
        <f>IF(A96="","EOL","")</f>
        <v/>
      </c>
      <c r="N94" s="1">
        <f>+F94</f>
        <v>44</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4125</v>
      </c>
      <c r="D97" s="2385"/>
      <c r="E97" s="623"/>
      <c r="F97" s="1889"/>
      <c r="G97" s="1890"/>
      <c r="H97" s="2386" t="s">
        <v>117</v>
      </c>
      <c r="I97" s="2386" t="s">
        <v>117</v>
      </c>
      <c r="J97" s="2759"/>
      <c r="K97" s="2733"/>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388"/>
      <c r="E98" s="621"/>
      <c r="F98" s="640"/>
      <c r="G98" s="641"/>
      <c r="H98" s="1882"/>
      <c r="I98" s="1883" t="str">
        <f t="shared" ref="I98:I115" si="5">IF(F98="","",INT(F98*H98))</f>
        <v/>
      </c>
      <c r="J98" s="2391"/>
      <c r="K98" s="2351"/>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911">
        <v>750</v>
      </c>
      <c r="D99" s="2399" t="s">
        <v>4415</v>
      </c>
      <c r="E99" s="621" t="s">
        <v>4416</v>
      </c>
      <c r="F99" s="640">
        <v>18</v>
      </c>
      <c r="G99" s="641" t="s">
        <v>4417</v>
      </c>
      <c r="H99" s="1882">
        <f>見積比較!O$174</f>
        <v>1300</v>
      </c>
      <c r="I99" s="1883">
        <f t="shared" ref="I99:I106" si="6">IF(F99="","",INT(F99*H99))</f>
        <v>23400</v>
      </c>
      <c r="J99" s="2391" t="s">
        <v>4418</v>
      </c>
      <c r="K99" s="2351"/>
      <c r="L99" s="2356"/>
      <c r="M99" s="1917" t="s">
        <v>4207</v>
      </c>
      <c r="N99" s="603" t="s">
        <v>4208</v>
      </c>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v>4</v>
      </c>
      <c r="B100" s="36">
        <v>4</v>
      </c>
      <c r="C100" s="1911">
        <v>751</v>
      </c>
      <c r="D100" s="2399" t="s">
        <v>4419</v>
      </c>
      <c r="E100" s="621" t="s">
        <v>4420</v>
      </c>
      <c r="F100" s="640">
        <v>78</v>
      </c>
      <c r="G100" s="641" t="s">
        <v>4417</v>
      </c>
      <c r="H100" s="1882">
        <f>見積比較!O$176</f>
        <v>580</v>
      </c>
      <c r="I100" s="1883">
        <f t="shared" si="6"/>
        <v>45240</v>
      </c>
      <c r="J100" s="2391" t="s">
        <v>4418</v>
      </c>
      <c r="K100" s="2351"/>
      <c r="L100" s="2356"/>
      <c r="M100" s="1917" t="s">
        <v>4207</v>
      </c>
      <c r="N100" s="603" t="s">
        <v>4208</v>
      </c>
      <c r="O100" s="597">
        <v>0</v>
      </c>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v>4</v>
      </c>
      <c r="B101" s="36">
        <v>4</v>
      </c>
      <c r="C101" s="1911">
        <v>752</v>
      </c>
      <c r="D101" s="2399" t="s">
        <v>4421</v>
      </c>
      <c r="E101" s="621" t="s">
        <v>4422</v>
      </c>
      <c r="F101" s="640">
        <v>43</v>
      </c>
      <c r="G101" s="641" t="s">
        <v>4174</v>
      </c>
      <c r="H101" s="1882">
        <f>見積比較!O$178</f>
        <v>520</v>
      </c>
      <c r="I101" s="1883">
        <f t="shared" si="6"/>
        <v>22360</v>
      </c>
      <c r="J101" s="2391" t="s">
        <v>4418</v>
      </c>
      <c r="K101" s="2351"/>
      <c r="L101" s="2356"/>
      <c r="M101" s="1917" t="s">
        <v>4207</v>
      </c>
      <c r="N101" s="603" t="s">
        <v>4208</v>
      </c>
      <c r="O101" s="597">
        <v>0</v>
      </c>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v>4</v>
      </c>
      <c r="B102" s="36">
        <v>4</v>
      </c>
      <c r="C102" s="1911">
        <v>753</v>
      </c>
      <c r="D102" s="2399" t="s">
        <v>4423</v>
      </c>
      <c r="E102" s="621" t="s">
        <v>4203</v>
      </c>
      <c r="F102" s="640">
        <v>16</v>
      </c>
      <c r="G102" s="641" t="s">
        <v>4174</v>
      </c>
      <c r="H102" s="1882">
        <f>見積比較!O$180</f>
        <v>1170</v>
      </c>
      <c r="I102" s="1883">
        <f t="shared" si="6"/>
        <v>18720</v>
      </c>
      <c r="J102" s="2391" t="s">
        <v>4418</v>
      </c>
      <c r="K102" s="2351"/>
      <c r="L102" s="2356"/>
      <c r="M102" s="1917" t="s">
        <v>4207</v>
      </c>
      <c r="N102" s="603" t="s">
        <v>4208</v>
      </c>
      <c r="O102" s="597">
        <v>0</v>
      </c>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v>4</v>
      </c>
      <c r="B103" s="36">
        <v>4</v>
      </c>
      <c r="C103" s="1911">
        <v>754</v>
      </c>
      <c r="D103" s="2399" t="s">
        <v>4424</v>
      </c>
      <c r="E103" s="621" t="s">
        <v>4416</v>
      </c>
      <c r="F103" s="640">
        <v>12</v>
      </c>
      <c r="G103" s="641" t="s">
        <v>4417</v>
      </c>
      <c r="H103" s="1882">
        <f>見積比較!O$182</f>
        <v>1300</v>
      </c>
      <c r="I103" s="1883">
        <f t="shared" si="6"/>
        <v>15600</v>
      </c>
      <c r="J103" s="2391" t="s">
        <v>4418</v>
      </c>
      <c r="K103" s="2351"/>
      <c r="L103" s="2356"/>
      <c r="M103" s="1917" t="s">
        <v>4207</v>
      </c>
      <c r="N103" s="603" t="s">
        <v>4208</v>
      </c>
      <c r="O103" s="597">
        <v>0</v>
      </c>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v>4</v>
      </c>
      <c r="B104" s="36">
        <v>4</v>
      </c>
      <c r="C104" s="1911">
        <v>755</v>
      </c>
      <c r="D104" s="2399" t="s">
        <v>4425</v>
      </c>
      <c r="E104" s="621" t="s">
        <v>4420</v>
      </c>
      <c r="F104" s="640">
        <v>36</v>
      </c>
      <c r="G104" s="641" t="s">
        <v>4417</v>
      </c>
      <c r="H104" s="1882">
        <f>見積比較!O$184</f>
        <v>580</v>
      </c>
      <c r="I104" s="1883">
        <f t="shared" si="6"/>
        <v>20880</v>
      </c>
      <c r="J104" s="2391" t="s">
        <v>4418</v>
      </c>
      <c r="K104" s="2351"/>
      <c r="L104" s="2356"/>
      <c r="M104" s="1917" t="s">
        <v>4207</v>
      </c>
      <c r="N104" s="603" t="s">
        <v>4208</v>
      </c>
      <c r="O104" s="597">
        <v>0</v>
      </c>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v>4</v>
      </c>
      <c r="B105" s="36">
        <v>4</v>
      </c>
      <c r="C105" s="1911">
        <v>756</v>
      </c>
      <c r="D105" s="2399" t="s">
        <v>4426</v>
      </c>
      <c r="E105" s="621" t="s">
        <v>4422</v>
      </c>
      <c r="F105" s="640">
        <v>32</v>
      </c>
      <c r="G105" s="641" t="s">
        <v>4174</v>
      </c>
      <c r="H105" s="1882">
        <f>見積比較!O$186</f>
        <v>520</v>
      </c>
      <c r="I105" s="1883">
        <f t="shared" si="6"/>
        <v>16640</v>
      </c>
      <c r="J105" s="2391" t="s">
        <v>4418</v>
      </c>
      <c r="K105" s="2351"/>
      <c r="L105" s="2356"/>
      <c r="M105" s="1917" t="s">
        <v>4207</v>
      </c>
      <c r="N105" s="603" t="s">
        <v>4208</v>
      </c>
      <c r="O105" s="597">
        <v>0</v>
      </c>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v>4</v>
      </c>
      <c r="B106" s="36">
        <v>4</v>
      </c>
      <c r="C106" s="1911">
        <v>757</v>
      </c>
      <c r="D106" s="2399" t="s">
        <v>4426</v>
      </c>
      <c r="E106" s="621" t="s">
        <v>4203</v>
      </c>
      <c r="F106" s="640">
        <v>8</v>
      </c>
      <c r="G106" s="641" t="s">
        <v>4174</v>
      </c>
      <c r="H106" s="1882">
        <f>見積比較!O$188</f>
        <v>1170</v>
      </c>
      <c r="I106" s="1883">
        <f t="shared" si="6"/>
        <v>9360</v>
      </c>
      <c r="J106" s="2391" t="s">
        <v>4418</v>
      </c>
      <c r="K106" s="2351"/>
      <c r="L106" s="2356"/>
      <c r="M106" s="1917" t="s">
        <v>4207</v>
      </c>
      <c r="N106" s="603" t="s">
        <v>4208</v>
      </c>
      <c r="O106" s="597">
        <v>0</v>
      </c>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c r="B107" s="36"/>
      <c r="C107" s="1911"/>
      <c r="D107" s="2399"/>
      <c r="E107" s="621"/>
      <c r="F107" s="640"/>
      <c r="G107" s="641"/>
      <c r="H107" s="1882"/>
      <c r="I107" s="1883"/>
      <c r="J107" s="2391"/>
      <c r="K107" s="2351"/>
      <c r="L107" s="2356"/>
      <c r="M107" s="1917"/>
      <c r="N107" s="603"/>
      <c r="O107" s="597"/>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v>4</v>
      </c>
      <c r="B108" s="36">
        <v>4</v>
      </c>
      <c r="C108" s="1911">
        <v>758</v>
      </c>
      <c r="D108" s="2399" t="s">
        <v>4427</v>
      </c>
      <c r="E108" s="621"/>
      <c r="F108" s="640">
        <v>1</v>
      </c>
      <c r="G108" s="641" t="s">
        <v>119</v>
      </c>
      <c r="H108" s="1882">
        <f>見積比較!O$190</f>
        <v>227500</v>
      </c>
      <c r="I108" s="1883">
        <f>IF(F108="","",INT(F108*H108))</f>
        <v>227500</v>
      </c>
      <c r="J108" s="2391" t="s">
        <v>4428</v>
      </c>
      <c r="K108" s="2351"/>
      <c r="L108" s="2356"/>
      <c r="M108" s="1917" t="s">
        <v>4207</v>
      </c>
      <c r="N108" s="603" t="s">
        <v>4208</v>
      </c>
      <c r="O108" s="597">
        <v>0</v>
      </c>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c r="B109" s="36"/>
      <c r="C109" s="1911"/>
      <c r="D109" s="2399"/>
      <c r="E109" s="621"/>
      <c r="F109" s="640"/>
      <c r="G109" s="641"/>
      <c r="H109" s="1882"/>
      <c r="I109" s="1883"/>
      <c r="J109" s="2391"/>
      <c r="K109" s="2351"/>
      <c r="L109" s="2356"/>
      <c r="M109" s="1917"/>
      <c r="N109" s="603"/>
      <c r="O109" s="597"/>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911"/>
      <c r="D110" s="2399"/>
      <c r="E110" s="621"/>
      <c r="F110" s="640"/>
      <c r="G110" s="641"/>
      <c r="H110" s="1882"/>
      <c r="I110" s="1883"/>
      <c r="J110" s="2391"/>
      <c r="K110" s="2351"/>
      <c r="L110" s="2356"/>
      <c r="M110" s="1917"/>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911"/>
      <c r="D111" s="2399"/>
      <c r="E111" s="621"/>
      <c r="F111" s="640"/>
      <c r="G111" s="641"/>
      <c r="H111" s="1882"/>
      <c r="I111" s="1883"/>
      <c r="J111" s="2391"/>
      <c r="K111" s="2351"/>
      <c r="L111" s="2356"/>
      <c r="M111" s="1917"/>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911"/>
      <c r="D112" s="2399"/>
      <c r="E112" s="621"/>
      <c r="F112" s="640"/>
      <c r="G112" s="641"/>
      <c r="H112" s="1882"/>
      <c r="I112" s="1883"/>
      <c r="J112" s="2391"/>
      <c r="K112" s="2351"/>
      <c r="L112" s="2356"/>
      <c r="M112" s="1917"/>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911"/>
      <c r="D113" s="2399"/>
      <c r="E113" s="621"/>
      <c r="F113" s="640"/>
      <c r="G113" s="641"/>
      <c r="H113" s="1882"/>
      <c r="I113" s="1883"/>
      <c r="J113" s="2391"/>
      <c r="K113" s="2351"/>
      <c r="L113" s="2356"/>
      <c r="M113" s="1917"/>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388"/>
      <c r="E114" s="621"/>
      <c r="F114" s="640"/>
      <c r="G114" s="641"/>
      <c r="H114" s="1882"/>
      <c r="I114" s="1883" t="str">
        <f t="shared" si="5"/>
        <v/>
      </c>
      <c r="J114" s="2391"/>
      <c r="K114" s="2351"/>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388"/>
      <c r="E115" s="621"/>
      <c r="F115" s="640"/>
      <c r="G115" s="641"/>
      <c r="H115" s="1882"/>
      <c r="I115" s="1883" t="str">
        <f t="shared" si="5"/>
        <v/>
      </c>
      <c r="J115" s="2391"/>
      <c r="K115" s="2351"/>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362"/>
      <c r="D116" s="2363" t="s">
        <v>4144</v>
      </c>
      <c r="E116" s="2364"/>
      <c r="F116" s="2365"/>
      <c r="G116" s="2366"/>
      <c r="H116" s="2382" t="s">
        <v>4131</v>
      </c>
      <c r="I116" s="2368">
        <f>SUM(I98:I115)</f>
        <v>399700</v>
      </c>
      <c r="J116" s="2383" t="str">
        <f>IF(C97="部分撤去工事","）うち費用",")")</f>
        <v>)</v>
      </c>
      <c r="K116" s="2393">
        <f>IF(C97="部分撤去工事",(K93+L116),0)</f>
        <v>0</v>
      </c>
      <c r="L116" s="2384">
        <f>IF(C97="部分撤去工事",SUMIF(N98:N115,"費用",I98:I115),0)</f>
        <v>0</v>
      </c>
      <c r="M116" s="2394"/>
      <c r="N116" s="2400"/>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45</v>
      </c>
      <c r="G117" s="103" t="s">
        <v>131</v>
      </c>
      <c r="H117" s="104">
        <f>+H94</f>
        <v>69</v>
      </c>
      <c r="I117" s="104"/>
      <c r="M117" s="598" t="str">
        <f>IF(A119="","EOL","")</f>
        <v>EOL</v>
      </c>
      <c r="N117" s="1">
        <f>+F117</f>
        <v>45</v>
      </c>
      <c r="Q117" s="37"/>
      <c r="R117" s="37"/>
      <c r="S117" s="37"/>
      <c r="T117" s="37"/>
      <c r="U117" s="37"/>
      <c r="V117" s="37"/>
      <c r="W117" s="37"/>
      <c r="X117" s="37"/>
      <c r="Y117" s="37"/>
      <c r="Z117" s="37"/>
    </row>
    <row r="118" spans="1:35" ht="26.1" customHeight="1">
      <c r="O118" s="185"/>
      <c r="P118" s="185"/>
      <c r="Q118" s="185"/>
      <c r="R118" s="185"/>
      <c r="S118" s="185"/>
      <c r="T118" s="185"/>
      <c r="U118" s="185"/>
      <c r="V118" s="185"/>
      <c r="W118" s="185"/>
      <c r="X118" s="185"/>
      <c r="Y118" s="185"/>
      <c r="Z118" s="185"/>
      <c r="AA118" s="185"/>
    </row>
    <row r="119" spans="1:35" ht="26.1" customHeight="1">
      <c r="O119" s="1990"/>
      <c r="P119" s="1990"/>
      <c r="Q119" s="181"/>
      <c r="R119" s="182"/>
      <c r="S119" s="183"/>
      <c r="T119" s="183"/>
      <c r="U119" s="181"/>
      <c r="V119" s="181"/>
      <c r="W119" s="183"/>
      <c r="X119" s="1990"/>
      <c r="Y119" s="1990"/>
      <c r="Z119" s="1990"/>
      <c r="AA119" s="1990"/>
    </row>
    <row r="120" spans="1:35" ht="26.1" customHeight="1">
      <c r="O120" s="184"/>
      <c r="P120" s="184"/>
      <c r="Q120" s="181"/>
      <c r="R120" s="181"/>
      <c r="S120" s="181"/>
      <c r="T120" s="181"/>
      <c r="U120" s="181"/>
      <c r="V120" s="181"/>
      <c r="W120" s="181"/>
      <c r="X120" s="181"/>
      <c r="Y120" s="181"/>
      <c r="Z120" s="181"/>
      <c r="AA120" s="181"/>
    </row>
    <row r="121" spans="1:35" ht="26.1" customHeight="1">
      <c r="O121" s="184"/>
      <c r="P121" s="184"/>
      <c r="Q121" s="181"/>
      <c r="R121" s="181"/>
      <c r="S121" s="181"/>
      <c r="T121" s="181"/>
      <c r="U121" s="181"/>
      <c r="V121" s="181"/>
      <c r="W121" s="181"/>
      <c r="X121" s="181"/>
      <c r="Y121" s="181"/>
      <c r="Z121" s="181"/>
      <c r="AA121" s="181"/>
    </row>
    <row r="122" spans="1:35" ht="26.1" customHeight="1">
      <c r="O122" s="184"/>
      <c r="P122" s="184"/>
      <c r="Q122" s="181"/>
      <c r="R122" s="181"/>
      <c r="S122" s="181"/>
      <c r="T122" s="181"/>
      <c r="U122" s="181"/>
      <c r="V122" s="181"/>
      <c r="W122" s="181"/>
      <c r="X122" s="181"/>
      <c r="Y122" s="181"/>
      <c r="Z122" s="181"/>
      <c r="AA122" s="181"/>
    </row>
    <row r="123" spans="1:35" ht="26.1" customHeight="1">
      <c r="O123" s="184"/>
      <c r="P123" s="184"/>
      <c r="Q123" s="181"/>
      <c r="R123" s="181"/>
      <c r="S123" s="181"/>
      <c r="T123" s="181"/>
      <c r="U123" s="181"/>
      <c r="V123" s="181"/>
      <c r="W123" s="181"/>
      <c r="X123" s="181"/>
      <c r="Y123" s="181"/>
      <c r="Z123" s="181"/>
      <c r="AA123" s="181"/>
    </row>
    <row r="124" spans="1:35" ht="26.1" customHeight="1">
      <c r="O124" s="184"/>
      <c r="P124" s="184"/>
      <c r="Q124" s="181"/>
      <c r="R124" s="181"/>
      <c r="S124" s="181"/>
      <c r="T124" s="181"/>
      <c r="U124" s="181"/>
      <c r="V124" s="181"/>
      <c r="W124" s="181"/>
      <c r="X124" s="181"/>
      <c r="Y124" s="181"/>
      <c r="Z124" s="181"/>
      <c r="AA124" s="181"/>
    </row>
    <row r="125" spans="1:35" ht="26.1" customHeight="1">
      <c r="O125" s="184"/>
      <c r="P125" s="184"/>
      <c r="Q125" s="181"/>
      <c r="R125" s="181"/>
      <c r="S125" s="181"/>
      <c r="T125" s="181"/>
      <c r="U125" s="181"/>
      <c r="V125" s="181"/>
      <c r="W125" s="181"/>
      <c r="X125" s="181"/>
      <c r="Y125" s="181"/>
      <c r="Z125" s="181"/>
      <c r="AA125" s="181"/>
    </row>
    <row r="126" spans="1:35" ht="26.1" customHeight="1">
      <c r="O126" s="184"/>
      <c r="P126" s="184"/>
      <c r="Q126" s="181"/>
      <c r="R126" s="181"/>
      <c r="S126" s="181"/>
      <c r="T126" s="181"/>
      <c r="U126" s="181"/>
      <c r="V126" s="181"/>
      <c r="W126" s="181"/>
      <c r="X126" s="181"/>
      <c r="Y126" s="181"/>
      <c r="Z126" s="181"/>
      <c r="AA126" s="181"/>
    </row>
    <row r="127" spans="1:35" ht="26.1" customHeight="1">
      <c r="O127" s="184"/>
      <c r="P127" s="184"/>
      <c r="Q127" s="181"/>
      <c r="R127" s="181"/>
      <c r="S127" s="181"/>
      <c r="T127" s="181"/>
      <c r="U127" s="181"/>
      <c r="V127" s="181"/>
      <c r="W127" s="181"/>
      <c r="X127" s="181"/>
      <c r="Y127" s="181"/>
      <c r="Z127" s="181"/>
      <c r="AA127" s="181"/>
    </row>
    <row r="128" spans="1:35" ht="26.1" customHeight="1">
      <c r="O128" s="184"/>
      <c r="P128" s="184"/>
      <c r="Q128" s="181"/>
      <c r="R128" s="181"/>
      <c r="S128" s="181"/>
      <c r="T128" s="181"/>
      <c r="U128" s="181"/>
      <c r="V128" s="181"/>
      <c r="W128" s="181"/>
      <c r="X128" s="181"/>
      <c r="Y128" s="181"/>
      <c r="Z128" s="181"/>
      <c r="AA128" s="181"/>
    </row>
    <row r="129" spans="15:27" ht="26.1" customHeight="1">
      <c r="O129" s="184"/>
      <c r="P129" s="184"/>
      <c r="Q129" s="181"/>
      <c r="R129" s="181"/>
      <c r="S129" s="181"/>
      <c r="T129" s="181"/>
      <c r="U129" s="181"/>
      <c r="V129" s="181"/>
      <c r="W129" s="181"/>
      <c r="X129" s="181"/>
      <c r="Y129" s="181"/>
      <c r="Z129" s="181"/>
      <c r="AA129" s="181"/>
    </row>
    <row r="130" spans="15:27" ht="26.1" customHeight="1">
      <c r="O130" s="184"/>
      <c r="P130" s="184"/>
      <c r="Q130" s="181"/>
      <c r="R130" s="181"/>
      <c r="S130" s="181"/>
      <c r="T130" s="181"/>
      <c r="U130" s="181"/>
      <c r="V130" s="181"/>
      <c r="W130" s="181"/>
      <c r="X130" s="181"/>
      <c r="Y130" s="181"/>
      <c r="Z130" s="181"/>
      <c r="AA130" s="181"/>
    </row>
    <row r="131" spans="15:27" ht="26.1" customHeight="1">
      <c r="O131" s="184"/>
      <c r="P131" s="184"/>
      <c r="Q131" s="181"/>
      <c r="R131" s="181"/>
      <c r="S131" s="181"/>
      <c r="T131" s="181"/>
      <c r="U131" s="181"/>
      <c r="V131" s="181"/>
      <c r="W131" s="181"/>
      <c r="X131" s="181"/>
      <c r="Y131" s="181"/>
      <c r="Z131" s="181"/>
      <c r="AA131" s="181"/>
    </row>
    <row r="132" spans="15:27" ht="26.1" customHeight="1">
      <c r="O132" s="184"/>
      <c r="P132" s="184"/>
      <c r="Q132" s="181"/>
      <c r="R132" s="181"/>
      <c r="S132" s="181"/>
      <c r="T132" s="181"/>
      <c r="U132" s="181"/>
      <c r="V132" s="181"/>
      <c r="W132" s="181"/>
      <c r="X132" s="181"/>
      <c r="Y132" s="181"/>
      <c r="Z132" s="181"/>
      <c r="AA132" s="181"/>
    </row>
    <row r="133" spans="15:27" ht="26.1" customHeight="1">
      <c r="O133" s="184"/>
      <c r="P133" s="184"/>
      <c r="Q133" s="181"/>
      <c r="R133" s="181"/>
      <c r="S133" s="181"/>
      <c r="T133" s="181"/>
      <c r="U133" s="181"/>
      <c r="V133" s="181"/>
      <c r="W133" s="181"/>
      <c r="X133" s="181"/>
      <c r="Y133" s="181"/>
      <c r="Z133" s="181"/>
      <c r="AA133" s="181"/>
    </row>
    <row r="134" spans="15:27" ht="26.1" customHeight="1">
      <c r="O134" s="184"/>
      <c r="P134" s="184"/>
      <c r="Q134" s="181"/>
      <c r="R134" s="181"/>
      <c r="S134" s="181"/>
      <c r="T134" s="181"/>
      <c r="U134" s="181"/>
      <c r="V134" s="181"/>
      <c r="W134" s="181"/>
      <c r="X134" s="181"/>
      <c r="Y134" s="181"/>
      <c r="Z134" s="181"/>
      <c r="AA134" s="181"/>
    </row>
    <row r="135" spans="15:27" ht="26.1" customHeight="1">
      <c r="O135" s="184"/>
      <c r="P135" s="184"/>
      <c r="Q135" s="181"/>
      <c r="R135" s="181"/>
      <c r="S135" s="181"/>
      <c r="T135" s="181"/>
      <c r="U135" s="181"/>
      <c r="V135" s="181"/>
      <c r="W135" s="181"/>
      <c r="X135" s="181"/>
      <c r="Y135" s="181"/>
      <c r="Z135" s="181"/>
      <c r="AA135" s="181"/>
    </row>
    <row r="136" spans="15:27" ht="26.1" customHeight="1">
      <c r="O136" s="184"/>
      <c r="P136" s="184"/>
      <c r="Q136" s="181"/>
      <c r="R136" s="181"/>
      <c r="S136" s="181"/>
      <c r="T136" s="181"/>
      <c r="U136" s="181"/>
      <c r="V136" s="181"/>
      <c r="W136" s="181"/>
      <c r="X136" s="181"/>
      <c r="Y136" s="181"/>
      <c r="Z136" s="181"/>
      <c r="AA136" s="181"/>
    </row>
    <row r="137" spans="15:27" ht="26.1" customHeight="1">
      <c r="O137" s="184"/>
      <c r="P137" s="184"/>
      <c r="Q137" s="181"/>
      <c r="R137" s="181"/>
      <c r="S137" s="181"/>
      <c r="T137" s="181"/>
      <c r="U137" s="181"/>
      <c r="V137" s="181"/>
      <c r="W137" s="181"/>
      <c r="X137" s="181"/>
      <c r="Y137" s="181"/>
      <c r="Z137" s="181"/>
      <c r="AA137" s="181"/>
    </row>
    <row r="138" spans="15:27" ht="26.1" customHeight="1">
      <c r="O138" s="184"/>
      <c r="P138" s="184"/>
      <c r="Q138" s="181"/>
      <c r="R138" s="181"/>
      <c r="S138" s="181"/>
      <c r="T138" s="181"/>
      <c r="U138" s="181"/>
      <c r="V138" s="181"/>
      <c r="W138" s="181"/>
      <c r="X138" s="181"/>
      <c r="Y138" s="181"/>
      <c r="Z138" s="181"/>
      <c r="AA138" s="181"/>
    </row>
    <row r="139" spans="15:27" ht="26.1" customHeight="1">
      <c r="O139" s="184"/>
      <c r="P139" s="184"/>
      <c r="Q139" s="181"/>
      <c r="R139" s="181"/>
      <c r="S139" s="181"/>
      <c r="T139" s="181"/>
      <c r="U139" s="181"/>
      <c r="V139" s="181"/>
      <c r="W139" s="181"/>
      <c r="X139" s="181"/>
      <c r="Y139" s="181"/>
      <c r="Z139" s="181"/>
      <c r="AA139" s="181"/>
    </row>
    <row r="140" spans="15:27" ht="26.1" customHeight="1">
      <c r="O140" s="1"/>
      <c r="P140" s="1"/>
    </row>
  </sheetData>
  <mergeCells count="19">
    <mergeCell ref="C3:L3"/>
    <mergeCell ref="O3:AH3"/>
    <mergeCell ref="J4:L4"/>
    <mergeCell ref="J5:L5"/>
    <mergeCell ref="C26:L26"/>
    <mergeCell ref="O26:AH26"/>
    <mergeCell ref="J97:L97"/>
    <mergeCell ref="J27:L27"/>
    <mergeCell ref="C49:L49"/>
    <mergeCell ref="O49:AH49"/>
    <mergeCell ref="J50:L50"/>
    <mergeCell ref="J51:L51"/>
    <mergeCell ref="C72:L72"/>
    <mergeCell ref="O72:AH72"/>
    <mergeCell ref="J73:L73"/>
    <mergeCell ref="J74:L74"/>
    <mergeCell ref="C95:L95"/>
    <mergeCell ref="O95:AH95"/>
    <mergeCell ref="J96:L96"/>
  </mergeCells>
  <phoneticPr fontId="2"/>
  <dataValidations count="1">
    <dataValidation type="list" allowBlank="1" showInputMessage="1" showErrorMessage="1" prompt="費用/建物附属設備/工具・器具・備品の場合、選択してください。" sqref="N75:N92 N98:N115" xr:uid="{00000000-0002-0000-0F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26" orientation="portrait" r:id="rId1"/>
  <headerFooter alignWithMargins="0"/>
  <rowBreaks count="1" manualBreakCount="1">
    <brk id="2" max="16383"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99"/>
  </sheetPr>
  <dimension ref="A1:O214"/>
  <sheetViews>
    <sheetView view="pageBreakPreview" zoomScale="85" zoomScaleNormal="40" zoomScaleSheetLayoutView="85" workbookViewId="0"/>
  </sheetViews>
  <sheetFormatPr defaultColWidth="9" defaultRowHeight="13.5" customHeight="1"/>
  <cols>
    <col min="1" max="1" width="2.5" style="654" customWidth="1"/>
    <col min="2" max="2" width="3.5" style="654" customWidth="1"/>
    <col min="3" max="3" width="21.5" style="654" customWidth="1"/>
    <col min="4" max="4" width="4" style="654" customWidth="1"/>
    <col min="5" max="5" width="5.375" style="654" customWidth="1"/>
    <col min="6" max="6" width="17.625" style="654" customWidth="1"/>
    <col min="7" max="14" width="14.125" style="1046" customWidth="1"/>
    <col min="15" max="16384" width="9" style="654"/>
  </cols>
  <sheetData>
    <row r="1" spans="1:15" ht="13.5" customHeight="1">
      <c r="A1" s="645"/>
      <c r="B1" s="645"/>
      <c r="C1" s="646"/>
      <c r="D1" s="646"/>
      <c r="E1" s="647" t="s">
        <v>242</v>
      </c>
      <c r="F1" s="648" t="s">
        <v>4429</v>
      </c>
      <c r="G1" s="649"/>
      <c r="H1" s="650"/>
      <c r="I1" s="651"/>
      <c r="J1" s="651"/>
      <c r="K1" s="2514">
        <v>44197</v>
      </c>
      <c r="L1" s="651"/>
      <c r="M1" s="652" t="s">
        <v>3938</v>
      </c>
      <c r="N1" s="653" t="s">
        <v>3939</v>
      </c>
    </row>
    <row r="2" spans="1:15" ht="13.5" customHeight="1">
      <c r="A2" s="655"/>
      <c r="B2" s="655"/>
      <c r="C2" s="656" t="s">
        <v>3940</v>
      </c>
      <c r="D2" s="657"/>
      <c r="E2" s="646"/>
      <c r="F2" s="645"/>
      <c r="G2" s="658"/>
      <c r="H2" s="651"/>
      <c r="I2" s="654"/>
      <c r="J2" s="651"/>
      <c r="K2" s="651"/>
      <c r="L2" s="651"/>
      <c r="M2" s="645"/>
      <c r="N2" s="659"/>
    </row>
    <row r="3" spans="1:15" s="668" customFormat="1" ht="13.5" customHeight="1">
      <c r="A3" s="660"/>
      <c r="B3" s="661"/>
      <c r="C3" s="662" t="s">
        <v>3941</v>
      </c>
      <c r="D3" s="663"/>
      <c r="E3" s="664"/>
      <c r="F3" s="665" t="s">
        <v>3942</v>
      </c>
      <c r="G3" s="666">
        <v>16.600000000000001</v>
      </c>
      <c r="H3" s="666">
        <v>11</v>
      </c>
      <c r="I3" s="666">
        <v>16.600000000000001</v>
      </c>
      <c r="J3" s="666"/>
      <c r="K3" s="666"/>
      <c r="L3" s="666"/>
      <c r="M3" s="666"/>
      <c r="N3" s="667"/>
    </row>
    <row r="4" spans="1:15" s="668" customFormat="1" ht="13.5" customHeight="1">
      <c r="A4" s="669"/>
      <c r="B4" s="670"/>
      <c r="C4" s="671" t="s">
        <v>3943</v>
      </c>
      <c r="D4" s="672"/>
      <c r="E4" s="673"/>
      <c r="F4" s="674" t="s">
        <v>3944</v>
      </c>
      <c r="G4" s="675" t="s">
        <v>3945</v>
      </c>
      <c r="H4" s="675" t="s">
        <v>4094</v>
      </c>
      <c r="I4" s="675" t="s">
        <v>4094</v>
      </c>
      <c r="J4" s="675"/>
      <c r="K4" s="675"/>
      <c r="L4" s="675"/>
      <c r="M4" s="675"/>
      <c r="N4" s="676"/>
    </row>
    <row r="5" spans="1:15" ht="13.5" customHeight="1">
      <c r="A5" s="669"/>
      <c r="B5" s="670"/>
      <c r="C5" s="670" t="s">
        <v>3946</v>
      </c>
      <c r="D5" s="670"/>
      <c r="E5" s="677" t="s">
        <v>65</v>
      </c>
      <c r="F5" s="678" t="s">
        <v>3947</v>
      </c>
      <c r="G5" s="679" t="s">
        <v>149</v>
      </c>
      <c r="H5" s="679" t="s">
        <v>150</v>
      </c>
      <c r="I5" s="679" t="s">
        <v>151</v>
      </c>
      <c r="J5" s="679" t="s">
        <v>145</v>
      </c>
      <c r="K5" s="679" t="s">
        <v>147</v>
      </c>
      <c r="L5" s="679" t="s">
        <v>149</v>
      </c>
      <c r="M5" s="679" t="s">
        <v>150</v>
      </c>
      <c r="N5" s="680" t="s">
        <v>151</v>
      </c>
    </row>
    <row r="6" spans="1:15" ht="13.5" customHeight="1">
      <c r="A6" s="669"/>
      <c r="B6" s="670"/>
      <c r="C6" s="670" t="s">
        <v>3948</v>
      </c>
      <c r="D6" s="670"/>
      <c r="E6" s="677" t="s">
        <v>40</v>
      </c>
      <c r="F6" s="681" t="s">
        <v>3949</v>
      </c>
      <c r="G6" s="682" t="s">
        <v>173</v>
      </c>
      <c r="H6" s="683" t="s">
        <v>4095</v>
      </c>
      <c r="I6" s="683" t="s">
        <v>4097</v>
      </c>
      <c r="J6" s="683"/>
      <c r="K6" s="683"/>
      <c r="L6" s="683"/>
      <c r="M6" s="683"/>
      <c r="N6" s="684"/>
    </row>
    <row r="7" spans="1:15" s="689" customFormat="1" ht="13.5" customHeight="1">
      <c r="A7" s="685"/>
      <c r="B7" s="686"/>
      <c r="C7" s="2783" t="s">
        <v>3950</v>
      </c>
      <c r="D7" s="2783"/>
      <c r="E7" s="2783"/>
      <c r="F7" s="2784"/>
      <c r="G7" s="687" t="s">
        <v>3951</v>
      </c>
      <c r="H7" s="687" t="s">
        <v>3951</v>
      </c>
      <c r="I7" s="687" t="s">
        <v>3951</v>
      </c>
      <c r="J7" s="687" t="s">
        <v>3951</v>
      </c>
      <c r="K7" s="687" t="s">
        <v>3951</v>
      </c>
      <c r="L7" s="687" t="s">
        <v>3951</v>
      </c>
      <c r="M7" s="687" t="s">
        <v>3951</v>
      </c>
      <c r="N7" s="688" t="s">
        <v>3951</v>
      </c>
    </row>
    <row r="8" spans="1:15" s="689" customFormat="1" ht="30" customHeight="1">
      <c r="A8" s="2640" t="s">
        <v>3952</v>
      </c>
      <c r="B8" s="2641"/>
      <c r="C8" s="2641"/>
      <c r="D8" s="2641"/>
      <c r="E8" s="2641"/>
      <c r="F8" s="2642"/>
      <c r="G8" s="690" t="s">
        <v>3953</v>
      </c>
      <c r="H8" s="690" t="s">
        <v>3953</v>
      </c>
      <c r="I8" s="690" t="s">
        <v>3953</v>
      </c>
      <c r="J8" s="690" t="s">
        <v>3953</v>
      </c>
      <c r="K8" s="690" t="s">
        <v>3953</v>
      </c>
      <c r="L8" s="690" t="s">
        <v>3953</v>
      </c>
      <c r="M8" s="690" t="s">
        <v>3953</v>
      </c>
      <c r="N8" s="691" t="s">
        <v>3953</v>
      </c>
      <c r="O8" s="689">
        <f>IF(AND(G8="有り",G9="無し"),0.72,IF(AND(G8="有り",G9="有り"),0.8,IF(AND(G8="無し",G9="無し"),0.9,IF(AND(G8="無し",G9="有り"),1,0))))</f>
        <v>0</v>
      </c>
    </row>
    <row r="9" spans="1:15" s="689" customFormat="1" ht="30" customHeight="1">
      <c r="A9" s="2643" t="s">
        <v>3954</v>
      </c>
      <c r="B9" s="2644"/>
      <c r="C9" s="2644"/>
      <c r="D9" s="2644"/>
      <c r="E9" s="2644"/>
      <c r="F9" s="2645"/>
      <c r="G9" s="692" t="s">
        <v>65</v>
      </c>
      <c r="H9" s="692" t="s">
        <v>65</v>
      </c>
      <c r="I9" s="692" t="s">
        <v>65</v>
      </c>
      <c r="J9" s="692" t="s">
        <v>65</v>
      </c>
      <c r="K9" s="692" t="s">
        <v>65</v>
      </c>
      <c r="L9" s="692" t="s">
        <v>65</v>
      </c>
      <c r="M9" s="692" t="s">
        <v>65</v>
      </c>
      <c r="N9" s="693" t="s">
        <v>65</v>
      </c>
    </row>
    <row r="10" spans="1:15" ht="13.5" customHeight="1">
      <c r="A10" s="660"/>
      <c r="B10" s="694" t="s">
        <v>3955</v>
      </c>
      <c r="C10" s="695"/>
      <c r="D10" s="695"/>
      <c r="E10" s="696"/>
      <c r="F10" s="697">
        <f>SUM(G10:N10)</f>
        <v>212777084</v>
      </c>
      <c r="G10" s="698">
        <f>+G11+G15</f>
        <v>44795961</v>
      </c>
      <c r="H10" s="698">
        <f t="shared" ref="H10:N10" si="0">+H11+H15</f>
        <v>28913934</v>
      </c>
      <c r="I10" s="698">
        <f t="shared" si="0"/>
        <v>139067189</v>
      </c>
      <c r="J10" s="698">
        <f>+J11+J15</f>
        <v>0</v>
      </c>
      <c r="K10" s="698">
        <f>+K11+K15</f>
        <v>0</v>
      </c>
      <c r="L10" s="698">
        <f t="shared" si="0"/>
        <v>0</v>
      </c>
      <c r="M10" s="698">
        <f t="shared" si="0"/>
        <v>0</v>
      </c>
      <c r="N10" s="699">
        <f t="shared" si="0"/>
        <v>0</v>
      </c>
    </row>
    <row r="11" spans="1:15" ht="13.5" customHeight="1">
      <c r="A11" s="669"/>
      <c r="B11" s="670"/>
      <c r="C11" s="700" t="s">
        <v>3956</v>
      </c>
      <c r="D11" s="701"/>
      <c r="E11" s="702"/>
      <c r="F11" s="703">
        <f>SUM(G11:N11)</f>
        <v>197831613</v>
      </c>
      <c r="G11" s="704">
        <f>+工事6!I16</f>
        <v>39763280</v>
      </c>
      <c r="H11" s="704">
        <f>+工事7!I16</f>
        <v>27426558</v>
      </c>
      <c r="I11" s="704">
        <f>+工事8!I16</f>
        <v>130641775</v>
      </c>
      <c r="J11" s="704"/>
      <c r="K11" s="704"/>
      <c r="L11" s="704"/>
      <c r="M11" s="704"/>
      <c r="N11" s="705"/>
    </row>
    <row r="12" spans="1:15" ht="13.5" customHeight="1">
      <c r="A12" s="669"/>
      <c r="B12" s="670"/>
      <c r="C12" s="706"/>
      <c r="D12" s="706"/>
      <c r="E12" s="707"/>
      <c r="F12" s="708" t="s">
        <v>3957</v>
      </c>
      <c r="G12" s="709">
        <f>SUM(G104:G113)</f>
        <v>3754283</v>
      </c>
      <c r="H12" s="709">
        <f t="shared" ref="H12:N12" si="1">SUM(H104:H113)</f>
        <v>13658</v>
      </c>
      <c r="I12" s="709">
        <f t="shared" si="1"/>
        <v>2514930</v>
      </c>
      <c r="J12" s="709">
        <f>SUM(J104:J113)</f>
        <v>0</v>
      </c>
      <c r="K12" s="709">
        <f>SUM(K104:K113)</f>
        <v>0</v>
      </c>
      <c r="L12" s="709">
        <f t="shared" si="1"/>
        <v>0</v>
      </c>
      <c r="M12" s="709">
        <f t="shared" si="1"/>
        <v>0</v>
      </c>
      <c r="N12" s="710">
        <f t="shared" si="1"/>
        <v>0</v>
      </c>
    </row>
    <row r="13" spans="1:15" ht="13.5" customHeight="1">
      <c r="A13" s="669"/>
      <c r="B13" s="670"/>
      <c r="C13" s="706"/>
      <c r="D13" s="706"/>
      <c r="E13" s="707"/>
      <c r="F13" s="708" t="s">
        <v>3958</v>
      </c>
      <c r="G13" s="709">
        <f>SUM(G150:G152)</f>
        <v>0</v>
      </c>
      <c r="H13" s="709">
        <f t="shared" ref="H13:N13" si="2">SUM(H150:H152)</f>
        <v>0</v>
      </c>
      <c r="I13" s="709">
        <f t="shared" si="2"/>
        <v>0</v>
      </c>
      <c r="J13" s="709">
        <f>SUM(J150:J152)</f>
        <v>0</v>
      </c>
      <c r="K13" s="709">
        <f>SUM(K150:K152)</f>
        <v>0</v>
      </c>
      <c r="L13" s="709">
        <f t="shared" si="2"/>
        <v>0</v>
      </c>
      <c r="M13" s="709">
        <f t="shared" si="2"/>
        <v>0</v>
      </c>
      <c r="N13" s="710">
        <f t="shared" si="2"/>
        <v>0</v>
      </c>
    </row>
    <row r="14" spans="1:15" ht="13.5" customHeight="1">
      <c r="A14" s="669"/>
      <c r="B14" s="670"/>
      <c r="C14" s="706"/>
      <c r="D14" s="706"/>
      <c r="E14" s="707"/>
      <c r="F14" s="711" t="s">
        <v>3959</v>
      </c>
      <c r="G14" s="709">
        <f>+G53</f>
        <v>0</v>
      </c>
      <c r="H14" s="709">
        <f t="shared" ref="H14:N14" si="3">+H53</f>
        <v>0</v>
      </c>
      <c r="I14" s="709">
        <f t="shared" si="3"/>
        <v>0</v>
      </c>
      <c r="J14" s="709">
        <f t="shared" si="3"/>
        <v>0</v>
      </c>
      <c r="K14" s="709">
        <f>+K53</f>
        <v>0</v>
      </c>
      <c r="L14" s="709">
        <f t="shared" si="3"/>
        <v>0</v>
      </c>
      <c r="M14" s="709">
        <f t="shared" si="3"/>
        <v>0</v>
      </c>
      <c r="N14" s="710">
        <f t="shared" si="3"/>
        <v>0</v>
      </c>
    </row>
    <row r="15" spans="1:15" s="719" customFormat="1" ht="13.5" customHeight="1">
      <c r="A15" s="712"/>
      <c r="B15" s="713"/>
      <c r="C15" s="714" t="s">
        <v>3960</v>
      </c>
      <c r="D15" s="714"/>
      <c r="E15" s="715"/>
      <c r="F15" s="716">
        <f t="shared" ref="F15:F32" si="4">SUM(G15:N15)</f>
        <v>14945471</v>
      </c>
      <c r="G15" s="1884">
        <f>G16+G17</f>
        <v>5032681</v>
      </c>
      <c r="H15" s="1884">
        <f t="shared" ref="H15:N15" si="5">H16+H17</f>
        <v>1487376</v>
      </c>
      <c r="I15" s="1884">
        <f t="shared" si="5"/>
        <v>8425414</v>
      </c>
      <c r="J15" s="717">
        <f t="shared" si="5"/>
        <v>0</v>
      </c>
      <c r="K15" s="717">
        <f>K16+K17</f>
        <v>0</v>
      </c>
      <c r="L15" s="717">
        <f t="shared" si="5"/>
        <v>0</v>
      </c>
      <c r="M15" s="717">
        <f t="shared" si="5"/>
        <v>0</v>
      </c>
      <c r="N15" s="718">
        <f t="shared" si="5"/>
        <v>0</v>
      </c>
    </row>
    <row r="16" spans="1:15" s="719" customFormat="1" ht="13.5" customHeight="1">
      <c r="A16" s="712"/>
      <c r="B16" s="713"/>
      <c r="C16" s="720" t="s">
        <v>3961</v>
      </c>
      <c r="D16" s="714"/>
      <c r="E16" s="715"/>
      <c r="F16" s="708">
        <f t="shared" si="4"/>
        <v>6075201</v>
      </c>
      <c r="G16" s="1885">
        <f t="shared" ref="G16:N16" si="6">IF(G7="積上げ",0,G93)</f>
        <v>1189666</v>
      </c>
      <c r="H16" s="1885">
        <f t="shared" si="6"/>
        <v>764819</v>
      </c>
      <c r="I16" s="1885">
        <f t="shared" si="6"/>
        <v>4120716</v>
      </c>
      <c r="J16" s="717">
        <f t="shared" si="6"/>
        <v>0</v>
      </c>
      <c r="K16" s="717">
        <f>IF(K7="積上げ",0,K93)</f>
        <v>0</v>
      </c>
      <c r="L16" s="717">
        <f t="shared" si="6"/>
        <v>0</v>
      </c>
      <c r="M16" s="717">
        <f t="shared" si="6"/>
        <v>0</v>
      </c>
      <c r="N16" s="718">
        <f t="shared" si="6"/>
        <v>0</v>
      </c>
    </row>
    <row r="17" spans="1:14" ht="13.5" customHeight="1">
      <c r="A17" s="669"/>
      <c r="B17" s="670"/>
      <c r="C17" s="720" t="s">
        <v>3962</v>
      </c>
      <c r="D17" s="714"/>
      <c r="E17" s="707"/>
      <c r="F17" s="708">
        <f t="shared" si="4"/>
        <v>8870270</v>
      </c>
      <c r="G17" s="721">
        <f>+工事6!I45</f>
        <v>3843015</v>
      </c>
      <c r="H17" s="721">
        <f>+工事7!I45</f>
        <v>722557</v>
      </c>
      <c r="I17" s="721">
        <f>+工事8!I45</f>
        <v>4304698</v>
      </c>
      <c r="J17" s="721"/>
      <c r="K17" s="721"/>
      <c r="L17" s="721"/>
      <c r="M17" s="721"/>
      <c r="N17" s="722"/>
    </row>
    <row r="18" spans="1:14" ht="13.5" customHeight="1">
      <c r="A18" s="669"/>
      <c r="B18" s="670"/>
      <c r="C18" s="723" t="s">
        <v>3963</v>
      </c>
      <c r="D18" s="714"/>
      <c r="E18" s="707"/>
      <c r="F18" s="708">
        <f t="shared" si="4"/>
        <v>0</v>
      </c>
      <c r="G18" s="721"/>
      <c r="H18" s="721"/>
      <c r="I18" s="721"/>
      <c r="J18" s="721"/>
      <c r="K18" s="721"/>
      <c r="L18" s="721"/>
      <c r="M18" s="721"/>
      <c r="N18" s="722"/>
    </row>
    <row r="19" spans="1:14" ht="13.5" customHeight="1">
      <c r="A19" s="669"/>
      <c r="B19" s="670"/>
      <c r="C19" s="724" t="s">
        <v>3964</v>
      </c>
      <c r="D19" s="725"/>
      <c r="E19" s="726"/>
      <c r="F19" s="727">
        <f t="shared" si="4"/>
        <v>0</v>
      </c>
      <c r="G19" s="728"/>
      <c r="H19" s="728"/>
      <c r="I19" s="728"/>
      <c r="J19" s="728"/>
      <c r="K19" s="728"/>
      <c r="L19" s="728"/>
      <c r="M19" s="728"/>
      <c r="N19" s="729"/>
    </row>
    <row r="20" spans="1:14" ht="13.5" customHeight="1">
      <c r="A20" s="730"/>
      <c r="B20" s="731"/>
      <c r="C20" s="732" t="s">
        <v>3965</v>
      </c>
      <c r="D20" s="733"/>
      <c r="E20" s="734"/>
      <c r="F20" s="735">
        <f t="shared" si="4"/>
        <v>0</v>
      </c>
      <c r="G20" s="736">
        <f>+G54</f>
        <v>0</v>
      </c>
      <c r="H20" s="736">
        <f t="shared" ref="H20:N20" si="7">+H54</f>
        <v>0</v>
      </c>
      <c r="I20" s="736">
        <f t="shared" si="7"/>
        <v>0</v>
      </c>
      <c r="J20" s="736">
        <f t="shared" si="7"/>
        <v>0</v>
      </c>
      <c r="K20" s="736">
        <f>+K54</f>
        <v>0</v>
      </c>
      <c r="L20" s="736">
        <f t="shared" si="7"/>
        <v>0</v>
      </c>
      <c r="M20" s="736">
        <f t="shared" si="7"/>
        <v>0</v>
      </c>
      <c r="N20" s="737">
        <f t="shared" si="7"/>
        <v>0</v>
      </c>
    </row>
    <row r="21" spans="1:14" ht="13.5" customHeight="1">
      <c r="A21" s="669"/>
      <c r="B21" s="725" t="s">
        <v>3966</v>
      </c>
      <c r="C21" s="725"/>
      <c r="D21" s="725"/>
      <c r="E21" s="726"/>
      <c r="F21" s="727">
        <f t="shared" si="4"/>
        <v>52922916</v>
      </c>
      <c r="G21" s="738">
        <f>G22+G27</f>
        <v>11022039</v>
      </c>
      <c r="H21" s="739">
        <f t="shared" ref="H21:N21" si="8">H22+H27</f>
        <v>6712066</v>
      </c>
      <c r="I21" s="739">
        <f t="shared" si="8"/>
        <v>35188811</v>
      </c>
      <c r="J21" s="739">
        <f t="shared" si="8"/>
        <v>0</v>
      </c>
      <c r="K21" s="739">
        <f>K22+K27</f>
        <v>0</v>
      </c>
      <c r="L21" s="739">
        <f t="shared" si="8"/>
        <v>0</v>
      </c>
      <c r="M21" s="739">
        <f t="shared" si="8"/>
        <v>0</v>
      </c>
      <c r="N21" s="740">
        <f t="shared" si="8"/>
        <v>0</v>
      </c>
    </row>
    <row r="22" spans="1:14" s="719" customFormat="1" ht="13.5" customHeight="1">
      <c r="A22" s="712"/>
      <c r="B22" s="713"/>
      <c r="C22" s="741" t="s">
        <v>3967</v>
      </c>
      <c r="D22" s="741"/>
      <c r="E22" s="742"/>
      <c r="F22" s="743">
        <f t="shared" si="4"/>
        <v>23273755</v>
      </c>
      <c r="G22" s="1918">
        <f>G23+G26</f>
        <v>4792956</v>
      </c>
      <c r="H22" s="1918">
        <f t="shared" ref="H22:N22" si="9">H23+H26</f>
        <v>2736856</v>
      </c>
      <c r="I22" s="1918">
        <f t="shared" si="9"/>
        <v>15743943</v>
      </c>
      <c r="J22" s="745">
        <f t="shared" si="9"/>
        <v>0</v>
      </c>
      <c r="K22" s="745">
        <f>K23+K26</f>
        <v>0</v>
      </c>
      <c r="L22" s="745">
        <f t="shared" si="9"/>
        <v>0</v>
      </c>
      <c r="M22" s="745">
        <f t="shared" si="9"/>
        <v>0</v>
      </c>
      <c r="N22" s="746">
        <f t="shared" si="9"/>
        <v>0</v>
      </c>
    </row>
    <row r="23" spans="1:14" s="719" customFormat="1" ht="13.5" customHeight="1">
      <c r="A23" s="712"/>
      <c r="B23" s="713"/>
      <c r="C23" s="2197" t="s">
        <v>3968</v>
      </c>
      <c r="D23" s="2197"/>
      <c r="E23" s="747"/>
      <c r="F23" s="716">
        <f t="shared" si="4"/>
        <v>23273755</v>
      </c>
      <c r="G23" s="748">
        <f>SUM(G24:G25)-G26</f>
        <v>4792956</v>
      </c>
      <c r="H23" s="749">
        <f t="shared" ref="H23:N23" si="10">SUM(H24:H25)-H26</f>
        <v>2736856</v>
      </c>
      <c r="I23" s="749">
        <f t="shared" si="10"/>
        <v>15743943</v>
      </c>
      <c r="J23" s="749">
        <f t="shared" si="10"/>
        <v>0</v>
      </c>
      <c r="K23" s="749">
        <f>SUM(K24:K25)-K26</f>
        <v>0</v>
      </c>
      <c r="L23" s="749">
        <f t="shared" si="10"/>
        <v>0</v>
      </c>
      <c r="M23" s="749">
        <f t="shared" si="10"/>
        <v>0</v>
      </c>
      <c r="N23" s="750">
        <f t="shared" si="10"/>
        <v>0</v>
      </c>
    </row>
    <row r="24" spans="1:14" s="719" customFormat="1" ht="12.75" customHeight="1">
      <c r="A24" s="712"/>
      <c r="B24" s="713"/>
      <c r="C24" s="751" t="s">
        <v>3969</v>
      </c>
      <c r="D24" s="751"/>
      <c r="E24" s="715"/>
      <c r="F24" s="716">
        <f t="shared" si="4"/>
        <v>23160157</v>
      </c>
      <c r="G24" s="752">
        <f>SUM(G119:G121)+G117</f>
        <v>4719792</v>
      </c>
      <c r="H24" s="717">
        <f t="shared" ref="H24:N24" si="11">SUM(H119:H121)+H117</f>
        <v>2736856</v>
      </c>
      <c r="I24" s="717">
        <f t="shared" si="11"/>
        <v>15703509</v>
      </c>
      <c r="J24" s="717">
        <f t="shared" si="11"/>
        <v>0</v>
      </c>
      <c r="K24" s="717">
        <f>SUM(K119:K121)+K117</f>
        <v>0</v>
      </c>
      <c r="L24" s="717">
        <f t="shared" si="11"/>
        <v>0</v>
      </c>
      <c r="M24" s="717">
        <f t="shared" si="11"/>
        <v>0</v>
      </c>
      <c r="N24" s="718">
        <f t="shared" si="11"/>
        <v>0</v>
      </c>
    </row>
    <row r="25" spans="1:14" s="719" customFormat="1" ht="13.5" customHeight="1">
      <c r="A25" s="712"/>
      <c r="B25" s="713"/>
      <c r="C25" s="751" t="s">
        <v>3970</v>
      </c>
      <c r="D25" s="751"/>
      <c r="E25" s="715"/>
      <c r="F25" s="716">
        <f t="shared" si="4"/>
        <v>113598</v>
      </c>
      <c r="G25" s="752">
        <f>SUM(G122:G133)</f>
        <v>73164</v>
      </c>
      <c r="H25" s="717">
        <f t="shared" ref="H25:N25" si="12">SUM(H122:H133)</f>
        <v>0</v>
      </c>
      <c r="I25" s="717">
        <f t="shared" si="12"/>
        <v>40434</v>
      </c>
      <c r="J25" s="717">
        <f>SUM(J122:J133)</f>
        <v>0</v>
      </c>
      <c r="K25" s="717">
        <f>SUM(K122:K133)</f>
        <v>0</v>
      </c>
      <c r="L25" s="717">
        <f t="shared" si="12"/>
        <v>0</v>
      </c>
      <c r="M25" s="717">
        <f t="shared" si="12"/>
        <v>0</v>
      </c>
      <c r="N25" s="718">
        <f t="shared" si="12"/>
        <v>0</v>
      </c>
    </row>
    <row r="26" spans="1:14" ht="13.5" customHeight="1">
      <c r="A26" s="669"/>
      <c r="B26" s="670"/>
      <c r="C26" s="751" t="s">
        <v>3971</v>
      </c>
      <c r="D26" s="751"/>
      <c r="E26" s="707"/>
      <c r="F26" s="716">
        <f t="shared" si="4"/>
        <v>0</v>
      </c>
      <c r="G26" s="752">
        <f>+G131</f>
        <v>0</v>
      </c>
      <c r="H26" s="717">
        <f t="shared" ref="H26:N26" si="13">+H131</f>
        <v>0</v>
      </c>
      <c r="I26" s="717">
        <f t="shared" si="13"/>
        <v>0</v>
      </c>
      <c r="J26" s="717">
        <f t="shared" si="13"/>
        <v>0</v>
      </c>
      <c r="K26" s="717">
        <f>+K131</f>
        <v>0</v>
      </c>
      <c r="L26" s="717">
        <f t="shared" si="13"/>
        <v>0</v>
      </c>
      <c r="M26" s="717">
        <f t="shared" si="13"/>
        <v>0</v>
      </c>
      <c r="N26" s="718">
        <f t="shared" si="13"/>
        <v>0</v>
      </c>
    </row>
    <row r="27" spans="1:14" s="759" customFormat="1" ht="13.5" customHeight="1">
      <c r="A27" s="753"/>
      <c r="B27" s="754"/>
      <c r="C27" s="755" t="s">
        <v>3972</v>
      </c>
      <c r="D27" s="755"/>
      <c r="E27" s="756"/>
      <c r="F27" s="757">
        <f t="shared" si="4"/>
        <v>29649161</v>
      </c>
      <c r="G27" s="752">
        <f>SUM(G28:G31)</f>
        <v>6229083</v>
      </c>
      <c r="H27" s="752">
        <f t="shared" ref="H27:N27" si="14">SUM(H28:H31)</f>
        <v>3975210</v>
      </c>
      <c r="I27" s="752">
        <f t="shared" si="14"/>
        <v>19444868</v>
      </c>
      <c r="J27" s="752">
        <f t="shared" si="14"/>
        <v>0</v>
      </c>
      <c r="K27" s="752">
        <f t="shared" si="14"/>
        <v>0</v>
      </c>
      <c r="L27" s="752">
        <f t="shared" si="14"/>
        <v>0</v>
      </c>
      <c r="M27" s="752">
        <f t="shared" si="14"/>
        <v>0</v>
      </c>
      <c r="N27" s="758">
        <f t="shared" si="14"/>
        <v>0</v>
      </c>
    </row>
    <row r="28" spans="1:14" s="759" customFormat="1" ht="13.5" customHeight="1">
      <c r="A28" s="753"/>
      <c r="B28" s="754"/>
      <c r="C28" s="760" t="s">
        <v>3969</v>
      </c>
      <c r="D28" s="760"/>
      <c r="E28" s="756"/>
      <c r="F28" s="761">
        <f t="shared" si="4"/>
        <v>28146698</v>
      </c>
      <c r="G28" s="752">
        <f>IF(G155=0,0,+G155-G172)</f>
        <v>5913449</v>
      </c>
      <c r="H28" s="752">
        <f t="shared" ref="H28:N28" si="15">IF(H155=0,0,+H155-H172)</f>
        <v>3773753</v>
      </c>
      <c r="I28" s="752">
        <f t="shared" si="15"/>
        <v>18459496</v>
      </c>
      <c r="J28" s="752">
        <f t="shared" si="15"/>
        <v>0</v>
      </c>
      <c r="K28" s="752">
        <f t="shared" si="15"/>
        <v>0</v>
      </c>
      <c r="L28" s="752">
        <f t="shared" si="15"/>
        <v>0</v>
      </c>
      <c r="M28" s="752">
        <f t="shared" si="15"/>
        <v>0</v>
      </c>
      <c r="N28" s="758">
        <f t="shared" si="15"/>
        <v>0</v>
      </c>
    </row>
    <row r="29" spans="1:14" ht="13.5" customHeight="1">
      <c r="A29" s="669"/>
      <c r="B29" s="670"/>
      <c r="C29" s="751" t="s">
        <v>3973</v>
      </c>
      <c r="D29" s="751"/>
      <c r="E29" s="707"/>
      <c r="F29" s="708">
        <f t="shared" si="4"/>
        <v>1502463</v>
      </c>
      <c r="G29" s="752">
        <f>+G156+G157</f>
        <v>315634</v>
      </c>
      <c r="H29" s="709">
        <f t="shared" ref="H29:N29" si="16">+H156+H157</f>
        <v>201457</v>
      </c>
      <c r="I29" s="709">
        <f t="shared" si="16"/>
        <v>985372</v>
      </c>
      <c r="J29" s="709">
        <f>+J156+J157</f>
        <v>0</v>
      </c>
      <c r="K29" s="709">
        <f>+K156+K157</f>
        <v>0</v>
      </c>
      <c r="L29" s="709">
        <f t="shared" si="16"/>
        <v>0</v>
      </c>
      <c r="M29" s="709">
        <f t="shared" si="16"/>
        <v>0</v>
      </c>
      <c r="N29" s="710">
        <f t="shared" si="16"/>
        <v>0</v>
      </c>
    </row>
    <row r="30" spans="1:14" ht="13.5" customHeight="1">
      <c r="A30" s="669"/>
      <c r="B30" s="670"/>
      <c r="C30" s="751" t="s">
        <v>3974</v>
      </c>
      <c r="D30" s="751"/>
      <c r="E30" s="707"/>
      <c r="F30" s="708">
        <f t="shared" si="4"/>
        <v>0</v>
      </c>
      <c r="G30" s="752">
        <f>SUM(G158:G162)</f>
        <v>0</v>
      </c>
      <c r="H30" s="709">
        <f t="shared" ref="H30:N30" si="17">SUM(H158:H162)</f>
        <v>0</v>
      </c>
      <c r="I30" s="709">
        <f t="shared" si="17"/>
        <v>0</v>
      </c>
      <c r="J30" s="709">
        <f>SUM(J158:J162)</f>
        <v>0</v>
      </c>
      <c r="K30" s="709">
        <f>SUM(K158:K162)</f>
        <v>0</v>
      </c>
      <c r="L30" s="709">
        <f t="shared" si="17"/>
        <v>0</v>
      </c>
      <c r="M30" s="709">
        <f t="shared" si="17"/>
        <v>0</v>
      </c>
      <c r="N30" s="710">
        <f t="shared" si="17"/>
        <v>0</v>
      </c>
    </row>
    <row r="31" spans="1:14" s="759" customFormat="1" ht="13.5" customHeight="1">
      <c r="A31" s="753"/>
      <c r="B31" s="754"/>
      <c r="C31" s="762" t="s">
        <v>3975</v>
      </c>
      <c r="D31" s="754"/>
      <c r="E31" s="763"/>
      <c r="F31" s="764">
        <f t="shared" si="4"/>
        <v>0</v>
      </c>
      <c r="G31" s="738">
        <f>IF(G163=0,0,+G163-G172)</f>
        <v>0</v>
      </c>
      <c r="H31" s="738">
        <f t="shared" ref="H31:N31" si="18">IF(H163=0,0,+H163-H172)</f>
        <v>0</v>
      </c>
      <c r="I31" s="738">
        <f t="shared" si="18"/>
        <v>0</v>
      </c>
      <c r="J31" s="738">
        <f t="shared" si="18"/>
        <v>0</v>
      </c>
      <c r="K31" s="738">
        <f t="shared" si="18"/>
        <v>0</v>
      </c>
      <c r="L31" s="738">
        <f t="shared" si="18"/>
        <v>0</v>
      </c>
      <c r="M31" s="738">
        <f t="shared" si="18"/>
        <v>0</v>
      </c>
      <c r="N31" s="765">
        <f t="shared" si="18"/>
        <v>0</v>
      </c>
    </row>
    <row r="32" spans="1:14" ht="13.5" customHeight="1">
      <c r="A32" s="766"/>
      <c r="B32" s="695" t="s">
        <v>3976</v>
      </c>
      <c r="C32" s="695"/>
      <c r="D32" s="695"/>
      <c r="E32" s="767"/>
      <c r="F32" s="697">
        <f t="shared" si="4"/>
        <v>265700000</v>
      </c>
      <c r="G32" s="698">
        <f>G10+G21</f>
        <v>55818000</v>
      </c>
      <c r="H32" s="768">
        <f t="shared" ref="H32:N32" si="19">H10+H21</f>
        <v>35626000</v>
      </c>
      <c r="I32" s="768">
        <f t="shared" si="19"/>
        <v>174256000</v>
      </c>
      <c r="J32" s="768">
        <f t="shared" si="19"/>
        <v>0</v>
      </c>
      <c r="K32" s="768">
        <f>K10+K21</f>
        <v>0</v>
      </c>
      <c r="L32" s="768">
        <f t="shared" si="19"/>
        <v>0</v>
      </c>
      <c r="M32" s="768">
        <f t="shared" si="19"/>
        <v>0</v>
      </c>
      <c r="N32" s="769">
        <f t="shared" si="19"/>
        <v>0</v>
      </c>
    </row>
    <row r="33" spans="1:14" ht="13.5" customHeight="1">
      <c r="A33" s="770"/>
      <c r="B33" s="670"/>
      <c r="C33" s="771" t="s">
        <v>3977</v>
      </c>
      <c r="D33" s="771"/>
      <c r="E33" s="772"/>
      <c r="F33" s="773"/>
      <c r="G33" s="774" t="s">
        <v>3978</v>
      </c>
      <c r="H33" s="719"/>
      <c r="I33" s="775"/>
      <c r="J33" s="775"/>
      <c r="K33" s="775"/>
      <c r="L33" s="775"/>
      <c r="M33" s="775"/>
      <c r="N33" s="776"/>
    </row>
    <row r="34" spans="1:14" ht="13.5" customHeight="1">
      <c r="A34" s="660"/>
      <c r="B34" s="661"/>
      <c r="C34" s="661"/>
      <c r="D34" s="661"/>
      <c r="E34" s="777"/>
      <c r="F34" s="778" t="s">
        <v>3979</v>
      </c>
      <c r="G34" s="779" t="str">
        <f t="shared" ref="G34:N34" si="20">+G5</f>
        <v>工事6</v>
      </c>
      <c r="H34" s="779" t="str">
        <f t="shared" si="20"/>
        <v>工事7</v>
      </c>
      <c r="I34" s="779" t="str">
        <f t="shared" si="20"/>
        <v>工事8</v>
      </c>
      <c r="J34" s="779" t="str">
        <f t="shared" si="20"/>
        <v>工事4</v>
      </c>
      <c r="K34" s="779" t="str">
        <f>+K5</f>
        <v>工事5</v>
      </c>
      <c r="L34" s="779" t="str">
        <f t="shared" si="20"/>
        <v>工事6</v>
      </c>
      <c r="M34" s="779" t="str">
        <f t="shared" si="20"/>
        <v>工事7</v>
      </c>
      <c r="N34" s="780" t="str">
        <f t="shared" si="20"/>
        <v>工事8</v>
      </c>
    </row>
    <row r="35" spans="1:14" ht="13.5" customHeight="1">
      <c r="A35" s="781" t="s">
        <v>3980</v>
      </c>
      <c r="B35" s="782"/>
      <c r="C35" s="783"/>
      <c r="D35" s="783"/>
      <c r="E35" s="784"/>
      <c r="F35" s="785"/>
      <c r="G35" s="786"/>
      <c r="H35" s="786"/>
      <c r="I35" s="786"/>
      <c r="J35" s="786"/>
      <c r="K35" s="786"/>
      <c r="L35" s="786"/>
      <c r="M35" s="786"/>
      <c r="N35" s="787"/>
    </row>
    <row r="36" spans="1:14" ht="13.5" customHeight="1">
      <c r="A36" s="2646"/>
      <c r="B36" s="2648" t="s">
        <v>3981</v>
      </c>
      <c r="C36" s="701" t="s">
        <v>3982</v>
      </c>
      <c r="D36" s="701"/>
      <c r="E36" s="742"/>
      <c r="F36" s="703">
        <f t="shared" ref="F36:F42" si="21">SUM(G36:N36)</f>
        <v>0</v>
      </c>
      <c r="G36" s="744">
        <f>IF(G$4="新営",(G11-SUM(G38:G49)-G53-G52),0)</f>
        <v>0</v>
      </c>
      <c r="H36" s="744">
        <f t="shared" ref="H36:N36" si="22">IF(H$4="新営",(H11-SUM(H38:H49)-H53-H52),0)</f>
        <v>0</v>
      </c>
      <c r="I36" s="744">
        <f t="shared" si="22"/>
        <v>0</v>
      </c>
      <c r="J36" s="744">
        <f t="shared" si="22"/>
        <v>0</v>
      </c>
      <c r="K36" s="744">
        <f t="shared" si="22"/>
        <v>0</v>
      </c>
      <c r="L36" s="744">
        <f t="shared" si="22"/>
        <v>0</v>
      </c>
      <c r="M36" s="744">
        <f t="shared" si="22"/>
        <v>0</v>
      </c>
      <c r="N36" s="788">
        <f t="shared" si="22"/>
        <v>0</v>
      </c>
    </row>
    <row r="37" spans="1:14" ht="13.5" customHeight="1">
      <c r="A37" s="2646"/>
      <c r="B37" s="2785"/>
      <c r="C37" s="789" t="s">
        <v>3983</v>
      </c>
      <c r="D37" s="789"/>
      <c r="E37" s="707"/>
      <c r="F37" s="708">
        <f t="shared" si="21"/>
        <v>191604979</v>
      </c>
      <c r="G37" s="752">
        <f>IF(G$4="改修",(G11-SUM(G38:G49)-G53-G52),0)</f>
        <v>36045217</v>
      </c>
      <c r="H37" s="752">
        <f t="shared" ref="H37:N37" si="23">IF(H$4="改修",(H11-SUM(H38:H49)-H53-H52),0)</f>
        <v>27412900</v>
      </c>
      <c r="I37" s="752">
        <f t="shared" si="23"/>
        <v>128146862</v>
      </c>
      <c r="J37" s="752">
        <f t="shared" si="23"/>
        <v>0</v>
      </c>
      <c r="K37" s="752">
        <f t="shared" si="23"/>
        <v>0</v>
      </c>
      <c r="L37" s="752">
        <f t="shared" si="23"/>
        <v>0</v>
      </c>
      <c r="M37" s="752">
        <f t="shared" si="23"/>
        <v>0</v>
      </c>
      <c r="N37" s="758">
        <f t="shared" si="23"/>
        <v>0</v>
      </c>
    </row>
    <row r="38" spans="1:14" ht="13.5" customHeight="1">
      <c r="A38" s="2646"/>
      <c r="B38" s="2785"/>
      <c r="C38" s="790" t="s">
        <v>3984</v>
      </c>
      <c r="D38" s="789"/>
      <c r="E38" s="707"/>
      <c r="F38" s="708">
        <f t="shared" si="21"/>
        <v>0</v>
      </c>
      <c r="G38" s="791"/>
      <c r="H38" s="791"/>
      <c r="I38" s="791"/>
      <c r="J38" s="791"/>
      <c r="K38" s="791"/>
      <c r="L38" s="791"/>
      <c r="M38" s="791"/>
      <c r="N38" s="792"/>
    </row>
    <row r="39" spans="1:14" ht="13.5" customHeight="1">
      <c r="A39" s="2646"/>
      <c r="B39" s="2785"/>
      <c r="C39" s="790" t="s">
        <v>3985</v>
      </c>
      <c r="D39" s="789"/>
      <c r="E39" s="707"/>
      <c r="F39" s="708">
        <f t="shared" si="21"/>
        <v>0</v>
      </c>
      <c r="G39" s="791"/>
      <c r="H39" s="791"/>
      <c r="I39" s="791"/>
      <c r="J39" s="791"/>
      <c r="K39" s="791"/>
      <c r="L39" s="791"/>
      <c r="M39" s="791"/>
      <c r="N39" s="792"/>
    </row>
    <row r="40" spans="1:14" ht="13.5" customHeight="1">
      <c r="A40" s="2646"/>
      <c r="B40" s="2785" t="s">
        <v>3986</v>
      </c>
      <c r="C40" s="714" t="s">
        <v>3987</v>
      </c>
      <c r="D40" s="789"/>
      <c r="E40" s="707"/>
      <c r="F40" s="708">
        <f t="shared" si="21"/>
        <v>0</v>
      </c>
      <c r="G40" s="791"/>
      <c r="H40" s="791"/>
      <c r="I40" s="791"/>
      <c r="J40" s="791"/>
      <c r="K40" s="791"/>
      <c r="L40" s="791"/>
      <c r="M40" s="791"/>
      <c r="N40" s="792"/>
    </row>
    <row r="41" spans="1:14" ht="13.5" customHeight="1">
      <c r="A41" s="2646"/>
      <c r="B41" s="2785"/>
      <c r="C41" s="714" t="s">
        <v>3988</v>
      </c>
      <c r="D41" s="789"/>
      <c r="E41" s="707"/>
      <c r="F41" s="708">
        <f t="shared" si="21"/>
        <v>0</v>
      </c>
      <c r="G41" s="791"/>
      <c r="H41" s="791"/>
      <c r="I41" s="791"/>
      <c r="J41" s="791"/>
      <c r="K41" s="791"/>
      <c r="L41" s="791"/>
      <c r="M41" s="791"/>
      <c r="N41" s="792"/>
    </row>
    <row r="42" spans="1:14" ht="13.5" customHeight="1">
      <c r="A42" s="2646"/>
      <c r="B42" s="2785"/>
      <c r="C42" s="789" t="s">
        <v>3989</v>
      </c>
      <c r="D42" s="789"/>
      <c r="E42" s="707"/>
      <c r="F42" s="708">
        <f t="shared" si="21"/>
        <v>5623700</v>
      </c>
      <c r="G42" s="791">
        <f>+SUM(工事6!I193:I203)</f>
        <v>3622000</v>
      </c>
      <c r="H42" s="791"/>
      <c r="I42" s="791">
        <f>+SUM(工事8!I99:I109)</f>
        <v>2001700</v>
      </c>
      <c r="J42" s="791"/>
      <c r="K42" s="791"/>
      <c r="L42" s="791"/>
      <c r="M42" s="791"/>
      <c r="N42" s="792"/>
    </row>
    <row r="43" spans="1:14" ht="13.5" customHeight="1">
      <c r="A43" s="2646"/>
      <c r="B43" s="2785"/>
      <c r="C43" s="789" t="s">
        <v>3990</v>
      </c>
      <c r="D43" s="789"/>
      <c r="E43" s="707"/>
      <c r="F43" s="708"/>
      <c r="G43" s="793"/>
      <c r="H43" s="793"/>
      <c r="I43" s="793"/>
      <c r="J43" s="793"/>
      <c r="K43" s="793"/>
      <c r="L43" s="793"/>
      <c r="M43" s="793"/>
      <c r="N43" s="794"/>
    </row>
    <row r="44" spans="1:14" ht="13.5" customHeight="1">
      <c r="A44" s="2646"/>
      <c r="B44" s="2785"/>
      <c r="C44" s="789" t="s">
        <v>3991</v>
      </c>
      <c r="D44" s="789"/>
      <c r="E44" s="707"/>
      <c r="F44" s="708"/>
      <c r="G44" s="793"/>
      <c r="H44" s="793"/>
      <c r="I44" s="793"/>
      <c r="J44" s="793"/>
      <c r="K44" s="793"/>
      <c r="L44" s="793"/>
      <c r="M44" s="793"/>
      <c r="N44" s="794"/>
    </row>
    <row r="45" spans="1:14" ht="13.5" customHeight="1">
      <c r="A45" s="2646"/>
      <c r="B45" s="2785"/>
      <c r="C45" s="789" t="s">
        <v>3992</v>
      </c>
      <c r="D45" s="789"/>
      <c r="E45" s="707"/>
      <c r="F45" s="708">
        <f t="shared" ref="F45:F55" si="24">SUM(G45:N45)</f>
        <v>0</v>
      </c>
      <c r="G45" s="791"/>
      <c r="H45" s="791"/>
      <c r="I45" s="791"/>
      <c r="J45" s="791"/>
      <c r="K45" s="791"/>
      <c r="L45" s="791"/>
      <c r="M45" s="791"/>
      <c r="N45" s="792"/>
    </row>
    <row r="46" spans="1:14" ht="13.5" customHeight="1">
      <c r="A46" s="2646"/>
      <c r="B46" s="2785"/>
      <c r="C46" s="795" t="s">
        <v>3993</v>
      </c>
      <c r="D46" s="789"/>
      <c r="E46" s="707"/>
      <c r="F46" s="708">
        <f t="shared" si="24"/>
        <v>0</v>
      </c>
      <c r="G46" s="791"/>
      <c r="H46" s="791"/>
      <c r="I46" s="791"/>
      <c r="J46" s="791"/>
      <c r="K46" s="791"/>
      <c r="L46" s="791"/>
      <c r="M46" s="791"/>
      <c r="N46" s="792"/>
    </row>
    <row r="47" spans="1:14" ht="13.5" customHeight="1">
      <c r="A47" s="2646"/>
      <c r="B47" s="2785"/>
      <c r="C47" s="796" t="s">
        <v>3994</v>
      </c>
      <c r="D47" s="789"/>
      <c r="E47" s="707"/>
      <c r="F47" s="708">
        <f t="shared" si="24"/>
        <v>0</v>
      </c>
      <c r="G47" s="791"/>
      <c r="H47" s="791"/>
      <c r="I47" s="791"/>
      <c r="J47" s="791"/>
      <c r="K47" s="791"/>
      <c r="L47" s="791"/>
      <c r="M47" s="791"/>
      <c r="N47" s="792"/>
    </row>
    <row r="48" spans="1:14" ht="13.5" customHeight="1">
      <c r="A48" s="2646"/>
      <c r="B48" s="2785"/>
      <c r="C48" s="789" t="s">
        <v>3995</v>
      </c>
      <c r="D48" s="789"/>
      <c r="E48" s="707"/>
      <c r="F48" s="708">
        <f t="shared" si="24"/>
        <v>0</v>
      </c>
      <c r="G48" s="791"/>
      <c r="H48" s="791"/>
      <c r="I48" s="791"/>
      <c r="J48" s="791"/>
      <c r="K48" s="791"/>
      <c r="L48" s="791"/>
      <c r="M48" s="791"/>
      <c r="N48" s="792"/>
    </row>
    <row r="49" spans="1:14" ht="13.5" customHeight="1">
      <c r="A49" s="2646"/>
      <c r="B49" s="2785" t="s">
        <v>3996</v>
      </c>
      <c r="C49" s="790" t="s">
        <v>3997</v>
      </c>
      <c r="D49" s="789"/>
      <c r="E49" s="707"/>
      <c r="F49" s="708">
        <f t="shared" si="24"/>
        <v>602934</v>
      </c>
      <c r="G49" s="791">
        <f>+工事6!I246+工事6!I247+工事6!I248</f>
        <v>96063</v>
      </c>
      <c r="H49" s="791">
        <f>+工事7!I154+工事7!I155</f>
        <v>13658</v>
      </c>
      <c r="I49" s="791">
        <f>+工事8!I134+工事8!I135+工事8!I136</f>
        <v>493213</v>
      </c>
      <c r="J49" s="791"/>
      <c r="K49" s="791"/>
      <c r="L49" s="791"/>
      <c r="M49" s="791"/>
      <c r="N49" s="792"/>
    </row>
    <row r="50" spans="1:14" ht="13.5" customHeight="1">
      <c r="A50" s="2646"/>
      <c r="B50" s="2785"/>
      <c r="C50" s="790" t="s">
        <v>3998</v>
      </c>
      <c r="D50" s="789"/>
      <c r="E50" s="707"/>
      <c r="F50" s="708">
        <f t="shared" si="24"/>
        <v>0</v>
      </c>
      <c r="G50" s="793">
        <f t="shared" ref="G50:N50" si="25">+G19</f>
        <v>0</v>
      </c>
      <c r="H50" s="793">
        <f t="shared" si="25"/>
        <v>0</v>
      </c>
      <c r="I50" s="793">
        <f t="shared" si="25"/>
        <v>0</v>
      </c>
      <c r="J50" s="793">
        <f>+J19</f>
        <v>0</v>
      </c>
      <c r="K50" s="793">
        <f>+K19</f>
        <v>0</v>
      </c>
      <c r="L50" s="793">
        <f t="shared" si="25"/>
        <v>0</v>
      </c>
      <c r="M50" s="793">
        <f t="shared" si="25"/>
        <v>0</v>
      </c>
      <c r="N50" s="794">
        <f t="shared" si="25"/>
        <v>0</v>
      </c>
    </row>
    <row r="51" spans="1:14" ht="13.5" customHeight="1">
      <c r="A51" s="2646"/>
      <c r="B51" s="2785"/>
      <c r="C51" s="755" t="s">
        <v>3999</v>
      </c>
      <c r="D51" s="797"/>
      <c r="E51" s="707"/>
      <c r="F51" s="708">
        <f t="shared" si="24"/>
        <v>0</v>
      </c>
      <c r="G51" s="793">
        <f t="shared" ref="G51:N51" si="26">+G18</f>
        <v>0</v>
      </c>
      <c r="H51" s="793">
        <f t="shared" si="26"/>
        <v>0</v>
      </c>
      <c r="I51" s="793">
        <f t="shared" si="26"/>
        <v>0</v>
      </c>
      <c r="J51" s="793">
        <f>+J18</f>
        <v>0</v>
      </c>
      <c r="K51" s="793">
        <f>+K18</f>
        <v>0</v>
      </c>
      <c r="L51" s="793">
        <f t="shared" si="26"/>
        <v>0</v>
      </c>
      <c r="M51" s="793">
        <f t="shared" si="26"/>
        <v>0</v>
      </c>
      <c r="N51" s="794">
        <f t="shared" si="26"/>
        <v>0</v>
      </c>
    </row>
    <row r="52" spans="1:14" ht="13.5" customHeight="1">
      <c r="A52" s="2646"/>
      <c r="B52" s="2785"/>
      <c r="C52" s="755" t="s">
        <v>4000</v>
      </c>
      <c r="D52" s="797"/>
      <c r="E52" s="707"/>
      <c r="F52" s="708">
        <f t="shared" si="24"/>
        <v>0</v>
      </c>
      <c r="G52" s="791"/>
      <c r="H52" s="791"/>
      <c r="I52" s="791"/>
      <c r="J52" s="791"/>
      <c r="K52" s="791"/>
      <c r="L52" s="791"/>
      <c r="M52" s="791"/>
      <c r="N52" s="792"/>
    </row>
    <row r="53" spans="1:14" ht="13.5" customHeight="1">
      <c r="A53" s="2646"/>
      <c r="B53" s="2786"/>
      <c r="C53" s="798" t="s">
        <v>4001</v>
      </c>
      <c r="D53" s="798"/>
      <c r="E53" s="799"/>
      <c r="F53" s="708">
        <f t="shared" si="24"/>
        <v>0</v>
      </c>
      <c r="G53" s="800"/>
      <c r="H53" s="800"/>
      <c r="I53" s="800"/>
      <c r="J53" s="800"/>
      <c r="K53" s="800"/>
      <c r="L53" s="800"/>
      <c r="M53" s="800"/>
      <c r="N53" s="801"/>
    </row>
    <row r="54" spans="1:14" ht="13.5" customHeight="1">
      <c r="A54" s="2646"/>
      <c r="B54" s="2786"/>
      <c r="C54" s="798" t="s">
        <v>4002</v>
      </c>
      <c r="D54" s="798"/>
      <c r="E54" s="799"/>
      <c r="F54" s="708">
        <f t="shared" si="24"/>
        <v>0</v>
      </c>
      <c r="G54" s="800"/>
      <c r="H54" s="800"/>
      <c r="I54" s="800"/>
      <c r="J54" s="800"/>
      <c r="K54" s="800"/>
      <c r="L54" s="800"/>
      <c r="M54" s="800"/>
      <c r="N54" s="801"/>
    </row>
    <row r="55" spans="1:14" ht="13.5" customHeight="1">
      <c r="A55" s="2647"/>
      <c r="B55" s="2787"/>
      <c r="C55" s="802" t="s">
        <v>4003</v>
      </c>
      <c r="D55" s="802"/>
      <c r="E55" s="734"/>
      <c r="F55" s="735">
        <f t="shared" si="24"/>
        <v>0</v>
      </c>
      <c r="G55" s="803"/>
      <c r="H55" s="803"/>
      <c r="I55" s="803"/>
      <c r="J55" s="803"/>
      <c r="K55" s="803"/>
      <c r="L55" s="803"/>
      <c r="M55" s="803"/>
      <c r="N55" s="804"/>
    </row>
    <row r="56" spans="1:14" s="810" customFormat="1" ht="14.25" customHeight="1">
      <c r="A56" s="805"/>
      <c r="B56" s="805"/>
      <c r="C56" s="806" t="s">
        <v>4004</v>
      </c>
      <c r="D56" s="806"/>
      <c r="E56" s="807"/>
      <c r="F56" s="807"/>
      <c r="G56" s="808"/>
      <c r="H56" s="808"/>
      <c r="I56" s="808"/>
      <c r="J56" s="808"/>
      <c r="K56" s="808"/>
      <c r="L56" s="808"/>
      <c r="M56" s="808"/>
      <c r="N56" s="809" t="s">
        <v>4005</v>
      </c>
    </row>
    <row r="57" spans="1:14" s="810" customFormat="1" ht="14.25" customHeight="1">
      <c r="A57" s="805"/>
      <c r="B57" s="805"/>
      <c r="C57" s="811" t="s">
        <v>4006</v>
      </c>
      <c r="D57" s="811"/>
      <c r="E57" s="807"/>
      <c r="F57" s="807"/>
      <c r="G57" s="808"/>
      <c r="H57" s="808"/>
      <c r="I57" s="808"/>
      <c r="J57" s="808"/>
      <c r="K57" s="808"/>
      <c r="L57" s="808"/>
      <c r="M57" s="808"/>
      <c r="N57" s="809"/>
    </row>
    <row r="58" spans="1:14" s="810" customFormat="1" ht="14.25" customHeight="1">
      <c r="A58" s="812"/>
      <c r="B58" s="813"/>
      <c r="C58" s="813"/>
      <c r="D58" s="2652" t="s">
        <v>4007</v>
      </c>
      <c r="E58" s="2652" t="s">
        <v>4008</v>
      </c>
      <c r="F58" s="814" t="s">
        <v>3979</v>
      </c>
      <c r="G58" s="815" t="str">
        <f t="shared" ref="G58:N58" si="27">+G5</f>
        <v>工事6</v>
      </c>
      <c r="H58" s="815" t="str">
        <f t="shared" si="27"/>
        <v>工事7</v>
      </c>
      <c r="I58" s="815" t="str">
        <f t="shared" si="27"/>
        <v>工事8</v>
      </c>
      <c r="J58" s="815" t="str">
        <f t="shared" si="27"/>
        <v>工事4</v>
      </c>
      <c r="K58" s="815" t="str">
        <f>+K5</f>
        <v>工事5</v>
      </c>
      <c r="L58" s="815" t="str">
        <f t="shared" si="27"/>
        <v>工事6</v>
      </c>
      <c r="M58" s="815" t="str">
        <f t="shared" si="27"/>
        <v>工事7</v>
      </c>
      <c r="N58" s="816" t="str">
        <f t="shared" si="27"/>
        <v>工事8</v>
      </c>
    </row>
    <row r="59" spans="1:14" s="810" customFormat="1" ht="14.25" customHeight="1">
      <c r="A59" s="2654" t="s">
        <v>4009</v>
      </c>
      <c r="B59" s="2655"/>
      <c r="C59" s="2655"/>
      <c r="D59" s="2653"/>
      <c r="E59" s="2653"/>
      <c r="F59" s="817"/>
      <c r="G59" s="818"/>
      <c r="H59" s="818"/>
      <c r="I59" s="818"/>
      <c r="J59" s="818"/>
      <c r="K59" s="818"/>
      <c r="L59" s="818"/>
      <c r="M59" s="818"/>
      <c r="N59" s="819"/>
    </row>
    <row r="60" spans="1:14" s="810" customFormat="1" ht="14.25" customHeight="1">
      <c r="A60" s="2656"/>
      <c r="B60" s="820" t="s">
        <v>4010</v>
      </c>
      <c r="C60" s="821"/>
      <c r="D60" s="821"/>
      <c r="E60" s="822"/>
      <c r="F60" s="823">
        <f t="shared" ref="F60:F67" si="28">SUM(G60:N60)</f>
        <v>197228679</v>
      </c>
      <c r="G60" s="824">
        <f>SUM(G36:G48)+SUM(G52)</f>
        <v>39667217</v>
      </c>
      <c r="H60" s="824">
        <f t="shared" ref="H60:N60" si="29">SUM(H36:H48)+SUM(H52)</f>
        <v>27412900</v>
      </c>
      <c r="I60" s="824">
        <f t="shared" si="29"/>
        <v>130148562</v>
      </c>
      <c r="J60" s="824">
        <f t="shared" si="29"/>
        <v>0</v>
      </c>
      <c r="K60" s="824">
        <f t="shared" si="29"/>
        <v>0</v>
      </c>
      <c r="L60" s="824">
        <f t="shared" si="29"/>
        <v>0</v>
      </c>
      <c r="M60" s="824">
        <f t="shared" si="29"/>
        <v>0</v>
      </c>
      <c r="N60" s="825">
        <f t="shared" si="29"/>
        <v>0</v>
      </c>
    </row>
    <row r="61" spans="1:14" s="810" customFormat="1" ht="14.25" customHeight="1">
      <c r="A61" s="2657"/>
      <c r="B61" s="2782" t="s">
        <v>3981</v>
      </c>
      <c r="C61" s="826" t="s">
        <v>3982</v>
      </c>
      <c r="D61" s="827">
        <v>1</v>
      </c>
      <c r="E61" s="828" t="s">
        <v>4011</v>
      </c>
      <c r="F61" s="829">
        <f t="shared" si="28"/>
        <v>0</v>
      </c>
      <c r="G61" s="830">
        <f>IF(G7="積上げ",0,+G36)</f>
        <v>0</v>
      </c>
      <c r="H61" s="830">
        <f t="shared" ref="H61:N61" si="30">IF(H7="積上げ",0,+H36)</f>
        <v>0</v>
      </c>
      <c r="I61" s="830">
        <f t="shared" si="30"/>
        <v>0</v>
      </c>
      <c r="J61" s="830">
        <f t="shared" si="30"/>
        <v>0</v>
      </c>
      <c r="K61" s="830">
        <f t="shared" si="30"/>
        <v>0</v>
      </c>
      <c r="L61" s="830">
        <f t="shared" si="30"/>
        <v>0</v>
      </c>
      <c r="M61" s="830">
        <f t="shared" si="30"/>
        <v>0</v>
      </c>
      <c r="N61" s="831">
        <f t="shared" si="30"/>
        <v>0</v>
      </c>
    </row>
    <row r="62" spans="1:14" s="810" customFormat="1" ht="14.25" customHeight="1">
      <c r="A62" s="2657"/>
      <c r="B62" s="2782"/>
      <c r="C62" s="826" t="s">
        <v>3983</v>
      </c>
      <c r="D62" s="827">
        <v>1</v>
      </c>
      <c r="E62" s="828" t="s">
        <v>4011</v>
      </c>
      <c r="F62" s="829">
        <f t="shared" si="28"/>
        <v>191604979</v>
      </c>
      <c r="G62" s="830">
        <f>IF(G7="積上げ",0,+G37)</f>
        <v>36045217</v>
      </c>
      <c r="H62" s="830">
        <f t="shared" ref="H62:N62" si="31">IF(H7="積上げ",0,+H37)</f>
        <v>27412900</v>
      </c>
      <c r="I62" s="830">
        <f t="shared" si="31"/>
        <v>128146862</v>
      </c>
      <c r="J62" s="830">
        <f t="shared" si="31"/>
        <v>0</v>
      </c>
      <c r="K62" s="830">
        <f t="shared" si="31"/>
        <v>0</v>
      </c>
      <c r="L62" s="830">
        <f t="shared" si="31"/>
        <v>0</v>
      </c>
      <c r="M62" s="830">
        <f t="shared" si="31"/>
        <v>0</v>
      </c>
      <c r="N62" s="831">
        <f t="shared" si="31"/>
        <v>0</v>
      </c>
    </row>
    <row r="63" spans="1:14" s="810" customFormat="1" ht="14.25" customHeight="1">
      <c r="A63" s="2657"/>
      <c r="B63" s="2782"/>
      <c r="C63" s="826" t="s">
        <v>4012</v>
      </c>
      <c r="D63" s="827">
        <v>0.9</v>
      </c>
      <c r="E63" s="828" t="s">
        <v>4011</v>
      </c>
      <c r="F63" s="829">
        <f t="shared" si="28"/>
        <v>0</v>
      </c>
      <c r="G63" s="830">
        <f>IF(G7="積上げ",0,+G38)</f>
        <v>0</v>
      </c>
      <c r="H63" s="830">
        <f t="shared" ref="H63:N63" si="32">IF(H7="積上げ",0,+H38)</f>
        <v>0</v>
      </c>
      <c r="I63" s="830">
        <f t="shared" si="32"/>
        <v>0</v>
      </c>
      <c r="J63" s="830">
        <f t="shared" si="32"/>
        <v>0</v>
      </c>
      <c r="K63" s="830">
        <f>IF(K7="積上げ",0,+K38)</f>
        <v>0</v>
      </c>
      <c r="L63" s="830">
        <f t="shared" si="32"/>
        <v>0</v>
      </c>
      <c r="M63" s="830">
        <f t="shared" si="32"/>
        <v>0</v>
      </c>
      <c r="N63" s="831">
        <f t="shared" si="32"/>
        <v>0</v>
      </c>
    </row>
    <row r="64" spans="1:14" s="810" customFormat="1" ht="14.25" customHeight="1">
      <c r="A64" s="2657"/>
      <c r="B64" s="2782"/>
      <c r="C64" s="826" t="s">
        <v>4013</v>
      </c>
      <c r="D64" s="827">
        <v>0.9</v>
      </c>
      <c r="E64" s="828" t="s">
        <v>4011</v>
      </c>
      <c r="F64" s="829">
        <f t="shared" si="28"/>
        <v>0</v>
      </c>
      <c r="G64" s="830">
        <f>IF(G7="積上げ",0,+G39)</f>
        <v>0</v>
      </c>
      <c r="H64" s="830">
        <f t="shared" ref="H64:N64" si="33">IF(H7="積上げ",0,+H39)</f>
        <v>0</v>
      </c>
      <c r="I64" s="830">
        <f t="shared" si="33"/>
        <v>0</v>
      </c>
      <c r="J64" s="830">
        <f t="shared" si="33"/>
        <v>0</v>
      </c>
      <c r="K64" s="830">
        <f>IF(K7="積上げ",0,+K39)</f>
        <v>0</v>
      </c>
      <c r="L64" s="830">
        <f t="shared" si="33"/>
        <v>0</v>
      </c>
      <c r="M64" s="830">
        <f t="shared" si="33"/>
        <v>0</v>
      </c>
      <c r="N64" s="831">
        <f t="shared" si="33"/>
        <v>0</v>
      </c>
    </row>
    <row r="65" spans="1:14" s="810" customFormat="1" ht="14.25" customHeight="1">
      <c r="A65" s="2657"/>
      <c r="B65" s="2782" t="s">
        <v>3986</v>
      </c>
      <c r="C65" s="832" t="s">
        <v>4014</v>
      </c>
      <c r="D65" s="827">
        <v>1</v>
      </c>
      <c r="E65" s="833">
        <v>0.01</v>
      </c>
      <c r="F65" s="829">
        <f t="shared" si="28"/>
        <v>0</v>
      </c>
      <c r="G65" s="830">
        <f>IF(G7="積上げ",0,+G40)</f>
        <v>0</v>
      </c>
      <c r="H65" s="830">
        <f t="shared" ref="H65:N65" si="34">IF(H7="積上げ",0,+H40)</f>
        <v>0</v>
      </c>
      <c r="I65" s="830">
        <f t="shared" si="34"/>
        <v>0</v>
      </c>
      <c r="J65" s="830">
        <f t="shared" si="34"/>
        <v>0</v>
      </c>
      <c r="K65" s="830">
        <f>IF(K7="積上げ",0,+K40)</f>
        <v>0</v>
      </c>
      <c r="L65" s="830">
        <f t="shared" si="34"/>
        <v>0</v>
      </c>
      <c r="M65" s="830">
        <f t="shared" si="34"/>
        <v>0</v>
      </c>
      <c r="N65" s="831">
        <f t="shared" si="34"/>
        <v>0</v>
      </c>
    </row>
    <row r="66" spans="1:14" s="810" customFormat="1" ht="14.25" customHeight="1">
      <c r="A66" s="2657"/>
      <c r="B66" s="2782"/>
      <c r="C66" s="832" t="s">
        <v>4015</v>
      </c>
      <c r="D66" s="827">
        <v>1</v>
      </c>
      <c r="E66" s="833">
        <v>0.01</v>
      </c>
      <c r="F66" s="829">
        <f t="shared" si="28"/>
        <v>0</v>
      </c>
      <c r="G66" s="830">
        <f>IF(G7="積上げ",0,G41)</f>
        <v>0</v>
      </c>
      <c r="H66" s="830">
        <f t="shared" ref="H66:N66" si="35">IF(H7="積上げ",0,H41)</f>
        <v>0</v>
      </c>
      <c r="I66" s="830">
        <f t="shared" si="35"/>
        <v>0</v>
      </c>
      <c r="J66" s="830">
        <f t="shared" si="35"/>
        <v>0</v>
      </c>
      <c r="K66" s="830">
        <f>IF(K7="積上げ",0,K41)</f>
        <v>0</v>
      </c>
      <c r="L66" s="830">
        <f t="shared" si="35"/>
        <v>0</v>
      </c>
      <c r="M66" s="830">
        <f t="shared" si="35"/>
        <v>0</v>
      </c>
      <c r="N66" s="831">
        <f t="shared" si="35"/>
        <v>0</v>
      </c>
    </row>
    <row r="67" spans="1:14" s="810" customFormat="1" ht="14.25" customHeight="1">
      <c r="A67" s="2657"/>
      <c r="B67" s="2782"/>
      <c r="C67" s="832" t="s">
        <v>3989</v>
      </c>
      <c r="D67" s="827">
        <v>1</v>
      </c>
      <c r="E67" s="833">
        <v>0.01</v>
      </c>
      <c r="F67" s="829">
        <f t="shared" si="28"/>
        <v>5623700</v>
      </c>
      <c r="G67" s="830">
        <f>IF(G7="積上げ",0,G42)</f>
        <v>3622000</v>
      </c>
      <c r="H67" s="830">
        <f t="shared" ref="H67:N67" si="36">IF(H7="積上げ",0,H42)</f>
        <v>0</v>
      </c>
      <c r="I67" s="830">
        <f t="shared" si="36"/>
        <v>2001700</v>
      </c>
      <c r="J67" s="830">
        <f t="shared" si="36"/>
        <v>0</v>
      </c>
      <c r="K67" s="830">
        <f>IF(K7="積上げ",0,K42)</f>
        <v>0</v>
      </c>
      <c r="L67" s="830">
        <f t="shared" si="36"/>
        <v>0</v>
      </c>
      <c r="M67" s="830">
        <f t="shared" si="36"/>
        <v>0</v>
      </c>
      <c r="N67" s="831">
        <f t="shared" si="36"/>
        <v>0</v>
      </c>
    </row>
    <row r="68" spans="1:14" s="810" customFormat="1" ht="14.25" customHeight="1">
      <c r="A68" s="2657"/>
      <c r="B68" s="2782"/>
      <c r="C68" s="832" t="s">
        <v>3990</v>
      </c>
      <c r="D68" s="827"/>
      <c r="E68" s="833"/>
      <c r="F68" s="829"/>
      <c r="G68" s="830"/>
      <c r="H68" s="830"/>
      <c r="I68" s="830"/>
      <c r="J68" s="830"/>
      <c r="K68" s="830"/>
      <c r="L68" s="830"/>
      <c r="M68" s="830"/>
      <c r="N68" s="831"/>
    </row>
    <row r="69" spans="1:14" s="810" customFormat="1" ht="14.25" customHeight="1">
      <c r="A69" s="2657"/>
      <c r="B69" s="2782"/>
      <c r="C69" s="832" t="s">
        <v>3991</v>
      </c>
      <c r="D69" s="827"/>
      <c r="E69" s="833"/>
      <c r="F69" s="829"/>
      <c r="G69" s="830"/>
      <c r="H69" s="830"/>
      <c r="I69" s="830"/>
      <c r="J69" s="830"/>
      <c r="K69" s="830"/>
      <c r="L69" s="830"/>
      <c r="M69" s="830"/>
      <c r="N69" s="831"/>
    </row>
    <row r="70" spans="1:14" s="810" customFormat="1" ht="14.25" customHeight="1">
      <c r="A70" s="2657"/>
      <c r="B70" s="2782"/>
      <c r="C70" s="832" t="s">
        <v>3992</v>
      </c>
      <c r="D70" s="827">
        <v>1</v>
      </c>
      <c r="E70" s="833">
        <v>0.01</v>
      </c>
      <c r="F70" s="829">
        <f>SUM(G70:N70)</f>
        <v>0</v>
      </c>
      <c r="G70" s="830">
        <f>IF(G7="積上げ",0,+G45)</f>
        <v>0</v>
      </c>
      <c r="H70" s="830">
        <f t="shared" ref="H70:N70" si="37">IF(H7="積上げ",0,+H45)</f>
        <v>0</v>
      </c>
      <c r="I70" s="830">
        <f t="shared" si="37"/>
        <v>0</v>
      </c>
      <c r="J70" s="830">
        <f t="shared" si="37"/>
        <v>0</v>
      </c>
      <c r="K70" s="830">
        <f>IF(K7="積上げ",0,+K45)</f>
        <v>0</v>
      </c>
      <c r="L70" s="830">
        <f t="shared" si="37"/>
        <v>0</v>
      </c>
      <c r="M70" s="830">
        <f t="shared" si="37"/>
        <v>0</v>
      </c>
      <c r="N70" s="831">
        <f t="shared" si="37"/>
        <v>0</v>
      </c>
    </row>
    <row r="71" spans="1:14" s="810" customFormat="1" ht="14.25" customHeight="1">
      <c r="A71" s="2657"/>
      <c r="B71" s="2782"/>
      <c r="C71" s="834" t="s">
        <v>3993</v>
      </c>
      <c r="D71" s="827">
        <v>1</v>
      </c>
      <c r="E71" s="833">
        <v>0.01</v>
      </c>
      <c r="F71" s="829">
        <f>SUM(G71:N71)</f>
        <v>0</v>
      </c>
      <c r="G71" s="830">
        <f>IF(G7="積上げ",0,+G46)</f>
        <v>0</v>
      </c>
      <c r="H71" s="830">
        <f t="shared" ref="H71:N71" si="38">IF(H7="積上げ",0,+H46)</f>
        <v>0</v>
      </c>
      <c r="I71" s="830">
        <f t="shared" si="38"/>
        <v>0</v>
      </c>
      <c r="J71" s="830">
        <f t="shared" si="38"/>
        <v>0</v>
      </c>
      <c r="K71" s="830">
        <f>IF(K7="積上げ",0,+K46)</f>
        <v>0</v>
      </c>
      <c r="L71" s="830">
        <f t="shared" si="38"/>
        <v>0</v>
      </c>
      <c r="M71" s="830">
        <f t="shared" si="38"/>
        <v>0</v>
      </c>
      <c r="N71" s="831">
        <f t="shared" si="38"/>
        <v>0</v>
      </c>
    </row>
    <row r="72" spans="1:14" s="810" customFormat="1" ht="14.25" customHeight="1">
      <c r="A72" s="2657"/>
      <c r="B72" s="2782"/>
      <c r="C72" s="834" t="s">
        <v>3994</v>
      </c>
      <c r="D72" s="827">
        <v>1</v>
      </c>
      <c r="E72" s="833">
        <v>0.01</v>
      </c>
      <c r="F72" s="829">
        <f>SUM(G72:N72)</f>
        <v>0</v>
      </c>
      <c r="G72" s="830">
        <f>IF(G7="積上げ",0,+G47)</f>
        <v>0</v>
      </c>
      <c r="H72" s="830">
        <f t="shared" ref="H72:N72" si="39">IF(H7="積上げ",0,+H47)</f>
        <v>0</v>
      </c>
      <c r="I72" s="830">
        <f t="shared" si="39"/>
        <v>0</v>
      </c>
      <c r="J72" s="830">
        <f t="shared" si="39"/>
        <v>0</v>
      </c>
      <c r="K72" s="830">
        <f>IF(K7="積上げ",0,+K47)</f>
        <v>0</v>
      </c>
      <c r="L72" s="830">
        <f t="shared" si="39"/>
        <v>0</v>
      </c>
      <c r="M72" s="830">
        <f t="shared" si="39"/>
        <v>0</v>
      </c>
      <c r="N72" s="831">
        <f t="shared" si="39"/>
        <v>0</v>
      </c>
    </row>
    <row r="73" spans="1:14" s="810" customFormat="1" ht="14.25" customHeight="1">
      <c r="A73" s="2657"/>
      <c r="B73" s="2782"/>
      <c r="C73" s="832" t="s">
        <v>3995</v>
      </c>
      <c r="D73" s="827">
        <v>1</v>
      </c>
      <c r="E73" s="833">
        <v>0.01</v>
      </c>
      <c r="F73" s="829">
        <f>SUM(G73:N73)</f>
        <v>0</v>
      </c>
      <c r="G73" s="830">
        <f>IF(G7="積上げ",0,+G48)</f>
        <v>0</v>
      </c>
      <c r="H73" s="830">
        <f t="shared" ref="H73:N73" si="40">IF(H7="積上げ",0,+H48)</f>
        <v>0</v>
      </c>
      <c r="I73" s="830">
        <f t="shared" si="40"/>
        <v>0</v>
      </c>
      <c r="J73" s="830">
        <f t="shared" si="40"/>
        <v>0</v>
      </c>
      <c r="K73" s="830">
        <f>IF(K7="積上げ",0,+K48)</f>
        <v>0</v>
      </c>
      <c r="L73" s="830">
        <f t="shared" si="40"/>
        <v>0</v>
      </c>
      <c r="M73" s="830">
        <f t="shared" si="40"/>
        <v>0</v>
      </c>
      <c r="N73" s="831">
        <f t="shared" si="40"/>
        <v>0</v>
      </c>
    </row>
    <row r="74" spans="1:14" s="810" customFormat="1" ht="14.25" customHeight="1">
      <c r="A74" s="2658"/>
      <c r="B74" s="835" t="s">
        <v>4016</v>
      </c>
      <c r="C74" s="836" t="s">
        <v>4017</v>
      </c>
      <c r="D74" s="837">
        <v>1</v>
      </c>
      <c r="E74" s="838">
        <v>0</v>
      </c>
      <c r="F74" s="839">
        <f>SUM(G74:N74)</f>
        <v>602934</v>
      </c>
      <c r="G74" s="840">
        <f>IF(G7="積上げ",0,(SUM(G52:G55)+G49))</f>
        <v>96063</v>
      </c>
      <c r="H74" s="840">
        <f t="shared" ref="H74:N74" si="41">IF(H7="積上げ",0,(SUM(H52:H55)+H49))</f>
        <v>13658</v>
      </c>
      <c r="I74" s="840">
        <f t="shared" si="41"/>
        <v>493213</v>
      </c>
      <c r="J74" s="840">
        <f t="shared" si="41"/>
        <v>0</v>
      </c>
      <c r="K74" s="840">
        <f t="shared" si="41"/>
        <v>0</v>
      </c>
      <c r="L74" s="840">
        <f t="shared" si="41"/>
        <v>0</v>
      </c>
      <c r="M74" s="840">
        <f t="shared" si="41"/>
        <v>0</v>
      </c>
      <c r="N74" s="841">
        <f t="shared" si="41"/>
        <v>0</v>
      </c>
    </row>
    <row r="75" spans="1:14" s="810" customFormat="1" ht="14.25" customHeight="1">
      <c r="A75" s="842"/>
      <c r="B75" s="843"/>
      <c r="C75" s="844"/>
      <c r="D75" s="2660"/>
      <c r="E75" s="2660"/>
      <c r="F75" s="823"/>
      <c r="G75" s="845"/>
      <c r="H75" s="845"/>
      <c r="I75" s="845"/>
      <c r="J75" s="845"/>
      <c r="K75" s="845"/>
      <c r="L75" s="845"/>
      <c r="M75" s="845"/>
      <c r="N75" s="846"/>
    </row>
    <row r="76" spans="1:14" s="810" customFormat="1" ht="14.25" customHeight="1">
      <c r="A76" s="2662" t="s">
        <v>4018</v>
      </c>
      <c r="B76" s="2662"/>
      <c r="C76" s="2654"/>
      <c r="D76" s="2661"/>
      <c r="E76" s="2661"/>
      <c r="F76" s="817"/>
      <c r="G76" s="818"/>
      <c r="H76" s="818"/>
      <c r="I76" s="818"/>
      <c r="J76" s="818"/>
      <c r="K76" s="818"/>
      <c r="L76" s="818"/>
      <c r="M76" s="818"/>
      <c r="N76" s="819"/>
    </row>
    <row r="77" spans="1:14" s="810" customFormat="1" ht="14.25" customHeight="1">
      <c r="A77" s="2656"/>
      <c r="B77" s="2664" t="s">
        <v>3981</v>
      </c>
      <c r="C77" s="847" t="s">
        <v>3982</v>
      </c>
      <c r="D77" s="848"/>
      <c r="E77" s="849" t="s">
        <v>4011</v>
      </c>
      <c r="F77" s="850" t="s">
        <v>4019</v>
      </c>
      <c r="G77" s="851">
        <f>IF(G61=0,0,G183/100)</f>
        <v>0</v>
      </c>
      <c r="H77" s="851">
        <f t="shared" ref="H77:N77" si="42">IF(H61=0,0,H183/100)</f>
        <v>0</v>
      </c>
      <c r="I77" s="851">
        <f t="shared" si="42"/>
        <v>0</v>
      </c>
      <c r="J77" s="851">
        <f t="shared" si="42"/>
        <v>0</v>
      </c>
      <c r="K77" s="851">
        <f t="shared" si="42"/>
        <v>0</v>
      </c>
      <c r="L77" s="851">
        <f t="shared" si="42"/>
        <v>0</v>
      </c>
      <c r="M77" s="851">
        <f t="shared" si="42"/>
        <v>0</v>
      </c>
      <c r="N77" s="852">
        <f t="shared" si="42"/>
        <v>0</v>
      </c>
    </row>
    <row r="78" spans="1:14" s="810" customFormat="1" ht="14.25" customHeight="1">
      <c r="A78" s="2657"/>
      <c r="B78" s="2665"/>
      <c r="C78" s="853"/>
      <c r="D78" s="854">
        <f>+D61</f>
        <v>1</v>
      </c>
      <c r="E78" s="855" t="s">
        <v>4011</v>
      </c>
      <c r="F78" s="829">
        <f>SUM(G78:N78)</f>
        <v>0</v>
      </c>
      <c r="G78" s="856">
        <f>ROUNDDOWN(G61*G77*$D78,0)</f>
        <v>0</v>
      </c>
      <c r="H78" s="856">
        <f t="shared" ref="H78:N78" si="43">ROUNDDOWN(H61*H77*$D78,0)</f>
        <v>0</v>
      </c>
      <c r="I78" s="856">
        <f t="shared" si="43"/>
        <v>0</v>
      </c>
      <c r="J78" s="856">
        <f t="shared" si="43"/>
        <v>0</v>
      </c>
      <c r="K78" s="856">
        <f>ROUNDDOWN(K61*K77*$D78,0)</f>
        <v>0</v>
      </c>
      <c r="L78" s="856">
        <f t="shared" si="43"/>
        <v>0</v>
      </c>
      <c r="M78" s="856">
        <f t="shared" si="43"/>
        <v>0</v>
      </c>
      <c r="N78" s="857">
        <f t="shared" si="43"/>
        <v>0</v>
      </c>
    </row>
    <row r="79" spans="1:14" s="810" customFormat="1" ht="14.25" customHeight="1">
      <c r="A79" s="2657"/>
      <c r="B79" s="2782"/>
      <c r="C79" s="858" t="s">
        <v>3983</v>
      </c>
      <c r="D79" s="859"/>
      <c r="E79" s="855" t="s">
        <v>4011</v>
      </c>
      <c r="F79" s="860" t="s">
        <v>4019</v>
      </c>
      <c r="G79" s="861">
        <f>IF(G62=0,0,G192/100)</f>
        <v>3.2000000000000001E-2</v>
      </c>
      <c r="H79" s="861">
        <f t="shared" ref="H79:N79" si="44">IF(H62=0,0,H192/100)</f>
        <v>2.7900000000000001E-2</v>
      </c>
      <c r="I79" s="861">
        <f t="shared" si="44"/>
        <v>3.2000000000000001E-2</v>
      </c>
      <c r="J79" s="861">
        <f t="shared" si="44"/>
        <v>0</v>
      </c>
      <c r="K79" s="861">
        <f t="shared" si="44"/>
        <v>0</v>
      </c>
      <c r="L79" s="861">
        <f t="shared" si="44"/>
        <v>0</v>
      </c>
      <c r="M79" s="861">
        <f t="shared" si="44"/>
        <v>0</v>
      </c>
      <c r="N79" s="862">
        <f t="shared" si="44"/>
        <v>0</v>
      </c>
    </row>
    <row r="80" spans="1:14" s="810" customFormat="1" ht="14.25" customHeight="1">
      <c r="A80" s="2657"/>
      <c r="B80" s="2782"/>
      <c r="C80" s="853"/>
      <c r="D80" s="863">
        <f t="shared" ref="D80:D85" si="45">+D62</f>
        <v>1</v>
      </c>
      <c r="E80" s="855" t="s">
        <v>4011</v>
      </c>
      <c r="F80" s="829">
        <f>SUM(G80:N80)</f>
        <v>6018964</v>
      </c>
      <c r="G80" s="856">
        <f>ROUNDDOWN(G62*G79*$D80,0)</f>
        <v>1153446</v>
      </c>
      <c r="H80" s="856">
        <f t="shared" ref="H80:N80" si="46">ROUNDDOWN(H62*H79*$D80,0)</f>
        <v>764819</v>
      </c>
      <c r="I80" s="856">
        <f t="shared" si="46"/>
        <v>4100699</v>
      </c>
      <c r="J80" s="856">
        <f t="shared" si="46"/>
        <v>0</v>
      </c>
      <c r="K80" s="856">
        <f>ROUNDDOWN(K62*K79*$D80,0)</f>
        <v>0</v>
      </c>
      <c r="L80" s="856">
        <f t="shared" si="46"/>
        <v>0</v>
      </c>
      <c r="M80" s="856">
        <f t="shared" si="46"/>
        <v>0</v>
      </c>
      <c r="N80" s="857">
        <f t="shared" si="46"/>
        <v>0</v>
      </c>
    </row>
    <row r="81" spans="1:14" s="810" customFormat="1" ht="14.25" customHeight="1">
      <c r="A81" s="2657"/>
      <c r="B81" s="2782"/>
      <c r="C81" s="826" t="s">
        <v>4020</v>
      </c>
      <c r="D81" s="864">
        <v>0.9</v>
      </c>
      <c r="E81" s="855" t="s">
        <v>4011</v>
      </c>
      <c r="F81" s="829">
        <f>SUM(G81:N81)</f>
        <v>0</v>
      </c>
      <c r="G81" s="856">
        <f>ROUNDDOWN(G63*G77*$D81,0)</f>
        <v>0</v>
      </c>
      <c r="H81" s="856">
        <f t="shared" ref="H81:N81" si="47">ROUNDDOWN(H63*H77*$D81,0)</f>
        <v>0</v>
      </c>
      <c r="I81" s="856">
        <f t="shared" si="47"/>
        <v>0</v>
      </c>
      <c r="J81" s="856">
        <f t="shared" si="47"/>
        <v>0</v>
      </c>
      <c r="K81" s="856">
        <f>ROUNDDOWN(K63*K77*$D81,0)</f>
        <v>0</v>
      </c>
      <c r="L81" s="856">
        <f t="shared" si="47"/>
        <v>0</v>
      </c>
      <c r="M81" s="856">
        <f t="shared" si="47"/>
        <v>0</v>
      </c>
      <c r="N81" s="857">
        <f t="shared" si="47"/>
        <v>0</v>
      </c>
    </row>
    <row r="82" spans="1:14" s="810" customFormat="1" ht="14.25" customHeight="1">
      <c r="A82" s="2657"/>
      <c r="B82" s="2782"/>
      <c r="C82" s="826" t="s">
        <v>4021</v>
      </c>
      <c r="D82" s="864">
        <v>0.9</v>
      </c>
      <c r="E82" s="855" t="s">
        <v>4011</v>
      </c>
      <c r="F82" s="829">
        <f>SUM(G82:N82)</f>
        <v>0</v>
      </c>
      <c r="G82" s="856">
        <f>ROUNDDOWN(G64*G79*$D82,0)</f>
        <v>0</v>
      </c>
      <c r="H82" s="856">
        <f t="shared" ref="H82:N82" si="48">ROUNDDOWN(H64*H79*$D82,0)</f>
        <v>0</v>
      </c>
      <c r="I82" s="856">
        <f t="shared" si="48"/>
        <v>0</v>
      </c>
      <c r="J82" s="856">
        <f t="shared" si="48"/>
        <v>0</v>
      </c>
      <c r="K82" s="856">
        <f>ROUNDDOWN(K64*K79*$D82,0)</f>
        <v>0</v>
      </c>
      <c r="L82" s="856">
        <f t="shared" si="48"/>
        <v>0</v>
      </c>
      <c r="M82" s="856">
        <f t="shared" si="48"/>
        <v>0</v>
      </c>
      <c r="N82" s="857">
        <f t="shared" si="48"/>
        <v>0</v>
      </c>
    </row>
    <row r="83" spans="1:14" s="810" customFormat="1" ht="14.25" customHeight="1">
      <c r="A83" s="2657"/>
      <c r="B83" s="2782" t="s">
        <v>3986</v>
      </c>
      <c r="C83" s="832" t="s">
        <v>4014</v>
      </c>
      <c r="D83" s="864">
        <f>+D65</f>
        <v>1</v>
      </c>
      <c r="E83" s="833">
        <f>+E65</f>
        <v>0.01</v>
      </c>
      <c r="F83" s="829">
        <f>IF('堺筋本町　諸'!$C$2="共通費集計表",ROUNDDOWN(D83*E83*F65,0),#REF!)</f>
        <v>0</v>
      </c>
      <c r="G83" s="856">
        <f t="shared" ref="G83:N92" si="49">ROUNDDOWN(G65*$E83*$D83,0)</f>
        <v>0</v>
      </c>
      <c r="H83" s="856">
        <f t="shared" si="49"/>
        <v>0</v>
      </c>
      <c r="I83" s="856">
        <f t="shared" si="49"/>
        <v>0</v>
      </c>
      <c r="J83" s="856">
        <f t="shared" si="49"/>
        <v>0</v>
      </c>
      <c r="K83" s="856">
        <f t="shared" si="49"/>
        <v>0</v>
      </c>
      <c r="L83" s="856">
        <f t="shared" si="49"/>
        <v>0</v>
      </c>
      <c r="M83" s="856">
        <f t="shared" si="49"/>
        <v>0</v>
      </c>
      <c r="N83" s="857">
        <f t="shared" si="49"/>
        <v>0</v>
      </c>
    </row>
    <row r="84" spans="1:14" s="810" customFormat="1" ht="14.25" customHeight="1">
      <c r="A84" s="2657"/>
      <c r="B84" s="2782"/>
      <c r="C84" s="832" t="s">
        <v>4022</v>
      </c>
      <c r="D84" s="864">
        <f t="shared" si="45"/>
        <v>1</v>
      </c>
      <c r="E84" s="833">
        <f>+E66</f>
        <v>0.01</v>
      </c>
      <c r="F84" s="829">
        <f>IF('堺筋本町　諸'!$C$2="共通費集計表",ROUNDDOWN(D84*E84*F66,0),#REF!)</f>
        <v>0</v>
      </c>
      <c r="G84" s="856">
        <f t="shared" si="49"/>
        <v>0</v>
      </c>
      <c r="H84" s="856">
        <f t="shared" si="49"/>
        <v>0</v>
      </c>
      <c r="I84" s="856">
        <f t="shared" si="49"/>
        <v>0</v>
      </c>
      <c r="J84" s="856">
        <f t="shared" si="49"/>
        <v>0</v>
      </c>
      <c r="K84" s="856">
        <f t="shared" si="49"/>
        <v>0</v>
      </c>
      <c r="L84" s="856">
        <f t="shared" si="49"/>
        <v>0</v>
      </c>
      <c r="M84" s="856">
        <f t="shared" si="49"/>
        <v>0</v>
      </c>
      <c r="N84" s="857">
        <f t="shared" si="49"/>
        <v>0</v>
      </c>
    </row>
    <row r="85" spans="1:14" s="810" customFormat="1" ht="14.25" customHeight="1">
      <c r="A85" s="2657"/>
      <c r="B85" s="2782"/>
      <c r="C85" s="832" t="s">
        <v>3989</v>
      </c>
      <c r="D85" s="864">
        <f t="shared" si="45"/>
        <v>1</v>
      </c>
      <c r="E85" s="833">
        <f>+E67</f>
        <v>0.01</v>
      </c>
      <c r="F85" s="829">
        <f>IF('堺筋本町　諸'!$C$2="共通費集計表",ROUNDDOWN(D85*E85*F67,0),#REF!)</f>
        <v>56237</v>
      </c>
      <c r="G85" s="856">
        <f t="shared" si="49"/>
        <v>36220</v>
      </c>
      <c r="H85" s="856">
        <f t="shared" si="49"/>
        <v>0</v>
      </c>
      <c r="I85" s="856">
        <f t="shared" si="49"/>
        <v>20017</v>
      </c>
      <c r="J85" s="856">
        <f t="shared" si="49"/>
        <v>0</v>
      </c>
      <c r="K85" s="856">
        <f t="shared" si="49"/>
        <v>0</v>
      </c>
      <c r="L85" s="856">
        <f t="shared" si="49"/>
        <v>0</v>
      </c>
      <c r="M85" s="856">
        <f t="shared" si="49"/>
        <v>0</v>
      </c>
      <c r="N85" s="857">
        <f t="shared" si="49"/>
        <v>0</v>
      </c>
    </row>
    <row r="86" spans="1:14" s="810" customFormat="1" ht="14.25" customHeight="1">
      <c r="A86" s="2657"/>
      <c r="B86" s="2782"/>
      <c r="C86" s="832" t="s">
        <v>4023</v>
      </c>
      <c r="D86" s="864"/>
      <c r="E86" s="833"/>
      <c r="F86" s="829"/>
      <c r="G86" s="856"/>
      <c r="H86" s="856"/>
      <c r="I86" s="856"/>
      <c r="J86" s="856"/>
      <c r="K86" s="856"/>
      <c r="L86" s="856"/>
      <c r="M86" s="856"/>
      <c r="N86" s="857"/>
    </row>
    <row r="87" spans="1:14" s="810" customFormat="1" ht="14.25" customHeight="1">
      <c r="A87" s="2657"/>
      <c r="B87" s="2782"/>
      <c r="C87" s="865" t="s">
        <v>3991</v>
      </c>
      <c r="D87" s="864"/>
      <c r="E87" s="833"/>
      <c r="F87" s="829"/>
      <c r="G87" s="856"/>
      <c r="H87" s="856"/>
      <c r="I87" s="856"/>
      <c r="J87" s="856"/>
      <c r="K87" s="856"/>
      <c r="L87" s="856"/>
      <c r="M87" s="856"/>
      <c r="N87" s="857"/>
    </row>
    <row r="88" spans="1:14" s="810" customFormat="1" ht="14.25" customHeight="1">
      <c r="A88" s="2657"/>
      <c r="B88" s="2782"/>
      <c r="C88" s="832" t="s">
        <v>3992</v>
      </c>
      <c r="D88" s="864">
        <f t="shared" ref="D88:E92" si="50">+D70</f>
        <v>1</v>
      </c>
      <c r="E88" s="833">
        <f t="shared" si="50"/>
        <v>0.01</v>
      </c>
      <c r="F88" s="829">
        <f>IF('堺筋本町　諸'!$C$2="共通費集計表",ROUNDDOWN(D88*E88*F70,0),#REF!)</f>
        <v>0</v>
      </c>
      <c r="G88" s="856">
        <f t="shared" si="49"/>
        <v>0</v>
      </c>
      <c r="H88" s="856">
        <f t="shared" si="49"/>
        <v>0</v>
      </c>
      <c r="I88" s="856">
        <f t="shared" si="49"/>
        <v>0</v>
      </c>
      <c r="J88" s="856">
        <f t="shared" si="49"/>
        <v>0</v>
      </c>
      <c r="K88" s="856">
        <f t="shared" si="49"/>
        <v>0</v>
      </c>
      <c r="L88" s="856">
        <f t="shared" si="49"/>
        <v>0</v>
      </c>
      <c r="M88" s="856">
        <f t="shared" si="49"/>
        <v>0</v>
      </c>
      <c r="N88" s="857">
        <f t="shared" si="49"/>
        <v>0</v>
      </c>
    </row>
    <row r="89" spans="1:14" s="810" customFormat="1" ht="14.25" customHeight="1">
      <c r="A89" s="2657"/>
      <c r="B89" s="2782"/>
      <c r="C89" s="834" t="s">
        <v>4024</v>
      </c>
      <c r="D89" s="864">
        <f t="shared" si="50"/>
        <v>1</v>
      </c>
      <c r="E89" s="833">
        <f t="shared" si="50"/>
        <v>0.01</v>
      </c>
      <c r="F89" s="829">
        <f>IF('堺筋本町　諸'!$C$2="共通費集計表",ROUNDDOWN(D89*E89*F71,0),#REF!)</f>
        <v>0</v>
      </c>
      <c r="G89" s="856">
        <f t="shared" si="49"/>
        <v>0</v>
      </c>
      <c r="H89" s="856">
        <f t="shared" si="49"/>
        <v>0</v>
      </c>
      <c r="I89" s="856">
        <f t="shared" si="49"/>
        <v>0</v>
      </c>
      <c r="J89" s="856">
        <f t="shared" si="49"/>
        <v>0</v>
      </c>
      <c r="K89" s="856">
        <f t="shared" si="49"/>
        <v>0</v>
      </c>
      <c r="L89" s="856">
        <f t="shared" si="49"/>
        <v>0</v>
      </c>
      <c r="M89" s="856">
        <f t="shared" si="49"/>
        <v>0</v>
      </c>
      <c r="N89" s="856">
        <f t="shared" si="49"/>
        <v>0</v>
      </c>
    </row>
    <row r="90" spans="1:14" s="810" customFormat="1" ht="14.25" customHeight="1">
      <c r="A90" s="2657"/>
      <c r="B90" s="2782"/>
      <c r="C90" s="834" t="s">
        <v>4025</v>
      </c>
      <c r="D90" s="864">
        <f t="shared" si="50"/>
        <v>1</v>
      </c>
      <c r="E90" s="833">
        <f t="shared" si="50"/>
        <v>0.01</v>
      </c>
      <c r="F90" s="829">
        <f>IF('堺筋本町　諸'!$C$2="共通費集計表",ROUNDDOWN(D90*E90*F72,0),#REF!)</f>
        <v>0</v>
      </c>
      <c r="G90" s="856">
        <f t="shared" si="49"/>
        <v>0</v>
      </c>
      <c r="H90" s="856">
        <f t="shared" si="49"/>
        <v>0</v>
      </c>
      <c r="I90" s="856">
        <f t="shared" si="49"/>
        <v>0</v>
      </c>
      <c r="J90" s="856">
        <f t="shared" si="49"/>
        <v>0</v>
      </c>
      <c r="K90" s="856">
        <f t="shared" si="49"/>
        <v>0</v>
      </c>
      <c r="L90" s="856">
        <f t="shared" si="49"/>
        <v>0</v>
      </c>
      <c r="M90" s="856">
        <f t="shared" si="49"/>
        <v>0</v>
      </c>
      <c r="N90" s="856">
        <f t="shared" si="49"/>
        <v>0</v>
      </c>
    </row>
    <row r="91" spans="1:14" s="810" customFormat="1" ht="14.25" customHeight="1">
      <c r="A91" s="2657"/>
      <c r="B91" s="2782"/>
      <c r="C91" s="832" t="s">
        <v>3995</v>
      </c>
      <c r="D91" s="864">
        <f t="shared" si="50"/>
        <v>1</v>
      </c>
      <c r="E91" s="833">
        <f t="shared" si="50"/>
        <v>0.01</v>
      </c>
      <c r="F91" s="829">
        <f>IF('堺筋本町　諸'!$C$2="共通費集計表",ROUNDDOWN(D91*E91*F73,0),#REF!)</f>
        <v>0</v>
      </c>
      <c r="G91" s="856">
        <f t="shared" si="49"/>
        <v>0</v>
      </c>
      <c r="H91" s="856">
        <f t="shared" si="49"/>
        <v>0</v>
      </c>
      <c r="I91" s="856">
        <f t="shared" si="49"/>
        <v>0</v>
      </c>
      <c r="J91" s="856">
        <f t="shared" si="49"/>
        <v>0</v>
      </c>
      <c r="K91" s="856">
        <f t="shared" si="49"/>
        <v>0</v>
      </c>
      <c r="L91" s="856">
        <f t="shared" si="49"/>
        <v>0</v>
      </c>
      <c r="M91" s="856">
        <f t="shared" si="49"/>
        <v>0</v>
      </c>
      <c r="N91" s="856">
        <f t="shared" si="49"/>
        <v>0</v>
      </c>
    </row>
    <row r="92" spans="1:14" s="810" customFormat="1" ht="14.25" customHeight="1" thickBot="1">
      <c r="A92" s="2663"/>
      <c r="B92" s="2438" t="s">
        <v>4016</v>
      </c>
      <c r="C92" s="867" t="s">
        <v>4026</v>
      </c>
      <c r="D92" s="2439">
        <f t="shared" si="50"/>
        <v>1</v>
      </c>
      <c r="E92" s="2440">
        <f t="shared" si="50"/>
        <v>0</v>
      </c>
      <c r="F92" s="2441">
        <f>ROUNDDOWN(D92*E92*F74,0)</f>
        <v>0</v>
      </c>
      <c r="G92" s="856">
        <f>ROUNDDOWN(G74*$E92*$D92,0)</f>
        <v>0</v>
      </c>
      <c r="H92" s="856">
        <f>ROUNDDOWN(H74*$E92*$D92,0)</f>
        <v>0</v>
      </c>
      <c r="I92" s="856">
        <f t="shared" si="49"/>
        <v>0</v>
      </c>
      <c r="J92" s="856">
        <f t="shared" si="49"/>
        <v>0</v>
      </c>
      <c r="K92" s="856">
        <f t="shared" si="49"/>
        <v>0</v>
      </c>
      <c r="L92" s="856">
        <f t="shared" si="49"/>
        <v>0</v>
      </c>
      <c r="M92" s="856">
        <f t="shared" si="49"/>
        <v>0</v>
      </c>
      <c r="N92" s="856">
        <f t="shared" si="49"/>
        <v>0</v>
      </c>
    </row>
    <row r="93" spans="1:14" s="810" customFormat="1" ht="14.25" customHeight="1" thickTop="1">
      <c r="A93" s="871"/>
      <c r="B93" s="872"/>
      <c r="C93" s="873" t="s">
        <v>4027</v>
      </c>
      <c r="D93" s="874"/>
      <c r="E93" s="875"/>
      <c r="F93" s="876">
        <f>SUM(G93:N93)</f>
        <v>6075201</v>
      </c>
      <c r="G93" s="877">
        <f>SUM(G80:G92)+G78</f>
        <v>1189666</v>
      </c>
      <c r="H93" s="877">
        <f t="shared" ref="H93:N93" si="51">SUM(H80:H92)+H78</f>
        <v>764819</v>
      </c>
      <c r="I93" s="877">
        <f t="shared" si="51"/>
        <v>4120716</v>
      </c>
      <c r="J93" s="877">
        <f t="shared" si="51"/>
        <v>0</v>
      </c>
      <c r="K93" s="877">
        <f>SUM(K80:K92)+K78</f>
        <v>0</v>
      </c>
      <c r="L93" s="877">
        <f t="shared" si="51"/>
        <v>0</v>
      </c>
      <c r="M93" s="877">
        <f t="shared" si="51"/>
        <v>0</v>
      </c>
      <c r="N93" s="878">
        <f t="shared" si="51"/>
        <v>0</v>
      </c>
    </row>
    <row r="94" spans="1:14" s="759" customFormat="1" ht="14.25" customHeight="1">
      <c r="A94" s="754"/>
      <c r="B94" s="754"/>
      <c r="C94" s="762"/>
      <c r="D94" s="762"/>
      <c r="E94" s="754"/>
      <c r="F94" s="879"/>
      <c r="G94" s="880"/>
      <c r="H94" s="880"/>
      <c r="I94" s="880"/>
      <c r="J94" s="880"/>
      <c r="K94" s="880"/>
      <c r="L94" s="880"/>
      <c r="M94" s="880"/>
      <c r="N94" s="880"/>
    </row>
    <row r="95" spans="1:14" s="759" customFormat="1" ht="14.25" customHeight="1">
      <c r="A95" s="754"/>
      <c r="B95" s="754"/>
      <c r="C95" s="881" t="s">
        <v>4028</v>
      </c>
      <c r="D95" s="881"/>
      <c r="E95" s="882"/>
      <c r="F95" s="646"/>
      <c r="G95" s="651"/>
      <c r="H95" s="651"/>
      <c r="I95" s="651"/>
      <c r="J95" s="651"/>
      <c r="K95" s="651"/>
      <c r="L95" s="651"/>
      <c r="M95" s="651"/>
      <c r="N95" s="653" t="s">
        <v>4029</v>
      </c>
    </row>
    <row r="96" spans="1:14" s="759" customFormat="1" ht="14.25" customHeight="1">
      <c r="A96" s="754"/>
      <c r="B96" s="754"/>
      <c r="C96" s="883" t="s">
        <v>4030</v>
      </c>
      <c r="D96" s="883"/>
      <c r="E96" s="882"/>
      <c r="F96" s="646"/>
      <c r="G96" s="651"/>
      <c r="H96" s="651"/>
      <c r="I96" s="651"/>
      <c r="J96" s="651"/>
      <c r="K96" s="651"/>
      <c r="L96" s="651"/>
      <c r="M96" s="651"/>
      <c r="N96" s="653"/>
    </row>
    <row r="97" spans="1:14" s="759" customFormat="1" ht="14.25" customHeight="1">
      <c r="A97" s="884"/>
      <c r="B97" s="885"/>
      <c r="C97" s="885"/>
      <c r="D97" s="2673" t="s">
        <v>4007</v>
      </c>
      <c r="E97" s="2673" t="s">
        <v>4008</v>
      </c>
      <c r="F97" s="886" t="s">
        <v>3979</v>
      </c>
      <c r="G97" s="887" t="str">
        <f t="shared" ref="G97:N97" si="52">+G5</f>
        <v>工事6</v>
      </c>
      <c r="H97" s="887" t="str">
        <f t="shared" si="52"/>
        <v>工事7</v>
      </c>
      <c r="I97" s="887" t="str">
        <f t="shared" si="52"/>
        <v>工事8</v>
      </c>
      <c r="J97" s="887" t="str">
        <f t="shared" si="52"/>
        <v>工事4</v>
      </c>
      <c r="K97" s="887" t="str">
        <f>+K5</f>
        <v>工事5</v>
      </c>
      <c r="L97" s="887" t="str">
        <f t="shared" si="52"/>
        <v>工事6</v>
      </c>
      <c r="M97" s="887" t="str">
        <f t="shared" si="52"/>
        <v>工事7</v>
      </c>
      <c r="N97" s="888" t="str">
        <f t="shared" si="52"/>
        <v>工事8</v>
      </c>
    </row>
    <row r="98" spans="1:14" s="759" customFormat="1" ht="14.25" customHeight="1">
      <c r="A98" s="2675" t="s">
        <v>4031</v>
      </c>
      <c r="B98" s="2676"/>
      <c r="C98" s="2676"/>
      <c r="D98" s="2674"/>
      <c r="E98" s="2674"/>
      <c r="F98" s="889"/>
      <c r="G98" s="890"/>
      <c r="H98" s="890"/>
      <c r="I98" s="890"/>
      <c r="J98" s="890"/>
      <c r="K98" s="890"/>
      <c r="L98" s="890"/>
      <c r="M98" s="890"/>
      <c r="N98" s="891"/>
    </row>
    <row r="99" spans="1:14" s="759" customFormat="1" ht="14.25" customHeight="1">
      <c r="A99" s="2677"/>
      <c r="B99" s="892" t="s">
        <v>4032</v>
      </c>
      <c r="C99" s="893"/>
      <c r="D99" s="894"/>
      <c r="E99" s="895"/>
      <c r="F99" s="896">
        <f t="shared" ref="F99:F106" si="53">SUM(G99:N99)</f>
        <v>212174150</v>
      </c>
      <c r="G99" s="897">
        <f>+G10-G54-G53-G49-G50</f>
        <v>44699898</v>
      </c>
      <c r="H99" s="897">
        <f t="shared" ref="H99:N99" si="54">+H10-H54-H53-H49-H50</f>
        <v>28900276</v>
      </c>
      <c r="I99" s="898">
        <f t="shared" si="54"/>
        <v>138573976</v>
      </c>
      <c r="J99" s="898">
        <f t="shared" si="54"/>
        <v>0</v>
      </c>
      <c r="K99" s="898">
        <f>+K10-K54-K53-K49-K50</f>
        <v>0</v>
      </c>
      <c r="L99" s="898">
        <f t="shared" si="54"/>
        <v>0</v>
      </c>
      <c r="M99" s="898">
        <f t="shared" si="54"/>
        <v>0</v>
      </c>
      <c r="N99" s="899">
        <f t="shared" si="54"/>
        <v>0</v>
      </c>
    </row>
    <row r="100" spans="1:14" s="759" customFormat="1" ht="14.25" customHeight="1">
      <c r="A100" s="2678"/>
      <c r="B100" s="2780" t="s">
        <v>3981</v>
      </c>
      <c r="C100" s="900" t="s">
        <v>3982</v>
      </c>
      <c r="D100" s="901">
        <v>1</v>
      </c>
      <c r="E100" s="902" t="s">
        <v>4011</v>
      </c>
      <c r="F100" s="757">
        <f t="shared" si="53"/>
        <v>0</v>
      </c>
      <c r="G100" s="793">
        <f>IF(G36&gt;G37,+G36+G78+G17-G18-G19-G54,G36+G78)</f>
        <v>0</v>
      </c>
      <c r="H100" s="793">
        <f t="shared" ref="H100:N100" si="55">IF(H36&gt;H37,+H36+H78+H17-H18-H19-H54,H36+H78)</f>
        <v>0</v>
      </c>
      <c r="I100" s="793">
        <f t="shared" si="55"/>
        <v>0</v>
      </c>
      <c r="J100" s="793">
        <f t="shared" si="55"/>
        <v>0</v>
      </c>
      <c r="K100" s="793">
        <f t="shared" si="55"/>
        <v>0</v>
      </c>
      <c r="L100" s="793">
        <f t="shared" si="55"/>
        <v>0</v>
      </c>
      <c r="M100" s="793">
        <f t="shared" si="55"/>
        <v>0</v>
      </c>
      <c r="N100" s="794">
        <f t="shared" si="55"/>
        <v>0</v>
      </c>
    </row>
    <row r="101" spans="1:14" s="719" customFormat="1" ht="14.25" customHeight="1">
      <c r="A101" s="2678"/>
      <c r="B101" s="2780"/>
      <c r="C101" s="903" t="s">
        <v>3983</v>
      </c>
      <c r="D101" s="904">
        <v>1</v>
      </c>
      <c r="E101" s="905" t="s">
        <v>4011</v>
      </c>
      <c r="F101" s="757">
        <f t="shared" si="53"/>
        <v>206494213</v>
      </c>
      <c r="G101" s="793">
        <f>IF(G36&gt;G37,+G37+G80,G37+G80+G17-G18-G19-G54)</f>
        <v>41041678</v>
      </c>
      <c r="H101" s="793">
        <f t="shared" ref="H101:N101" si="56">IF(H36&gt;H37,+H37+H80,H37+H80+H17-H18-H19-H54)</f>
        <v>28900276</v>
      </c>
      <c r="I101" s="793">
        <f t="shared" si="56"/>
        <v>136552259</v>
      </c>
      <c r="J101" s="793">
        <f t="shared" si="56"/>
        <v>0</v>
      </c>
      <c r="K101" s="793">
        <f t="shared" si="56"/>
        <v>0</v>
      </c>
      <c r="L101" s="793">
        <f t="shared" si="56"/>
        <v>0</v>
      </c>
      <c r="M101" s="793">
        <f t="shared" si="56"/>
        <v>0</v>
      </c>
      <c r="N101" s="794">
        <f t="shared" si="56"/>
        <v>0</v>
      </c>
    </row>
    <row r="102" spans="1:14" s="759" customFormat="1" ht="14.25" customHeight="1">
      <c r="A102" s="2678"/>
      <c r="B102" s="2780"/>
      <c r="C102" s="900" t="s">
        <v>4012</v>
      </c>
      <c r="D102" s="901">
        <v>1</v>
      </c>
      <c r="E102" s="902" t="s">
        <v>4011</v>
      </c>
      <c r="F102" s="757">
        <f t="shared" si="53"/>
        <v>0</v>
      </c>
      <c r="G102" s="793">
        <f>+G38+G81</f>
        <v>0</v>
      </c>
      <c r="H102" s="793">
        <f t="shared" ref="H102:N106" si="57">+H38+H81</f>
        <v>0</v>
      </c>
      <c r="I102" s="906">
        <f t="shared" si="57"/>
        <v>0</v>
      </c>
      <c r="J102" s="906">
        <f t="shared" si="57"/>
        <v>0</v>
      </c>
      <c r="K102" s="906">
        <f t="shared" si="57"/>
        <v>0</v>
      </c>
      <c r="L102" s="906">
        <f t="shared" si="57"/>
        <v>0</v>
      </c>
      <c r="M102" s="906">
        <f t="shared" si="57"/>
        <v>0</v>
      </c>
      <c r="N102" s="907">
        <f t="shared" si="57"/>
        <v>0</v>
      </c>
    </row>
    <row r="103" spans="1:14" s="759" customFormat="1" ht="14.25" customHeight="1">
      <c r="A103" s="2678"/>
      <c r="B103" s="2780"/>
      <c r="C103" s="900" t="s">
        <v>4013</v>
      </c>
      <c r="D103" s="901">
        <v>1</v>
      </c>
      <c r="E103" s="902" t="s">
        <v>4011</v>
      </c>
      <c r="F103" s="757">
        <f t="shared" si="53"/>
        <v>0</v>
      </c>
      <c r="G103" s="906">
        <f>+G39+G82</f>
        <v>0</v>
      </c>
      <c r="H103" s="906">
        <f t="shared" si="57"/>
        <v>0</v>
      </c>
      <c r="I103" s="906">
        <f t="shared" si="57"/>
        <v>0</v>
      </c>
      <c r="J103" s="906">
        <f t="shared" si="57"/>
        <v>0</v>
      </c>
      <c r="K103" s="906">
        <f t="shared" si="57"/>
        <v>0</v>
      </c>
      <c r="L103" s="906">
        <f t="shared" si="57"/>
        <v>0</v>
      </c>
      <c r="M103" s="906">
        <f t="shared" si="57"/>
        <v>0</v>
      </c>
      <c r="N103" s="907">
        <f t="shared" si="57"/>
        <v>0</v>
      </c>
    </row>
    <row r="104" spans="1:14" s="759" customFormat="1" ht="14.25" customHeight="1">
      <c r="A104" s="2678"/>
      <c r="B104" s="2780" t="s">
        <v>3986</v>
      </c>
      <c r="C104" s="908" t="s">
        <v>4014</v>
      </c>
      <c r="D104" s="901">
        <v>1</v>
      </c>
      <c r="E104" s="909">
        <v>0.02</v>
      </c>
      <c r="F104" s="757">
        <f t="shared" si="53"/>
        <v>0</v>
      </c>
      <c r="G104" s="906">
        <f>+G40+G83</f>
        <v>0</v>
      </c>
      <c r="H104" s="906">
        <f t="shared" si="57"/>
        <v>0</v>
      </c>
      <c r="I104" s="906">
        <f t="shared" si="57"/>
        <v>0</v>
      </c>
      <c r="J104" s="906">
        <f t="shared" si="57"/>
        <v>0</v>
      </c>
      <c r="K104" s="906">
        <f t="shared" si="57"/>
        <v>0</v>
      </c>
      <c r="L104" s="906">
        <f t="shared" si="57"/>
        <v>0</v>
      </c>
      <c r="M104" s="906">
        <f t="shared" si="57"/>
        <v>0</v>
      </c>
      <c r="N104" s="907">
        <f t="shared" si="57"/>
        <v>0</v>
      </c>
    </row>
    <row r="105" spans="1:14" s="759" customFormat="1" ht="14.25" customHeight="1">
      <c r="A105" s="2678"/>
      <c r="B105" s="2780"/>
      <c r="C105" s="908" t="s">
        <v>4015</v>
      </c>
      <c r="D105" s="901">
        <v>1</v>
      </c>
      <c r="E105" s="909">
        <v>0.02</v>
      </c>
      <c r="F105" s="757">
        <f t="shared" si="53"/>
        <v>0</v>
      </c>
      <c r="G105" s="906">
        <f>+G41+G84</f>
        <v>0</v>
      </c>
      <c r="H105" s="906">
        <f t="shared" si="57"/>
        <v>0</v>
      </c>
      <c r="I105" s="906">
        <f t="shared" si="57"/>
        <v>0</v>
      </c>
      <c r="J105" s="906">
        <f t="shared" si="57"/>
        <v>0</v>
      </c>
      <c r="K105" s="906">
        <f t="shared" si="57"/>
        <v>0</v>
      </c>
      <c r="L105" s="906">
        <f t="shared" si="57"/>
        <v>0</v>
      </c>
      <c r="M105" s="906">
        <f t="shared" si="57"/>
        <v>0</v>
      </c>
      <c r="N105" s="907">
        <f t="shared" si="57"/>
        <v>0</v>
      </c>
    </row>
    <row r="106" spans="1:14" s="759" customFormat="1" ht="14.25" customHeight="1">
      <c r="A106" s="2678"/>
      <c r="B106" s="2780"/>
      <c r="C106" s="908" t="s">
        <v>3989</v>
      </c>
      <c r="D106" s="901">
        <v>1</v>
      </c>
      <c r="E106" s="909">
        <v>0.02</v>
      </c>
      <c r="F106" s="757">
        <f t="shared" si="53"/>
        <v>5679937</v>
      </c>
      <c r="G106" s="906">
        <f>+G42+G85</f>
        <v>3658220</v>
      </c>
      <c r="H106" s="906">
        <f t="shared" si="57"/>
        <v>0</v>
      </c>
      <c r="I106" s="906">
        <f t="shared" si="57"/>
        <v>2021717</v>
      </c>
      <c r="J106" s="906">
        <f t="shared" si="57"/>
        <v>0</v>
      </c>
      <c r="K106" s="906">
        <f t="shared" si="57"/>
        <v>0</v>
      </c>
      <c r="L106" s="906">
        <f t="shared" si="57"/>
        <v>0</v>
      </c>
      <c r="M106" s="906">
        <f t="shared" si="57"/>
        <v>0</v>
      </c>
      <c r="N106" s="907">
        <f t="shared" si="57"/>
        <v>0</v>
      </c>
    </row>
    <row r="107" spans="1:14" s="759" customFormat="1" ht="14.25" customHeight="1">
      <c r="A107" s="2678"/>
      <c r="B107" s="2780"/>
      <c r="C107" s="908" t="s">
        <v>3990</v>
      </c>
      <c r="D107" s="901"/>
      <c r="E107" s="909"/>
      <c r="F107" s="757"/>
      <c r="G107" s="906"/>
      <c r="H107" s="906"/>
      <c r="I107" s="906"/>
      <c r="J107" s="906"/>
      <c r="K107" s="906"/>
      <c r="L107" s="906"/>
      <c r="M107" s="906"/>
      <c r="N107" s="907"/>
    </row>
    <row r="108" spans="1:14" s="759" customFormat="1" ht="14.25" customHeight="1">
      <c r="A108" s="2678"/>
      <c r="B108" s="2780"/>
      <c r="C108" s="908" t="s">
        <v>3991</v>
      </c>
      <c r="D108" s="901"/>
      <c r="E108" s="909"/>
      <c r="F108" s="757"/>
      <c r="G108" s="906"/>
      <c r="H108" s="906"/>
      <c r="I108" s="906"/>
      <c r="J108" s="906"/>
      <c r="K108" s="906"/>
      <c r="L108" s="906"/>
      <c r="M108" s="906"/>
      <c r="N108" s="907"/>
    </row>
    <row r="109" spans="1:14" s="759" customFormat="1" ht="14.25" customHeight="1">
      <c r="A109" s="2678"/>
      <c r="B109" s="2780"/>
      <c r="C109" s="908" t="s">
        <v>3992</v>
      </c>
      <c r="D109" s="901">
        <v>1</v>
      </c>
      <c r="E109" s="909">
        <v>0.02</v>
      </c>
      <c r="F109" s="757">
        <f>SUM(G109:N109)</f>
        <v>0</v>
      </c>
      <c r="G109" s="906">
        <f t="shared" ref="G109:N112" si="58">+G45+G88</f>
        <v>0</v>
      </c>
      <c r="H109" s="906">
        <f t="shared" si="58"/>
        <v>0</v>
      </c>
      <c r="I109" s="906">
        <f t="shared" si="58"/>
        <v>0</v>
      </c>
      <c r="J109" s="906">
        <f t="shared" si="58"/>
        <v>0</v>
      </c>
      <c r="K109" s="906">
        <f t="shared" si="58"/>
        <v>0</v>
      </c>
      <c r="L109" s="906">
        <f t="shared" si="58"/>
        <v>0</v>
      </c>
      <c r="M109" s="906">
        <f t="shared" si="58"/>
        <v>0</v>
      </c>
      <c r="N109" s="907">
        <f t="shared" si="58"/>
        <v>0</v>
      </c>
    </row>
    <row r="110" spans="1:14" s="759" customFormat="1" ht="14.25" customHeight="1">
      <c r="A110" s="2678"/>
      <c r="B110" s="2780"/>
      <c r="C110" s="910" t="s">
        <v>3993</v>
      </c>
      <c r="D110" s="901">
        <v>1</v>
      </c>
      <c r="E110" s="909">
        <v>0.02</v>
      </c>
      <c r="F110" s="757">
        <f>SUM(G110:N110)</f>
        <v>0</v>
      </c>
      <c r="G110" s="906">
        <f t="shared" si="58"/>
        <v>0</v>
      </c>
      <c r="H110" s="906">
        <f t="shared" si="58"/>
        <v>0</v>
      </c>
      <c r="I110" s="906">
        <f t="shared" si="58"/>
        <v>0</v>
      </c>
      <c r="J110" s="906">
        <f t="shared" si="58"/>
        <v>0</v>
      </c>
      <c r="K110" s="906">
        <f t="shared" si="58"/>
        <v>0</v>
      </c>
      <c r="L110" s="906">
        <f t="shared" si="58"/>
        <v>0</v>
      </c>
      <c r="M110" s="906">
        <f t="shared" si="58"/>
        <v>0</v>
      </c>
      <c r="N110" s="907">
        <f t="shared" si="58"/>
        <v>0</v>
      </c>
    </row>
    <row r="111" spans="1:14" s="759" customFormat="1" ht="14.25" customHeight="1">
      <c r="A111" s="2678"/>
      <c r="B111" s="2780"/>
      <c r="C111" s="910" t="s">
        <v>3994</v>
      </c>
      <c r="D111" s="901">
        <v>1</v>
      </c>
      <c r="E111" s="909">
        <v>0.02</v>
      </c>
      <c r="F111" s="757">
        <f>SUM(G111:N111)</f>
        <v>0</v>
      </c>
      <c r="G111" s="906">
        <f t="shared" si="58"/>
        <v>0</v>
      </c>
      <c r="H111" s="906">
        <f t="shared" si="58"/>
        <v>0</v>
      </c>
      <c r="I111" s="906">
        <f t="shared" si="58"/>
        <v>0</v>
      </c>
      <c r="J111" s="906">
        <f t="shared" si="58"/>
        <v>0</v>
      </c>
      <c r="K111" s="906">
        <f t="shared" si="58"/>
        <v>0</v>
      </c>
      <c r="L111" s="906">
        <f t="shared" si="58"/>
        <v>0</v>
      </c>
      <c r="M111" s="906">
        <f t="shared" si="58"/>
        <v>0</v>
      </c>
      <c r="N111" s="907">
        <f t="shared" si="58"/>
        <v>0</v>
      </c>
    </row>
    <row r="112" spans="1:14" s="759" customFormat="1" ht="14.25" customHeight="1">
      <c r="A112" s="2678"/>
      <c r="B112" s="2780"/>
      <c r="C112" s="908" t="s">
        <v>3995</v>
      </c>
      <c r="D112" s="901">
        <v>1</v>
      </c>
      <c r="E112" s="909">
        <v>0.02</v>
      </c>
      <c r="F112" s="757">
        <f>SUM(G112:N112)</f>
        <v>0</v>
      </c>
      <c r="G112" s="906">
        <f t="shared" si="58"/>
        <v>0</v>
      </c>
      <c r="H112" s="906">
        <f t="shared" si="58"/>
        <v>0</v>
      </c>
      <c r="I112" s="906">
        <f t="shared" si="58"/>
        <v>0</v>
      </c>
      <c r="J112" s="906">
        <f t="shared" si="58"/>
        <v>0</v>
      </c>
      <c r="K112" s="906">
        <f t="shared" si="58"/>
        <v>0</v>
      </c>
      <c r="L112" s="906">
        <f t="shared" si="58"/>
        <v>0</v>
      </c>
      <c r="M112" s="906">
        <f t="shared" si="58"/>
        <v>0</v>
      </c>
      <c r="N112" s="907">
        <f t="shared" si="58"/>
        <v>0</v>
      </c>
    </row>
    <row r="113" spans="1:14" s="759" customFormat="1" ht="14.25" customHeight="1">
      <c r="A113" s="2679"/>
      <c r="B113" s="911" t="s">
        <v>4016</v>
      </c>
      <c r="C113" s="912" t="s">
        <v>4033</v>
      </c>
      <c r="D113" s="913">
        <v>1</v>
      </c>
      <c r="E113" s="914">
        <v>0</v>
      </c>
      <c r="F113" s="915">
        <f>SUM(G113:N113)</f>
        <v>602934</v>
      </c>
      <c r="G113" s="916">
        <f>SUM(G49:G55)</f>
        <v>96063</v>
      </c>
      <c r="H113" s="916">
        <f t="shared" ref="H113:N113" si="59">SUM(H49:H55)</f>
        <v>13658</v>
      </c>
      <c r="I113" s="916">
        <f t="shared" si="59"/>
        <v>493213</v>
      </c>
      <c r="J113" s="916">
        <f t="shared" si="59"/>
        <v>0</v>
      </c>
      <c r="K113" s="916">
        <f>SUM(K49:K55)</f>
        <v>0</v>
      </c>
      <c r="L113" s="916">
        <f t="shared" si="59"/>
        <v>0</v>
      </c>
      <c r="M113" s="916">
        <f t="shared" si="59"/>
        <v>0</v>
      </c>
      <c r="N113" s="917">
        <f t="shared" si="59"/>
        <v>0</v>
      </c>
    </row>
    <row r="114" spans="1:14" s="759" customFormat="1" ht="14.25" customHeight="1">
      <c r="A114" s="918"/>
      <c r="B114" s="919"/>
      <c r="C114" s="920"/>
      <c r="D114" s="2681"/>
      <c r="E114" s="2681"/>
      <c r="F114" s="896"/>
      <c r="G114" s="897"/>
      <c r="H114" s="897"/>
      <c r="I114" s="897"/>
      <c r="J114" s="897"/>
      <c r="K114" s="897"/>
      <c r="L114" s="897"/>
      <c r="M114" s="897"/>
      <c r="N114" s="921"/>
    </row>
    <row r="115" spans="1:14" s="759" customFormat="1" ht="14.25" customHeight="1">
      <c r="A115" s="2683" t="s">
        <v>4034</v>
      </c>
      <c r="B115" s="2683"/>
      <c r="C115" s="2675"/>
      <c r="D115" s="2682"/>
      <c r="E115" s="2682"/>
      <c r="F115" s="889"/>
      <c r="G115" s="890"/>
      <c r="H115" s="890"/>
      <c r="I115" s="890"/>
      <c r="J115" s="890"/>
      <c r="K115" s="890"/>
      <c r="L115" s="890"/>
      <c r="M115" s="890"/>
      <c r="N115" s="891"/>
    </row>
    <row r="116" spans="1:14" s="759" customFormat="1" ht="14.25" customHeight="1">
      <c r="A116" s="2677"/>
      <c r="B116" s="2684" t="s">
        <v>3981</v>
      </c>
      <c r="C116" s="922" t="s">
        <v>3982</v>
      </c>
      <c r="D116" s="923"/>
      <c r="E116" s="924" t="s">
        <v>4011</v>
      </c>
      <c r="F116" s="925" t="s">
        <v>4019</v>
      </c>
      <c r="G116" s="926">
        <f>IF(G100=0,0,+G200/100)</f>
        <v>0</v>
      </c>
      <c r="H116" s="926">
        <f t="shared" ref="H116:N116" si="60">IF(H100=0,0,+H200/100)</f>
        <v>0</v>
      </c>
      <c r="I116" s="926">
        <f t="shared" si="60"/>
        <v>0</v>
      </c>
      <c r="J116" s="926">
        <f t="shared" si="60"/>
        <v>0</v>
      </c>
      <c r="K116" s="926">
        <f>IF(K100=0,0,+K200/100)</f>
        <v>0</v>
      </c>
      <c r="L116" s="926">
        <f t="shared" si="60"/>
        <v>0</v>
      </c>
      <c r="M116" s="926">
        <f t="shared" si="60"/>
        <v>0</v>
      </c>
      <c r="N116" s="927">
        <f t="shared" si="60"/>
        <v>0</v>
      </c>
    </row>
    <row r="117" spans="1:14" s="759" customFormat="1" ht="14.25" customHeight="1">
      <c r="A117" s="2678"/>
      <c r="B117" s="2685"/>
      <c r="C117" s="928"/>
      <c r="D117" s="929">
        <f>+D100</f>
        <v>1</v>
      </c>
      <c r="E117" s="930" t="s">
        <v>4011</v>
      </c>
      <c r="F117" s="931">
        <f>SUM(G117:N117)</f>
        <v>0</v>
      </c>
      <c r="G117" s="748">
        <f>ROUNDDOWN(G100*G116*$D117,0)</f>
        <v>0</v>
      </c>
      <c r="H117" s="748">
        <f t="shared" ref="H117:N117" si="61">ROUNDDOWN(H100*H116*$D117,0)</f>
        <v>0</v>
      </c>
      <c r="I117" s="748">
        <f t="shared" si="61"/>
        <v>0</v>
      </c>
      <c r="J117" s="748">
        <f t="shared" si="61"/>
        <v>0</v>
      </c>
      <c r="K117" s="748">
        <f>ROUNDDOWN(K100*K116*$D117,0)</f>
        <v>0</v>
      </c>
      <c r="L117" s="748">
        <f t="shared" si="61"/>
        <v>0</v>
      </c>
      <c r="M117" s="748">
        <f t="shared" si="61"/>
        <v>0</v>
      </c>
      <c r="N117" s="932">
        <f t="shared" si="61"/>
        <v>0</v>
      </c>
    </row>
    <row r="118" spans="1:14" s="759" customFormat="1" ht="14.25" customHeight="1">
      <c r="A118" s="2678"/>
      <c r="B118" s="2780"/>
      <c r="C118" s="933" t="s">
        <v>3983</v>
      </c>
      <c r="D118" s="934"/>
      <c r="E118" s="930" t="s">
        <v>4011</v>
      </c>
      <c r="F118" s="935" t="s">
        <v>4019</v>
      </c>
      <c r="G118" s="936">
        <f>IF(G101=0,0,+G208/100)</f>
        <v>0.115</v>
      </c>
      <c r="H118" s="937">
        <f t="shared" ref="H118:N118" si="62">IF(H101=0,0,+H208/100)</f>
        <v>9.4700000000000006E-2</v>
      </c>
      <c r="I118" s="937">
        <f t="shared" si="62"/>
        <v>0.115</v>
      </c>
      <c r="J118" s="937">
        <f t="shared" si="62"/>
        <v>0</v>
      </c>
      <c r="K118" s="937">
        <f>IF(K101=0,0,+K208/100)</f>
        <v>0</v>
      </c>
      <c r="L118" s="937">
        <f t="shared" si="62"/>
        <v>0</v>
      </c>
      <c r="M118" s="937">
        <f t="shared" si="62"/>
        <v>0</v>
      </c>
      <c r="N118" s="938">
        <f t="shared" si="62"/>
        <v>0</v>
      </c>
    </row>
    <row r="119" spans="1:14" s="759" customFormat="1" ht="14.25" customHeight="1">
      <c r="A119" s="2678"/>
      <c r="B119" s="2780"/>
      <c r="C119" s="928"/>
      <c r="D119" s="939">
        <f t="shared" ref="D119:D124" si="63">+D101</f>
        <v>1</v>
      </c>
      <c r="E119" s="930" t="s">
        <v>4011</v>
      </c>
      <c r="F119" s="931">
        <f t="shared" ref="F119:F124" si="64">SUM(G119:N119)</f>
        <v>23160157</v>
      </c>
      <c r="G119" s="748">
        <f>ROUNDDOWN(G101*G118*$D119,0)</f>
        <v>4719792</v>
      </c>
      <c r="H119" s="748">
        <f t="shared" ref="H119:N119" si="65">ROUNDDOWN(H101*H118*$D119,0)</f>
        <v>2736856</v>
      </c>
      <c r="I119" s="748">
        <f t="shared" si="65"/>
        <v>15703509</v>
      </c>
      <c r="J119" s="748">
        <f t="shared" si="65"/>
        <v>0</v>
      </c>
      <c r="K119" s="748">
        <f>ROUNDDOWN(K101*K118*$D119,0)</f>
        <v>0</v>
      </c>
      <c r="L119" s="748">
        <f t="shared" si="65"/>
        <v>0</v>
      </c>
      <c r="M119" s="748">
        <f t="shared" si="65"/>
        <v>0</v>
      </c>
      <c r="N119" s="932">
        <f t="shared" si="65"/>
        <v>0</v>
      </c>
    </row>
    <row r="120" spans="1:14" s="759" customFormat="1" ht="14.25" customHeight="1">
      <c r="A120" s="2678"/>
      <c r="B120" s="2780"/>
      <c r="C120" s="900" t="s">
        <v>4020</v>
      </c>
      <c r="D120" s="940">
        <f t="shared" si="63"/>
        <v>1</v>
      </c>
      <c r="E120" s="930" t="s">
        <v>4011</v>
      </c>
      <c r="F120" s="931">
        <f t="shared" si="64"/>
        <v>0</v>
      </c>
      <c r="G120" s="748">
        <f t="shared" ref="G120:N120" si="66">ROUNDDOWN(G102*G116*$D120,0)</f>
        <v>0</v>
      </c>
      <c r="H120" s="748">
        <f t="shared" si="66"/>
        <v>0</v>
      </c>
      <c r="I120" s="748">
        <f t="shared" si="66"/>
        <v>0</v>
      </c>
      <c r="J120" s="748">
        <f t="shared" si="66"/>
        <v>0</v>
      </c>
      <c r="K120" s="748">
        <f>ROUNDDOWN(K102*K116*$D120,0)</f>
        <v>0</v>
      </c>
      <c r="L120" s="748">
        <f t="shared" si="66"/>
        <v>0</v>
      </c>
      <c r="M120" s="748">
        <f t="shared" si="66"/>
        <v>0</v>
      </c>
      <c r="N120" s="932">
        <f t="shared" si="66"/>
        <v>0</v>
      </c>
    </row>
    <row r="121" spans="1:14" s="759" customFormat="1" ht="14.25" customHeight="1">
      <c r="A121" s="2678"/>
      <c r="B121" s="2780"/>
      <c r="C121" s="900" t="s">
        <v>4021</v>
      </c>
      <c r="D121" s="940">
        <f t="shared" si="63"/>
        <v>1</v>
      </c>
      <c r="E121" s="930" t="s">
        <v>4011</v>
      </c>
      <c r="F121" s="931">
        <f t="shared" si="64"/>
        <v>0</v>
      </c>
      <c r="G121" s="748">
        <f>ROUNDDOWN(G103*G118*$D121,0)</f>
        <v>0</v>
      </c>
      <c r="H121" s="748">
        <f t="shared" ref="H121:N121" si="67">ROUNDDOWN(H103*H118*$D121,0)</f>
        <v>0</v>
      </c>
      <c r="I121" s="748">
        <f t="shared" si="67"/>
        <v>0</v>
      </c>
      <c r="J121" s="748">
        <f t="shared" si="67"/>
        <v>0</v>
      </c>
      <c r="K121" s="748">
        <f>ROUNDDOWN(K103*K118*$D121,0)</f>
        <v>0</v>
      </c>
      <c r="L121" s="748">
        <f t="shared" si="67"/>
        <v>0</v>
      </c>
      <c r="M121" s="748">
        <f t="shared" si="67"/>
        <v>0</v>
      </c>
      <c r="N121" s="932">
        <f t="shared" si="67"/>
        <v>0</v>
      </c>
    </row>
    <row r="122" spans="1:14" s="759" customFormat="1" ht="14.25" customHeight="1">
      <c r="A122" s="2678"/>
      <c r="B122" s="2780" t="s">
        <v>3986</v>
      </c>
      <c r="C122" s="908" t="s">
        <v>4014</v>
      </c>
      <c r="D122" s="940">
        <f t="shared" si="63"/>
        <v>1</v>
      </c>
      <c r="E122" s="909">
        <f>+E104</f>
        <v>0.02</v>
      </c>
      <c r="F122" s="931">
        <f t="shared" si="64"/>
        <v>0</v>
      </c>
      <c r="G122" s="748">
        <f t="shared" ref="G122:N124" si="68">ROUNDDOWN(G104*$E122*$D122,0)</f>
        <v>0</v>
      </c>
      <c r="H122" s="748">
        <f t="shared" si="68"/>
        <v>0</v>
      </c>
      <c r="I122" s="748">
        <f t="shared" si="68"/>
        <v>0</v>
      </c>
      <c r="J122" s="748">
        <f t="shared" si="68"/>
        <v>0</v>
      </c>
      <c r="K122" s="748">
        <f t="shared" si="68"/>
        <v>0</v>
      </c>
      <c r="L122" s="748">
        <f t="shared" si="68"/>
        <v>0</v>
      </c>
      <c r="M122" s="748">
        <f t="shared" si="68"/>
        <v>0</v>
      </c>
      <c r="N122" s="932">
        <f t="shared" si="68"/>
        <v>0</v>
      </c>
    </row>
    <row r="123" spans="1:14" s="759" customFormat="1" ht="14.25" customHeight="1">
      <c r="A123" s="2678"/>
      <c r="B123" s="2780"/>
      <c r="C123" s="908" t="s">
        <v>4022</v>
      </c>
      <c r="D123" s="940">
        <f t="shared" si="63"/>
        <v>1</v>
      </c>
      <c r="E123" s="909">
        <f>+E105</f>
        <v>0.02</v>
      </c>
      <c r="F123" s="931">
        <f t="shared" si="64"/>
        <v>0</v>
      </c>
      <c r="G123" s="748">
        <f t="shared" si="68"/>
        <v>0</v>
      </c>
      <c r="H123" s="748">
        <f t="shared" si="68"/>
        <v>0</v>
      </c>
      <c r="I123" s="748">
        <f t="shared" si="68"/>
        <v>0</v>
      </c>
      <c r="J123" s="748">
        <f t="shared" si="68"/>
        <v>0</v>
      </c>
      <c r="K123" s="748">
        <f>ROUNDDOWN(K105*$E123*$D123,0)</f>
        <v>0</v>
      </c>
      <c r="L123" s="748">
        <f t="shared" si="68"/>
        <v>0</v>
      </c>
      <c r="M123" s="748">
        <f t="shared" si="68"/>
        <v>0</v>
      </c>
      <c r="N123" s="932">
        <f t="shared" si="68"/>
        <v>0</v>
      </c>
    </row>
    <row r="124" spans="1:14" s="759" customFormat="1" ht="14.25" customHeight="1">
      <c r="A124" s="2678"/>
      <c r="B124" s="2780"/>
      <c r="C124" s="908" t="s">
        <v>3989</v>
      </c>
      <c r="D124" s="940">
        <f t="shared" si="63"/>
        <v>1</v>
      </c>
      <c r="E124" s="909">
        <f>+E106</f>
        <v>0.02</v>
      </c>
      <c r="F124" s="931">
        <f t="shared" si="64"/>
        <v>113598</v>
      </c>
      <c r="G124" s="748">
        <f>ROUNDDOWN(G106*$E124*$D124,0)</f>
        <v>73164</v>
      </c>
      <c r="H124" s="748">
        <f t="shared" si="68"/>
        <v>0</v>
      </c>
      <c r="I124" s="748">
        <f t="shared" si="68"/>
        <v>40434</v>
      </c>
      <c r="J124" s="748">
        <f t="shared" si="68"/>
        <v>0</v>
      </c>
      <c r="K124" s="748">
        <f>ROUNDDOWN(K106*$E124*$D124,0)</f>
        <v>0</v>
      </c>
      <c r="L124" s="748">
        <f t="shared" si="68"/>
        <v>0</v>
      </c>
      <c r="M124" s="748">
        <f t="shared" si="68"/>
        <v>0</v>
      </c>
      <c r="N124" s="932">
        <f t="shared" si="68"/>
        <v>0</v>
      </c>
    </row>
    <row r="125" spans="1:14" s="759" customFormat="1" ht="14.25" customHeight="1">
      <c r="A125" s="2678"/>
      <c r="B125" s="2780"/>
      <c r="C125" s="908" t="s">
        <v>3990</v>
      </c>
      <c r="D125" s="940"/>
      <c r="E125" s="909"/>
      <c r="F125" s="931"/>
      <c r="G125" s="748"/>
      <c r="H125" s="748"/>
      <c r="I125" s="748"/>
      <c r="J125" s="748"/>
      <c r="K125" s="748"/>
      <c r="L125" s="748"/>
      <c r="M125" s="748"/>
      <c r="N125" s="932"/>
    </row>
    <row r="126" spans="1:14" s="759" customFormat="1" ht="14.25" customHeight="1">
      <c r="A126" s="2678"/>
      <c r="B126" s="2780"/>
      <c r="C126" s="941"/>
      <c r="D126" s="940"/>
      <c r="E126" s="909"/>
      <c r="F126" s="931"/>
      <c r="G126" s="748"/>
      <c r="H126" s="748"/>
      <c r="I126" s="748"/>
      <c r="J126" s="748"/>
      <c r="K126" s="748"/>
      <c r="L126" s="748"/>
      <c r="M126" s="748"/>
      <c r="N126" s="932"/>
    </row>
    <row r="127" spans="1:14" s="759" customFormat="1" ht="14.25" customHeight="1">
      <c r="A127" s="2678"/>
      <c r="B127" s="2780"/>
      <c r="C127" s="908" t="s">
        <v>3992</v>
      </c>
      <c r="D127" s="940">
        <f t="shared" ref="D127:E130" si="69">+D109</f>
        <v>1</v>
      </c>
      <c r="E127" s="909">
        <f t="shared" si="69"/>
        <v>0.02</v>
      </c>
      <c r="F127" s="931">
        <f t="shared" ref="F127:F135" si="70">SUM(G127:N127)</f>
        <v>0</v>
      </c>
      <c r="G127" s="748">
        <f t="shared" ref="G127:N130" si="71">ROUNDDOWN(G109*$E127*$D127,0)</f>
        <v>0</v>
      </c>
      <c r="H127" s="748">
        <f t="shared" si="71"/>
        <v>0</v>
      </c>
      <c r="I127" s="748">
        <f t="shared" si="71"/>
        <v>0</v>
      </c>
      <c r="J127" s="748">
        <f t="shared" si="71"/>
        <v>0</v>
      </c>
      <c r="K127" s="748">
        <f>ROUNDDOWN(K109*$E127*$D127,0)</f>
        <v>0</v>
      </c>
      <c r="L127" s="748">
        <f t="shared" si="71"/>
        <v>0</v>
      </c>
      <c r="M127" s="748">
        <f t="shared" si="71"/>
        <v>0</v>
      </c>
      <c r="N127" s="932">
        <f t="shared" si="71"/>
        <v>0</v>
      </c>
    </row>
    <row r="128" spans="1:14" s="759" customFormat="1" ht="14.25" customHeight="1">
      <c r="A128" s="2678"/>
      <c r="B128" s="2780"/>
      <c r="C128" s="910" t="s">
        <v>3993</v>
      </c>
      <c r="D128" s="940">
        <f t="shared" si="69"/>
        <v>1</v>
      </c>
      <c r="E128" s="909">
        <f t="shared" si="69"/>
        <v>0.02</v>
      </c>
      <c r="F128" s="931">
        <f t="shared" si="70"/>
        <v>0</v>
      </c>
      <c r="G128" s="748">
        <f t="shared" si="71"/>
        <v>0</v>
      </c>
      <c r="H128" s="748">
        <f t="shared" si="71"/>
        <v>0</v>
      </c>
      <c r="I128" s="748">
        <f t="shared" si="71"/>
        <v>0</v>
      </c>
      <c r="J128" s="748">
        <f t="shared" si="71"/>
        <v>0</v>
      </c>
      <c r="K128" s="748">
        <f>ROUNDDOWN(K110*$E128*$D128,0)</f>
        <v>0</v>
      </c>
      <c r="L128" s="748">
        <f t="shared" si="71"/>
        <v>0</v>
      </c>
      <c r="M128" s="748">
        <f t="shared" si="71"/>
        <v>0</v>
      </c>
      <c r="N128" s="932">
        <f t="shared" si="71"/>
        <v>0</v>
      </c>
    </row>
    <row r="129" spans="1:14" s="759" customFormat="1" ht="14.25" customHeight="1">
      <c r="A129" s="2678"/>
      <c r="B129" s="2780"/>
      <c r="C129" s="910" t="s">
        <v>3994</v>
      </c>
      <c r="D129" s="940">
        <f t="shared" si="69"/>
        <v>1</v>
      </c>
      <c r="E129" s="909">
        <f t="shared" si="69"/>
        <v>0.02</v>
      </c>
      <c r="F129" s="931">
        <f t="shared" si="70"/>
        <v>0</v>
      </c>
      <c r="G129" s="748">
        <f t="shared" si="71"/>
        <v>0</v>
      </c>
      <c r="H129" s="748">
        <f t="shared" si="71"/>
        <v>0</v>
      </c>
      <c r="I129" s="748">
        <f t="shared" si="71"/>
        <v>0</v>
      </c>
      <c r="J129" s="748">
        <f t="shared" si="71"/>
        <v>0</v>
      </c>
      <c r="K129" s="748">
        <f>ROUNDDOWN(K111*$E129*$D129,0)</f>
        <v>0</v>
      </c>
      <c r="L129" s="748">
        <f t="shared" si="71"/>
        <v>0</v>
      </c>
      <c r="M129" s="748">
        <f t="shared" si="71"/>
        <v>0</v>
      </c>
      <c r="N129" s="932">
        <f t="shared" si="71"/>
        <v>0</v>
      </c>
    </row>
    <row r="130" spans="1:14" s="759" customFormat="1" ht="14.25" customHeight="1">
      <c r="A130" s="2678"/>
      <c r="B130" s="2780"/>
      <c r="C130" s="908" t="s">
        <v>4035</v>
      </c>
      <c r="D130" s="940">
        <f t="shared" si="69"/>
        <v>1</v>
      </c>
      <c r="E130" s="909">
        <f t="shared" si="69"/>
        <v>0.02</v>
      </c>
      <c r="F130" s="931">
        <f t="shared" si="70"/>
        <v>0</v>
      </c>
      <c r="G130" s="748">
        <f>ROUNDDOWN(G112*$E130*$D130,0)</f>
        <v>0</v>
      </c>
      <c r="H130" s="748">
        <f t="shared" si="71"/>
        <v>0</v>
      </c>
      <c r="I130" s="748">
        <f t="shared" si="71"/>
        <v>0</v>
      </c>
      <c r="J130" s="748">
        <f t="shared" si="71"/>
        <v>0</v>
      </c>
      <c r="K130" s="748">
        <f>ROUNDDOWN(K112*$E130*$D130,0)</f>
        <v>0</v>
      </c>
      <c r="L130" s="748">
        <f t="shared" si="71"/>
        <v>0</v>
      </c>
      <c r="M130" s="748">
        <f t="shared" si="71"/>
        <v>0</v>
      </c>
      <c r="N130" s="932">
        <f t="shared" si="71"/>
        <v>0</v>
      </c>
    </row>
    <row r="131" spans="1:14" s="759" customFormat="1" ht="14.25" customHeight="1">
      <c r="A131" s="2678"/>
      <c r="B131" s="2781" t="s">
        <v>4036</v>
      </c>
      <c r="C131" s="942" t="s">
        <v>4037</v>
      </c>
      <c r="D131" s="943"/>
      <c r="E131" s="944"/>
      <c r="F131" s="931">
        <f t="shared" si="70"/>
        <v>0</v>
      </c>
      <c r="G131" s="800"/>
      <c r="H131" s="800"/>
      <c r="I131" s="800"/>
      <c r="J131" s="800"/>
      <c r="K131" s="800"/>
      <c r="L131" s="800"/>
      <c r="M131" s="800"/>
      <c r="N131" s="801"/>
    </row>
    <row r="132" spans="1:14" s="759" customFormat="1" ht="14.25" customHeight="1">
      <c r="A132" s="2678"/>
      <c r="B132" s="2687"/>
      <c r="C132" s="945" t="s">
        <v>4038</v>
      </c>
      <c r="D132" s="943"/>
      <c r="E132" s="944"/>
      <c r="F132" s="931">
        <f t="shared" si="70"/>
        <v>0</v>
      </c>
      <c r="G132" s="793"/>
      <c r="H132" s="793"/>
      <c r="I132" s="793"/>
      <c r="J132" s="793"/>
      <c r="K132" s="793"/>
      <c r="L132" s="793"/>
      <c r="M132" s="793"/>
      <c r="N132" s="794"/>
    </row>
    <row r="133" spans="1:14" s="759" customFormat="1" ht="14.25" customHeight="1" thickBot="1">
      <c r="A133" s="2678"/>
      <c r="B133" s="946" t="s">
        <v>4016</v>
      </c>
      <c r="C133" s="912" t="s">
        <v>4033</v>
      </c>
      <c r="D133" s="943">
        <f>+D113</f>
        <v>1</v>
      </c>
      <c r="E133" s="944">
        <f>+E113</f>
        <v>0</v>
      </c>
      <c r="F133" s="931">
        <f t="shared" si="70"/>
        <v>0</v>
      </c>
      <c r="G133" s="748">
        <f>ROUNDDOWN(G113*$E133*$D133,0)</f>
        <v>0</v>
      </c>
      <c r="H133" s="748">
        <f t="shared" ref="H133:N133" si="72">ROUNDDOWN(H113*$E133*$D133,0)</f>
        <v>0</v>
      </c>
      <c r="I133" s="748">
        <f t="shared" si="72"/>
        <v>0</v>
      </c>
      <c r="J133" s="748">
        <f t="shared" si="72"/>
        <v>0</v>
      </c>
      <c r="K133" s="748">
        <f>ROUNDDOWN(K113*$E133*$D133,0)</f>
        <v>0</v>
      </c>
      <c r="L133" s="748">
        <f t="shared" si="72"/>
        <v>0</v>
      </c>
      <c r="M133" s="748">
        <f t="shared" si="72"/>
        <v>0</v>
      </c>
      <c r="N133" s="947">
        <f t="shared" si="72"/>
        <v>0</v>
      </c>
    </row>
    <row r="134" spans="1:14" s="759" customFormat="1" ht="14.25" customHeight="1" thickTop="1">
      <c r="A134" s="948"/>
      <c r="B134" s="949"/>
      <c r="C134" s="950" t="s">
        <v>4039</v>
      </c>
      <c r="D134" s="951"/>
      <c r="E134" s="952"/>
      <c r="F134" s="953">
        <f t="shared" si="70"/>
        <v>23273755</v>
      </c>
      <c r="G134" s="954">
        <f t="shared" ref="G134:N134" si="73">SUM(G119:G133)+G117</f>
        <v>4792956</v>
      </c>
      <c r="H134" s="954">
        <f t="shared" si="73"/>
        <v>2736856</v>
      </c>
      <c r="I134" s="954">
        <f t="shared" si="73"/>
        <v>15743943</v>
      </c>
      <c r="J134" s="954">
        <f t="shared" si="73"/>
        <v>0</v>
      </c>
      <c r="K134" s="954">
        <f t="shared" si="73"/>
        <v>0</v>
      </c>
      <c r="L134" s="954">
        <f t="shared" si="73"/>
        <v>0</v>
      </c>
      <c r="M134" s="954">
        <f t="shared" si="73"/>
        <v>0</v>
      </c>
      <c r="N134" s="955">
        <f t="shared" si="73"/>
        <v>0</v>
      </c>
    </row>
    <row r="135" spans="1:14" s="759" customFormat="1" ht="14.25" customHeight="1">
      <c r="A135" s="956"/>
      <c r="B135" s="957"/>
      <c r="C135" s="958" t="s">
        <v>4040</v>
      </c>
      <c r="D135" s="959"/>
      <c r="E135" s="960"/>
      <c r="F135" s="915">
        <f t="shared" si="70"/>
        <v>236050839</v>
      </c>
      <c r="G135" s="916">
        <f>+G10+G134</f>
        <v>49588917</v>
      </c>
      <c r="H135" s="916">
        <f>+H10+H134</f>
        <v>31650790</v>
      </c>
      <c r="I135" s="916">
        <f t="shared" ref="I135:N135" si="74">+I10+I134</f>
        <v>154811132</v>
      </c>
      <c r="J135" s="916">
        <f t="shared" si="74"/>
        <v>0</v>
      </c>
      <c r="K135" s="916">
        <f>+K10+K134</f>
        <v>0</v>
      </c>
      <c r="L135" s="916">
        <f t="shared" si="74"/>
        <v>0</v>
      </c>
      <c r="M135" s="916">
        <f t="shared" si="74"/>
        <v>0</v>
      </c>
      <c r="N135" s="917">
        <f t="shared" si="74"/>
        <v>0</v>
      </c>
    </row>
    <row r="136" spans="1:14" s="759" customFormat="1" ht="14.25" customHeight="1">
      <c r="A136" s="884"/>
      <c r="B136" s="885"/>
      <c r="C136" s="961" t="s">
        <v>4041</v>
      </c>
      <c r="D136" s="961"/>
      <c r="E136" s="962"/>
      <c r="F136" s="963"/>
      <c r="G136" s="964"/>
      <c r="H136" s="965"/>
      <c r="I136" s="965"/>
      <c r="J136" s="965"/>
      <c r="K136" s="965"/>
      <c r="L136" s="965"/>
      <c r="M136" s="965"/>
      <c r="N136" s="966" t="s">
        <v>4042</v>
      </c>
    </row>
    <row r="137" spans="1:14" s="759" customFormat="1" ht="14.25" customHeight="1">
      <c r="A137" s="753"/>
      <c r="B137" s="754"/>
      <c r="C137" s="754"/>
      <c r="D137" s="754"/>
      <c r="E137" s="754"/>
      <c r="F137" s="645"/>
      <c r="G137" s="651"/>
      <c r="H137" s="651"/>
      <c r="I137" s="651"/>
      <c r="J137" s="651"/>
      <c r="K137" s="651"/>
      <c r="L137" s="651"/>
      <c r="M137" s="651"/>
      <c r="N137" s="967"/>
    </row>
    <row r="138" spans="1:14" s="759" customFormat="1" ht="14.25" customHeight="1">
      <c r="A138" s="2666"/>
      <c r="B138" s="2667"/>
      <c r="C138" s="2667"/>
      <c r="D138" s="968"/>
      <c r="E138" s="969" t="s">
        <v>4043</v>
      </c>
      <c r="F138" s="886" t="s">
        <v>3979</v>
      </c>
      <c r="G138" s="887" t="str">
        <f>+G5</f>
        <v>工事6</v>
      </c>
      <c r="H138" s="887" t="str">
        <f t="shared" ref="H138:N138" si="75">+H5</f>
        <v>工事7</v>
      </c>
      <c r="I138" s="887" t="str">
        <f t="shared" si="75"/>
        <v>工事8</v>
      </c>
      <c r="J138" s="887" t="str">
        <f t="shared" si="75"/>
        <v>工事4</v>
      </c>
      <c r="K138" s="887" t="str">
        <f>+K5</f>
        <v>工事5</v>
      </c>
      <c r="L138" s="887" t="str">
        <f t="shared" si="75"/>
        <v>工事6</v>
      </c>
      <c r="M138" s="887" t="str">
        <f t="shared" si="75"/>
        <v>工事7</v>
      </c>
      <c r="N138" s="888" t="str">
        <f t="shared" si="75"/>
        <v>工事8</v>
      </c>
    </row>
    <row r="139" spans="1:14" s="759" customFormat="1" ht="14.25" customHeight="1" thickBot="1">
      <c r="A139" s="2668"/>
      <c r="B139" s="2669"/>
      <c r="C139" s="2669"/>
      <c r="D139" s="970"/>
      <c r="E139" s="971"/>
      <c r="F139" s="972"/>
      <c r="G139" s="973"/>
      <c r="H139" s="973"/>
      <c r="I139" s="973"/>
      <c r="J139" s="973"/>
      <c r="K139" s="973"/>
      <c r="L139" s="973"/>
      <c r="M139" s="973"/>
      <c r="N139" s="974"/>
    </row>
    <row r="140" spans="1:14" s="759" customFormat="1" ht="14.25" customHeight="1" thickBot="1">
      <c r="A140" s="975"/>
      <c r="B140" s="976"/>
      <c r="C140" s="977" t="s">
        <v>4044</v>
      </c>
      <c r="D140" s="978"/>
      <c r="E140" s="979"/>
      <c r="F140" s="980">
        <f>SUM(G140:N140)</f>
        <v>236050839</v>
      </c>
      <c r="G140" s="981">
        <f t="shared" ref="G140:N140" si="76">IF(G141="",+G135,0)</f>
        <v>49588917</v>
      </c>
      <c r="H140" s="981">
        <f t="shared" si="76"/>
        <v>31650790</v>
      </c>
      <c r="I140" s="981">
        <f t="shared" si="76"/>
        <v>154811132</v>
      </c>
      <c r="J140" s="981">
        <f t="shared" si="76"/>
        <v>0</v>
      </c>
      <c r="K140" s="981">
        <f t="shared" si="76"/>
        <v>0</v>
      </c>
      <c r="L140" s="981">
        <f t="shared" si="76"/>
        <v>0</v>
      </c>
      <c r="M140" s="981">
        <f t="shared" si="76"/>
        <v>0</v>
      </c>
      <c r="N140" s="982">
        <f t="shared" si="76"/>
        <v>0</v>
      </c>
    </row>
    <row r="141" spans="1:14" s="759" customFormat="1" ht="14.25" customHeight="1">
      <c r="A141" s="753"/>
      <c r="B141" s="754"/>
      <c r="C141" s="983" t="s">
        <v>4045</v>
      </c>
      <c r="D141" s="984"/>
      <c r="E141" s="985"/>
      <c r="F141" s="764">
        <f>SUM(G141:N141)</f>
        <v>0</v>
      </c>
      <c r="G141" s="764" t="str">
        <f>IF(G163="","",G135)</f>
        <v/>
      </c>
      <c r="H141" s="764" t="str">
        <f t="shared" ref="H141:N141" si="77">IF(H163="","",H135)</f>
        <v/>
      </c>
      <c r="I141" s="764" t="str">
        <f>IF(I163="","",I135)</f>
        <v/>
      </c>
      <c r="J141" s="764" t="str">
        <f t="shared" si="77"/>
        <v/>
      </c>
      <c r="K141" s="764" t="str">
        <f t="shared" si="77"/>
        <v/>
      </c>
      <c r="L141" s="764" t="str">
        <f t="shared" si="77"/>
        <v/>
      </c>
      <c r="M141" s="764" t="str">
        <f t="shared" si="77"/>
        <v/>
      </c>
      <c r="N141" s="764" t="str">
        <f t="shared" si="77"/>
        <v/>
      </c>
    </row>
    <row r="142" spans="1:14" s="759" customFormat="1" ht="14.25" customHeight="1">
      <c r="A142" s="956"/>
      <c r="B142" s="957"/>
      <c r="C142" s="2777" t="s">
        <v>4046</v>
      </c>
      <c r="D142" s="2778"/>
      <c r="E142" s="2779"/>
      <c r="F142" s="915">
        <f>F140+F141-F150</f>
        <v>236050839</v>
      </c>
      <c r="G142" s="916"/>
      <c r="H142" s="916"/>
      <c r="I142" s="916"/>
      <c r="J142" s="916"/>
      <c r="K142" s="916"/>
      <c r="L142" s="916"/>
      <c r="M142" s="916"/>
      <c r="N142" s="917"/>
    </row>
    <row r="143" spans="1:14" s="759" customFormat="1" ht="14.25" customHeight="1">
      <c r="A143" s="884"/>
      <c r="B143" s="885"/>
      <c r="C143" s="885"/>
      <c r="D143" s="986"/>
      <c r="E143" s="664" t="str">
        <f>E5</f>
        <v>無し</v>
      </c>
      <c r="F143" s="2688" t="s">
        <v>4047</v>
      </c>
      <c r="G143" s="2688"/>
      <c r="H143" s="987"/>
      <c r="I143" s="987"/>
      <c r="J143" s="987"/>
      <c r="K143" s="987"/>
      <c r="L143" s="987"/>
      <c r="M143" s="987"/>
      <c r="N143" s="988"/>
    </row>
    <row r="144" spans="1:14" s="759" customFormat="1" ht="14.25" customHeight="1">
      <c r="A144" s="2689" t="s">
        <v>4048</v>
      </c>
      <c r="B144" s="2689"/>
      <c r="C144" s="2690"/>
      <c r="D144" s="989"/>
      <c r="E144" s="990" t="str">
        <f>+E6</f>
        <v>有り</v>
      </c>
      <c r="F144" s="2775" t="s">
        <v>4049</v>
      </c>
      <c r="G144" s="2775"/>
      <c r="H144" s="916"/>
      <c r="I144" s="916"/>
      <c r="J144" s="916"/>
      <c r="K144" s="916"/>
      <c r="L144" s="916"/>
      <c r="M144" s="916"/>
      <c r="N144" s="917"/>
    </row>
    <row r="145" spans="1:14" s="759" customFormat="1" ht="14.25" customHeight="1">
      <c r="A145" s="2694"/>
      <c r="B145" s="991" t="s">
        <v>4050</v>
      </c>
      <c r="C145" s="992" t="s">
        <v>4051</v>
      </c>
      <c r="D145" s="993">
        <v>1</v>
      </c>
      <c r="E145" s="994">
        <f>+G214/100</f>
        <v>0.1193</v>
      </c>
      <c r="F145" s="995">
        <f>SUM(G145:N145)</f>
        <v>236050839</v>
      </c>
      <c r="G145" s="987">
        <f>+G140-G150</f>
        <v>49588917</v>
      </c>
      <c r="H145" s="987">
        <f t="shared" ref="H145:N145" si="78">+H140-H150</f>
        <v>31650790</v>
      </c>
      <c r="I145" s="987">
        <f>+I140-I150</f>
        <v>154811132</v>
      </c>
      <c r="J145" s="987">
        <f t="shared" si="78"/>
        <v>0</v>
      </c>
      <c r="K145" s="987">
        <f t="shared" si="78"/>
        <v>0</v>
      </c>
      <c r="L145" s="987">
        <f t="shared" si="78"/>
        <v>0</v>
      </c>
      <c r="M145" s="987">
        <f t="shared" si="78"/>
        <v>0</v>
      </c>
      <c r="N145" s="988">
        <f t="shared" si="78"/>
        <v>0</v>
      </c>
    </row>
    <row r="146" spans="1:14" s="759" customFormat="1" ht="14.25" customHeight="1">
      <c r="A146" s="2695"/>
      <c r="B146" s="2771" t="s">
        <v>4052</v>
      </c>
      <c r="C146" s="756" t="s">
        <v>4053</v>
      </c>
      <c r="D146" s="940">
        <v>0.05</v>
      </c>
      <c r="E146" s="909">
        <f>IF(E143="無し",E145,0)</f>
        <v>0.1193</v>
      </c>
      <c r="F146" s="757">
        <f>SUM(G146:N146)</f>
        <v>236050839</v>
      </c>
      <c r="G146" s="793">
        <f>IF(G163=0,+G145,0)</f>
        <v>49588917</v>
      </c>
      <c r="H146" s="793">
        <f>IF(H163=0,+H145,0)</f>
        <v>31650790</v>
      </c>
      <c r="I146" s="793">
        <f t="shared" ref="I146:N146" si="79">IF(I163=0,+I145,0)</f>
        <v>154811132</v>
      </c>
      <c r="J146" s="793">
        <f t="shared" si="79"/>
        <v>0</v>
      </c>
      <c r="K146" s="793">
        <f t="shared" si="79"/>
        <v>0</v>
      </c>
      <c r="L146" s="793">
        <f t="shared" si="79"/>
        <v>0</v>
      </c>
      <c r="M146" s="793">
        <f t="shared" si="79"/>
        <v>0</v>
      </c>
      <c r="N146" s="794">
        <f t="shared" si="79"/>
        <v>0</v>
      </c>
    </row>
    <row r="147" spans="1:14" s="759" customFormat="1" ht="14.25" customHeight="1">
      <c r="A147" s="2695"/>
      <c r="B147" s="2771"/>
      <c r="C147" s="756" t="s">
        <v>4054</v>
      </c>
      <c r="D147" s="996">
        <v>1</v>
      </c>
      <c r="E147" s="909">
        <f>IF(OR(E144="無し",E144="なし"),0,0.0004)</f>
        <v>4.0000000000000002E-4</v>
      </c>
      <c r="F147" s="757">
        <f>SUM(G147:N147)</f>
        <v>236050839</v>
      </c>
      <c r="G147" s="793">
        <f>IF(G163=0,+G145,0)</f>
        <v>49588917</v>
      </c>
      <c r="H147" s="793">
        <f t="shared" ref="H147:N147" si="80">IF(H163=0,+H145,0)</f>
        <v>31650790</v>
      </c>
      <c r="I147" s="793">
        <f t="shared" si="80"/>
        <v>154811132</v>
      </c>
      <c r="J147" s="793">
        <f t="shared" si="80"/>
        <v>0</v>
      </c>
      <c r="K147" s="793">
        <f t="shared" si="80"/>
        <v>0</v>
      </c>
      <c r="L147" s="793">
        <f t="shared" si="80"/>
        <v>0</v>
      </c>
      <c r="M147" s="793">
        <f t="shared" si="80"/>
        <v>0</v>
      </c>
      <c r="N147" s="794">
        <f t="shared" si="80"/>
        <v>0</v>
      </c>
    </row>
    <row r="148" spans="1:14" s="759" customFormat="1" ht="14.25" customHeight="1">
      <c r="A148" s="2695"/>
      <c r="B148" s="673"/>
      <c r="C148" s="756"/>
      <c r="D148" s="997"/>
      <c r="E148" s="997"/>
      <c r="F148" s="757"/>
      <c r="G148" s="793"/>
      <c r="H148" s="793"/>
      <c r="I148" s="793"/>
      <c r="J148" s="793"/>
      <c r="K148" s="793"/>
      <c r="L148" s="793"/>
      <c r="M148" s="793"/>
      <c r="N148" s="794"/>
    </row>
    <row r="149" spans="1:14" s="759" customFormat="1" ht="14.25" customHeight="1">
      <c r="A149" s="2695"/>
      <c r="B149" s="673"/>
      <c r="C149" s="756"/>
      <c r="D149" s="997"/>
      <c r="E149" s="997"/>
      <c r="F149" s="757"/>
      <c r="G149" s="793"/>
      <c r="H149" s="793"/>
      <c r="I149" s="793"/>
      <c r="J149" s="793"/>
      <c r="K149" s="793"/>
      <c r="L149" s="793"/>
      <c r="M149" s="793"/>
      <c r="N149" s="794"/>
    </row>
    <row r="150" spans="1:14" s="759" customFormat="1" ht="14.25" customHeight="1">
      <c r="A150" s="2695"/>
      <c r="B150" s="2771" t="s">
        <v>4055</v>
      </c>
      <c r="C150" s="900" t="str">
        <f>+C55</f>
        <v>(17)下水道使用料、各種負担金（共通仮設）</v>
      </c>
      <c r="D150" s="998">
        <v>1</v>
      </c>
      <c r="E150" s="999">
        <v>0</v>
      </c>
      <c r="F150" s="757">
        <f>SUM(G150:N150)</f>
        <v>0</v>
      </c>
      <c r="G150" s="793">
        <f>+G55</f>
        <v>0</v>
      </c>
      <c r="H150" s="793">
        <f t="shared" ref="H150:N150" si="81">+H55</f>
        <v>0</v>
      </c>
      <c r="I150" s="793">
        <f t="shared" si="81"/>
        <v>0</v>
      </c>
      <c r="J150" s="793">
        <f t="shared" si="81"/>
        <v>0</v>
      </c>
      <c r="K150" s="793">
        <f>+K55</f>
        <v>0</v>
      </c>
      <c r="L150" s="793">
        <f t="shared" si="81"/>
        <v>0</v>
      </c>
      <c r="M150" s="793">
        <f t="shared" si="81"/>
        <v>0</v>
      </c>
      <c r="N150" s="794">
        <f t="shared" si="81"/>
        <v>0</v>
      </c>
    </row>
    <row r="151" spans="1:14" s="759" customFormat="1" ht="14.25" customHeight="1">
      <c r="A151" s="2695"/>
      <c r="B151" s="2771"/>
      <c r="C151" s="1000"/>
      <c r="D151" s="900"/>
      <c r="E151" s="999"/>
      <c r="F151" s="757"/>
      <c r="G151" s="793"/>
      <c r="H151" s="793"/>
      <c r="I151" s="793"/>
      <c r="J151" s="793"/>
      <c r="K151" s="793"/>
      <c r="L151" s="793"/>
      <c r="M151" s="793"/>
      <c r="N151" s="794"/>
    </row>
    <row r="152" spans="1:14" s="759" customFormat="1" ht="14.25" customHeight="1">
      <c r="A152" s="2695"/>
      <c r="B152" s="2776"/>
      <c r="C152" s="1001"/>
      <c r="D152" s="1002"/>
      <c r="E152" s="1003"/>
      <c r="F152" s="915"/>
      <c r="G152" s="916"/>
      <c r="H152" s="916"/>
      <c r="I152" s="916"/>
      <c r="J152" s="916"/>
      <c r="K152" s="916"/>
      <c r="L152" s="916"/>
      <c r="M152" s="916"/>
      <c r="N152" s="917"/>
    </row>
    <row r="153" spans="1:14" s="759" customFormat="1" ht="14.25" customHeight="1">
      <c r="A153" s="884"/>
      <c r="B153" s="885"/>
      <c r="C153" s="1004"/>
      <c r="D153" s="1005"/>
      <c r="E153" s="1006"/>
      <c r="F153" s="995"/>
      <c r="G153" s="987"/>
      <c r="H153" s="987"/>
      <c r="I153" s="987"/>
      <c r="J153" s="987"/>
      <c r="K153" s="987"/>
      <c r="L153" s="987"/>
      <c r="M153" s="987"/>
      <c r="N153" s="988"/>
    </row>
    <row r="154" spans="1:14" s="759" customFormat="1" ht="14.25" customHeight="1">
      <c r="A154" s="2689" t="s">
        <v>4056</v>
      </c>
      <c r="B154" s="2689"/>
      <c r="C154" s="2692"/>
      <c r="D154" s="1007"/>
      <c r="E154" s="1008"/>
      <c r="F154" s="1009"/>
      <c r="G154" s="916"/>
      <c r="H154" s="916"/>
      <c r="I154" s="916"/>
      <c r="J154" s="916"/>
      <c r="K154" s="916"/>
      <c r="L154" s="916"/>
      <c r="M154" s="916"/>
      <c r="N154" s="917"/>
    </row>
    <row r="155" spans="1:14" s="759" customFormat="1" ht="14.25" customHeight="1">
      <c r="A155" s="753"/>
      <c r="B155" s="1010" t="s">
        <v>4050</v>
      </c>
      <c r="C155" s="992" t="s">
        <v>4051</v>
      </c>
      <c r="D155" s="993">
        <f t="shared" ref="D155:E157" si="82">+D145</f>
        <v>1</v>
      </c>
      <c r="E155" s="1011">
        <f>+E145</f>
        <v>0.1193</v>
      </c>
      <c r="F155" s="757">
        <f>INT(D155*E155*F145)</f>
        <v>28160865</v>
      </c>
      <c r="G155" s="987">
        <f>F155-SUM(H155:N155)</f>
        <v>5915958</v>
      </c>
      <c r="H155" s="987">
        <f t="shared" ref="H155:N157" si="83">IF(H145=0,0,ROUND($F155/$F145*H145,0))</f>
        <v>3775939</v>
      </c>
      <c r="I155" s="987">
        <f t="shared" si="83"/>
        <v>18468968</v>
      </c>
      <c r="J155" s="987">
        <f t="shared" si="83"/>
        <v>0</v>
      </c>
      <c r="K155" s="987">
        <f t="shared" si="83"/>
        <v>0</v>
      </c>
      <c r="L155" s="987">
        <f t="shared" si="83"/>
        <v>0</v>
      </c>
      <c r="M155" s="987">
        <f t="shared" si="83"/>
        <v>0</v>
      </c>
      <c r="N155" s="988">
        <f t="shared" si="83"/>
        <v>0</v>
      </c>
    </row>
    <row r="156" spans="1:14" s="759" customFormat="1" ht="14.25" customHeight="1">
      <c r="A156" s="753"/>
      <c r="B156" s="2771" t="s">
        <v>4052</v>
      </c>
      <c r="C156" s="756" t="s">
        <v>4053</v>
      </c>
      <c r="D156" s="998">
        <f t="shared" si="82"/>
        <v>0.05</v>
      </c>
      <c r="E156" s="909">
        <f t="shared" si="82"/>
        <v>0.1193</v>
      </c>
      <c r="F156" s="757">
        <f>INT(D156*E156*F146)</f>
        <v>1408043</v>
      </c>
      <c r="G156" s="793">
        <f>F156-SUM(H156:N156)</f>
        <v>295798</v>
      </c>
      <c r="H156" s="793">
        <f t="shared" si="83"/>
        <v>188797</v>
      </c>
      <c r="I156" s="793">
        <f t="shared" si="83"/>
        <v>923448</v>
      </c>
      <c r="J156" s="793">
        <f t="shared" si="83"/>
        <v>0</v>
      </c>
      <c r="K156" s="793">
        <f t="shared" si="83"/>
        <v>0</v>
      </c>
      <c r="L156" s="793">
        <f t="shared" si="83"/>
        <v>0</v>
      </c>
      <c r="M156" s="793">
        <f t="shared" si="83"/>
        <v>0</v>
      </c>
      <c r="N156" s="794">
        <f t="shared" si="83"/>
        <v>0</v>
      </c>
    </row>
    <row r="157" spans="1:14" s="759" customFormat="1" ht="14.25" customHeight="1">
      <c r="A157" s="753"/>
      <c r="B157" s="2771"/>
      <c r="C157" s="756" t="s">
        <v>4054</v>
      </c>
      <c r="D157" s="998">
        <f t="shared" si="82"/>
        <v>1</v>
      </c>
      <c r="E157" s="909">
        <f t="shared" si="82"/>
        <v>4.0000000000000002E-4</v>
      </c>
      <c r="F157" s="757">
        <f>INT(D157*E157*F147)</f>
        <v>94420</v>
      </c>
      <c r="G157" s="793">
        <f>F157-SUM(H157:N157)</f>
        <v>19836</v>
      </c>
      <c r="H157" s="793">
        <f>IF(H147=0,0,ROUND($F157/$F147*H147,0))</f>
        <v>12660</v>
      </c>
      <c r="I157" s="793">
        <f t="shared" si="83"/>
        <v>61924</v>
      </c>
      <c r="J157" s="793">
        <f t="shared" si="83"/>
        <v>0</v>
      </c>
      <c r="K157" s="793">
        <f t="shared" si="83"/>
        <v>0</v>
      </c>
      <c r="L157" s="793">
        <f t="shared" si="83"/>
        <v>0</v>
      </c>
      <c r="M157" s="793">
        <f t="shared" si="83"/>
        <v>0</v>
      </c>
      <c r="N157" s="794">
        <f t="shared" si="83"/>
        <v>0</v>
      </c>
    </row>
    <row r="158" spans="1:14" s="759" customFormat="1" ht="14.25" customHeight="1">
      <c r="A158" s="753"/>
      <c r="B158" s="673"/>
      <c r="C158" s="756"/>
      <c r="D158" s="997"/>
      <c r="E158" s="997"/>
      <c r="F158" s="757"/>
      <c r="G158" s="793"/>
      <c r="H158" s="793"/>
      <c r="I158" s="793"/>
      <c r="J158" s="793"/>
      <c r="K158" s="793"/>
      <c r="L158" s="793"/>
      <c r="M158" s="793"/>
      <c r="N158" s="794"/>
    </row>
    <row r="159" spans="1:14" s="759" customFormat="1" ht="14.25" customHeight="1">
      <c r="A159" s="753"/>
      <c r="B159" s="673"/>
      <c r="C159" s="756"/>
      <c r="D159" s="997"/>
      <c r="E159" s="997"/>
      <c r="F159" s="757"/>
      <c r="G159" s="793"/>
      <c r="H159" s="793"/>
      <c r="I159" s="793"/>
      <c r="J159" s="793"/>
      <c r="K159" s="793"/>
      <c r="L159" s="793"/>
      <c r="M159" s="793"/>
      <c r="N159" s="794"/>
    </row>
    <row r="160" spans="1:14" s="759" customFormat="1" ht="14.25" customHeight="1">
      <c r="A160" s="753"/>
      <c r="B160" s="2771" t="s">
        <v>4055</v>
      </c>
      <c r="C160" s="900" t="str">
        <f>+C55</f>
        <v>(17)下水道使用料、各種負担金（共通仮設）</v>
      </c>
      <c r="D160" s="998">
        <f>+D150</f>
        <v>1</v>
      </c>
      <c r="E160" s="909">
        <f>+E150</f>
        <v>0</v>
      </c>
      <c r="F160" s="757">
        <f>INT(D160*E160*F150)</f>
        <v>0</v>
      </c>
      <c r="G160" s="793">
        <f>F160-SUM(H160:N160)</f>
        <v>0</v>
      </c>
      <c r="H160" s="793">
        <f t="shared" ref="H160:N160" si="84">IF(H150=0,0,ROUND($F160/$F150*H150,0))</f>
        <v>0</v>
      </c>
      <c r="I160" s="793">
        <f t="shared" si="84"/>
        <v>0</v>
      </c>
      <c r="J160" s="793">
        <f t="shared" si="84"/>
        <v>0</v>
      </c>
      <c r="K160" s="793">
        <f>IF(K150=0,0,ROUND($F160/$F150*K150,0))</f>
        <v>0</v>
      </c>
      <c r="L160" s="793">
        <f t="shared" si="84"/>
        <v>0</v>
      </c>
      <c r="M160" s="793">
        <f t="shared" si="84"/>
        <v>0</v>
      </c>
      <c r="N160" s="794">
        <f t="shared" si="84"/>
        <v>0</v>
      </c>
    </row>
    <row r="161" spans="1:14" s="759" customFormat="1" ht="14.25" customHeight="1">
      <c r="A161" s="753"/>
      <c r="B161" s="2771"/>
      <c r="C161" s="1000"/>
      <c r="D161" s="900"/>
      <c r="E161" s="997">
        <f>+G152</f>
        <v>0</v>
      </c>
      <c r="F161" s="757"/>
      <c r="G161" s="793"/>
      <c r="H161" s="793"/>
      <c r="I161" s="793"/>
      <c r="J161" s="793"/>
      <c r="K161" s="793"/>
      <c r="L161" s="793"/>
      <c r="M161" s="793"/>
      <c r="N161" s="794"/>
    </row>
    <row r="162" spans="1:14" s="759" customFormat="1" ht="14.25" customHeight="1">
      <c r="A162" s="1012"/>
      <c r="B162" s="2771"/>
      <c r="C162" s="1000"/>
      <c r="D162" s="900"/>
      <c r="E162" s="997">
        <f>+G153</f>
        <v>0</v>
      </c>
      <c r="F162" s="757"/>
      <c r="G162" s="793"/>
      <c r="H162" s="793"/>
      <c r="I162" s="793"/>
      <c r="J162" s="793"/>
      <c r="K162" s="793"/>
      <c r="L162" s="793"/>
      <c r="M162" s="793"/>
      <c r="N162" s="794"/>
    </row>
    <row r="163" spans="1:14" s="759" customFormat="1" ht="14.25" customHeight="1">
      <c r="A163" s="1012"/>
      <c r="B163" s="2697" t="s">
        <v>4036</v>
      </c>
      <c r="C163" s="1013" t="s">
        <v>4057</v>
      </c>
      <c r="D163" s="1014"/>
      <c r="E163" s="1015"/>
      <c r="F163" s="1016">
        <f>SUM(G163:N163)</f>
        <v>0</v>
      </c>
      <c r="G163" s="1017"/>
      <c r="H163" s="1017"/>
      <c r="I163" s="1017"/>
      <c r="J163" s="1017"/>
      <c r="K163" s="1017"/>
      <c r="L163" s="1017"/>
      <c r="M163" s="1017"/>
      <c r="N163" s="1018"/>
    </row>
    <row r="164" spans="1:14" s="759" customFormat="1" ht="14.25" customHeight="1">
      <c r="A164" s="753"/>
      <c r="B164" s="2687"/>
      <c r="C164" s="1019" t="s">
        <v>4058</v>
      </c>
      <c r="D164" s="943"/>
      <c r="E164" s="944"/>
      <c r="F164" s="931"/>
      <c r="G164" s="793"/>
      <c r="H164" s="793"/>
      <c r="I164" s="793"/>
      <c r="J164" s="793"/>
      <c r="K164" s="793"/>
      <c r="L164" s="793"/>
      <c r="M164" s="793"/>
      <c r="N164" s="794"/>
    </row>
    <row r="165" spans="1:14" s="759" customFormat="1" ht="14.25" customHeight="1">
      <c r="A165" s="975"/>
      <c r="B165" s="976"/>
      <c r="C165" s="976"/>
      <c r="D165" s="665"/>
      <c r="E165" s="665"/>
      <c r="F165" s="995"/>
      <c r="G165" s="987"/>
      <c r="H165" s="987"/>
      <c r="I165" s="987"/>
      <c r="J165" s="987"/>
      <c r="K165" s="987"/>
      <c r="L165" s="987"/>
      <c r="M165" s="987"/>
      <c r="N165" s="988"/>
    </row>
    <row r="166" spans="1:14" s="759" customFormat="1" ht="14.25" customHeight="1">
      <c r="A166" s="1020"/>
      <c r="B166" s="760"/>
      <c r="C166" s="755" t="s">
        <v>4059</v>
      </c>
      <c r="D166" s="1000"/>
      <c r="E166" s="756"/>
      <c r="F166" s="757">
        <f>SUM(G166:N166)</f>
        <v>29663328</v>
      </c>
      <c r="G166" s="793">
        <f t="shared" ref="G166:N166" si="85">SUM(G155:G164)</f>
        <v>6231592</v>
      </c>
      <c r="H166" s="793">
        <f t="shared" si="85"/>
        <v>3977396</v>
      </c>
      <c r="I166" s="793">
        <f t="shared" si="85"/>
        <v>19454340</v>
      </c>
      <c r="J166" s="793">
        <f t="shared" si="85"/>
        <v>0</v>
      </c>
      <c r="K166" s="793">
        <f t="shared" si="85"/>
        <v>0</v>
      </c>
      <c r="L166" s="793">
        <f t="shared" si="85"/>
        <v>0</v>
      </c>
      <c r="M166" s="793">
        <f t="shared" si="85"/>
        <v>0</v>
      </c>
      <c r="N166" s="794">
        <f t="shared" si="85"/>
        <v>0</v>
      </c>
    </row>
    <row r="167" spans="1:14" s="759" customFormat="1" ht="14.25" customHeight="1">
      <c r="A167" s="1020"/>
      <c r="B167" s="760"/>
      <c r="C167" s="755" t="s">
        <v>4040</v>
      </c>
      <c r="D167" s="1000"/>
      <c r="E167" s="756"/>
      <c r="F167" s="757">
        <f>SUM(G167:N167)</f>
        <v>236050839</v>
      </c>
      <c r="G167" s="793">
        <f>+G135</f>
        <v>49588917</v>
      </c>
      <c r="H167" s="793">
        <f t="shared" ref="H167:N167" si="86">+H135</f>
        <v>31650790</v>
      </c>
      <c r="I167" s="793">
        <f t="shared" si="86"/>
        <v>154811132</v>
      </c>
      <c r="J167" s="793">
        <f t="shared" si="86"/>
        <v>0</v>
      </c>
      <c r="K167" s="793">
        <f t="shared" si="86"/>
        <v>0</v>
      </c>
      <c r="L167" s="793">
        <f t="shared" si="86"/>
        <v>0</v>
      </c>
      <c r="M167" s="793">
        <f t="shared" si="86"/>
        <v>0</v>
      </c>
      <c r="N167" s="793">
        <f t="shared" si="86"/>
        <v>0</v>
      </c>
    </row>
    <row r="168" spans="1:14" s="759" customFormat="1" ht="14.25" customHeight="1" thickBot="1">
      <c r="A168" s="2442"/>
      <c r="B168" s="2443"/>
      <c r="C168" s="2444" t="s">
        <v>4060</v>
      </c>
      <c r="D168" s="2445"/>
      <c r="E168" s="2446"/>
      <c r="F168" s="2447">
        <f>SUM(G168:N168)</f>
        <v>265714167</v>
      </c>
      <c r="G168" s="2448">
        <f t="shared" ref="G168:N168" si="87">SUM(G166:G167)</f>
        <v>55820509</v>
      </c>
      <c r="H168" s="2448">
        <f t="shared" si="87"/>
        <v>35628186</v>
      </c>
      <c r="I168" s="2448">
        <f t="shared" si="87"/>
        <v>174265472</v>
      </c>
      <c r="J168" s="2448">
        <f t="shared" si="87"/>
        <v>0</v>
      </c>
      <c r="K168" s="2448">
        <f>SUM(K166:K167)</f>
        <v>0</v>
      </c>
      <c r="L168" s="2448">
        <f t="shared" si="87"/>
        <v>0</v>
      </c>
      <c r="M168" s="2448">
        <f t="shared" si="87"/>
        <v>0</v>
      </c>
      <c r="N168" s="1028">
        <f t="shared" si="87"/>
        <v>0</v>
      </c>
    </row>
    <row r="169" spans="1:14" s="759" customFormat="1" ht="14.25" customHeight="1" thickTop="1">
      <c r="A169" s="753"/>
      <c r="B169" s="754"/>
      <c r="C169" s="754"/>
      <c r="D169" s="763"/>
      <c r="E169" s="763"/>
      <c r="F169" s="764"/>
      <c r="G169" s="1029">
        <f>ROUNDDOWN(G168,-3)</f>
        <v>55820000</v>
      </c>
      <c r="H169" s="1029">
        <f t="shared" ref="H169:N169" si="88">ROUNDDOWN(H168,-3)</f>
        <v>35628000</v>
      </c>
      <c r="I169" s="1029">
        <f>ROUNDDOWN(I168,-3)</f>
        <v>174265000</v>
      </c>
      <c r="J169" s="1029">
        <f t="shared" si="88"/>
        <v>0</v>
      </c>
      <c r="K169" s="1029">
        <f>ROUNDDOWN(K168,-3)</f>
        <v>0</v>
      </c>
      <c r="L169" s="1029">
        <f t="shared" si="88"/>
        <v>0</v>
      </c>
      <c r="M169" s="1029">
        <f t="shared" si="88"/>
        <v>0</v>
      </c>
      <c r="N169" s="1030">
        <f t="shared" si="88"/>
        <v>0</v>
      </c>
    </row>
    <row r="170" spans="1:14" s="759" customFormat="1" ht="14.25" customHeight="1">
      <c r="A170" s="1020"/>
      <c r="B170" s="760"/>
      <c r="C170" s="755" t="s">
        <v>4040</v>
      </c>
      <c r="D170" s="1000"/>
      <c r="E170" s="756"/>
      <c r="F170" s="757">
        <f>SUM(G170:N170)</f>
        <v>236050839</v>
      </c>
      <c r="G170" s="793">
        <f t="shared" ref="G170:N170" si="89">+G167</f>
        <v>49588917</v>
      </c>
      <c r="H170" s="793">
        <f t="shared" si="89"/>
        <v>31650790</v>
      </c>
      <c r="I170" s="793">
        <f>+I167</f>
        <v>154811132</v>
      </c>
      <c r="J170" s="793">
        <f>+J167</f>
        <v>0</v>
      </c>
      <c r="K170" s="793">
        <f>+K167</f>
        <v>0</v>
      </c>
      <c r="L170" s="793">
        <f t="shared" si="89"/>
        <v>0</v>
      </c>
      <c r="M170" s="793">
        <f t="shared" si="89"/>
        <v>0</v>
      </c>
      <c r="N170" s="794">
        <f t="shared" si="89"/>
        <v>0</v>
      </c>
    </row>
    <row r="171" spans="1:14" s="759" customFormat="1" ht="14.25" customHeight="1">
      <c r="A171" s="1020"/>
      <c r="B171" s="760"/>
      <c r="C171" s="755" t="s">
        <v>4061</v>
      </c>
      <c r="D171" s="1000"/>
      <c r="E171" s="997"/>
      <c r="F171" s="757">
        <f>SUM(G171:N171)</f>
        <v>29649161</v>
      </c>
      <c r="G171" s="793">
        <f t="shared" ref="G171:N171" si="90">+G166-(G168-G173)</f>
        <v>6229083</v>
      </c>
      <c r="H171" s="793">
        <f t="shared" si="90"/>
        <v>3975210</v>
      </c>
      <c r="I171" s="793">
        <f t="shared" si="90"/>
        <v>19444868</v>
      </c>
      <c r="J171" s="793">
        <f t="shared" si="90"/>
        <v>0</v>
      </c>
      <c r="K171" s="793">
        <f t="shared" si="90"/>
        <v>0</v>
      </c>
      <c r="L171" s="793">
        <f t="shared" si="90"/>
        <v>0</v>
      </c>
      <c r="M171" s="793">
        <f t="shared" si="90"/>
        <v>0</v>
      </c>
      <c r="N171" s="794">
        <f t="shared" si="90"/>
        <v>0</v>
      </c>
    </row>
    <row r="172" spans="1:14" s="759" customFormat="1" ht="14.25" customHeight="1">
      <c r="A172" s="1020"/>
      <c r="B172" s="760"/>
      <c r="C172" s="760"/>
      <c r="D172" s="756"/>
      <c r="E172" s="1031">
        <f>SUM(G169:O169)</f>
        <v>265713000</v>
      </c>
      <c r="F172" s="757" t="s">
        <v>4062</v>
      </c>
      <c r="G172" s="793">
        <f>+G166-G171</f>
        <v>2509</v>
      </c>
      <c r="H172" s="793">
        <f t="shared" ref="H172:N172" si="91">+H166-H171</f>
        <v>2186</v>
      </c>
      <c r="I172" s="793">
        <f>+I166-I171</f>
        <v>9472</v>
      </c>
      <c r="J172" s="793">
        <f t="shared" si="91"/>
        <v>0</v>
      </c>
      <c r="K172" s="793">
        <f>+K166-K171</f>
        <v>0</v>
      </c>
      <c r="L172" s="793">
        <f t="shared" si="91"/>
        <v>0</v>
      </c>
      <c r="M172" s="1032">
        <f t="shared" si="91"/>
        <v>0</v>
      </c>
      <c r="N172" s="1033">
        <f t="shared" si="91"/>
        <v>0</v>
      </c>
    </row>
    <row r="173" spans="1:14" s="759" customFormat="1" ht="14.25" customHeight="1">
      <c r="A173" s="1034"/>
      <c r="B173" s="1035"/>
      <c r="C173" s="1035" t="s">
        <v>4063</v>
      </c>
      <c r="D173" s="1036"/>
      <c r="E173" s="1031">
        <f>ROUNDDOWN(E172,4-LEN(E172))</f>
        <v>265700000</v>
      </c>
      <c r="F173" s="1037">
        <f>+E173</f>
        <v>265700000</v>
      </c>
      <c r="G173" s="1032">
        <f>IF(F174+SUM(H173:O173)=F173,F174,F173-SUM(H173:O173))</f>
        <v>55818000</v>
      </c>
      <c r="H173" s="1032">
        <f>IF(H163="",+H169-ROUND($E$174*H168/$F$168,-3),H168)</f>
        <v>35626000</v>
      </c>
      <c r="I173" s="1032">
        <f t="shared" ref="I173:N173" si="92">IF(I163="",+I169-ROUND($E$174*I168/$F$168,-3),I168)</f>
        <v>174256000</v>
      </c>
      <c r="J173" s="1032">
        <f t="shared" si="92"/>
        <v>0</v>
      </c>
      <c r="K173" s="1032">
        <f t="shared" si="92"/>
        <v>0</v>
      </c>
      <c r="L173" s="1032">
        <f>IF(L163="",+L169-ROUND($E$174*L168/$F$168,-3),L168)</f>
        <v>0</v>
      </c>
      <c r="M173" s="1032">
        <f t="shared" si="92"/>
        <v>0</v>
      </c>
      <c r="N173" s="1032">
        <f t="shared" si="92"/>
        <v>0</v>
      </c>
    </row>
    <row r="174" spans="1:14" s="759" customFormat="1" ht="14.25" customHeight="1">
      <c r="A174" s="1038"/>
      <c r="B174" s="1039"/>
      <c r="C174" s="1039"/>
      <c r="D174" s="1040"/>
      <c r="E174" s="1041">
        <f>E172-E173</f>
        <v>13000</v>
      </c>
      <c r="F174" s="1042">
        <f>+G169-ROUND($E$174*G168/$F$168,-3)</f>
        <v>55817000</v>
      </c>
      <c r="G174" s="1041">
        <f t="shared" ref="G174:N174" si="93">IF(LEN(G168)&lt;=7,-3,IF(LEN(G168)=8,-4,IF(LEN(G168)&gt;=9,-5,-6)))</f>
        <v>-4</v>
      </c>
      <c r="H174" s="1041">
        <f t="shared" si="93"/>
        <v>-4</v>
      </c>
      <c r="I174" s="1041">
        <f t="shared" si="93"/>
        <v>-5</v>
      </c>
      <c r="J174" s="1041">
        <f>IF(LEN(J168)&lt;=7,-3,IF(LEN(J168)=8,-4,IF(LEN(J168)&gt;=9,-5,-6)))</f>
        <v>-3</v>
      </c>
      <c r="K174" s="1041">
        <f>IF(LEN(K168)&lt;=7,-3,IF(LEN(K168)=8,-4,IF(LEN(K168)&gt;=9,-5,-6)))</f>
        <v>-3</v>
      </c>
      <c r="L174" s="1041">
        <f t="shared" si="93"/>
        <v>-3</v>
      </c>
      <c r="M174" s="1041">
        <f t="shared" si="93"/>
        <v>-3</v>
      </c>
      <c r="N174" s="1043">
        <f t="shared" si="93"/>
        <v>-3</v>
      </c>
    </row>
    <row r="175" spans="1:14" ht="13.5" customHeight="1" thickBot="1">
      <c r="F175" s="1044"/>
      <c r="G175" s="1045"/>
    </row>
    <row r="176" spans="1:14" ht="13.5" customHeight="1">
      <c r="A176" s="1047"/>
      <c r="B176" s="1048"/>
      <c r="C176" s="1049" t="s">
        <v>4064</v>
      </c>
      <c r="D176" s="1050"/>
      <c r="E176" s="1048"/>
      <c r="F176" s="1051" t="s">
        <v>4065</v>
      </c>
      <c r="G176" s="1052">
        <f t="shared" ref="G176:N176" si="94">+G3</f>
        <v>16.600000000000001</v>
      </c>
      <c r="H176" s="1052">
        <f t="shared" si="94"/>
        <v>11</v>
      </c>
      <c r="I176" s="1052">
        <f t="shared" si="94"/>
        <v>16.600000000000001</v>
      </c>
      <c r="J176" s="1052">
        <f t="shared" si="94"/>
        <v>0</v>
      </c>
      <c r="K176" s="1052">
        <f>+K3</f>
        <v>0</v>
      </c>
      <c r="L176" s="1052">
        <f t="shared" si="94"/>
        <v>0</v>
      </c>
      <c r="M176" s="1052">
        <f t="shared" si="94"/>
        <v>0</v>
      </c>
      <c r="N176" s="1053">
        <f t="shared" si="94"/>
        <v>0</v>
      </c>
    </row>
    <row r="177" spans="1:14" ht="13.5" customHeight="1">
      <c r="A177" s="2772"/>
      <c r="B177" s="2773" t="s">
        <v>4066</v>
      </c>
      <c r="C177" s="1054" t="s">
        <v>4067</v>
      </c>
      <c r="D177" s="706"/>
      <c r="E177" s="1055"/>
      <c r="F177" s="1056" t="s">
        <v>4068</v>
      </c>
      <c r="G177" s="1057">
        <f>IF($F$60&lt;=10000000,ROUND(7.56*(10000^-0.1105)*(G176^0.2389),2),ROUND(7.56*(($F$60/1000)^-0.1105)*(G176^0.2389),2))</f>
        <v>3.85</v>
      </c>
      <c r="H177" s="1057">
        <f t="shared" ref="H177:N177" si="95">IF($F$60&lt;=10000000,ROUND(7.56*(10000^-0.1105)*(H176^0.2389),2),ROUND(7.56*(($F$60/1000)^-0.1105)*(H176^0.2389),2))</f>
        <v>3.49</v>
      </c>
      <c r="I177" s="1057">
        <f t="shared" si="95"/>
        <v>3.85</v>
      </c>
      <c r="J177" s="1057">
        <f t="shared" si="95"/>
        <v>0</v>
      </c>
      <c r="K177" s="1057">
        <f t="shared" si="95"/>
        <v>0</v>
      </c>
      <c r="L177" s="1057">
        <f t="shared" si="95"/>
        <v>0</v>
      </c>
      <c r="M177" s="1057">
        <f t="shared" si="95"/>
        <v>0</v>
      </c>
      <c r="N177" s="1058">
        <f t="shared" si="95"/>
        <v>0</v>
      </c>
    </row>
    <row r="178" spans="1:14" ht="13.5" customHeight="1">
      <c r="A178" s="2699"/>
      <c r="B178" s="2702"/>
      <c r="C178" s="2774" t="s">
        <v>4069</v>
      </c>
      <c r="D178" s="1059"/>
      <c r="E178" s="1060"/>
      <c r="F178" s="1056" t="s">
        <v>4070</v>
      </c>
      <c r="G178" s="1061">
        <f>IF($F$60&lt;=10000000,ROUND(4.33,2),0)</f>
        <v>0</v>
      </c>
      <c r="H178" s="1061">
        <f t="shared" ref="H178:N178" si="96">IF($F$60&lt;=10000000,ROUND(4.33,2),0)</f>
        <v>0</v>
      </c>
      <c r="I178" s="1061">
        <f t="shared" si="96"/>
        <v>0</v>
      </c>
      <c r="J178" s="1061">
        <f t="shared" si="96"/>
        <v>0</v>
      </c>
      <c r="K178" s="1061">
        <f t="shared" si="96"/>
        <v>0</v>
      </c>
      <c r="L178" s="1061">
        <f t="shared" si="96"/>
        <v>0</v>
      </c>
      <c r="M178" s="1061">
        <f t="shared" si="96"/>
        <v>0</v>
      </c>
      <c r="N178" s="1062">
        <f t="shared" si="96"/>
        <v>0</v>
      </c>
    </row>
    <row r="179" spans="1:14" ht="13.5" customHeight="1">
      <c r="A179" s="2699"/>
      <c r="B179" s="2702"/>
      <c r="C179" s="2705"/>
      <c r="D179" s="2312"/>
      <c r="E179" s="1063"/>
      <c r="F179" s="1056" t="s">
        <v>4071</v>
      </c>
      <c r="G179" s="1061">
        <f>IF($F$60&lt;=10000000,ROUND(3.25,2),0)</f>
        <v>0</v>
      </c>
      <c r="H179" s="1061">
        <f t="shared" ref="H179:N179" si="97">IF($F$60&lt;=10000000,ROUND(3.25,2),0)</f>
        <v>0</v>
      </c>
      <c r="I179" s="1061">
        <f t="shared" si="97"/>
        <v>0</v>
      </c>
      <c r="J179" s="1061">
        <f t="shared" si="97"/>
        <v>0</v>
      </c>
      <c r="K179" s="1061">
        <f t="shared" si="97"/>
        <v>0</v>
      </c>
      <c r="L179" s="1061">
        <f t="shared" si="97"/>
        <v>0</v>
      </c>
      <c r="M179" s="1061">
        <f t="shared" si="97"/>
        <v>0</v>
      </c>
      <c r="N179" s="1062">
        <f t="shared" si="97"/>
        <v>0</v>
      </c>
    </row>
    <row r="180" spans="1:14" ht="13.5" customHeight="1">
      <c r="A180" s="2699"/>
      <c r="B180" s="2702"/>
      <c r="C180" s="2774" t="s">
        <v>4072</v>
      </c>
      <c r="D180" s="1059"/>
      <c r="E180" s="1060"/>
      <c r="F180" s="1056" t="s">
        <v>4070</v>
      </c>
      <c r="G180" s="1064">
        <f>IF($F$60&gt;10000000,ROUND(5.78*($F$60/1000)^-0.0313,2),0)</f>
        <v>3.95</v>
      </c>
      <c r="H180" s="1064">
        <f t="shared" ref="H180:N180" si="98">IF($F$60&gt;10000000,ROUND(5.78*($F$60/1000)^-0.0313,2),0)</f>
        <v>3.95</v>
      </c>
      <c r="I180" s="1064">
        <f t="shared" si="98"/>
        <v>3.95</v>
      </c>
      <c r="J180" s="1064">
        <f t="shared" si="98"/>
        <v>3.95</v>
      </c>
      <c r="K180" s="1064">
        <f t="shared" si="98"/>
        <v>3.95</v>
      </c>
      <c r="L180" s="1064">
        <f t="shared" si="98"/>
        <v>3.95</v>
      </c>
      <c r="M180" s="1064">
        <f t="shared" si="98"/>
        <v>3.95</v>
      </c>
      <c r="N180" s="1065">
        <f t="shared" si="98"/>
        <v>3.95</v>
      </c>
    </row>
    <row r="181" spans="1:14" ht="13.5" customHeight="1">
      <c r="A181" s="2700"/>
      <c r="B181" s="2703"/>
      <c r="C181" s="2705"/>
      <c r="D181" s="2312"/>
      <c r="E181" s="1063"/>
      <c r="F181" s="1056" t="s">
        <v>4071</v>
      </c>
      <c r="G181" s="1064">
        <f>IF($F$60&gt;10000000,ROUND(4.34*($F$60/1000)^-0.0313,2),0)</f>
        <v>2.96</v>
      </c>
      <c r="H181" s="1064">
        <f t="shared" ref="H181:N181" si="99">IF($F$60&gt;10000000,ROUND(4.34*($F$60/1000)^-0.0313,2),0)</f>
        <v>2.96</v>
      </c>
      <c r="I181" s="1064">
        <f t="shared" si="99"/>
        <v>2.96</v>
      </c>
      <c r="J181" s="1064">
        <f t="shared" si="99"/>
        <v>2.96</v>
      </c>
      <c r="K181" s="1064">
        <f t="shared" si="99"/>
        <v>2.96</v>
      </c>
      <c r="L181" s="1064">
        <f t="shared" si="99"/>
        <v>2.96</v>
      </c>
      <c r="M181" s="1064">
        <f t="shared" si="99"/>
        <v>2.96</v>
      </c>
      <c r="N181" s="1065">
        <f t="shared" si="99"/>
        <v>2.96</v>
      </c>
    </row>
    <row r="182" spans="1:14" s="1068" customFormat="1" ht="13.5" customHeight="1">
      <c r="A182" s="2767" t="s">
        <v>4073</v>
      </c>
      <c r="B182" s="2768"/>
      <c r="C182" s="2768"/>
      <c r="D182" s="2768"/>
      <c r="E182" s="2769"/>
      <c r="F182" s="2770"/>
      <c r="G182" s="1066">
        <f t="shared" ref="G182:N182" si="100">IF($F$60&lt;=10000000,IF(G$177&gt;G$178,G$178,IF(G$177&lt;G$179,G$179,G$177)),IF(G$177&gt;G$180,G$180,IF(G$177&lt;G$181,G$181,G$177)))</f>
        <v>3.85</v>
      </c>
      <c r="H182" s="1066">
        <f>IF($F$60&lt;=10000000,IF(H$177&gt;H$178,H$178,IF(H$177&lt;H$179,H$179,H$177)),IF(H$177&gt;H$180,H$180,IF(H$177&lt;H$181,H$181,H$177)))</f>
        <v>3.49</v>
      </c>
      <c r="I182" s="1066">
        <f t="shared" si="100"/>
        <v>3.85</v>
      </c>
      <c r="J182" s="1066">
        <f t="shared" si="100"/>
        <v>2.96</v>
      </c>
      <c r="K182" s="1066">
        <f t="shared" si="100"/>
        <v>2.96</v>
      </c>
      <c r="L182" s="1066">
        <f t="shared" si="100"/>
        <v>2.96</v>
      </c>
      <c r="M182" s="1066">
        <f t="shared" si="100"/>
        <v>2.96</v>
      </c>
      <c r="N182" s="1067">
        <f t="shared" si="100"/>
        <v>2.96</v>
      </c>
    </row>
    <row r="183" spans="1:14" s="1068" customFormat="1" ht="13.5" customHeight="1" thickBot="1">
      <c r="A183" s="2710" t="s">
        <v>4074</v>
      </c>
      <c r="B183" s="2711"/>
      <c r="C183" s="2711"/>
      <c r="D183" s="2711"/>
      <c r="E183" s="2712"/>
      <c r="F183" s="2713"/>
      <c r="G183" s="1069">
        <f>ROUND(G182*IF(AND(G8="駅施設",G9="無し"),0.7,IF(AND(G8="駅施設",G9="有り"),0.7,IF(AND(G8="地上建物",G9="無し"),0.9,IF(AND(G8="地上建物",G9="有り"),1,0)))),2)</f>
        <v>2.7</v>
      </c>
      <c r="H183" s="1069">
        <f t="shared" ref="H183:N183" si="101">ROUND(H182*IF(AND(H8="駅施設",H9="無し"),0.7,IF(AND(H8="駅施設",H9="有り"),0.7,IF(AND(H8="地上建物",H9="無し"),0.9,IF(AND(H8="地上建物",H9="有り"),1,0)))),2)</f>
        <v>2.44</v>
      </c>
      <c r="I183" s="1069">
        <f t="shared" si="101"/>
        <v>2.7</v>
      </c>
      <c r="J183" s="1069">
        <f t="shared" si="101"/>
        <v>2.0699999999999998</v>
      </c>
      <c r="K183" s="1069">
        <f t="shared" si="101"/>
        <v>2.0699999999999998</v>
      </c>
      <c r="L183" s="1069">
        <f t="shared" si="101"/>
        <v>2.0699999999999998</v>
      </c>
      <c r="M183" s="1069">
        <f t="shared" si="101"/>
        <v>2.0699999999999998</v>
      </c>
      <c r="N183" s="1070">
        <f t="shared" si="101"/>
        <v>2.0699999999999998</v>
      </c>
    </row>
    <row r="184" spans="1:14" s="759" customFormat="1" ht="13.5" customHeight="1" thickBot="1">
      <c r="G184" s="1071"/>
      <c r="H184" s="1071"/>
      <c r="I184" s="1071"/>
      <c r="J184" s="1071"/>
      <c r="K184" s="1071"/>
      <c r="L184" s="1071"/>
      <c r="M184" s="1071"/>
      <c r="N184" s="1071"/>
    </row>
    <row r="185" spans="1:14" s="759" customFormat="1" ht="13.5" customHeight="1">
      <c r="A185" s="1072"/>
      <c r="B185" s="1073"/>
      <c r="C185" s="1074" t="s">
        <v>4064</v>
      </c>
      <c r="D185" s="1075"/>
      <c r="E185" s="1073"/>
      <c r="F185" s="1076" t="s">
        <v>4065</v>
      </c>
      <c r="G185" s="1052">
        <f t="shared" ref="G185:N185" si="102">+G3</f>
        <v>16.600000000000001</v>
      </c>
      <c r="H185" s="1052">
        <f t="shared" si="102"/>
        <v>11</v>
      </c>
      <c r="I185" s="1052">
        <f t="shared" si="102"/>
        <v>16.600000000000001</v>
      </c>
      <c r="J185" s="1052">
        <f t="shared" si="102"/>
        <v>0</v>
      </c>
      <c r="K185" s="1052">
        <f>+K3</f>
        <v>0</v>
      </c>
      <c r="L185" s="1052">
        <f t="shared" si="102"/>
        <v>0</v>
      </c>
      <c r="M185" s="1052">
        <f t="shared" si="102"/>
        <v>0</v>
      </c>
      <c r="N185" s="1053">
        <f t="shared" si="102"/>
        <v>0</v>
      </c>
    </row>
    <row r="186" spans="1:14" s="759" customFormat="1" ht="13.5" customHeight="1">
      <c r="A186" s="2760"/>
      <c r="B186" s="2761" t="s">
        <v>4075</v>
      </c>
      <c r="C186" s="1077" t="s">
        <v>4067</v>
      </c>
      <c r="D186" s="1035"/>
      <c r="E186" s="1078"/>
      <c r="F186" s="1079" t="s">
        <v>4076</v>
      </c>
      <c r="G186" s="1057">
        <f>IF($F$60&lt;=5000000,ROUND(18.03*(5000^-0.2027)*(G185^0.4017),2),ROUND(18.03*(($F$60/1000)^-0.2027)*(G185^0.4017),2))</f>
        <v>4.71</v>
      </c>
      <c r="H186" s="1057">
        <f t="shared" ref="H186:N186" si="103">IF($F$60&lt;=5000000,ROUND(18.03*(5000^-0.2027)*(H185^0.4017),2),ROUND(18.03*(($F$60/1000)^-0.2027)*(H185^0.4017),2))</f>
        <v>3.99</v>
      </c>
      <c r="I186" s="1057">
        <f t="shared" si="103"/>
        <v>4.71</v>
      </c>
      <c r="J186" s="1057">
        <f t="shared" si="103"/>
        <v>0</v>
      </c>
      <c r="K186" s="1057">
        <f t="shared" si="103"/>
        <v>0</v>
      </c>
      <c r="L186" s="1057">
        <f t="shared" si="103"/>
        <v>0</v>
      </c>
      <c r="M186" s="1057">
        <f t="shared" si="103"/>
        <v>0</v>
      </c>
      <c r="N186" s="1058">
        <f t="shared" si="103"/>
        <v>0</v>
      </c>
    </row>
    <row r="187" spans="1:14" s="759" customFormat="1" ht="13.5" customHeight="1">
      <c r="A187" s="2715"/>
      <c r="B187" s="2718"/>
      <c r="C187" s="2766" t="s">
        <v>4077</v>
      </c>
      <c r="D187" s="934"/>
      <c r="E187" s="1080"/>
      <c r="F187" s="1079" t="s">
        <v>4070</v>
      </c>
      <c r="G187" s="1081">
        <f>IF($F$60&lt;=5000000,ROUND(6.07,2),0)</f>
        <v>0</v>
      </c>
      <c r="H187" s="1081">
        <f t="shared" ref="H187:N187" si="104">IF($F$60&lt;=5000000,ROUND(6.07,2),0)</f>
        <v>0</v>
      </c>
      <c r="I187" s="1081">
        <f t="shared" si="104"/>
        <v>0</v>
      </c>
      <c r="J187" s="1081">
        <f t="shared" si="104"/>
        <v>0</v>
      </c>
      <c r="K187" s="1081">
        <f t="shared" si="104"/>
        <v>0</v>
      </c>
      <c r="L187" s="1081">
        <f t="shared" si="104"/>
        <v>0</v>
      </c>
      <c r="M187" s="1081">
        <f t="shared" si="104"/>
        <v>0</v>
      </c>
      <c r="N187" s="1082">
        <f t="shared" si="104"/>
        <v>0</v>
      </c>
    </row>
    <row r="188" spans="1:14" s="759" customFormat="1" ht="13.5" customHeight="1">
      <c r="A188" s="2715"/>
      <c r="B188" s="2718"/>
      <c r="C188" s="2721"/>
      <c r="D188" s="2323"/>
      <c r="E188" s="1083"/>
      <c r="F188" s="1079" t="s">
        <v>4071</v>
      </c>
      <c r="G188" s="1081">
        <f>IF($F$60&lt;=5000000,ROUND(3.59,2),0)</f>
        <v>0</v>
      </c>
      <c r="H188" s="1081">
        <f t="shared" ref="H188:N188" si="105">IF($F$60&lt;=5000000,ROUND(3.59,2),0)</f>
        <v>0</v>
      </c>
      <c r="I188" s="1081">
        <f t="shared" si="105"/>
        <v>0</v>
      </c>
      <c r="J188" s="1081">
        <f t="shared" si="105"/>
        <v>0</v>
      </c>
      <c r="K188" s="1081">
        <f t="shared" si="105"/>
        <v>0</v>
      </c>
      <c r="L188" s="1081">
        <f t="shared" si="105"/>
        <v>0</v>
      </c>
      <c r="M188" s="1081">
        <f t="shared" si="105"/>
        <v>0</v>
      </c>
      <c r="N188" s="1082">
        <f t="shared" si="105"/>
        <v>0</v>
      </c>
    </row>
    <row r="189" spans="1:14" s="759" customFormat="1" ht="13.5" customHeight="1">
      <c r="A189" s="2715"/>
      <c r="B189" s="2718"/>
      <c r="C189" s="2766" t="s">
        <v>4078</v>
      </c>
      <c r="D189" s="934"/>
      <c r="E189" s="1080"/>
      <c r="F189" s="1079" t="s">
        <v>4070</v>
      </c>
      <c r="G189" s="1084">
        <f>IF($F$60&gt;5000000,ROUND(11.74*($F$60/1000)^-0.0774,2),0)</f>
        <v>4.57</v>
      </c>
      <c r="H189" s="1084">
        <f t="shared" ref="H189:N189" si="106">IF($F$60&gt;5000000,ROUND(11.74*($F$60/1000)^-0.0774,2),0)</f>
        <v>4.57</v>
      </c>
      <c r="I189" s="1084">
        <f t="shared" si="106"/>
        <v>4.57</v>
      </c>
      <c r="J189" s="1084">
        <f t="shared" si="106"/>
        <v>4.57</v>
      </c>
      <c r="K189" s="1084">
        <f t="shared" si="106"/>
        <v>4.57</v>
      </c>
      <c r="L189" s="1084">
        <f t="shared" si="106"/>
        <v>4.57</v>
      </c>
      <c r="M189" s="1084">
        <f t="shared" si="106"/>
        <v>4.57</v>
      </c>
      <c r="N189" s="1085">
        <f t="shared" si="106"/>
        <v>4.57</v>
      </c>
    </row>
    <row r="190" spans="1:14" s="759" customFormat="1" ht="13.5" customHeight="1">
      <c r="A190" s="2716"/>
      <c r="B190" s="2719"/>
      <c r="C190" s="2721"/>
      <c r="D190" s="2323"/>
      <c r="E190" s="1083"/>
      <c r="F190" s="1079" t="s">
        <v>4071</v>
      </c>
      <c r="G190" s="1084">
        <f>IF($F$60&gt;5000000,ROUND(6.94*($F$60/1000)^-0.0774,2),0)</f>
        <v>2.7</v>
      </c>
      <c r="H190" s="1084">
        <f t="shared" ref="H190:N190" si="107">IF($F$60&gt;5000000,ROUND(6.94*($F$60/1000)^-0.0774,2),0)</f>
        <v>2.7</v>
      </c>
      <c r="I190" s="1084">
        <f t="shared" si="107"/>
        <v>2.7</v>
      </c>
      <c r="J190" s="1084">
        <f t="shared" si="107"/>
        <v>2.7</v>
      </c>
      <c r="K190" s="1084">
        <f t="shared" si="107"/>
        <v>2.7</v>
      </c>
      <c r="L190" s="1084">
        <f t="shared" si="107"/>
        <v>2.7</v>
      </c>
      <c r="M190" s="1084">
        <f t="shared" si="107"/>
        <v>2.7</v>
      </c>
      <c r="N190" s="1085">
        <f t="shared" si="107"/>
        <v>2.7</v>
      </c>
    </row>
    <row r="191" spans="1:14" s="1068" customFormat="1" ht="13.5" customHeight="1">
      <c r="A191" s="2767" t="s">
        <v>4073</v>
      </c>
      <c r="B191" s="2768"/>
      <c r="C191" s="2768"/>
      <c r="D191" s="2768"/>
      <c r="E191" s="2769"/>
      <c r="F191" s="2770"/>
      <c r="G191" s="1086">
        <f>IF($F$60&lt;=5000000,IF(G$186&gt;G$187,G$187,IF(G$186&lt;G$188,G$188,G$186)),IF(G$186&gt;G$189,G$189,IF(G$186&lt;G$190,G$190,G$186)))</f>
        <v>4.57</v>
      </c>
      <c r="H191" s="1086">
        <f t="shared" ref="H191:N191" si="108">IF($F$60&lt;=5000000,IF(H$186&gt;H$187,H$187,IF(H$186&lt;H$188,H$188,H$186)),IF(H$186&gt;H$189,H$189,IF(H$186&lt;H$190,H$190,H$186)))</f>
        <v>3.99</v>
      </c>
      <c r="I191" s="1086">
        <f t="shared" si="108"/>
        <v>4.57</v>
      </c>
      <c r="J191" s="1086">
        <f t="shared" si="108"/>
        <v>2.7</v>
      </c>
      <c r="K191" s="1086">
        <f t="shared" si="108"/>
        <v>2.7</v>
      </c>
      <c r="L191" s="1086">
        <f t="shared" si="108"/>
        <v>2.7</v>
      </c>
      <c r="M191" s="1086">
        <f t="shared" si="108"/>
        <v>2.7</v>
      </c>
      <c r="N191" s="1087">
        <f t="shared" si="108"/>
        <v>2.7</v>
      </c>
    </row>
    <row r="192" spans="1:14" s="1068" customFormat="1" ht="13.5" customHeight="1" thickBot="1">
      <c r="A192" s="2710" t="s">
        <v>4074</v>
      </c>
      <c r="B192" s="2711"/>
      <c r="C192" s="2711"/>
      <c r="D192" s="2711"/>
      <c r="E192" s="2712"/>
      <c r="F192" s="2713"/>
      <c r="G192" s="1069">
        <f>ROUND(G191*IF(AND(G8="駅施設",G9="無し"),0.7,IF(AND(G8="駅施設",G9="有り"),0.7,IF(AND(G8="地上建物",G9="無し"),0.9,IF(AND(G8="地上建物",G9="有り"),1,0)))),2)</f>
        <v>3.2</v>
      </c>
      <c r="H192" s="1069">
        <f t="shared" ref="H192:N192" si="109">ROUND(H191*IF(AND(H8="駅施設",H9="無し"),0.7,IF(AND(H8="駅施設",H9="有り"),0.7,IF(AND(H8="地上建物",H9="無し"),0.9,IF(AND(H8="地上建物",H9="有り"),1,0)))),2)</f>
        <v>2.79</v>
      </c>
      <c r="I192" s="1069">
        <f t="shared" si="109"/>
        <v>3.2</v>
      </c>
      <c r="J192" s="1069">
        <f t="shared" si="109"/>
        <v>1.89</v>
      </c>
      <c r="K192" s="1069">
        <f t="shared" si="109"/>
        <v>1.89</v>
      </c>
      <c r="L192" s="1069">
        <f t="shared" si="109"/>
        <v>1.89</v>
      </c>
      <c r="M192" s="1069">
        <f t="shared" si="109"/>
        <v>1.89</v>
      </c>
      <c r="N192" s="1070">
        <f t="shared" si="109"/>
        <v>1.89</v>
      </c>
    </row>
    <row r="193" spans="1:14" s="759" customFormat="1" ht="13.5" customHeight="1" thickBot="1">
      <c r="G193" s="1088"/>
      <c r="H193" s="1088"/>
      <c r="I193" s="1088"/>
      <c r="J193" s="1088"/>
      <c r="K193" s="1088"/>
      <c r="L193" s="1088"/>
      <c r="M193" s="1088"/>
      <c r="N193" s="1088"/>
    </row>
    <row r="194" spans="1:14" s="759" customFormat="1" ht="13.5" customHeight="1">
      <c r="A194" s="1072"/>
      <c r="B194" s="1073"/>
      <c r="C194" s="1074" t="s">
        <v>4079</v>
      </c>
      <c r="D194" s="1075"/>
      <c r="E194" s="1073"/>
      <c r="F194" s="1076" t="s">
        <v>4065</v>
      </c>
      <c r="G194" s="1052">
        <f>+G202</f>
        <v>16.600000000000001</v>
      </c>
      <c r="H194" s="1052">
        <f t="shared" ref="H194:N194" si="110">+H202</f>
        <v>11</v>
      </c>
      <c r="I194" s="1052">
        <f t="shared" si="110"/>
        <v>16.600000000000001</v>
      </c>
      <c r="J194" s="1052">
        <f t="shared" si="110"/>
        <v>0</v>
      </c>
      <c r="K194" s="1052">
        <f>+K202</f>
        <v>0</v>
      </c>
      <c r="L194" s="1052">
        <f t="shared" si="110"/>
        <v>0</v>
      </c>
      <c r="M194" s="1052">
        <f t="shared" si="110"/>
        <v>0</v>
      </c>
      <c r="N194" s="1053">
        <f t="shared" si="110"/>
        <v>0</v>
      </c>
    </row>
    <row r="195" spans="1:14" s="759" customFormat="1" ht="13.5" customHeight="1">
      <c r="A195" s="2760"/>
      <c r="B195" s="2761" t="s">
        <v>4066</v>
      </c>
      <c r="C195" s="1077" t="s">
        <v>4080</v>
      </c>
      <c r="D195" s="1035"/>
      <c r="E195" s="1078"/>
      <c r="F195" s="1079" t="s">
        <v>4081</v>
      </c>
      <c r="G195" s="1057">
        <f>IF($F$99&lt;=10000000,ROUND(151.08*((10000)^-0.3396)*(G194^0.586),2),ROUND(151.08*(($F$99/1000)^-0.3396)*(G194^0.586),2))</f>
        <v>12.17</v>
      </c>
      <c r="H195" s="1057">
        <f t="shared" ref="H195:N195" si="111">IF($F$99&lt;=10000000,ROUND(151.08*((10000)^-0.3396)*(H194^0.586),2),ROUND(151.08*(($F$99/1000)^-0.3396)*(H194^0.586),2))</f>
        <v>9.56</v>
      </c>
      <c r="I195" s="1057">
        <f t="shared" si="111"/>
        <v>12.17</v>
      </c>
      <c r="J195" s="1057">
        <f t="shared" si="111"/>
        <v>0</v>
      </c>
      <c r="K195" s="1057">
        <f t="shared" si="111"/>
        <v>0</v>
      </c>
      <c r="L195" s="1057">
        <f t="shared" si="111"/>
        <v>0</v>
      </c>
      <c r="M195" s="1057">
        <f t="shared" si="111"/>
        <v>0</v>
      </c>
      <c r="N195" s="1058">
        <f t="shared" si="111"/>
        <v>0</v>
      </c>
    </row>
    <row r="196" spans="1:14" s="759" customFormat="1" ht="13.5" customHeight="1">
      <c r="A196" s="2715"/>
      <c r="B196" s="2718"/>
      <c r="C196" s="2766" t="s">
        <v>4082</v>
      </c>
      <c r="D196" s="934"/>
      <c r="E196" s="1080"/>
      <c r="F196" s="1079" t="s">
        <v>4070</v>
      </c>
      <c r="G196" s="1081">
        <f>IF($F$99&lt;=10000000,ROUND(20.13,2),0)</f>
        <v>0</v>
      </c>
      <c r="H196" s="1081">
        <f t="shared" ref="H196:N196" si="112">IF($F$99&lt;=10000000,ROUND(20.13,2),0)</f>
        <v>0</v>
      </c>
      <c r="I196" s="1081">
        <f t="shared" si="112"/>
        <v>0</v>
      </c>
      <c r="J196" s="1081">
        <f t="shared" si="112"/>
        <v>0</v>
      </c>
      <c r="K196" s="1081">
        <f t="shared" si="112"/>
        <v>0</v>
      </c>
      <c r="L196" s="1081">
        <f t="shared" si="112"/>
        <v>0</v>
      </c>
      <c r="M196" s="1081">
        <f t="shared" si="112"/>
        <v>0</v>
      </c>
      <c r="N196" s="1082">
        <f t="shared" si="112"/>
        <v>0</v>
      </c>
    </row>
    <row r="197" spans="1:14" s="759" customFormat="1" ht="13.5" customHeight="1">
      <c r="A197" s="2715"/>
      <c r="B197" s="2718"/>
      <c r="C197" s="2721"/>
      <c r="D197" s="2323"/>
      <c r="E197" s="1083"/>
      <c r="F197" s="1079" t="s">
        <v>4071</v>
      </c>
      <c r="G197" s="1081">
        <f>IF($F$99&lt;=10000000,ROUND(10.01,2),0)</f>
        <v>0</v>
      </c>
      <c r="H197" s="1081">
        <f t="shared" ref="H197:N197" si="113">IF($F$99&lt;=10000000,ROUND(10.01,2),0)</f>
        <v>0</v>
      </c>
      <c r="I197" s="1081">
        <f t="shared" si="113"/>
        <v>0</v>
      </c>
      <c r="J197" s="1081">
        <f t="shared" si="113"/>
        <v>0</v>
      </c>
      <c r="K197" s="1081">
        <f t="shared" si="113"/>
        <v>0</v>
      </c>
      <c r="L197" s="1081">
        <f t="shared" si="113"/>
        <v>0</v>
      </c>
      <c r="M197" s="1081">
        <f t="shared" si="113"/>
        <v>0</v>
      </c>
      <c r="N197" s="1082">
        <f t="shared" si="113"/>
        <v>0</v>
      </c>
    </row>
    <row r="198" spans="1:14" s="759" customFormat="1" ht="13.5" customHeight="1">
      <c r="A198" s="2715"/>
      <c r="B198" s="2718"/>
      <c r="C198" s="2766" t="s">
        <v>4083</v>
      </c>
      <c r="D198" s="934"/>
      <c r="E198" s="1080"/>
      <c r="F198" s="1079" t="s">
        <v>4070</v>
      </c>
      <c r="G198" s="1084">
        <f>IF($F$99&gt;10000000,ROUND(75.97*($F$99/1000)^-0.1442,2),0)</f>
        <v>12.96</v>
      </c>
      <c r="H198" s="1084">
        <f t="shared" ref="H198:N198" si="114">IF($F$99&gt;10000000,ROUND(75.97*($F$99/1000)^-0.1442*0.95,2),0)</f>
        <v>12.31</v>
      </c>
      <c r="I198" s="1084">
        <f t="shared" si="114"/>
        <v>12.31</v>
      </c>
      <c r="J198" s="1084">
        <f t="shared" si="114"/>
        <v>12.31</v>
      </c>
      <c r="K198" s="1084">
        <f t="shared" si="114"/>
        <v>12.31</v>
      </c>
      <c r="L198" s="1084">
        <f t="shared" si="114"/>
        <v>12.31</v>
      </c>
      <c r="M198" s="1084">
        <f t="shared" si="114"/>
        <v>12.31</v>
      </c>
      <c r="N198" s="1085">
        <f t="shared" si="114"/>
        <v>12.31</v>
      </c>
    </row>
    <row r="199" spans="1:14" s="759" customFormat="1" ht="13.5" customHeight="1">
      <c r="A199" s="2716"/>
      <c r="B199" s="2719"/>
      <c r="C199" s="2721"/>
      <c r="D199" s="2323"/>
      <c r="E199" s="1083"/>
      <c r="F199" s="1079" t="s">
        <v>4071</v>
      </c>
      <c r="G199" s="1084">
        <f>IF($F$99&gt;10000000,ROUND(37.76*($F$99/1000)^-0.1442,2),0)</f>
        <v>6.44</v>
      </c>
      <c r="H199" s="1084">
        <f t="shared" ref="H199:N199" si="115">IF($F$99&gt;10000000,ROUND(37.76*($F$99/1000)^-0.1442,2),0)</f>
        <v>6.44</v>
      </c>
      <c r="I199" s="1084">
        <f t="shared" si="115"/>
        <v>6.44</v>
      </c>
      <c r="J199" s="1084">
        <f t="shared" si="115"/>
        <v>6.44</v>
      </c>
      <c r="K199" s="1084">
        <f t="shared" si="115"/>
        <v>6.44</v>
      </c>
      <c r="L199" s="1084">
        <f t="shared" si="115"/>
        <v>6.44</v>
      </c>
      <c r="M199" s="1084">
        <f t="shared" si="115"/>
        <v>6.44</v>
      </c>
      <c r="N199" s="1085">
        <f t="shared" si="115"/>
        <v>6.44</v>
      </c>
    </row>
    <row r="200" spans="1:14" s="1094" customFormat="1" ht="13.5" customHeight="1" thickBot="1">
      <c r="A200" s="2764" t="s">
        <v>4084</v>
      </c>
      <c r="B200" s="2765"/>
      <c r="C200" s="2765"/>
      <c r="D200" s="2726"/>
      <c r="E200" s="1089"/>
      <c r="F200" s="1090"/>
      <c r="G200" s="1091">
        <f>IF($F$99&lt;=10000000,IF(G$195&gt;G$196,G$196,IF(G$195&lt;G$197,G$197,G$195)),IF(G$195&gt;G$198,G$198,IF(G$195&lt;G$199,G$199,G$195)))</f>
        <v>12.17</v>
      </c>
      <c r="H200" s="1092">
        <f t="shared" ref="H200:N200" si="116">IF($F$99&lt;=10000000,IF(H$195&gt;H$196,H$196,IF(H$195&lt;H$197,H$197,H$195)),IF(H$195&gt;H$198,H$198,IF(H$195&lt;H$199,H$199,H$195)))</f>
        <v>9.56</v>
      </c>
      <c r="I200" s="1092">
        <f t="shared" si="116"/>
        <v>12.17</v>
      </c>
      <c r="J200" s="1092">
        <f t="shared" si="116"/>
        <v>6.44</v>
      </c>
      <c r="K200" s="1092">
        <f t="shared" si="116"/>
        <v>6.44</v>
      </c>
      <c r="L200" s="1092">
        <f t="shared" si="116"/>
        <v>6.44</v>
      </c>
      <c r="M200" s="1092">
        <f t="shared" si="116"/>
        <v>6.44</v>
      </c>
      <c r="N200" s="1093">
        <f t="shared" si="116"/>
        <v>6.44</v>
      </c>
    </row>
    <row r="201" spans="1:14" s="759" customFormat="1" ht="13.5" customHeight="1" thickBot="1">
      <c r="G201" s="1071"/>
      <c r="H201" s="1071"/>
      <c r="I201" s="1071"/>
      <c r="J201" s="1071"/>
      <c r="K201" s="1071"/>
      <c r="L201" s="1071"/>
      <c r="M201" s="1071"/>
      <c r="N201" s="1071"/>
    </row>
    <row r="202" spans="1:14" s="759" customFormat="1" ht="13.5" customHeight="1">
      <c r="A202" s="1072"/>
      <c r="B202" s="1073"/>
      <c r="C202" s="1074" t="s">
        <v>4079</v>
      </c>
      <c r="D202" s="1075"/>
      <c r="E202" s="1073"/>
      <c r="F202" s="1076" t="s">
        <v>4065</v>
      </c>
      <c r="G202" s="1052">
        <f>+G3</f>
        <v>16.600000000000001</v>
      </c>
      <c r="H202" s="1052">
        <f>+H3</f>
        <v>11</v>
      </c>
      <c r="I202" s="1052">
        <f t="shared" ref="I202:N202" si="117">+I3</f>
        <v>16.600000000000001</v>
      </c>
      <c r="J202" s="1052">
        <f t="shared" si="117"/>
        <v>0</v>
      </c>
      <c r="K202" s="1052">
        <f>+K3</f>
        <v>0</v>
      </c>
      <c r="L202" s="1052">
        <f t="shared" si="117"/>
        <v>0</v>
      </c>
      <c r="M202" s="1052">
        <f t="shared" si="117"/>
        <v>0</v>
      </c>
      <c r="N202" s="1053">
        <f t="shared" si="117"/>
        <v>0</v>
      </c>
    </row>
    <row r="203" spans="1:14" s="759" customFormat="1" ht="13.5" customHeight="1">
      <c r="A203" s="2760"/>
      <c r="B203" s="2761" t="s">
        <v>4075</v>
      </c>
      <c r="C203" s="1077" t="s">
        <v>4080</v>
      </c>
      <c r="D203" s="1035"/>
      <c r="E203" s="1078"/>
      <c r="F203" s="1079" t="s">
        <v>4081</v>
      </c>
      <c r="G203" s="1057">
        <f>IF($F$99&lt;=5000000,ROUND(356.2*((5000)^-0.4085)*(G202^0.5766),2),ROUND(356.2*(($F$99/1000)^-0.4085)*(G202^0.5766),2))</f>
        <v>12</v>
      </c>
      <c r="H203" s="1057">
        <f t="shared" ref="H203:N203" si="118">IF($F$99&lt;=5000000,ROUND(356.2*((5000)^-0.4085)*(H202^0.5766),2),ROUND(356.2*(($F$99/1000)^-0.4085)*(H202^0.5766),2))</f>
        <v>9.4700000000000006</v>
      </c>
      <c r="I203" s="1057">
        <f t="shared" si="118"/>
        <v>12</v>
      </c>
      <c r="J203" s="1057">
        <f t="shared" si="118"/>
        <v>0</v>
      </c>
      <c r="K203" s="1057">
        <f t="shared" si="118"/>
        <v>0</v>
      </c>
      <c r="L203" s="1057">
        <f t="shared" si="118"/>
        <v>0</v>
      </c>
      <c r="M203" s="1057">
        <f t="shared" si="118"/>
        <v>0</v>
      </c>
      <c r="N203" s="1058">
        <f t="shared" si="118"/>
        <v>0</v>
      </c>
    </row>
    <row r="204" spans="1:14" s="759" customFormat="1" ht="13.5" customHeight="1">
      <c r="A204" s="2715"/>
      <c r="B204" s="2718"/>
      <c r="C204" s="2766" t="s">
        <v>4085</v>
      </c>
      <c r="D204" s="934"/>
      <c r="E204" s="1080"/>
      <c r="F204" s="1079" t="s">
        <v>4070</v>
      </c>
      <c r="G204" s="1081">
        <f>IF($F$99&lt;=5000000,ROUND(26.86,2),0)</f>
        <v>0</v>
      </c>
      <c r="H204" s="1081">
        <f t="shared" ref="H204:N204" si="119">IF($F$99&lt;=5000000,ROUND(26.86,2),0)</f>
        <v>0</v>
      </c>
      <c r="I204" s="1081">
        <f t="shared" si="119"/>
        <v>0</v>
      </c>
      <c r="J204" s="1081">
        <f t="shared" si="119"/>
        <v>0</v>
      </c>
      <c r="K204" s="1081">
        <f t="shared" si="119"/>
        <v>0</v>
      </c>
      <c r="L204" s="1081">
        <f t="shared" si="119"/>
        <v>0</v>
      </c>
      <c r="M204" s="1081">
        <f t="shared" si="119"/>
        <v>0</v>
      </c>
      <c r="N204" s="1082">
        <f t="shared" si="119"/>
        <v>0</v>
      </c>
    </row>
    <row r="205" spans="1:14" s="759" customFormat="1" ht="13.5" customHeight="1">
      <c r="A205" s="2715"/>
      <c r="B205" s="2718"/>
      <c r="C205" s="2721"/>
      <c r="D205" s="2323"/>
      <c r="E205" s="1083"/>
      <c r="F205" s="1079" t="s">
        <v>4071</v>
      </c>
      <c r="G205" s="1081">
        <f>IF($F$99&lt;=5000000,ROUND(12.7,2),0)</f>
        <v>0</v>
      </c>
      <c r="H205" s="1081">
        <f t="shared" ref="H205:N205" si="120">IF($F$99&lt;=5000000,ROUND(12.7,2),0)</f>
        <v>0</v>
      </c>
      <c r="I205" s="1081">
        <f t="shared" si="120"/>
        <v>0</v>
      </c>
      <c r="J205" s="1081">
        <f t="shared" si="120"/>
        <v>0</v>
      </c>
      <c r="K205" s="1081">
        <f t="shared" si="120"/>
        <v>0</v>
      </c>
      <c r="L205" s="1081">
        <f t="shared" si="120"/>
        <v>0</v>
      </c>
      <c r="M205" s="1081">
        <f t="shared" si="120"/>
        <v>0</v>
      </c>
      <c r="N205" s="1082">
        <f t="shared" si="120"/>
        <v>0</v>
      </c>
    </row>
    <row r="206" spans="1:14" s="759" customFormat="1" ht="13.5" customHeight="1">
      <c r="A206" s="2715"/>
      <c r="B206" s="2718"/>
      <c r="C206" s="2766" t="s">
        <v>4086</v>
      </c>
      <c r="D206" s="934"/>
      <c r="E206" s="1080"/>
      <c r="F206" s="1079" t="s">
        <v>4070</v>
      </c>
      <c r="G206" s="1084">
        <f>IF($F$99&gt;5000000,ROUND(184.58*($F$99/1000)^-0.2263,2),0)</f>
        <v>11.5</v>
      </c>
      <c r="H206" s="1084">
        <f t="shared" ref="H206:N206" si="121">IF($F$99&gt;5000000,ROUND(184.58*($F$99/1000)^-0.2263,2),0)</f>
        <v>11.5</v>
      </c>
      <c r="I206" s="1084">
        <f t="shared" si="121"/>
        <v>11.5</v>
      </c>
      <c r="J206" s="1084">
        <f t="shared" si="121"/>
        <v>11.5</v>
      </c>
      <c r="K206" s="1084">
        <f t="shared" si="121"/>
        <v>11.5</v>
      </c>
      <c r="L206" s="1084">
        <f t="shared" si="121"/>
        <v>11.5</v>
      </c>
      <c r="M206" s="1084">
        <f t="shared" si="121"/>
        <v>11.5</v>
      </c>
      <c r="N206" s="1085">
        <f t="shared" si="121"/>
        <v>11.5</v>
      </c>
    </row>
    <row r="207" spans="1:14" s="759" customFormat="1" ht="13.5" customHeight="1">
      <c r="A207" s="2716"/>
      <c r="B207" s="2719"/>
      <c r="C207" s="2721"/>
      <c r="D207" s="2323"/>
      <c r="E207" s="1083"/>
      <c r="F207" s="1079" t="s">
        <v>4071</v>
      </c>
      <c r="G207" s="1084">
        <f>IF($F$99&gt;5000000,ROUND(87.29*($F$99/1000)^-0.2263,2),0)</f>
        <v>5.44</v>
      </c>
      <c r="H207" s="1084">
        <f t="shared" ref="H207:N207" si="122">IF($F$99&gt;5000000,ROUND(87.29*($F$99/1000)^-0.2263,2),0)</f>
        <v>5.44</v>
      </c>
      <c r="I207" s="1084">
        <f t="shared" si="122"/>
        <v>5.44</v>
      </c>
      <c r="J207" s="1084">
        <f t="shared" si="122"/>
        <v>5.44</v>
      </c>
      <c r="K207" s="1084">
        <f t="shared" si="122"/>
        <v>5.44</v>
      </c>
      <c r="L207" s="1084">
        <f t="shared" si="122"/>
        <v>5.44</v>
      </c>
      <c r="M207" s="1084">
        <f t="shared" si="122"/>
        <v>5.44</v>
      </c>
      <c r="N207" s="1085">
        <f t="shared" si="122"/>
        <v>5.44</v>
      </c>
    </row>
    <row r="208" spans="1:14" s="1094" customFormat="1" ht="13.5" customHeight="1" thickBot="1">
      <c r="A208" s="2764" t="s">
        <v>4084</v>
      </c>
      <c r="B208" s="2765"/>
      <c r="C208" s="2765"/>
      <c r="D208" s="2765"/>
      <c r="E208" s="1095"/>
      <c r="F208" s="1090"/>
      <c r="G208" s="1092">
        <f>IF($F$99&lt;=5000000,IF(G$203&gt;G$204,G$204,IF(G$203&lt;G$205,G$205,G$203)),IF(G$203&gt;G$206,G$206,IF(G$203&lt;G$207,G$207,G$203)))</f>
        <v>11.5</v>
      </c>
      <c r="H208" s="1092">
        <f t="shared" ref="H208:N208" si="123">IF($F$99&lt;=5000000,IF(H$203&gt;H$204,H$204,IF(H$203&lt;H$205,H$205,H$203)),IF(H$203&gt;H$206,H$206,IF(H$203&lt;H$207,H$207,H$203)))</f>
        <v>9.4700000000000006</v>
      </c>
      <c r="I208" s="1092">
        <f t="shared" si="123"/>
        <v>11.5</v>
      </c>
      <c r="J208" s="1092">
        <f t="shared" si="123"/>
        <v>5.44</v>
      </c>
      <c r="K208" s="1092">
        <f t="shared" si="123"/>
        <v>5.44</v>
      </c>
      <c r="L208" s="1092">
        <f t="shared" si="123"/>
        <v>5.44</v>
      </c>
      <c r="M208" s="1092">
        <f t="shared" si="123"/>
        <v>5.44</v>
      </c>
      <c r="N208" s="1093">
        <f t="shared" si="123"/>
        <v>5.44</v>
      </c>
    </row>
    <row r="209" spans="1:14" s="759" customFormat="1" ht="13.5" customHeight="1" thickBot="1">
      <c r="G209" s="1088"/>
      <c r="H209" s="1088"/>
      <c r="I209" s="1088"/>
      <c r="J209" s="1088"/>
      <c r="K209" s="1088"/>
      <c r="L209" s="1088"/>
      <c r="M209" s="1088"/>
      <c r="N209" s="1088"/>
    </row>
    <row r="210" spans="1:14" s="759" customFormat="1" ht="13.5" customHeight="1">
      <c r="A210" s="1072"/>
      <c r="B210" s="1073"/>
      <c r="C210" s="1074" t="s">
        <v>4087</v>
      </c>
      <c r="D210" s="1075"/>
      <c r="E210" s="1073"/>
      <c r="F210" s="1076"/>
      <c r="G210" s="1096"/>
      <c r="H210" s="1097"/>
      <c r="I210" s="1098"/>
      <c r="J210" s="1098"/>
      <c r="K210" s="1098"/>
      <c r="L210" s="1098"/>
      <c r="M210" s="1098"/>
      <c r="N210" s="1098"/>
    </row>
    <row r="211" spans="1:14" s="759" customFormat="1" ht="13.5" customHeight="1">
      <c r="A211" s="2760"/>
      <c r="B211" s="2761" t="s">
        <v>37</v>
      </c>
      <c r="C211" s="1077" t="s">
        <v>4088</v>
      </c>
      <c r="D211" s="1035"/>
      <c r="E211" s="1078"/>
      <c r="F211" s="1079" t="s">
        <v>4089</v>
      </c>
      <c r="G211" s="1099">
        <f>ROUND(28.978-3.173*LOG($F$142/1000),2)</f>
        <v>11.93</v>
      </c>
      <c r="H211" s="1100"/>
      <c r="I211" s="1101"/>
      <c r="J211" s="1101"/>
      <c r="K211" s="1101"/>
      <c r="L211" s="1101"/>
      <c r="M211" s="1101"/>
      <c r="N211" s="1101"/>
    </row>
    <row r="212" spans="1:14" s="759" customFormat="1" ht="13.5" customHeight="1">
      <c r="A212" s="2715"/>
      <c r="B212" s="2718"/>
      <c r="C212" s="2006" t="s">
        <v>4090</v>
      </c>
      <c r="D212" s="934"/>
      <c r="E212" s="934"/>
      <c r="F212" s="1102"/>
      <c r="G212" s="1103">
        <f>IF($F$142&lt;=5000000,17.24,0)</f>
        <v>0</v>
      </c>
      <c r="H212" s="1104"/>
      <c r="I212" s="1105"/>
      <c r="J212" s="118"/>
      <c r="K212" s="1105"/>
      <c r="L212" s="1105"/>
      <c r="M212" s="1105"/>
      <c r="N212" s="1105"/>
    </row>
    <row r="213" spans="1:14" s="759" customFormat="1" ht="13.5" customHeight="1">
      <c r="A213" s="2715"/>
      <c r="B213" s="2718"/>
      <c r="C213" s="2006" t="s">
        <v>4091</v>
      </c>
      <c r="D213" s="934"/>
      <c r="E213" s="1035"/>
      <c r="F213" s="1102"/>
      <c r="G213" s="1103">
        <f>IF($F$142&gt;3000000000,8.43,0)</f>
        <v>0</v>
      </c>
      <c r="H213" s="1106"/>
      <c r="I213" s="1107"/>
      <c r="J213" s="1107"/>
      <c r="K213" s="1107"/>
      <c r="L213" s="1107"/>
      <c r="M213" s="1107"/>
      <c r="N213" s="1107"/>
    </row>
    <row r="214" spans="1:14" s="1113" customFormat="1" ht="13.5" customHeight="1" thickBot="1">
      <c r="A214" s="2762" t="s">
        <v>4092</v>
      </c>
      <c r="B214" s="2763"/>
      <c r="C214" s="2763"/>
      <c r="D214" s="2763"/>
      <c r="E214" s="1108"/>
      <c r="F214" s="1109"/>
      <c r="G214" s="1110">
        <f>IF($F$142&lt;=5000000,G212,IF($F$142&gt;3000000000,G213,G211))</f>
        <v>11.93</v>
      </c>
      <c r="H214" s="1111"/>
      <c r="I214" s="1112"/>
      <c r="J214" s="1112"/>
      <c r="K214" s="1112"/>
      <c r="L214" s="1112"/>
      <c r="M214" s="1112"/>
      <c r="N214" s="1112"/>
    </row>
  </sheetData>
  <sheetProtection selectLockedCells="1" selectUnlockedCells="1"/>
  <mergeCells count="69">
    <mergeCell ref="C7:F7"/>
    <mergeCell ref="A8:F8"/>
    <mergeCell ref="A9:F9"/>
    <mergeCell ref="A36:A55"/>
    <mergeCell ref="B36:B39"/>
    <mergeCell ref="B40:B48"/>
    <mergeCell ref="B49:B55"/>
    <mergeCell ref="D58:D59"/>
    <mergeCell ref="E58:E59"/>
    <mergeCell ref="A59:C59"/>
    <mergeCell ref="A60:A74"/>
    <mergeCell ref="B61:B64"/>
    <mergeCell ref="B65:B73"/>
    <mergeCell ref="D75:D76"/>
    <mergeCell ref="E75:E76"/>
    <mergeCell ref="A76:C76"/>
    <mergeCell ref="A77:A92"/>
    <mergeCell ref="B77:B82"/>
    <mergeCell ref="B83:B91"/>
    <mergeCell ref="A138:C139"/>
    <mergeCell ref="C142:E142"/>
    <mergeCell ref="D97:D98"/>
    <mergeCell ref="E97:E98"/>
    <mergeCell ref="A98:C98"/>
    <mergeCell ref="A99:A113"/>
    <mergeCell ref="B100:B103"/>
    <mergeCell ref="B104:B112"/>
    <mergeCell ref="D114:D115"/>
    <mergeCell ref="E114:E115"/>
    <mergeCell ref="A115:C115"/>
    <mergeCell ref="A116:A133"/>
    <mergeCell ref="B116:B121"/>
    <mergeCell ref="B122:B130"/>
    <mergeCell ref="B131:B132"/>
    <mergeCell ref="F143:G143"/>
    <mergeCell ref="A144:C144"/>
    <mergeCell ref="F144:G144"/>
    <mergeCell ref="A154:C154"/>
    <mergeCell ref="B156:B157"/>
    <mergeCell ref="A145:A152"/>
    <mergeCell ref="B146:B147"/>
    <mergeCell ref="B150:B152"/>
    <mergeCell ref="B160:B162"/>
    <mergeCell ref="B163:B164"/>
    <mergeCell ref="A177:A181"/>
    <mergeCell ref="B177:B181"/>
    <mergeCell ref="C178:C179"/>
    <mergeCell ref="C180:C181"/>
    <mergeCell ref="A182:F182"/>
    <mergeCell ref="A183:F183"/>
    <mergeCell ref="A186:A190"/>
    <mergeCell ref="B186:B190"/>
    <mergeCell ref="C187:C188"/>
    <mergeCell ref="C189:C190"/>
    <mergeCell ref="A191:F191"/>
    <mergeCell ref="A192:F192"/>
    <mergeCell ref="A195:A199"/>
    <mergeCell ref="B195:B199"/>
    <mergeCell ref="C196:C197"/>
    <mergeCell ref="C198:C199"/>
    <mergeCell ref="A211:A213"/>
    <mergeCell ref="B211:B213"/>
    <mergeCell ref="A214:D214"/>
    <mergeCell ref="A200:D200"/>
    <mergeCell ref="A203:A207"/>
    <mergeCell ref="B203:B207"/>
    <mergeCell ref="C204:C205"/>
    <mergeCell ref="C206:C207"/>
    <mergeCell ref="A208:D208"/>
  </mergeCells>
  <phoneticPr fontId="2"/>
  <conditionalFormatting sqref="F6">
    <cfRule type="expression" dxfId="3" priority="1" stopIfTrue="1">
      <formula>AND($F$32&gt;5000000,OR($E$6="無し",$E$6="なし"))</formula>
    </cfRule>
  </conditionalFormatting>
  <dataValidations count="4">
    <dataValidation type="list" allowBlank="1" showInputMessage="1" showErrorMessage="1" sqref="E5:E6 G9:N9" xr:uid="{00000000-0002-0000-1000-000000000000}">
      <formula1>"有り,無し"</formula1>
    </dataValidation>
    <dataValidation type="list" allowBlank="1" showInputMessage="1" showErrorMessage="1" sqref="G7:N7" xr:uid="{00000000-0002-0000-1000-000001000000}">
      <formula1>"積上げ,積上げ・率処理併用"</formula1>
    </dataValidation>
    <dataValidation type="list" allowBlank="1" showInputMessage="1" showErrorMessage="1" sqref="G4:N4" xr:uid="{00000000-0002-0000-1000-000002000000}">
      <formula1>"改修,新営"</formula1>
    </dataValidation>
    <dataValidation type="list" allowBlank="1" showInputMessage="1" showErrorMessage="1" sqref="G8:N8" xr:uid="{00000000-0002-0000-1000-000003000000}">
      <formula1>"駅施設,地上建物"</formula1>
    </dataValidation>
  </dataValidations>
  <printOptions horizontalCentered="1"/>
  <pageMargins left="0.19685039370078741" right="0.19685039370078741" top="0.6692913385826772" bottom="0.19685039370078741" header="0.51181102362204722" footer="0.51181102362204722"/>
  <pageSetup paperSize="9" scale="73" fitToHeight="3" orientation="landscape" cellComments="asDisplayed" horizontalDpi="300" verticalDpi="300" r:id="rId1"/>
  <headerFooter alignWithMargins="0"/>
  <rowBreaks count="4" manualBreakCount="4">
    <brk id="55" max="13" man="1"/>
    <brk id="94" max="13" man="1"/>
    <brk id="135" max="13" man="1"/>
    <brk id="174" max="13" man="1"/>
  </row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FFFF99"/>
    <pageSetUpPr fitToPage="1"/>
  </sheetPr>
  <dimension ref="A1:AI278"/>
  <sheetViews>
    <sheetView zoomScale="75" zoomScaleNormal="75" workbookViewId="0">
      <pane xSplit="13" topLeftCell="N1" activePane="topRight" state="frozen"/>
      <selection activeCell="C3" sqref="C3:L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4908</v>
      </c>
      <c r="E2" s="34" t="s">
        <v>153</v>
      </c>
      <c r="F2" s="37">
        <f>工事5!J2</f>
        <v>45</v>
      </c>
      <c r="G2" s="1" t="s">
        <v>154</v>
      </c>
      <c r="H2" s="4">
        <f>表紙!H25</f>
        <v>69</v>
      </c>
      <c r="I2" s="4" t="s">
        <v>155</v>
      </c>
      <c r="J2" s="37">
        <f>VLOOKUP("EOL",$M$25:$N$65720,2,FALSE)</f>
        <v>56</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イ)6号線堺筋本町駅の部-可動式ホーム柵設置に伴う建築工事</v>
      </c>
      <c r="D5" s="2348"/>
      <c r="E5" s="632"/>
      <c r="F5" s="1889"/>
      <c r="G5" s="2349"/>
      <c r="H5" s="2061" t="s">
        <v>117</v>
      </c>
      <c r="I5" s="2061" t="s">
        <v>117</v>
      </c>
      <c r="J5" s="2759"/>
      <c r="K5" s="2788"/>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1984"/>
      <c r="E6" s="639"/>
      <c r="F6" s="640"/>
      <c r="G6" s="641"/>
      <c r="H6" s="1883"/>
      <c r="I6" s="1883"/>
      <c r="J6" s="1984"/>
      <c r="K6" s="1984"/>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1984" t="s">
        <v>4120</v>
      </c>
      <c r="E7" s="639"/>
      <c r="F7" s="640">
        <v>1</v>
      </c>
      <c r="G7" s="641" t="s">
        <v>119</v>
      </c>
      <c r="H7" s="1883"/>
      <c r="I7" s="1883">
        <f>I70</f>
        <v>869646</v>
      </c>
      <c r="J7" s="1984"/>
      <c r="K7" s="1984"/>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1984" t="s">
        <v>4121</v>
      </c>
      <c r="E8" s="639"/>
      <c r="F8" s="640">
        <v>1</v>
      </c>
      <c r="G8" s="641" t="s">
        <v>119</v>
      </c>
      <c r="H8" s="1883"/>
      <c r="I8" s="1883">
        <f>I93</f>
        <v>10834200</v>
      </c>
      <c r="J8" s="1984"/>
      <c r="K8" s="1984"/>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1984" t="s">
        <v>4122</v>
      </c>
      <c r="E9" s="639"/>
      <c r="F9" s="640">
        <v>1</v>
      </c>
      <c r="G9" s="641" t="s">
        <v>119</v>
      </c>
      <c r="H9" s="1883"/>
      <c r="I9" s="1883">
        <f>I116</f>
        <v>12600750</v>
      </c>
      <c r="J9" s="1984"/>
      <c r="K9" s="1984"/>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1984" t="s">
        <v>4123</v>
      </c>
      <c r="E10" s="639"/>
      <c r="F10" s="640">
        <v>1</v>
      </c>
      <c r="G10" s="641" t="s">
        <v>119</v>
      </c>
      <c r="H10" s="1883"/>
      <c r="I10" s="1883">
        <f>I139</f>
        <v>550996</v>
      </c>
      <c r="J10" s="1984"/>
      <c r="K10" s="1984"/>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1984" t="s">
        <v>4430</v>
      </c>
      <c r="E11" s="639"/>
      <c r="F11" s="640">
        <v>1</v>
      </c>
      <c r="G11" s="641" t="s">
        <v>119</v>
      </c>
      <c r="H11" s="1883"/>
      <c r="I11" s="1883">
        <f>I162</f>
        <v>167520</v>
      </c>
      <c r="J11" s="1984"/>
      <c r="K11" s="1984"/>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1984" t="s">
        <v>4124</v>
      </c>
      <c r="E12" s="639"/>
      <c r="F12" s="640">
        <v>1</v>
      </c>
      <c r="G12" s="641" t="s">
        <v>119</v>
      </c>
      <c r="H12" s="1883"/>
      <c r="I12" s="1883">
        <f>I185</f>
        <v>650923</v>
      </c>
      <c r="J12" s="1984"/>
      <c r="K12" s="1984"/>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1984" t="s">
        <v>4125</v>
      </c>
      <c r="E13" s="639"/>
      <c r="F13" s="640">
        <v>1</v>
      </c>
      <c r="G13" s="641" t="s">
        <v>119</v>
      </c>
      <c r="H13" s="1883"/>
      <c r="I13" s="1883">
        <f>I208</f>
        <v>3785254</v>
      </c>
      <c r="J13" s="1984"/>
      <c r="K13" s="1984"/>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1984" t="s">
        <v>4126</v>
      </c>
      <c r="E14" s="639"/>
      <c r="F14" s="640">
        <v>1</v>
      </c>
      <c r="G14" s="641" t="s">
        <v>119</v>
      </c>
      <c r="H14" s="1883"/>
      <c r="I14" s="1883">
        <f>I254</f>
        <v>10303991</v>
      </c>
      <c r="J14" s="1984"/>
      <c r="K14" s="1984"/>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1984"/>
      <c r="E15" s="639"/>
      <c r="F15" s="640"/>
      <c r="G15" s="641"/>
      <c r="H15" s="1883"/>
      <c r="I15" s="1883"/>
      <c r="J15" s="1984"/>
      <c r="K15" s="1984"/>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1984" t="s">
        <v>126</v>
      </c>
      <c r="E16" s="639"/>
      <c r="F16" s="640"/>
      <c r="G16" s="641"/>
      <c r="H16" s="1883"/>
      <c r="I16" s="1883">
        <f>SUM(I7:I15)</f>
        <v>39763280</v>
      </c>
      <c r="J16" s="2449" t="str">
        <f>IF(COUNTIF(N:N,"費用")=0,"","うち費用")</f>
        <v>うち費用</v>
      </c>
      <c r="K16" s="2450">
        <f>IF(COUNTIF(N:N,"費用")=0,"",SUMIF(N:N,"費用",I:I))</f>
        <v>10303991</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451"/>
      <c r="E17" s="639"/>
      <c r="F17" s="640"/>
      <c r="G17" s="641"/>
      <c r="H17" s="1883"/>
      <c r="I17" s="1883"/>
      <c r="J17" s="1984"/>
      <c r="K17" s="1984"/>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1984"/>
      <c r="E18" s="639"/>
      <c r="F18" s="640"/>
      <c r="G18" s="641"/>
      <c r="H18" s="1883"/>
      <c r="I18" s="1883"/>
      <c r="J18" s="1984"/>
      <c r="K18" s="1984"/>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1984" t="s">
        <v>4128</v>
      </c>
      <c r="E19" s="639"/>
      <c r="F19" s="640">
        <v>1</v>
      </c>
      <c r="G19" s="641" t="s">
        <v>119</v>
      </c>
      <c r="H19" s="1883"/>
      <c r="I19" s="1883">
        <f>+I47</f>
        <v>5032681</v>
      </c>
      <c r="J19" s="1984"/>
      <c r="K19" s="1984"/>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1984" t="s">
        <v>4129</v>
      </c>
      <c r="E20" s="639"/>
      <c r="F20" s="640">
        <v>1</v>
      </c>
      <c r="G20" s="641" t="s">
        <v>119</v>
      </c>
      <c r="H20" s="1883"/>
      <c r="I20" s="1883">
        <f>+諸経費表!L21</f>
        <v>10584039</v>
      </c>
      <c r="J20" s="2452"/>
      <c r="K20" s="1984"/>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1984"/>
      <c r="E21" s="639"/>
      <c r="F21" s="640"/>
      <c r="G21" s="641"/>
      <c r="H21" s="1883"/>
      <c r="I21" s="1883"/>
      <c r="J21" s="1984"/>
      <c r="K21" s="1984"/>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1984" t="s">
        <v>126</v>
      </c>
      <c r="E22" s="639"/>
      <c r="F22" s="640"/>
      <c r="G22" s="641"/>
      <c r="H22" s="1883"/>
      <c r="I22" s="1883">
        <f>+I19+I20</f>
        <v>15616720</v>
      </c>
      <c r="J22" s="1984"/>
      <c r="K22" s="1984"/>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1984"/>
      <c r="E23" s="639"/>
      <c r="F23" s="640"/>
      <c r="G23" s="641"/>
      <c r="H23" s="1883"/>
      <c r="I23" s="1883"/>
      <c r="J23" s="1984"/>
      <c r="K23" s="1984"/>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070"/>
      <c r="D24" s="2075" t="s">
        <v>4130</v>
      </c>
      <c r="E24" s="2071"/>
      <c r="F24" s="2072"/>
      <c r="G24" s="2453"/>
      <c r="H24" s="2454" t="s">
        <v>4131</v>
      </c>
      <c r="I24" s="2074">
        <f>+I22+I16</f>
        <v>55380000</v>
      </c>
      <c r="J24" s="2075" t="s">
        <v>4132</v>
      </c>
      <c r="K24" s="2075"/>
      <c r="L24" s="2455"/>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46</v>
      </c>
      <c r="G25" s="103" t="s">
        <v>131</v>
      </c>
      <c r="H25" s="104">
        <f>H2</f>
        <v>69</v>
      </c>
      <c r="M25" s="38" t="str">
        <f>IF(A27="","EOL","")</f>
        <v/>
      </c>
      <c r="N25" s="6">
        <f>+F25</f>
        <v>46</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1984" t="s">
        <v>4134</v>
      </c>
      <c r="E29" s="639"/>
      <c r="F29" s="640"/>
      <c r="G29" s="641"/>
      <c r="H29" s="642"/>
      <c r="I29" s="1883" t="str">
        <f t="shared" ref="I29:I44" si="0">IF(F29="","",INT(F29*H29))</f>
        <v/>
      </c>
      <c r="J29" s="1984"/>
      <c r="K29" s="1984"/>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1984" t="s">
        <v>4135</v>
      </c>
      <c r="E30" s="639"/>
      <c r="F30" s="640">
        <v>1</v>
      </c>
      <c r="G30" s="641" t="s">
        <v>122</v>
      </c>
      <c r="H30" s="642">
        <f>+'堺筋本町　諸'!G16</f>
        <v>1189666</v>
      </c>
      <c r="I30" s="1883">
        <f t="shared" si="0"/>
        <v>1189666</v>
      </c>
      <c r="J30" s="1984"/>
      <c r="K30" s="1984"/>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1984"/>
      <c r="E31" s="639"/>
      <c r="F31" s="640"/>
      <c r="G31" s="641"/>
      <c r="H31" s="642"/>
      <c r="I31" s="1883" t="str">
        <f t="shared" si="0"/>
        <v/>
      </c>
      <c r="J31" s="1984"/>
      <c r="K31" s="1984"/>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456"/>
      <c r="D32" s="2457" t="s">
        <v>4136</v>
      </c>
      <c r="E32" s="2458"/>
      <c r="F32" s="2459"/>
      <c r="G32" s="2460"/>
      <c r="H32" s="2461"/>
      <c r="I32" s="2462">
        <f>SUM(I30:I31)</f>
        <v>1189666</v>
      </c>
      <c r="J32" s="2457"/>
      <c r="K32" s="2457"/>
      <c r="L32" s="2463"/>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1984" t="s">
        <v>4137</v>
      </c>
      <c r="E34" s="639"/>
      <c r="F34" s="640"/>
      <c r="G34" s="641"/>
      <c r="H34" s="642"/>
      <c r="I34" s="1883" t="str">
        <f t="shared" si="0"/>
        <v/>
      </c>
      <c r="J34" s="1984"/>
      <c r="K34" s="1984"/>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1984"/>
      <c r="E35" s="639"/>
      <c r="F35" s="640"/>
      <c r="G35" s="641"/>
      <c r="H35" s="642"/>
      <c r="I35" s="1883" t="str">
        <f t="shared" si="0"/>
        <v/>
      </c>
      <c r="J35" s="1984"/>
      <c r="K35" s="1984"/>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1984" t="s">
        <v>4138</v>
      </c>
      <c r="E36" s="639"/>
      <c r="F36" s="640">
        <v>1</v>
      </c>
      <c r="G36" s="641" t="s">
        <v>119</v>
      </c>
      <c r="H36" s="642">
        <f>+[5]集計!$D$20</f>
        <v>166114</v>
      </c>
      <c r="I36" s="1883">
        <f t="shared" si="0"/>
        <v>166114</v>
      </c>
      <c r="J36" s="1984"/>
      <c r="K36" s="1984"/>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1984" t="s">
        <v>4139</v>
      </c>
      <c r="E37" s="639"/>
      <c r="F37" s="640">
        <v>1</v>
      </c>
      <c r="G37" s="641" t="s">
        <v>119</v>
      </c>
      <c r="H37" s="642">
        <f>+[5]集計!$D$21</f>
        <v>335269</v>
      </c>
      <c r="I37" s="1883">
        <f t="shared" si="0"/>
        <v>335269</v>
      </c>
      <c r="J37" s="1984"/>
      <c r="K37" s="1984"/>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1984" t="s">
        <v>4140</v>
      </c>
      <c r="E38" s="639"/>
      <c r="F38" s="640">
        <v>1</v>
      </c>
      <c r="G38" s="641" t="s">
        <v>119</v>
      </c>
      <c r="H38" s="642">
        <f>+[5]集計!$D$22</f>
        <v>645829.26564300538</v>
      </c>
      <c r="I38" s="1883">
        <f t="shared" si="0"/>
        <v>645829</v>
      </c>
      <c r="J38" s="1984"/>
      <c r="K38" s="1984"/>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1984" t="s">
        <v>4141</v>
      </c>
      <c r="E39" s="639"/>
      <c r="F39" s="640">
        <v>1</v>
      </c>
      <c r="G39" s="641" t="s">
        <v>119</v>
      </c>
      <c r="H39" s="642">
        <f>+[5]集計!$D$24</f>
        <v>15639</v>
      </c>
      <c r="I39" s="1883">
        <f t="shared" si="0"/>
        <v>15639</v>
      </c>
      <c r="J39" s="1984"/>
      <c r="K39" s="1984"/>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1984" t="s">
        <v>4142</v>
      </c>
      <c r="E40" s="639"/>
      <c r="F40" s="640">
        <v>1</v>
      </c>
      <c r="G40" s="641" t="s">
        <v>119</v>
      </c>
      <c r="H40" s="642">
        <f>+[5]集計!$D$25</f>
        <v>2680164</v>
      </c>
      <c r="I40" s="1883">
        <f t="shared" si="0"/>
        <v>2680164</v>
      </c>
      <c r="J40" s="1984"/>
      <c r="K40" s="1984"/>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1984"/>
      <c r="E41" s="639"/>
      <c r="F41" s="640"/>
      <c r="G41" s="641"/>
      <c r="H41" s="642"/>
      <c r="I41" s="1883" t="str">
        <f t="shared" si="0"/>
        <v/>
      </c>
      <c r="J41" s="1984"/>
      <c r="K41" s="1984"/>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1984"/>
      <c r="E42" s="639"/>
      <c r="F42" s="640"/>
      <c r="G42" s="641"/>
      <c r="H42" s="642"/>
      <c r="I42" s="1883" t="str">
        <f t="shared" si="0"/>
        <v/>
      </c>
      <c r="J42" s="1984"/>
      <c r="K42" s="1984"/>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1984"/>
      <c r="E43" s="639"/>
      <c r="F43" s="640"/>
      <c r="G43" s="641"/>
      <c r="H43" s="642"/>
      <c r="I43" s="1883" t="str">
        <f t="shared" si="0"/>
        <v/>
      </c>
      <c r="J43" s="1984"/>
      <c r="K43" s="1984"/>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1984"/>
      <c r="E44" s="639"/>
      <c r="F44" s="640"/>
      <c r="G44" s="641"/>
      <c r="H44" s="642"/>
      <c r="I44" s="1883" t="str">
        <f t="shared" si="0"/>
        <v/>
      </c>
      <c r="J44" s="1984"/>
      <c r="K44" s="1984"/>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464"/>
      <c r="D45" s="2457" t="s">
        <v>4143</v>
      </c>
      <c r="E45" s="2458"/>
      <c r="F45" s="2459"/>
      <c r="G45" s="2460"/>
      <c r="H45" s="2461"/>
      <c r="I45" s="2462">
        <f>SUM(I35:I44)</f>
        <v>3843015</v>
      </c>
      <c r="J45" s="2457"/>
      <c r="K45" s="2457"/>
      <c r="L45" s="2463"/>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1984"/>
      <c r="E46" s="639"/>
      <c r="F46" s="640"/>
      <c r="G46" s="641"/>
      <c r="H46" s="642"/>
      <c r="I46" s="1883" t="str">
        <f t="shared" ref="I46" si="1">IF(F46="","",INT(F46*H46))</f>
        <v/>
      </c>
      <c r="J46" s="1984"/>
      <c r="K46" s="1984"/>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070"/>
      <c r="D47" s="2075" t="s">
        <v>4144</v>
      </c>
      <c r="E47" s="2071"/>
      <c r="F47" s="2072"/>
      <c r="G47" s="2453"/>
      <c r="H47" s="2465" t="s">
        <v>4131</v>
      </c>
      <c r="I47" s="2074">
        <f>I32+I45</f>
        <v>5032681</v>
      </c>
      <c r="J47" s="2075" t="s">
        <v>4132</v>
      </c>
      <c r="K47" s="2075"/>
      <c r="L47" s="2455"/>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47</v>
      </c>
      <c r="G48" s="103" t="s">
        <v>131</v>
      </c>
      <c r="H48" s="104">
        <f>+$H$25</f>
        <v>69</v>
      </c>
      <c r="I48" s="104"/>
      <c r="M48" s="38" t="str">
        <f>IF(A50="","EOL","")</f>
        <v/>
      </c>
      <c r="N48" s="6">
        <f>+F48</f>
        <v>47</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88"/>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1984"/>
      <c r="K52" s="1984"/>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+[6]集計!$D$17</f>
        <v>100296</v>
      </c>
      <c r="I53" s="1883">
        <f t="shared" ref="I53:I69" si="2">IF(F53="","",INT(F53*H53))</f>
        <v>100296</v>
      </c>
      <c r="J53" s="1984"/>
      <c r="K53" s="1984"/>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+[6]集計!$D$18</f>
        <v>128213</v>
      </c>
      <c r="I54" s="1883">
        <f t="shared" si="2"/>
        <v>128213</v>
      </c>
      <c r="J54" s="1984"/>
      <c r="K54" s="1984"/>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+[6]集計!$D$19</f>
        <v>467472</v>
      </c>
      <c r="I55" s="1883">
        <f t="shared" si="2"/>
        <v>467472</v>
      </c>
      <c r="J55" s="1984"/>
      <c r="K55" s="1984"/>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+[6]集計!$D$20</f>
        <v>0</v>
      </c>
      <c r="I56" s="1883">
        <f t="shared" si="2"/>
        <v>0</v>
      </c>
      <c r="J56" s="1984"/>
      <c r="K56" s="1984"/>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+[6]集計!$D$21</f>
        <v>159785</v>
      </c>
      <c r="I57" s="1883">
        <f t="shared" si="2"/>
        <v>159785</v>
      </c>
      <c r="J57" s="1984"/>
      <c r="K57" s="1984"/>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+[6]集計!$D$22</f>
        <v>13880</v>
      </c>
      <c r="I58" s="1883">
        <f t="shared" si="2"/>
        <v>13880</v>
      </c>
      <c r="J58" s="1984"/>
      <c r="K58" s="1984"/>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1984"/>
      <c r="K59" s="1984"/>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1984"/>
      <c r="K60" s="1984"/>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1984"/>
      <c r="K61" s="1984"/>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1984"/>
      <c r="K62" s="1984"/>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1984"/>
      <c r="K63" s="1984"/>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1984"/>
      <c r="K64" s="1984"/>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1984"/>
      <c r="K65" s="1984"/>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1984"/>
      <c r="K66" s="1984"/>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1984"/>
      <c r="K67" s="1984"/>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1984"/>
      <c r="K68" s="1984"/>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1984"/>
      <c r="K69" s="1984"/>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070"/>
      <c r="D70" s="2075" t="s">
        <v>4144</v>
      </c>
      <c r="E70" s="2071"/>
      <c r="F70" s="2072"/>
      <c r="G70" s="2453"/>
      <c r="H70" s="2465" t="s">
        <v>4131</v>
      </c>
      <c r="I70" s="2074">
        <f>SUM(I52:I69)</f>
        <v>869646</v>
      </c>
      <c r="J70" s="2075" t="s">
        <v>4132</v>
      </c>
      <c r="K70" s="2075"/>
      <c r="L70" s="2455"/>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48</v>
      </c>
      <c r="G71" s="103" t="s">
        <v>131</v>
      </c>
      <c r="H71" s="104">
        <f>+H48</f>
        <v>69</v>
      </c>
      <c r="I71" s="104"/>
      <c r="M71" s="598" t="str">
        <f>IF(A73="","EOL","")</f>
        <v/>
      </c>
      <c r="N71" s="1">
        <f>+F71</f>
        <v>48</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88"/>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466"/>
      <c r="E75" s="621"/>
      <c r="F75" s="640"/>
      <c r="G75" s="641"/>
      <c r="H75" s="1882"/>
      <c r="I75" s="1883" t="str">
        <f t="shared" ref="I75:I92" si="3">IF(F75="","",INT(F75*H75))</f>
        <v/>
      </c>
      <c r="J75" s="1983"/>
      <c r="K75" s="1984"/>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881">
        <v>309</v>
      </c>
      <c r="D76" s="1980" t="s">
        <v>4155</v>
      </c>
      <c r="E76" s="621" t="s">
        <v>4156</v>
      </c>
      <c r="F76" s="640">
        <v>77</v>
      </c>
      <c r="G76" s="641" t="s">
        <v>4157</v>
      </c>
      <c r="H76" s="1882">
        <f>見積比較!O$33</f>
        <v>34200</v>
      </c>
      <c r="I76" s="1883">
        <f>IF(F76="","",INT(F76*H76))</f>
        <v>2633400</v>
      </c>
      <c r="J76" s="1983" t="s">
        <v>4158</v>
      </c>
      <c r="K76" s="1984"/>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466"/>
      <c r="E77" s="621"/>
      <c r="F77" s="640"/>
      <c r="G77" s="641"/>
      <c r="H77" s="1882"/>
      <c r="I77" s="1883" t="str">
        <f t="shared" ref="I77:I80" si="4">IF(F77="","",INT(F77*H77))</f>
        <v/>
      </c>
      <c r="J77" s="1983"/>
      <c r="K77" s="1984"/>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v>4</v>
      </c>
      <c r="B78" s="36">
        <v>4</v>
      </c>
      <c r="C78" s="1881">
        <v>310</v>
      </c>
      <c r="D78" s="1980" t="s">
        <v>4159</v>
      </c>
      <c r="E78" s="621" t="s">
        <v>4160</v>
      </c>
      <c r="F78" s="640">
        <v>136</v>
      </c>
      <c r="G78" s="641" t="s">
        <v>4157</v>
      </c>
      <c r="H78" s="1882">
        <f>見積比較!O$72</f>
        <v>21900</v>
      </c>
      <c r="I78" s="1883">
        <f>IF(F78="","",INT(F78*H78))</f>
        <v>2978400</v>
      </c>
      <c r="J78" s="1983" t="s">
        <v>4161</v>
      </c>
      <c r="K78" s="1984"/>
      <c r="L78" s="2356"/>
      <c r="M78" s="602"/>
      <c r="N78" s="603"/>
      <c r="O78" s="597">
        <v>0</v>
      </c>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v>4</v>
      </c>
      <c r="B79" s="36">
        <v>4</v>
      </c>
      <c r="C79" s="1881">
        <v>25011</v>
      </c>
      <c r="D79" s="1980" t="s">
        <v>4400</v>
      </c>
      <c r="E79" s="621" t="s">
        <v>4401</v>
      </c>
      <c r="F79" s="640">
        <v>136</v>
      </c>
      <c r="G79" s="641" t="s">
        <v>4193</v>
      </c>
      <c r="H79" s="1882">
        <v>38400</v>
      </c>
      <c r="I79" s="1883">
        <f>IF(F79="","",INT(F79*H79))</f>
        <v>5222400</v>
      </c>
      <c r="J79" s="1983" t="s">
        <v>4402</v>
      </c>
      <c r="K79" s="1984"/>
      <c r="L79" s="2356"/>
      <c r="M79" s="602"/>
      <c r="N79" s="603"/>
      <c r="O79" s="597">
        <v>0</v>
      </c>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466"/>
      <c r="E80" s="621"/>
      <c r="F80" s="640"/>
      <c r="G80" s="641"/>
      <c r="H80" s="1882"/>
      <c r="I80" s="1883" t="str">
        <f t="shared" si="4"/>
        <v/>
      </c>
      <c r="J80" s="1983"/>
      <c r="K80" s="1984"/>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466"/>
      <c r="E81" s="621"/>
      <c r="F81" s="640"/>
      <c r="G81" s="641"/>
      <c r="H81" s="1882"/>
      <c r="I81" s="1883" t="str">
        <f t="shared" si="3"/>
        <v/>
      </c>
      <c r="J81" s="1983"/>
      <c r="K81" s="1984"/>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466"/>
      <c r="E82" s="621"/>
      <c r="F82" s="640"/>
      <c r="G82" s="641"/>
      <c r="H82" s="1882"/>
      <c r="I82" s="1883" t="str">
        <f t="shared" si="3"/>
        <v/>
      </c>
      <c r="J82" s="1983"/>
      <c r="K82" s="1984"/>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466"/>
      <c r="E83" s="621"/>
      <c r="F83" s="640"/>
      <c r="G83" s="641"/>
      <c r="H83" s="1882"/>
      <c r="I83" s="1883" t="str">
        <f t="shared" si="3"/>
        <v/>
      </c>
      <c r="J83" s="1983"/>
      <c r="K83" s="1984"/>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466"/>
      <c r="E84" s="621"/>
      <c r="F84" s="640"/>
      <c r="G84" s="641"/>
      <c r="H84" s="1882"/>
      <c r="I84" s="1883" t="str">
        <f t="shared" si="3"/>
        <v/>
      </c>
      <c r="J84" s="1983"/>
      <c r="K84" s="1984"/>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466"/>
      <c r="E85" s="621"/>
      <c r="F85" s="640"/>
      <c r="G85" s="641"/>
      <c r="H85" s="1882"/>
      <c r="I85" s="1883" t="str">
        <f t="shared" si="3"/>
        <v/>
      </c>
      <c r="J85" s="1983"/>
      <c r="K85" s="1984"/>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466"/>
      <c r="E86" s="621"/>
      <c r="F86" s="640"/>
      <c r="G86" s="641"/>
      <c r="H86" s="1882"/>
      <c r="I86" s="1883" t="str">
        <f t="shared" si="3"/>
        <v/>
      </c>
      <c r="J86" s="1983"/>
      <c r="K86" s="1984"/>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466"/>
      <c r="E87" s="621"/>
      <c r="F87" s="640"/>
      <c r="G87" s="641"/>
      <c r="H87" s="1882"/>
      <c r="I87" s="1883" t="str">
        <f t="shared" si="3"/>
        <v/>
      </c>
      <c r="J87" s="1983"/>
      <c r="K87" s="1984"/>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466"/>
      <c r="E88" s="621"/>
      <c r="F88" s="640"/>
      <c r="G88" s="641"/>
      <c r="H88" s="1882"/>
      <c r="I88" s="1883" t="str">
        <f t="shared" si="3"/>
        <v/>
      </c>
      <c r="J88" s="1983"/>
      <c r="K88" s="1984"/>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466"/>
      <c r="E89" s="621"/>
      <c r="F89" s="640"/>
      <c r="G89" s="641"/>
      <c r="H89" s="1882"/>
      <c r="I89" s="1883" t="str">
        <f t="shared" si="3"/>
        <v/>
      </c>
      <c r="J89" s="1983"/>
      <c r="K89" s="1984"/>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466"/>
      <c r="E90" s="621"/>
      <c r="F90" s="640"/>
      <c r="G90" s="641"/>
      <c r="H90" s="1882"/>
      <c r="I90" s="1883" t="str">
        <f t="shared" si="3"/>
        <v/>
      </c>
      <c r="J90" s="1983"/>
      <c r="K90" s="1984"/>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466"/>
      <c r="E91" s="621"/>
      <c r="F91" s="640"/>
      <c r="G91" s="641"/>
      <c r="H91" s="1882"/>
      <c r="I91" s="1883" t="str">
        <f t="shared" si="3"/>
        <v/>
      </c>
      <c r="J91" s="1983"/>
      <c r="K91" s="1984"/>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466"/>
      <c r="E92" s="621"/>
      <c r="F92" s="640"/>
      <c r="G92" s="641"/>
      <c r="H92" s="1882"/>
      <c r="I92" s="1883" t="str">
        <f t="shared" si="3"/>
        <v/>
      </c>
      <c r="J92" s="1983"/>
      <c r="K92" s="1984"/>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070"/>
      <c r="D93" s="2075" t="s">
        <v>4144</v>
      </c>
      <c r="E93" s="2071"/>
      <c r="F93" s="2072"/>
      <c r="G93" s="2453"/>
      <c r="H93" s="2465" t="s">
        <v>4131</v>
      </c>
      <c r="I93" s="2074">
        <f>SUM(I75:I92)</f>
        <v>10834200</v>
      </c>
      <c r="J93" s="2467" t="str">
        <f>IF(C74="部分撤去工事","）うち費用",")")</f>
        <v>)</v>
      </c>
      <c r="K93" s="2468">
        <f>IF(C74="部分撤去工事",(K70+L93),0)</f>
        <v>0</v>
      </c>
      <c r="L93" s="2469">
        <f>IF(C74="部分撤去工事",SUMIF(N75:N92,"費用",I75:I92),0)</f>
        <v>0</v>
      </c>
      <c r="M93" s="2470"/>
      <c r="N93" s="2471"/>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49</v>
      </c>
      <c r="G94" s="103" t="s">
        <v>131</v>
      </c>
      <c r="H94" s="104">
        <f>+H71</f>
        <v>69</v>
      </c>
      <c r="I94" s="104"/>
      <c r="M94" s="598" t="str">
        <f>IF(A96="","EOL","")</f>
        <v/>
      </c>
      <c r="N94" s="1">
        <f>+F94</f>
        <v>49</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4122</v>
      </c>
      <c r="D97" s="2385"/>
      <c r="E97" s="623"/>
      <c r="F97" s="1889"/>
      <c r="G97" s="1890"/>
      <c r="H97" s="2386" t="s">
        <v>117</v>
      </c>
      <c r="I97" s="2386" t="s">
        <v>117</v>
      </c>
      <c r="J97" s="2759"/>
      <c r="K97" s="2788"/>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466"/>
      <c r="E98" s="621"/>
      <c r="F98" s="640"/>
      <c r="G98" s="641"/>
      <c r="H98" s="1882"/>
      <c r="I98" s="1883" t="str">
        <f t="shared" ref="I98:I115" si="5">IF(F98="","",INT(F98*H98))</f>
        <v/>
      </c>
      <c r="J98" s="1983"/>
      <c r="K98" s="1984"/>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881">
        <v>405</v>
      </c>
      <c r="D99" s="1980" t="s">
        <v>4166</v>
      </c>
      <c r="E99" s="621" t="s">
        <v>4431</v>
      </c>
      <c r="F99" s="640">
        <v>1</v>
      </c>
      <c r="G99" s="641" t="s">
        <v>4168</v>
      </c>
      <c r="H99" s="1882">
        <f>見積比較!O$118</f>
        <v>2446500</v>
      </c>
      <c r="I99" s="1883">
        <f>IF(F99="","",INT(F99*H99))</f>
        <v>2446500</v>
      </c>
      <c r="J99" s="1983" t="s">
        <v>4169</v>
      </c>
      <c r="K99" s="1984"/>
      <c r="L99" s="2356"/>
      <c r="M99" s="602"/>
      <c r="N99" s="603"/>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881"/>
      <c r="D100" s="2466"/>
      <c r="E100" s="621"/>
      <c r="F100" s="640"/>
      <c r="G100" s="641"/>
      <c r="H100" s="1882"/>
      <c r="I100" s="1883" t="str">
        <f t="shared" ref="I100:I106" si="6">IF(F100="","",INT(F100*H100))</f>
        <v/>
      </c>
      <c r="J100" s="1983"/>
      <c r="K100" s="1984"/>
      <c r="L100" s="2356"/>
      <c r="M100" s="602"/>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v>4</v>
      </c>
      <c r="B101" s="36">
        <v>4</v>
      </c>
      <c r="C101" s="1881">
        <v>406</v>
      </c>
      <c r="D101" s="1980" t="s">
        <v>4166</v>
      </c>
      <c r="E101" s="621" t="s">
        <v>4431</v>
      </c>
      <c r="F101" s="640">
        <v>1</v>
      </c>
      <c r="G101" s="641" t="s">
        <v>4168</v>
      </c>
      <c r="H101" s="1882">
        <f>見積比較!O$120</f>
        <v>2446500</v>
      </c>
      <c r="I101" s="1883">
        <f>IF(F101="","",INT(F101*H101))</f>
        <v>2446500</v>
      </c>
      <c r="J101" s="1983" t="s">
        <v>4169</v>
      </c>
      <c r="K101" s="1984"/>
      <c r="L101" s="2356"/>
      <c r="M101" s="602"/>
      <c r="N101" s="603"/>
      <c r="O101" s="597">
        <v>0</v>
      </c>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881"/>
      <c r="D102" s="2466"/>
      <c r="E102" s="621"/>
      <c r="F102" s="640"/>
      <c r="G102" s="641"/>
      <c r="H102" s="1882"/>
      <c r="I102" s="1883" t="str">
        <f t="shared" si="6"/>
        <v/>
      </c>
      <c r="J102" s="1983"/>
      <c r="K102" s="1984"/>
      <c r="L102" s="2356"/>
      <c r="M102" s="602"/>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v>4</v>
      </c>
      <c r="B103" s="36">
        <v>4</v>
      </c>
      <c r="C103" s="1881">
        <v>407</v>
      </c>
      <c r="D103" s="1980" t="s">
        <v>4166</v>
      </c>
      <c r="E103" s="621" t="s">
        <v>4432</v>
      </c>
      <c r="F103" s="640">
        <v>1</v>
      </c>
      <c r="G103" s="641" t="s">
        <v>4168</v>
      </c>
      <c r="H103" s="1882">
        <f>見積比較!O$122</f>
        <v>3795400</v>
      </c>
      <c r="I103" s="1883">
        <f>IF(F103="","",INT(F103*H103))</f>
        <v>3795400</v>
      </c>
      <c r="J103" s="1983" t="s">
        <v>4169</v>
      </c>
      <c r="K103" s="1984"/>
      <c r="L103" s="2356"/>
      <c r="M103" s="602"/>
      <c r="N103" s="603"/>
      <c r="O103" s="597">
        <v>0</v>
      </c>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881"/>
      <c r="D104" s="2466"/>
      <c r="E104" s="621"/>
      <c r="F104" s="640"/>
      <c r="G104" s="641"/>
      <c r="H104" s="1882"/>
      <c r="I104" s="1883" t="str">
        <f t="shared" si="6"/>
        <v/>
      </c>
      <c r="J104" s="1983"/>
      <c r="K104" s="1984"/>
      <c r="L104" s="2356"/>
      <c r="M104" s="602"/>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v>4</v>
      </c>
      <c r="B105" s="36">
        <v>4</v>
      </c>
      <c r="C105" s="1881">
        <v>408</v>
      </c>
      <c r="D105" s="1980" t="s">
        <v>4166</v>
      </c>
      <c r="E105" s="621" t="s">
        <v>4433</v>
      </c>
      <c r="F105" s="640">
        <v>1</v>
      </c>
      <c r="G105" s="641" t="s">
        <v>4168</v>
      </c>
      <c r="H105" s="1882">
        <f>見積比較!O$124</f>
        <v>3798600</v>
      </c>
      <c r="I105" s="1883">
        <f>IF(F105="","",INT(F105*H105))</f>
        <v>3798600</v>
      </c>
      <c r="J105" s="1983" t="s">
        <v>4169</v>
      </c>
      <c r="K105" s="1984"/>
      <c r="L105" s="2356"/>
      <c r="M105" s="602"/>
      <c r="N105" s="603"/>
      <c r="O105" s="597">
        <v>0</v>
      </c>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881"/>
      <c r="D106" s="2466"/>
      <c r="E106" s="621"/>
      <c r="F106" s="640"/>
      <c r="G106" s="641"/>
      <c r="H106" s="1882"/>
      <c r="I106" s="1883" t="str">
        <f t="shared" si="6"/>
        <v/>
      </c>
      <c r="J106" s="1983"/>
      <c r="K106" s="1984"/>
      <c r="L106" s="2356"/>
      <c r="M106" s="602"/>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v>4</v>
      </c>
      <c r="B107" s="36">
        <v>4</v>
      </c>
      <c r="C107" s="1881">
        <v>1304106</v>
      </c>
      <c r="D107" s="1980" t="s">
        <v>4434</v>
      </c>
      <c r="E107" s="621" t="s">
        <v>4173</v>
      </c>
      <c r="F107" s="640">
        <v>4</v>
      </c>
      <c r="G107" s="641" t="s">
        <v>4174</v>
      </c>
      <c r="H107" s="1882">
        <v>4730</v>
      </c>
      <c r="I107" s="1883">
        <f t="shared" ref="I107:I114" si="7">IF(F107="","",INT(F107*H107))</f>
        <v>18920</v>
      </c>
      <c r="J107" s="1983" t="s">
        <v>4435</v>
      </c>
      <c r="K107" s="1984"/>
      <c r="L107" s="2356"/>
      <c r="M107" s="602"/>
      <c r="N107" s="603"/>
      <c r="O107" s="597">
        <v>1</v>
      </c>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v>3</v>
      </c>
      <c r="B108" s="36">
        <v>3</v>
      </c>
      <c r="C108" s="1881">
        <v>1304106</v>
      </c>
      <c r="D108" s="1980" t="s">
        <v>4434</v>
      </c>
      <c r="E108" s="621" t="s">
        <v>4173</v>
      </c>
      <c r="F108" s="640">
        <v>1</v>
      </c>
      <c r="G108" s="641" t="s">
        <v>4174</v>
      </c>
      <c r="H108" s="1882">
        <v>3590</v>
      </c>
      <c r="I108" s="1883">
        <f t="shared" si="7"/>
        <v>3590</v>
      </c>
      <c r="J108" s="1983" t="s">
        <v>4435</v>
      </c>
      <c r="K108" s="1984"/>
      <c r="L108" s="2356"/>
      <c r="M108" s="602"/>
      <c r="N108" s="603"/>
      <c r="O108" s="597">
        <v>1</v>
      </c>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v>4</v>
      </c>
      <c r="B109" s="36">
        <v>4</v>
      </c>
      <c r="C109" s="1881">
        <v>14085</v>
      </c>
      <c r="D109" s="1980" t="s">
        <v>4176</v>
      </c>
      <c r="E109" s="621" t="s">
        <v>4436</v>
      </c>
      <c r="F109" s="640">
        <v>4</v>
      </c>
      <c r="G109" s="641" t="s">
        <v>4174</v>
      </c>
      <c r="H109" s="1882">
        <v>4680</v>
      </c>
      <c r="I109" s="1883">
        <f t="shared" si="7"/>
        <v>18720</v>
      </c>
      <c r="J109" s="1983"/>
      <c r="K109" s="1984"/>
      <c r="L109" s="2356"/>
      <c r="M109" s="602"/>
      <c r="N109" s="603"/>
      <c r="O109" s="597">
        <v>2</v>
      </c>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v>3</v>
      </c>
      <c r="B110" s="36">
        <v>3</v>
      </c>
      <c r="C110" s="1881">
        <v>14085</v>
      </c>
      <c r="D110" s="1980" t="s">
        <v>4176</v>
      </c>
      <c r="E110" s="621" t="s">
        <v>4436</v>
      </c>
      <c r="F110" s="640">
        <v>1</v>
      </c>
      <c r="G110" s="641" t="s">
        <v>4174</v>
      </c>
      <c r="H110" s="1882">
        <v>4680</v>
      </c>
      <c r="I110" s="1883">
        <f t="shared" si="7"/>
        <v>4680</v>
      </c>
      <c r="J110" s="1983"/>
      <c r="K110" s="1984"/>
      <c r="L110" s="2356"/>
      <c r="M110" s="602"/>
      <c r="N110" s="603"/>
      <c r="O110" s="597">
        <v>2</v>
      </c>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v>4</v>
      </c>
      <c r="B111" s="36">
        <v>4</v>
      </c>
      <c r="C111" s="1881">
        <v>14081</v>
      </c>
      <c r="D111" s="1980" t="s">
        <v>4178</v>
      </c>
      <c r="E111" s="621" t="s">
        <v>4179</v>
      </c>
      <c r="F111" s="640">
        <v>4</v>
      </c>
      <c r="G111" s="641" t="s">
        <v>4174</v>
      </c>
      <c r="H111" s="1882">
        <v>12300</v>
      </c>
      <c r="I111" s="1883">
        <f t="shared" si="7"/>
        <v>49200</v>
      </c>
      <c r="J111" s="1983"/>
      <c r="K111" s="1984"/>
      <c r="L111" s="2356"/>
      <c r="M111" s="602"/>
      <c r="N111" s="603"/>
      <c r="O111" s="597">
        <v>0</v>
      </c>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v>3</v>
      </c>
      <c r="B112" s="36">
        <v>3</v>
      </c>
      <c r="C112" s="1881">
        <v>14081</v>
      </c>
      <c r="D112" s="1980" t="s">
        <v>4178</v>
      </c>
      <c r="E112" s="621" t="s">
        <v>4179</v>
      </c>
      <c r="F112" s="640">
        <v>1</v>
      </c>
      <c r="G112" s="641" t="s">
        <v>4174</v>
      </c>
      <c r="H112" s="1882">
        <v>9210</v>
      </c>
      <c r="I112" s="1883">
        <f t="shared" si="7"/>
        <v>9210</v>
      </c>
      <c r="J112" s="1983"/>
      <c r="K112" s="1984"/>
      <c r="L112" s="2356"/>
      <c r="M112" s="602"/>
      <c r="N112" s="603"/>
      <c r="O112" s="597">
        <v>0</v>
      </c>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v>4</v>
      </c>
      <c r="B113" s="36">
        <v>4</v>
      </c>
      <c r="C113" s="1881">
        <v>1346005</v>
      </c>
      <c r="D113" s="1980" t="s">
        <v>4180</v>
      </c>
      <c r="E113" s="621" t="s">
        <v>4181</v>
      </c>
      <c r="F113" s="640">
        <v>4</v>
      </c>
      <c r="G113" s="641" t="s">
        <v>4182</v>
      </c>
      <c r="H113" s="1882">
        <v>1980</v>
      </c>
      <c r="I113" s="1883">
        <f t="shared" si="7"/>
        <v>7920</v>
      </c>
      <c r="J113" s="1983" t="s">
        <v>4183</v>
      </c>
      <c r="K113" s="1984"/>
      <c r="L113" s="2356"/>
      <c r="M113" s="602"/>
      <c r="N113" s="603"/>
      <c r="O113" s="597">
        <v>0</v>
      </c>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v>3</v>
      </c>
      <c r="B114" s="36">
        <v>3</v>
      </c>
      <c r="C114" s="1881">
        <v>1346005</v>
      </c>
      <c r="D114" s="1980" t="s">
        <v>4180</v>
      </c>
      <c r="E114" s="621" t="s">
        <v>4181</v>
      </c>
      <c r="F114" s="640">
        <v>1</v>
      </c>
      <c r="G114" s="641" t="s">
        <v>4182</v>
      </c>
      <c r="H114" s="1882">
        <v>1510</v>
      </c>
      <c r="I114" s="1883">
        <f t="shared" si="7"/>
        <v>1510</v>
      </c>
      <c r="J114" s="1983" t="s">
        <v>4183</v>
      </c>
      <c r="K114" s="1984"/>
      <c r="L114" s="2356"/>
      <c r="M114" s="602"/>
      <c r="N114" s="603"/>
      <c r="O114" s="597">
        <v>0</v>
      </c>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466"/>
      <c r="E115" s="621"/>
      <c r="F115" s="640"/>
      <c r="G115" s="641"/>
      <c r="H115" s="1882"/>
      <c r="I115" s="1883" t="str">
        <f t="shared" si="5"/>
        <v/>
      </c>
      <c r="J115" s="1983"/>
      <c r="K115" s="1984"/>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070"/>
      <c r="D116" s="2075" t="s">
        <v>4144</v>
      </c>
      <c r="E116" s="2071"/>
      <c r="F116" s="2072"/>
      <c r="G116" s="2453"/>
      <c r="H116" s="2465" t="s">
        <v>4131</v>
      </c>
      <c r="I116" s="2074">
        <f>SUM(I98:I115)</f>
        <v>12600750</v>
      </c>
      <c r="J116" s="2467" t="str">
        <f>IF(C97="部分撤去工事","）うち費用",")")</f>
        <v>)</v>
      </c>
      <c r="K116" s="2468">
        <f>IF(C97="部分撤去工事",(K93+L116),0)</f>
        <v>0</v>
      </c>
      <c r="L116" s="2469">
        <f>IF(C97="部分撤去工事",SUMIF(N98:N115,"費用",I98:I115),0)</f>
        <v>0</v>
      </c>
      <c r="M116" s="2470"/>
      <c r="N116" s="2471"/>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50</v>
      </c>
      <c r="G117" s="103" t="s">
        <v>131</v>
      </c>
      <c r="H117" s="104">
        <f>+H94</f>
        <v>69</v>
      </c>
      <c r="I117" s="104"/>
      <c r="M117" s="598" t="str">
        <f>IF(A119="","EOL","")</f>
        <v/>
      </c>
      <c r="N117" s="1">
        <f>+F117</f>
        <v>50</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4123</v>
      </c>
      <c r="D120" s="2385"/>
      <c r="E120" s="623"/>
      <c r="F120" s="1889"/>
      <c r="G120" s="1890"/>
      <c r="H120" s="2386" t="s">
        <v>117</v>
      </c>
      <c r="I120" s="2386" t="s">
        <v>117</v>
      </c>
      <c r="J120" s="2759"/>
      <c r="K120" s="2788"/>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466"/>
      <c r="E121" s="621"/>
      <c r="F121" s="640"/>
      <c r="G121" s="641"/>
      <c r="H121" s="1882"/>
      <c r="I121" s="1883" t="str">
        <f t="shared" ref="I121:I138" si="8">IF(F121="","",INT(F121*H121))</f>
        <v/>
      </c>
      <c r="J121" s="1983"/>
      <c r="K121" s="1984"/>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881"/>
      <c r="D122" s="2472" t="s">
        <v>4187</v>
      </c>
      <c r="E122" s="1912" t="s">
        <v>4188</v>
      </c>
      <c r="F122" s="1913">
        <v>99.1</v>
      </c>
      <c r="G122" s="1914" t="s">
        <v>4157</v>
      </c>
      <c r="H122" s="1915">
        <v>5560</v>
      </c>
      <c r="I122" s="1919">
        <f>IF(F122="","",INT(F122*H122))</f>
        <v>550996</v>
      </c>
      <c r="J122" s="2473" t="s">
        <v>4189</v>
      </c>
      <c r="K122" s="2473" t="s">
        <v>4437</v>
      </c>
      <c r="L122" s="2356"/>
      <c r="M122" s="602"/>
      <c r="N122" s="603"/>
      <c r="O122" s="597">
        <v>77</v>
      </c>
      <c r="P122" s="187"/>
      <c r="Q122" s="188"/>
      <c r="R122" s="188"/>
      <c r="S122" s="188"/>
      <c r="T122" s="188"/>
      <c r="U122" s="188"/>
      <c r="V122" s="188"/>
      <c r="W122" s="188"/>
      <c r="X122" s="189"/>
      <c r="Y122" s="189"/>
      <c r="Z122" s="189"/>
      <c r="AA122" s="189"/>
      <c r="AB122" s="189"/>
      <c r="AC122" s="188"/>
      <c r="AD122" s="309"/>
      <c r="AE122" s="310"/>
      <c r="AF122" s="188"/>
      <c r="AG122" s="188"/>
      <c r="AH122" s="519"/>
      <c r="AI122" s="557"/>
    </row>
    <row r="123" spans="1:35" s="37" customFormat="1" ht="24" customHeight="1">
      <c r="A123" s="36"/>
      <c r="B123" s="36"/>
      <c r="C123" s="1881"/>
      <c r="D123" s="2466"/>
      <c r="E123" s="621"/>
      <c r="F123" s="640"/>
      <c r="G123" s="641"/>
      <c r="H123" s="1882"/>
      <c r="I123" s="1883" t="str">
        <f t="shared" si="8"/>
        <v/>
      </c>
      <c r="J123" s="1983"/>
      <c r="K123" s="1984"/>
      <c r="L123" s="2356"/>
      <c r="M123" s="602"/>
      <c r="N123" s="603"/>
      <c r="O123" s="597"/>
      <c r="P123" s="187"/>
      <c r="Q123" s="188"/>
      <c r="R123" s="188"/>
      <c r="S123" s="188"/>
      <c r="T123" s="188"/>
      <c r="U123" s="188"/>
      <c r="V123" s="188"/>
      <c r="W123" s="188"/>
      <c r="X123" s="189"/>
      <c r="Y123" s="189"/>
      <c r="Z123" s="189"/>
      <c r="AA123" s="189"/>
      <c r="AB123" s="189"/>
      <c r="AC123" s="188"/>
      <c r="AD123" s="309"/>
      <c r="AE123" s="310"/>
      <c r="AF123" s="188"/>
      <c r="AG123" s="188"/>
      <c r="AH123" s="519"/>
      <c r="AI123" s="557"/>
    </row>
    <row r="124" spans="1:35" s="37" customFormat="1" ht="24" customHeight="1">
      <c r="A124" s="36"/>
      <c r="B124" s="36"/>
      <c r="C124" s="1881"/>
      <c r="D124" s="2474"/>
      <c r="E124" s="621"/>
      <c r="F124" s="640"/>
      <c r="G124" s="641"/>
      <c r="H124" s="1882"/>
      <c r="I124" s="1883"/>
      <c r="J124" s="1983"/>
      <c r="K124" s="1984"/>
      <c r="L124" s="2356"/>
      <c r="M124" s="602"/>
      <c r="N124" s="603"/>
      <c r="O124" s="597"/>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1881"/>
      <c r="D125" s="2466"/>
      <c r="E125" s="621"/>
      <c r="F125" s="640"/>
      <c r="G125" s="641"/>
      <c r="H125" s="1882"/>
      <c r="I125" s="1883" t="str">
        <f t="shared" si="8"/>
        <v/>
      </c>
      <c r="J125" s="1983"/>
      <c r="K125" s="1984"/>
      <c r="L125" s="2356"/>
      <c r="M125" s="602"/>
      <c r="N125" s="603"/>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c r="B126" s="36"/>
      <c r="C126" s="1881"/>
      <c r="D126" s="2466"/>
      <c r="E126" s="621"/>
      <c r="F126" s="640"/>
      <c r="G126" s="641"/>
      <c r="H126" s="1882"/>
      <c r="I126" s="1883" t="str">
        <f t="shared" si="8"/>
        <v/>
      </c>
      <c r="J126" s="1983"/>
      <c r="K126" s="1984"/>
      <c r="L126" s="2356"/>
      <c r="M126" s="602"/>
      <c r="N126" s="603"/>
      <c r="O126" s="597"/>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1881"/>
      <c r="D127" s="2466"/>
      <c r="E127" s="621"/>
      <c r="F127" s="640"/>
      <c r="G127" s="641"/>
      <c r="H127" s="1882"/>
      <c r="I127" s="1883" t="str">
        <f t="shared" si="8"/>
        <v/>
      </c>
      <c r="J127" s="1983"/>
      <c r="K127" s="1984"/>
      <c r="L127" s="2356"/>
      <c r="M127" s="602"/>
      <c r="N127" s="603"/>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1881"/>
      <c r="D128" s="2466"/>
      <c r="E128" s="621"/>
      <c r="F128" s="640"/>
      <c r="G128" s="641"/>
      <c r="H128" s="1882"/>
      <c r="I128" s="1883" t="str">
        <f t="shared" si="8"/>
        <v/>
      </c>
      <c r="J128" s="1983"/>
      <c r="K128" s="1984"/>
      <c r="L128" s="2356"/>
      <c r="M128" s="602"/>
      <c r="N128" s="603"/>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466"/>
      <c r="E129" s="621"/>
      <c r="F129" s="640"/>
      <c r="G129" s="641"/>
      <c r="H129" s="1882"/>
      <c r="I129" s="1883" t="str">
        <f t="shared" si="8"/>
        <v/>
      </c>
      <c r="J129" s="1983"/>
      <c r="K129" s="1984"/>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c r="B130" s="36"/>
      <c r="C130" s="1881"/>
      <c r="D130" s="2466"/>
      <c r="E130" s="621"/>
      <c r="F130" s="640"/>
      <c r="G130" s="641"/>
      <c r="H130" s="1882"/>
      <c r="I130" s="1883" t="str">
        <f t="shared" si="8"/>
        <v/>
      </c>
      <c r="J130" s="1983"/>
      <c r="K130" s="1984"/>
      <c r="L130" s="2356"/>
      <c r="M130" s="602"/>
      <c r="N130" s="603"/>
      <c r="O130" s="597"/>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466"/>
      <c r="E131" s="621"/>
      <c r="F131" s="640"/>
      <c r="G131" s="641"/>
      <c r="H131" s="1882"/>
      <c r="I131" s="1883" t="str">
        <f t="shared" si="8"/>
        <v/>
      </c>
      <c r="J131" s="1983"/>
      <c r="K131" s="1984"/>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c r="B132" s="36"/>
      <c r="C132" s="1881"/>
      <c r="D132" s="2466"/>
      <c r="E132" s="621"/>
      <c r="F132" s="640"/>
      <c r="G132" s="641"/>
      <c r="H132" s="1882"/>
      <c r="I132" s="1883" t="str">
        <f t="shared" si="8"/>
        <v/>
      </c>
      <c r="J132" s="1983"/>
      <c r="K132" s="1984"/>
      <c r="L132" s="2356"/>
      <c r="M132" s="602"/>
      <c r="N132" s="603"/>
      <c r="O132" s="597"/>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2466"/>
      <c r="E133" s="621"/>
      <c r="F133" s="640"/>
      <c r="G133" s="641"/>
      <c r="H133" s="1882"/>
      <c r="I133" s="1883" t="str">
        <f t="shared" si="8"/>
        <v/>
      </c>
      <c r="J133" s="1983"/>
      <c r="K133" s="1984"/>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c r="B134" s="36"/>
      <c r="C134" s="1881"/>
      <c r="D134" s="2466"/>
      <c r="E134" s="621"/>
      <c r="F134" s="640"/>
      <c r="G134" s="641"/>
      <c r="H134" s="1882"/>
      <c r="I134" s="1883" t="str">
        <f t="shared" si="8"/>
        <v/>
      </c>
      <c r="J134" s="1983"/>
      <c r="K134" s="1984"/>
      <c r="L134" s="2356"/>
      <c r="M134" s="602"/>
      <c r="N134" s="603"/>
      <c r="O134" s="597"/>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1881"/>
      <c r="D135" s="2466"/>
      <c r="E135" s="621"/>
      <c r="F135" s="640"/>
      <c r="G135" s="641"/>
      <c r="H135" s="1882"/>
      <c r="I135" s="1883" t="str">
        <f t="shared" si="8"/>
        <v/>
      </c>
      <c r="J135" s="1983"/>
      <c r="K135" s="1984"/>
      <c r="L135" s="2356"/>
      <c r="M135" s="602"/>
      <c r="N135" s="603"/>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1881"/>
      <c r="D136" s="2466"/>
      <c r="E136" s="621"/>
      <c r="F136" s="640"/>
      <c r="G136" s="641"/>
      <c r="H136" s="1882"/>
      <c r="I136" s="1883" t="str">
        <f t="shared" si="8"/>
        <v/>
      </c>
      <c r="J136" s="1983"/>
      <c r="K136" s="1984"/>
      <c r="L136" s="2356"/>
      <c r="M136" s="602"/>
      <c r="N136" s="603"/>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2466"/>
      <c r="E137" s="621"/>
      <c r="F137" s="640"/>
      <c r="G137" s="641"/>
      <c r="H137" s="1882"/>
      <c r="I137" s="1883" t="str">
        <f t="shared" si="8"/>
        <v/>
      </c>
      <c r="J137" s="1983"/>
      <c r="K137" s="1984"/>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466"/>
      <c r="E138" s="621"/>
      <c r="F138" s="640"/>
      <c r="G138" s="641"/>
      <c r="H138" s="1882"/>
      <c r="I138" s="1883" t="str">
        <f t="shared" si="8"/>
        <v/>
      </c>
      <c r="J138" s="1983"/>
      <c r="K138" s="1984"/>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070"/>
      <c r="D139" s="2075" t="s">
        <v>4144</v>
      </c>
      <c r="E139" s="2071"/>
      <c r="F139" s="2072"/>
      <c r="G139" s="2453"/>
      <c r="H139" s="2465" t="s">
        <v>4131</v>
      </c>
      <c r="I139" s="2074">
        <f>SUM(I121:I138)</f>
        <v>550996</v>
      </c>
      <c r="J139" s="2467" t="str">
        <f>IF(C120="部分撤去工事","）うち費用",")")</f>
        <v>)</v>
      </c>
      <c r="K139" s="2468">
        <f>IF(C120="部分撤去工事",(K116+L139),0)</f>
        <v>0</v>
      </c>
      <c r="L139" s="2469">
        <f>IF(C120="部分撤去工事",SUMIF(N121:N138,"費用",I121:I138),0)</f>
        <v>0</v>
      </c>
      <c r="M139" s="2470"/>
      <c r="N139" s="2471"/>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51</v>
      </c>
      <c r="G140" s="103" t="s">
        <v>131</v>
      </c>
      <c r="H140" s="104">
        <f>+H117</f>
        <v>69</v>
      </c>
      <c r="I140" s="104"/>
      <c r="M140" s="598" t="str">
        <f>IF(A142="","EOL","")</f>
        <v/>
      </c>
      <c r="N140" s="1">
        <f>+F140</f>
        <v>51</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N141" s="1"/>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4430</v>
      </c>
      <c r="D143" s="2385"/>
      <c r="E143" s="623"/>
      <c r="F143" s="1889"/>
      <c r="G143" s="1890"/>
      <c r="H143" s="2386" t="s">
        <v>117</v>
      </c>
      <c r="I143" s="2386" t="s">
        <v>117</v>
      </c>
      <c r="J143" s="2759"/>
      <c r="K143" s="2788"/>
      <c r="L143" s="2734"/>
      <c r="M143" s="600"/>
      <c r="N143" s="601"/>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1881"/>
      <c r="D144" s="2466"/>
      <c r="E144" s="621"/>
      <c r="F144" s="640"/>
      <c r="G144" s="641"/>
      <c r="H144" s="1882"/>
      <c r="I144" s="1883" t="str">
        <f t="shared" ref="I144:I161" si="9">IF(F144="","",INT(F144*H144))</f>
        <v/>
      </c>
      <c r="J144" s="1983"/>
      <c r="K144" s="1984"/>
      <c r="L144" s="2356"/>
      <c r="M144" s="602"/>
      <c r="N144" s="603"/>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4</v>
      </c>
      <c r="B145" s="36">
        <v>4</v>
      </c>
      <c r="C145" s="1881">
        <v>1800900</v>
      </c>
      <c r="D145" s="1980" t="s">
        <v>4438</v>
      </c>
      <c r="E145" s="621" t="s">
        <v>4439</v>
      </c>
      <c r="F145" s="640">
        <v>64</v>
      </c>
      <c r="G145" s="641" t="s">
        <v>4193</v>
      </c>
      <c r="H145" s="1882">
        <v>290</v>
      </c>
      <c r="I145" s="1883">
        <f>IF(F145="","",INT(F145*H145))</f>
        <v>18560</v>
      </c>
      <c r="J145" s="1983" t="s">
        <v>4440</v>
      </c>
      <c r="K145" s="1984"/>
      <c r="L145" s="2356"/>
      <c r="M145" s="602"/>
      <c r="N145" s="603"/>
      <c r="O145" s="597">
        <v>0.1</v>
      </c>
      <c r="P145" s="187"/>
      <c r="Q145" s="188"/>
      <c r="R145" s="188"/>
      <c r="S145" s="188"/>
      <c r="T145" s="188"/>
      <c r="U145" s="188"/>
      <c r="V145" s="188"/>
      <c r="W145" s="188"/>
      <c r="X145" s="189"/>
      <c r="Y145" s="189"/>
      <c r="Z145" s="189"/>
      <c r="AA145" s="189"/>
      <c r="AB145" s="189"/>
      <c r="AC145" s="188"/>
      <c r="AD145" s="309"/>
      <c r="AE145" s="310"/>
      <c r="AF145" s="188"/>
      <c r="AG145" s="188"/>
      <c r="AH145" s="519"/>
      <c r="AI145" s="557"/>
    </row>
    <row r="146" spans="1:35" s="37" customFormat="1" ht="24" customHeight="1">
      <c r="A146" s="36">
        <v>3</v>
      </c>
      <c r="B146" s="36">
        <v>3</v>
      </c>
      <c r="C146" s="1881">
        <v>1800900</v>
      </c>
      <c r="D146" s="1980" t="s">
        <v>4438</v>
      </c>
      <c r="E146" s="621" t="s">
        <v>4439</v>
      </c>
      <c r="F146" s="640">
        <v>31</v>
      </c>
      <c r="G146" s="641" t="s">
        <v>4193</v>
      </c>
      <c r="H146" s="1882">
        <v>210</v>
      </c>
      <c r="I146" s="1883">
        <f>IF(F146="","",INT(F146*H146))</f>
        <v>6510</v>
      </c>
      <c r="J146" s="1983" t="s">
        <v>4440</v>
      </c>
      <c r="K146" s="1984"/>
      <c r="L146" s="2356"/>
      <c r="M146" s="602"/>
      <c r="N146" s="603"/>
      <c r="O146" s="597">
        <v>0.1</v>
      </c>
      <c r="P146" s="187"/>
      <c r="Q146" s="188"/>
      <c r="R146" s="188"/>
      <c r="S146" s="188"/>
      <c r="T146" s="188"/>
      <c r="U146" s="188"/>
      <c r="V146" s="188"/>
      <c r="W146" s="188"/>
      <c r="X146" s="189"/>
      <c r="Y146" s="189"/>
      <c r="Z146" s="189"/>
      <c r="AA146" s="189"/>
      <c r="AB146" s="189"/>
      <c r="AC146" s="188"/>
      <c r="AD146" s="309"/>
      <c r="AE146" s="310"/>
      <c r="AF146" s="188"/>
      <c r="AG146" s="188"/>
      <c r="AH146" s="519"/>
      <c r="AI146" s="557"/>
    </row>
    <row r="147" spans="1:35" s="37" customFormat="1" ht="24" customHeight="1">
      <c r="A147" s="36"/>
      <c r="B147" s="36"/>
      <c r="C147" s="1881"/>
      <c r="D147" s="2466"/>
      <c r="E147" s="621"/>
      <c r="F147" s="640"/>
      <c r="G147" s="641"/>
      <c r="H147" s="1882"/>
      <c r="I147" s="1883" t="str">
        <f t="shared" ref="I147:I151" si="10">IF(F147="","",INT(F147*H147))</f>
        <v/>
      </c>
      <c r="J147" s="1983"/>
      <c r="K147" s="1984"/>
      <c r="L147" s="2356"/>
      <c r="M147" s="602"/>
      <c r="N147" s="603"/>
      <c r="O147" s="597"/>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v>4</v>
      </c>
      <c r="B148" s="36">
        <v>4</v>
      </c>
      <c r="C148" s="1881">
        <v>1840401</v>
      </c>
      <c r="D148" s="1980" t="s">
        <v>4441</v>
      </c>
      <c r="E148" s="621" t="s">
        <v>4442</v>
      </c>
      <c r="F148" s="640">
        <v>64</v>
      </c>
      <c r="G148" s="641" t="s">
        <v>4193</v>
      </c>
      <c r="H148" s="1882">
        <v>1630</v>
      </c>
      <c r="I148" s="1883">
        <f>IF(F148="","",INT(F148*H148))</f>
        <v>104320</v>
      </c>
      <c r="J148" s="1983" t="s">
        <v>4443</v>
      </c>
      <c r="K148" s="1984"/>
      <c r="L148" s="2356"/>
      <c r="M148" s="602"/>
      <c r="N148" s="603"/>
      <c r="O148" s="597">
        <v>0.3</v>
      </c>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v>3</v>
      </c>
      <c r="B149" s="36">
        <v>3</v>
      </c>
      <c r="C149" s="1881">
        <v>1840401</v>
      </c>
      <c r="D149" s="1980" t="s">
        <v>4441</v>
      </c>
      <c r="E149" s="621" t="s">
        <v>4442</v>
      </c>
      <c r="F149" s="640">
        <v>31</v>
      </c>
      <c r="G149" s="641" t="s">
        <v>4193</v>
      </c>
      <c r="H149" s="1882">
        <v>1230</v>
      </c>
      <c r="I149" s="1883">
        <f>IF(F149="","",INT(F149*H149))</f>
        <v>38130</v>
      </c>
      <c r="J149" s="1983" t="s">
        <v>4443</v>
      </c>
      <c r="K149" s="1984"/>
      <c r="L149" s="2356"/>
      <c r="M149" s="602"/>
      <c r="N149" s="603"/>
      <c r="O149" s="597">
        <v>0.3</v>
      </c>
      <c r="P149" s="187"/>
      <c r="Q149" s="188"/>
      <c r="R149" s="188"/>
      <c r="S149" s="188"/>
      <c r="T149" s="188"/>
      <c r="U149" s="188"/>
      <c r="V149" s="188"/>
      <c r="W149" s="188"/>
      <c r="X149" s="189"/>
      <c r="Y149" s="189"/>
      <c r="Z149" s="189"/>
      <c r="AA149" s="189"/>
      <c r="AB149" s="189"/>
      <c r="AC149" s="188"/>
      <c r="AD149" s="309"/>
      <c r="AE149" s="310"/>
      <c r="AF149" s="188"/>
      <c r="AG149" s="188"/>
      <c r="AH149" s="519"/>
      <c r="AI149" s="557"/>
    </row>
    <row r="150" spans="1:35" s="37" customFormat="1" ht="24" customHeight="1">
      <c r="A150" s="36"/>
      <c r="B150" s="36"/>
      <c r="C150" s="1881"/>
      <c r="D150" s="2466"/>
      <c r="E150" s="621"/>
      <c r="F150" s="640"/>
      <c r="G150" s="641"/>
      <c r="H150" s="1882"/>
      <c r="I150" s="1883" t="str">
        <f t="shared" si="10"/>
        <v/>
      </c>
      <c r="J150" s="1983"/>
      <c r="K150" s="1984"/>
      <c r="L150" s="2356"/>
      <c r="M150" s="602"/>
      <c r="N150" s="603"/>
      <c r="O150" s="597"/>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c r="B151" s="36"/>
      <c r="C151" s="1881"/>
      <c r="D151" s="2466"/>
      <c r="E151" s="621"/>
      <c r="F151" s="640"/>
      <c r="G151" s="641"/>
      <c r="H151" s="1882"/>
      <c r="I151" s="1883" t="str">
        <f t="shared" si="10"/>
        <v/>
      </c>
      <c r="J151" s="1983"/>
      <c r="K151" s="1984"/>
      <c r="L151" s="2356"/>
      <c r="M151" s="602"/>
      <c r="N151" s="603"/>
      <c r="O151" s="597"/>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c r="B152" s="36"/>
      <c r="C152" s="1881"/>
      <c r="D152" s="2466"/>
      <c r="E152" s="621"/>
      <c r="F152" s="640"/>
      <c r="G152" s="641"/>
      <c r="H152" s="1882"/>
      <c r="I152" s="1883" t="str">
        <f t="shared" si="9"/>
        <v/>
      </c>
      <c r="J152" s="1983"/>
      <c r="K152" s="1984"/>
      <c r="L152" s="2356"/>
      <c r="M152" s="602"/>
      <c r="N152" s="603"/>
      <c r="O152" s="597"/>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1881"/>
      <c r="D153" s="2466"/>
      <c r="E153" s="621"/>
      <c r="F153" s="640"/>
      <c r="G153" s="641"/>
      <c r="H153" s="1882"/>
      <c r="I153" s="1883" t="str">
        <f t="shared" si="9"/>
        <v/>
      </c>
      <c r="J153" s="1983"/>
      <c r="K153" s="1984"/>
      <c r="L153" s="2356"/>
      <c r="M153" s="602"/>
      <c r="N153" s="603"/>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c r="B154" s="36"/>
      <c r="C154" s="1881"/>
      <c r="D154" s="2466"/>
      <c r="E154" s="621"/>
      <c r="F154" s="640"/>
      <c r="G154" s="641"/>
      <c r="H154" s="1882"/>
      <c r="I154" s="1883" t="str">
        <f t="shared" si="9"/>
        <v/>
      </c>
      <c r="J154" s="1983"/>
      <c r="K154" s="1984"/>
      <c r="L154" s="2356"/>
      <c r="M154" s="602"/>
      <c r="N154" s="603"/>
      <c r="O154" s="597"/>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c r="B155" s="36"/>
      <c r="C155" s="1881"/>
      <c r="D155" s="2466"/>
      <c r="E155" s="621"/>
      <c r="F155" s="640"/>
      <c r="G155" s="641"/>
      <c r="H155" s="1882"/>
      <c r="I155" s="1883" t="str">
        <f t="shared" si="9"/>
        <v/>
      </c>
      <c r="J155" s="1983"/>
      <c r="K155" s="1984"/>
      <c r="L155" s="2356"/>
      <c r="M155" s="602"/>
      <c r="N155" s="603"/>
      <c r="O155" s="597"/>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c r="B156" s="36"/>
      <c r="C156" s="1881"/>
      <c r="D156" s="2466"/>
      <c r="E156" s="621"/>
      <c r="F156" s="640"/>
      <c r="G156" s="641"/>
      <c r="H156" s="1882"/>
      <c r="I156" s="1883" t="str">
        <f t="shared" si="9"/>
        <v/>
      </c>
      <c r="J156" s="1983"/>
      <c r="K156" s="1984"/>
      <c r="L156" s="2356"/>
      <c r="M156" s="602"/>
      <c r="N156" s="603"/>
      <c r="O156" s="597"/>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c r="B157" s="36"/>
      <c r="C157" s="1881"/>
      <c r="D157" s="2466"/>
      <c r="E157" s="621"/>
      <c r="F157" s="640"/>
      <c r="G157" s="641"/>
      <c r="H157" s="1882"/>
      <c r="I157" s="1883" t="str">
        <f t="shared" si="9"/>
        <v/>
      </c>
      <c r="J157" s="1983"/>
      <c r="K157" s="1984"/>
      <c r="L157" s="2356"/>
      <c r="M157" s="602"/>
      <c r="N157" s="603"/>
      <c r="O157" s="597"/>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1881"/>
      <c r="D158" s="2466"/>
      <c r="E158" s="621"/>
      <c r="F158" s="640"/>
      <c r="G158" s="641"/>
      <c r="H158" s="1882"/>
      <c r="I158" s="1883" t="str">
        <f t="shared" si="9"/>
        <v/>
      </c>
      <c r="J158" s="1983"/>
      <c r="K158" s="1984"/>
      <c r="L158" s="2356"/>
      <c r="M158" s="602"/>
      <c r="N158" s="603"/>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1881"/>
      <c r="D159" s="2466"/>
      <c r="E159" s="621"/>
      <c r="F159" s="640"/>
      <c r="G159" s="641"/>
      <c r="H159" s="1882"/>
      <c r="I159" s="1883" t="str">
        <f t="shared" si="9"/>
        <v/>
      </c>
      <c r="J159" s="1983"/>
      <c r="K159" s="1984"/>
      <c r="L159" s="2356"/>
      <c r="M159" s="602"/>
      <c r="N159" s="603"/>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1881"/>
      <c r="D160" s="2466"/>
      <c r="E160" s="621"/>
      <c r="F160" s="640"/>
      <c r="G160" s="641"/>
      <c r="H160" s="1882"/>
      <c r="I160" s="1883" t="str">
        <f t="shared" si="9"/>
        <v/>
      </c>
      <c r="J160" s="1983"/>
      <c r="K160" s="1984"/>
      <c r="L160" s="2356"/>
      <c r="M160" s="602"/>
      <c r="N160" s="603"/>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1881"/>
      <c r="D161" s="2466"/>
      <c r="E161" s="621"/>
      <c r="F161" s="640"/>
      <c r="G161" s="641"/>
      <c r="H161" s="1882"/>
      <c r="I161" s="1883" t="str">
        <f t="shared" si="9"/>
        <v/>
      </c>
      <c r="J161" s="1983"/>
      <c r="K161" s="1984"/>
      <c r="L161" s="2356"/>
      <c r="M161" s="602"/>
      <c r="N161" s="603"/>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070"/>
      <c r="D162" s="2075" t="s">
        <v>4144</v>
      </c>
      <c r="E162" s="2071"/>
      <c r="F162" s="2072"/>
      <c r="G162" s="2453"/>
      <c r="H162" s="2465" t="s">
        <v>4131</v>
      </c>
      <c r="I162" s="2074">
        <f>SUM(I144:I161)</f>
        <v>167520</v>
      </c>
      <c r="J162" s="2467" t="str">
        <f>IF(C143="部分撤去工事","）うち費用",")")</f>
        <v>)</v>
      </c>
      <c r="K162" s="2468">
        <f>IF(C143="部分撤去工事",(K139+L162),0)</f>
        <v>0</v>
      </c>
      <c r="L162" s="2469">
        <f>IF(C143="部分撤去工事",SUMIF(N144:N161,"費用",I144:I161),0)</f>
        <v>0</v>
      </c>
      <c r="M162" s="2470"/>
      <c r="N162" s="2471"/>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52</v>
      </c>
      <c r="G163" s="103" t="s">
        <v>131</v>
      </c>
      <c r="H163" s="104">
        <f>+H140</f>
        <v>69</v>
      </c>
      <c r="I163" s="104"/>
      <c r="M163" s="598" t="str">
        <f>IF(A165="","EOL","")</f>
        <v/>
      </c>
      <c r="N163" s="1">
        <f>+F163</f>
        <v>52</v>
      </c>
      <c r="Q163" s="37"/>
      <c r="R163" s="37"/>
      <c r="S163" s="37"/>
      <c r="T163" s="37"/>
      <c r="U163" s="37"/>
      <c r="V163" s="37"/>
      <c r="W163" s="37"/>
      <c r="X163" s="37"/>
      <c r="Y163" s="37"/>
      <c r="Z163" s="37"/>
    </row>
    <row r="164" spans="1:35" ht="26.1" customHeight="1" thickBot="1">
      <c r="C164" s="2517" t="s">
        <v>107</v>
      </c>
      <c r="D164" s="2517"/>
      <c r="E164" s="2517"/>
      <c r="F164" s="2517"/>
      <c r="G164" s="2517"/>
      <c r="H164" s="2517"/>
      <c r="I164" s="2517"/>
      <c r="J164" s="2517"/>
      <c r="K164" s="2517"/>
      <c r="L164" s="2517"/>
      <c r="N164" s="1"/>
      <c r="O164" s="2730" t="s">
        <v>4098</v>
      </c>
      <c r="P164" s="2730"/>
      <c r="Q164" s="2730"/>
      <c r="R164" s="2730"/>
      <c r="S164" s="2730"/>
      <c r="T164" s="2730"/>
      <c r="U164" s="2730"/>
      <c r="V164" s="2730"/>
      <c r="W164" s="2730"/>
      <c r="X164" s="2730"/>
      <c r="Y164" s="2730"/>
      <c r="Z164" s="2730"/>
      <c r="AA164" s="2730"/>
      <c r="AB164" s="2730"/>
      <c r="AC164" s="2730"/>
      <c r="AD164" s="2730"/>
      <c r="AE164" s="2730"/>
      <c r="AF164" s="2730"/>
      <c r="AG164" s="2730"/>
      <c r="AH164" s="2731"/>
      <c r="AI164" s="555"/>
    </row>
    <row r="165" spans="1:35" ht="41.25" customHeight="1">
      <c r="A165" s="5" t="s">
        <v>108</v>
      </c>
      <c r="B165" s="5" t="s">
        <v>4145</v>
      </c>
      <c r="C165" s="99" t="s">
        <v>110</v>
      </c>
      <c r="D165" s="95"/>
      <c r="E165" s="96" t="s">
        <v>111</v>
      </c>
      <c r="F165" s="97" t="s">
        <v>112</v>
      </c>
      <c r="G165" s="97" t="s">
        <v>113</v>
      </c>
      <c r="H165" s="98" t="s">
        <v>114</v>
      </c>
      <c r="I165" s="98" t="s">
        <v>115</v>
      </c>
      <c r="J165" s="2552" t="s">
        <v>116</v>
      </c>
      <c r="K165" s="2553"/>
      <c r="L165" s="2554"/>
      <c r="M165" s="599"/>
      <c r="N165" s="604" t="s">
        <v>4154</v>
      </c>
      <c r="O165" s="596" t="s">
        <v>4099</v>
      </c>
      <c r="P165" s="303" t="s">
        <v>4100</v>
      </c>
      <c r="Q165" s="241" t="s">
        <v>4101</v>
      </c>
      <c r="R165" s="241" t="s">
        <v>4102</v>
      </c>
      <c r="S165" s="241" t="s">
        <v>4103</v>
      </c>
      <c r="T165" s="241" t="s">
        <v>4104</v>
      </c>
      <c r="U165" s="241" t="s">
        <v>4105</v>
      </c>
      <c r="V165" s="125" t="s">
        <v>4106</v>
      </c>
      <c r="W165" s="241" t="s">
        <v>4107</v>
      </c>
      <c r="X165" s="180" t="s">
        <v>4108</v>
      </c>
      <c r="Y165" s="180" t="s">
        <v>4109</v>
      </c>
      <c r="Z165" s="180" t="s">
        <v>4110</v>
      </c>
      <c r="AA165" s="180" t="s">
        <v>4111</v>
      </c>
      <c r="AB165" s="180" t="s">
        <v>4112</v>
      </c>
      <c r="AC165" s="306" t="s">
        <v>4113</v>
      </c>
      <c r="AD165" s="307" t="s">
        <v>4114</v>
      </c>
      <c r="AE165" s="308" t="s">
        <v>4115</v>
      </c>
      <c r="AF165" s="124" t="s">
        <v>4116</v>
      </c>
      <c r="AG165" s="124" t="s">
        <v>4117</v>
      </c>
      <c r="AH165" s="124" t="s">
        <v>4118</v>
      </c>
      <c r="AI165" s="556"/>
    </row>
    <row r="166" spans="1:35" ht="24" customHeight="1">
      <c r="A166" s="36"/>
      <c r="B166" s="36"/>
      <c r="C166" s="2370" t="s">
        <v>4124</v>
      </c>
      <c r="D166" s="2385"/>
      <c r="E166" s="623"/>
      <c r="F166" s="1889"/>
      <c r="G166" s="1890"/>
      <c r="H166" s="2386" t="s">
        <v>117</v>
      </c>
      <c r="I166" s="2386" t="s">
        <v>117</v>
      </c>
      <c r="J166" s="2759"/>
      <c r="K166" s="2788"/>
      <c r="L166" s="2734"/>
      <c r="M166" s="600"/>
      <c r="N166" s="601"/>
      <c r="O166" s="597"/>
      <c r="P166" s="187"/>
      <c r="Q166" s="188"/>
      <c r="R166" s="188"/>
      <c r="S166" s="188"/>
      <c r="T166" s="188"/>
      <c r="U166" s="188"/>
      <c r="V166" s="188"/>
      <c r="W166" s="188"/>
      <c r="X166" s="189"/>
      <c r="Y166" s="189"/>
      <c r="Z166" s="189"/>
      <c r="AA166" s="189"/>
      <c r="AB166" s="189"/>
      <c r="AC166" s="188"/>
      <c r="AD166" s="309"/>
      <c r="AE166" s="310"/>
      <c r="AF166" s="188"/>
      <c r="AG166" s="188"/>
      <c r="AH166" s="188"/>
      <c r="AI166" s="557"/>
    </row>
    <row r="167" spans="1:35" s="37" customFormat="1" ht="24" customHeight="1">
      <c r="A167" s="36"/>
      <c r="B167" s="36"/>
      <c r="C167" s="1881"/>
      <c r="D167" s="2466"/>
      <c r="E167" s="621"/>
      <c r="F167" s="640"/>
      <c r="G167" s="641"/>
      <c r="H167" s="1882"/>
      <c r="I167" s="1883" t="str">
        <f t="shared" ref="I167:I184" si="11">IF(F167="","",INT(F167*H167))</f>
        <v/>
      </c>
      <c r="J167" s="1983"/>
      <c r="K167" s="1984"/>
      <c r="L167" s="2356"/>
      <c r="M167" s="602"/>
      <c r="N167" s="603"/>
      <c r="O167" s="597"/>
      <c r="P167" s="187"/>
      <c r="Q167" s="188"/>
      <c r="R167" s="188"/>
      <c r="S167" s="188"/>
      <c r="T167" s="188"/>
      <c r="U167" s="188"/>
      <c r="V167" s="188"/>
      <c r="W167" s="188"/>
      <c r="X167" s="189"/>
      <c r="Y167" s="189"/>
      <c r="Z167" s="189"/>
      <c r="AA167" s="189"/>
      <c r="AB167" s="189"/>
      <c r="AC167" s="188"/>
      <c r="AD167" s="309"/>
      <c r="AE167" s="310"/>
      <c r="AF167" s="188"/>
      <c r="AG167" s="188"/>
      <c r="AH167" s="519"/>
      <c r="AI167" s="557"/>
    </row>
    <row r="168" spans="1:35" s="37" customFormat="1" ht="24" customHeight="1">
      <c r="A168" s="36">
        <v>3</v>
      </c>
      <c r="B168" s="36">
        <v>3</v>
      </c>
      <c r="C168" s="1881">
        <v>19014</v>
      </c>
      <c r="D168" s="1980" t="s">
        <v>4444</v>
      </c>
      <c r="E168" s="621" t="s">
        <v>4445</v>
      </c>
      <c r="F168" s="640">
        <v>7.3</v>
      </c>
      <c r="G168" s="641" t="s">
        <v>4193</v>
      </c>
      <c r="H168" s="1882">
        <v>3810</v>
      </c>
      <c r="I168" s="1883">
        <f>IF(F168="","",INT(F168*H168))</f>
        <v>27813</v>
      </c>
      <c r="J168" s="1983" t="s">
        <v>4446</v>
      </c>
      <c r="K168" s="1984"/>
      <c r="L168" s="2356"/>
      <c r="M168" s="602"/>
      <c r="N168" s="603"/>
      <c r="O168" s="597">
        <v>13</v>
      </c>
      <c r="P168" s="187"/>
      <c r="Q168" s="188"/>
      <c r="R168" s="188"/>
      <c r="S168" s="188"/>
      <c r="T168" s="188"/>
      <c r="U168" s="188"/>
      <c r="V168" s="188"/>
      <c r="W168" s="188"/>
      <c r="X168" s="189"/>
      <c r="Y168" s="189"/>
      <c r="Z168" s="189"/>
      <c r="AA168" s="189"/>
      <c r="AB168" s="189"/>
      <c r="AC168" s="188"/>
      <c r="AD168" s="309"/>
      <c r="AE168" s="310"/>
      <c r="AF168" s="188"/>
      <c r="AG168" s="188"/>
      <c r="AH168" s="519"/>
      <c r="AI168" s="557"/>
    </row>
    <row r="169" spans="1:35" s="37" customFormat="1" ht="24" customHeight="1">
      <c r="A169" s="36"/>
      <c r="B169" s="36"/>
      <c r="C169" s="1881"/>
      <c r="D169" s="2466"/>
      <c r="E169" s="621"/>
      <c r="F169" s="640"/>
      <c r="G169" s="641"/>
      <c r="H169" s="1882"/>
      <c r="I169" s="1883" t="str">
        <f t="shared" ref="I169:I174" si="12">IF(F169="","",INT(F169*H169))</f>
        <v/>
      </c>
      <c r="J169" s="1983"/>
      <c r="K169" s="1984"/>
      <c r="L169" s="2356"/>
      <c r="M169" s="602"/>
      <c r="N169" s="603"/>
      <c r="O169" s="597"/>
      <c r="P169" s="187"/>
      <c r="Q169" s="188"/>
      <c r="R169" s="188"/>
      <c r="S169" s="188"/>
      <c r="T169" s="188"/>
      <c r="U169" s="188"/>
      <c r="V169" s="188"/>
      <c r="W169" s="188"/>
      <c r="X169" s="189"/>
      <c r="Y169" s="189"/>
      <c r="Z169" s="189"/>
      <c r="AA169" s="189"/>
      <c r="AB169" s="189"/>
      <c r="AC169" s="188"/>
      <c r="AD169" s="309"/>
      <c r="AE169" s="310"/>
      <c r="AF169" s="188"/>
      <c r="AG169" s="188"/>
      <c r="AH169" s="519"/>
      <c r="AI169" s="557"/>
    </row>
    <row r="170" spans="1:35" s="37" customFormat="1" ht="24" customHeight="1">
      <c r="A170" s="36">
        <v>4</v>
      </c>
      <c r="B170" s="36">
        <v>4</v>
      </c>
      <c r="C170" s="1881">
        <v>19015</v>
      </c>
      <c r="D170" s="1980" t="s">
        <v>4195</v>
      </c>
      <c r="E170" s="621" t="s">
        <v>4198</v>
      </c>
      <c r="F170" s="640">
        <v>64</v>
      </c>
      <c r="G170" s="641" t="s">
        <v>4193</v>
      </c>
      <c r="H170" s="1882">
        <v>6980</v>
      </c>
      <c r="I170" s="1883">
        <f>IF(F170="","",INT(F170*H170))</f>
        <v>446720</v>
      </c>
      <c r="J170" s="1983" t="s">
        <v>4199</v>
      </c>
      <c r="K170" s="1984"/>
      <c r="L170" s="2356"/>
      <c r="M170" s="602"/>
      <c r="N170" s="603"/>
      <c r="O170" s="597">
        <v>7</v>
      </c>
      <c r="P170" s="187"/>
      <c r="Q170" s="188"/>
      <c r="R170" s="188"/>
      <c r="S170" s="188"/>
      <c r="T170" s="188"/>
      <c r="U170" s="188"/>
      <c r="V170" s="188"/>
      <c r="W170" s="188"/>
      <c r="X170" s="189"/>
      <c r="Y170" s="189"/>
      <c r="Z170" s="189"/>
      <c r="AA170" s="189"/>
      <c r="AB170" s="189"/>
      <c r="AC170" s="188"/>
      <c r="AD170" s="309"/>
      <c r="AE170" s="310"/>
      <c r="AF170" s="188"/>
      <c r="AG170" s="188"/>
      <c r="AH170" s="519"/>
      <c r="AI170" s="557"/>
    </row>
    <row r="171" spans="1:35" s="37" customFormat="1" ht="24" customHeight="1">
      <c r="A171" s="36">
        <v>3</v>
      </c>
      <c r="B171" s="36">
        <v>3</v>
      </c>
      <c r="C171" s="1881">
        <v>19015</v>
      </c>
      <c r="D171" s="1980" t="s">
        <v>4195</v>
      </c>
      <c r="E171" s="621" t="s">
        <v>4198</v>
      </c>
      <c r="F171" s="640">
        <v>31</v>
      </c>
      <c r="G171" s="641" t="s">
        <v>4193</v>
      </c>
      <c r="H171" s="1882">
        <v>5690</v>
      </c>
      <c r="I171" s="1883">
        <f>IF(F171="","",INT(F171*H171))</f>
        <v>176390</v>
      </c>
      <c r="J171" s="1983" t="s">
        <v>4199</v>
      </c>
      <c r="K171" s="1984"/>
      <c r="L171" s="2356"/>
      <c r="M171" s="602"/>
      <c r="N171" s="603"/>
      <c r="O171" s="597">
        <v>7</v>
      </c>
      <c r="P171" s="187"/>
      <c r="Q171" s="188"/>
      <c r="R171" s="188"/>
      <c r="S171" s="188"/>
      <c r="T171" s="188"/>
      <c r="U171" s="188"/>
      <c r="V171" s="188"/>
      <c r="W171" s="188"/>
      <c r="X171" s="189"/>
      <c r="Y171" s="189"/>
      <c r="Z171" s="189"/>
      <c r="AA171" s="189"/>
      <c r="AB171" s="189"/>
      <c r="AC171" s="188"/>
      <c r="AD171" s="309"/>
      <c r="AE171" s="310"/>
      <c r="AF171" s="188"/>
      <c r="AG171" s="188"/>
      <c r="AH171" s="519"/>
      <c r="AI171" s="557"/>
    </row>
    <row r="172" spans="1:35" s="37" customFormat="1" ht="24" customHeight="1">
      <c r="A172" s="36"/>
      <c r="B172" s="36"/>
      <c r="C172" s="1881"/>
      <c r="D172" s="2466"/>
      <c r="E172" s="621"/>
      <c r="F172" s="640"/>
      <c r="G172" s="641"/>
      <c r="H172" s="1882"/>
      <c r="I172" s="1883" t="str">
        <f t="shared" si="12"/>
        <v/>
      </c>
      <c r="J172" s="1983"/>
      <c r="K172" s="1984"/>
      <c r="L172" s="2356"/>
      <c r="M172" s="602"/>
      <c r="N172" s="603"/>
      <c r="O172" s="597"/>
      <c r="P172" s="187"/>
      <c r="Q172" s="188"/>
      <c r="R172" s="188"/>
      <c r="S172" s="188"/>
      <c r="T172" s="188"/>
      <c r="U172" s="188"/>
      <c r="V172" s="188"/>
      <c r="W172" s="188"/>
      <c r="X172" s="189"/>
      <c r="Y172" s="189"/>
      <c r="Z172" s="189"/>
      <c r="AA172" s="189"/>
      <c r="AB172" s="189"/>
      <c r="AC172" s="188"/>
      <c r="AD172" s="309"/>
      <c r="AE172" s="310"/>
      <c r="AF172" s="188"/>
      <c r="AG172" s="188"/>
      <c r="AH172" s="519"/>
      <c r="AI172" s="557"/>
    </row>
    <row r="173" spans="1:35" s="37" customFormat="1" ht="24" customHeight="1">
      <c r="A173" s="36"/>
      <c r="B173" s="36"/>
      <c r="C173" s="1881"/>
      <c r="D173" s="2466"/>
      <c r="E173" s="621"/>
      <c r="F173" s="640"/>
      <c r="G173" s="641"/>
      <c r="H173" s="1882"/>
      <c r="I173" s="1883" t="str">
        <f t="shared" si="12"/>
        <v/>
      </c>
      <c r="J173" s="1983"/>
      <c r="K173" s="1984"/>
      <c r="L173" s="2356"/>
      <c r="M173" s="602"/>
      <c r="N173" s="603"/>
      <c r="O173" s="597"/>
      <c r="P173" s="187"/>
      <c r="Q173" s="188"/>
      <c r="R173" s="188"/>
      <c r="S173" s="188"/>
      <c r="T173" s="188"/>
      <c r="U173" s="188"/>
      <c r="V173" s="188"/>
      <c r="W173" s="188"/>
      <c r="X173" s="189"/>
      <c r="Y173" s="189"/>
      <c r="Z173" s="189"/>
      <c r="AA173" s="189"/>
      <c r="AB173" s="189"/>
      <c r="AC173" s="188"/>
      <c r="AD173" s="309"/>
      <c r="AE173" s="310"/>
      <c r="AF173" s="188"/>
      <c r="AG173" s="188"/>
      <c r="AH173" s="519"/>
      <c r="AI173" s="557"/>
    </row>
    <row r="174" spans="1:35" s="37" customFormat="1" ht="24" customHeight="1">
      <c r="A174" s="36"/>
      <c r="B174" s="36"/>
      <c r="C174" s="1881"/>
      <c r="D174" s="2466"/>
      <c r="E174" s="621"/>
      <c r="F174" s="640"/>
      <c r="G174" s="641"/>
      <c r="H174" s="1882"/>
      <c r="I174" s="1883" t="str">
        <f t="shared" si="12"/>
        <v/>
      </c>
      <c r="J174" s="1983"/>
      <c r="K174" s="1984"/>
      <c r="L174" s="2356"/>
      <c r="M174" s="602"/>
      <c r="N174" s="603"/>
      <c r="O174" s="597"/>
      <c r="P174" s="187"/>
      <c r="Q174" s="188"/>
      <c r="R174" s="188"/>
      <c r="S174" s="188"/>
      <c r="T174" s="188"/>
      <c r="U174" s="188"/>
      <c r="V174" s="188"/>
      <c r="W174" s="188"/>
      <c r="X174" s="189"/>
      <c r="Y174" s="189"/>
      <c r="Z174" s="189"/>
      <c r="AA174" s="189"/>
      <c r="AB174" s="189"/>
      <c r="AC174" s="188"/>
      <c r="AD174" s="309"/>
      <c r="AE174" s="310"/>
      <c r="AF174" s="188"/>
      <c r="AG174" s="188"/>
      <c r="AH174" s="519"/>
      <c r="AI174" s="557"/>
    </row>
    <row r="175" spans="1:35" s="37" customFormat="1" ht="24" customHeight="1">
      <c r="A175" s="36"/>
      <c r="B175" s="36"/>
      <c r="C175" s="1881"/>
      <c r="D175" s="2466"/>
      <c r="E175" s="621"/>
      <c r="F175" s="640"/>
      <c r="G175" s="641"/>
      <c r="H175" s="1882"/>
      <c r="I175" s="1883" t="str">
        <f t="shared" si="11"/>
        <v/>
      </c>
      <c r="J175" s="1983"/>
      <c r="K175" s="1984"/>
      <c r="L175" s="2356"/>
      <c r="M175" s="602"/>
      <c r="N175" s="603"/>
      <c r="O175" s="597"/>
      <c r="P175" s="187"/>
      <c r="Q175" s="188"/>
      <c r="R175" s="188"/>
      <c r="S175" s="188"/>
      <c r="T175" s="188"/>
      <c r="U175" s="188"/>
      <c r="V175" s="188"/>
      <c r="W175" s="188"/>
      <c r="X175" s="189"/>
      <c r="Y175" s="189"/>
      <c r="Z175" s="189"/>
      <c r="AA175" s="189"/>
      <c r="AB175" s="189"/>
      <c r="AC175" s="188"/>
      <c r="AD175" s="309"/>
      <c r="AE175" s="310"/>
      <c r="AF175" s="188"/>
      <c r="AG175" s="188"/>
      <c r="AH175" s="519"/>
      <c r="AI175" s="557"/>
    </row>
    <row r="176" spans="1:35" s="37" customFormat="1" ht="24" customHeight="1">
      <c r="A176" s="36"/>
      <c r="B176" s="36"/>
      <c r="C176" s="1881"/>
      <c r="D176" s="2466"/>
      <c r="E176" s="621"/>
      <c r="F176" s="640"/>
      <c r="G176" s="641"/>
      <c r="H176" s="1882"/>
      <c r="I176" s="1883" t="str">
        <f t="shared" si="11"/>
        <v/>
      </c>
      <c r="J176" s="1983"/>
      <c r="K176" s="1984"/>
      <c r="L176" s="2356"/>
      <c r="M176" s="602"/>
      <c r="N176" s="603"/>
      <c r="O176" s="597"/>
      <c r="P176" s="187"/>
      <c r="Q176" s="188"/>
      <c r="R176" s="188"/>
      <c r="S176" s="188"/>
      <c r="T176" s="188"/>
      <c r="U176" s="188"/>
      <c r="V176" s="188"/>
      <c r="W176" s="188"/>
      <c r="X176" s="189"/>
      <c r="Y176" s="189"/>
      <c r="Z176" s="189"/>
      <c r="AA176" s="189"/>
      <c r="AB176" s="189"/>
      <c r="AC176" s="188"/>
      <c r="AD176" s="309"/>
      <c r="AE176" s="310"/>
      <c r="AF176" s="188"/>
      <c r="AG176" s="188"/>
      <c r="AH176" s="519"/>
      <c r="AI176" s="557"/>
    </row>
    <row r="177" spans="1:35" s="37" customFormat="1" ht="24" customHeight="1">
      <c r="A177" s="36"/>
      <c r="B177" s="36"/>
      <c r="C177" s="1881"/>
      <c r="D177" s="2466"/>
      <c r="E177" s="621"/>
      <c r="F177" s="640"/>
      <c r="G177" s="641"/>
      <c r="H177" s="1882"/>
      <c r="I177" s="1883" t="str">
        <f t="shared" si="11"/>
        <v/>
      </c>
      <c r="J177" s="1983"/>
      <c r="K177" s="1984"/>
      <c r="L177" s="2356"/>
      <c r="M177" s="602"/>
      <c r="N177" s="603"/>
      <c r="O177" s="597"/>
      <c r="P177" s="187"/>
      <c r="Q177" s="188"/>
      <c r="R177" s="188"/>
      <c r="S177" s="188"/>
      <c r="T177" s="188"/>
      <c r="U177" s="188"/>
      <c r="V177" s="188"/>
      <c r="W177" s="188"/>
      <c r="X177" s="189"/>
      <c r="Y177" s="189"/>
      <c r="Z177" s="189"/>
      <c r="AA177" s="189"/>
      <c r="AB177" s="189"/>
      <c r="AC177" s="188"/>
      <c r="AD177" s="309"/>
      <c r="AE177" s="310"/>
      <c r="AF177" s="188"/>
      <c r="AG177" s="188"/>
      <c r="AH177" s="519"/>
      <c r="AI177" s="557"/>
    </row>
    <row r="178" spans="1:35" s="37" customFormat="1" ht="24" customHeight="1">
      <c r="A178" s="36"/>
      <c r="B178" s="36"/>
      <c r="C178" s="1881"/>
      <c r="D178" s="2466"/>
      <c r="E178" s="621"/>
      <c r="F178" s="640"/>
      <c r="G178" s="641"/>
      <c r="H178" s="1882"/>
      <c r="I178" s="1883" t="str">
        <f t="shared" si="11"/>
        <v/>
      </c>
      <c r="J178" s="1983"/>
      <c r="K178" s="1984"/>
      <c r="L178" s="2356"/>
      <c r="M178" s="602"/>
      <c r="N178" s="603"/>
      <c r="O178" s="597"/>
      <c r="P178" s="187"/>
      <c r="Q178" s="188"/>
      <c r="R178" s="188"/>
      <c r="S178" s="188"/>
      <c r="T178" s="188"/>
      <c r="U178" s="188"/>
      <c r="V178" s="188"/>
      <c r="W178" s="188"/>
      <c r="X178" s="189"/>
      <c r="Y178" s="189"/>
      <c r="Z178" s="189"/>
      <c r="AA178" s="189"/>
      <c r="AB178" s="189"/>
      <c r="AC178" s="188"/>
      <c r="AD178" s="309"/>
      <c r="AE178" s="310"/>
      <c r="AF178" s="188"/>
      <c r="AG178" s="188"/>
      <c r="AH178" s="519"/>
      <c r="AI178" s="557"/>
    </row>
    <row r="179" spans="1:35" s="37" customFormat="1" ht="24" customHeight="1">
      <c r="A179" s="36"/>
      <c r="B179" s="36"/>
      <c r="C179" s="1881"/>
      <c r="D179" s="2466"/>
      <c r="E179" s="621"/>
      <c r="F179" s="640"/>
      <c r="G179" s="641"/>
      <c r="H179" s="1882"/>
      <c r="I179" s="1883" t="str">
        <f t="shared" si="11"/>
        <v/>
      </c>
      <c r="J179" s="1983"/>
      <c r="K179" s="1984"/>
      <c r="L179" s="2356"/>
      <c r="M179" s="602"/>
      <c r="N179" s="603"/>
      <c r="O179" s="597"/>
      <c r="P179" s="187"/>
      <c r="Q179" s="188"/>
      <c r="R179" s="188"/>
      <c r="S179" s="188"/>
      <c r="T179" s="188"/>
      <c r="U179" s="188"/>
      <c r="V179" s="188"/>
      <c r="W179" s="188"/>
      <c r="X179" s="189"/>
      <c r="Y179" s="189"/>
      <c r="Z179" s="189"/>
      <c r="AA179" s="189"/>
      <c r="AB179" s="189"/>
      <c r="AC179" s="188"/>
      <c r="AD179" s="309"/>
      <c r="AE179" s="310"/>
      <c r="AF179" s="188"/>
      <c r="AG179" s="188"/>
      <c r="AH179" s="519"/>
      <c r="AI179" s="557"/>
    </row>
    <row r="180" spans="1:35" s="37" customFormat="1" ht="24" customHeight="1">
      <c r="A180" s="36"/>
      <c r="B180" s="36"/>
      <c r="C180" s="1881"/>
      <c r="D180" s="2466"/>
      <c r="E180" s="621"/>
      <c r="F180" s="640"/>
      <c r="G180" s="641"/>
      <c r="H180" s="1882"/>
      <c r="I180" s="1883" t="str">
        <f t="shared" si="11"/>
        <v/>
      </c>
      <c r="J180" s="1983"/>
      <c r="K180" s="1984"/>
      <c r="L180" s="2356"/>
      <c r="M180" s="602"/>
      <c r="N180" s="603"/>
      <c r="O180" s="597"/>
      <c r="P180" s="187"/>
      <c r="Q180" s="188"/>
      <c r="R180" s="188"/>
      <c r="S180" s="188"/>
      <c r="T180" s="188"/>
      <c r="U180" s="188"/>
      <c r="V180" s="188"/>
      <c r="W180" s="188"/>
      <c r="X180" s="189"/>
      <c r="Y180" s="189"/>
      <c r="Z180" s="189"/>
      <c r="AA180" s="189"/>
      <c r="AB180" s="189"/>
      <c r="AC180" s="188"/>
      <c r="AD180" s="309"/>
      <c r="AE180" s="310"/>
      <c r="AF180" s="188"/>
      <c r="AG180" s="188"/>
      <c r="AH180" s="519"/>
      <c r="AI180" s="557"/>
    </row>
    <row r="181" spans="1:35" s="37" customFormat="1" ht="24" customHeight="1">
      <c r="A181" s="36"/>
      <c r="B181" s="36"/>
      <c r="C181" s="1881"/>
      <c r="D181" s="2466"/>
      <c r="E181" s="621"/>
      <c r="F181" s="640"/>
      <c r="G181" s="641"/>
      <c r="H181" s="1882"/>
      <c r="I181" s="1883" t="str">
        <f t="shared" si="11"/>
        <v/>
      </c>
      <c r="J181" s="1983"/>
      <c r="K181" s="1984"/>
      <c r="L181" s="2356"/>
      <c r="M181" s="602"/>
      <c r="N181" s="603"/>
      <c r="O181" s="597"/>
      <c r="P181" s="187"/>
      <c r="Q181" s="188"/>
      <c r="R181" s="188"/>
      <c r="S181" s="188"/>
      <c r="T181" s="188"/>
      <c r="U181" s="188"/>
      <c r="V181" s="188"/>
      <c r="W181" s="188"/>
      <c r="X181" s="189"/>
      <c r="Y181" s="189"/>
      <c r="Z181" s="189"/>
      <c r="AA181" s="189"/>
      <c r="AB181" s="189"/>
      <c r="AC181" s="188"/>
      <c r="AD181" s="309"/>
      <c r="AE181" s="310"/>
      <c r="AF181" s="188"/>
      <c r="AG181" s="188"/>
      <c r="AH181" s="519"/>
      <c r="AI181" s="557"/>
    </row>
    <row r="182" spans="1:35" s="37" customFormat="1" ht="24" customHeight="1">
      <c r="A182" s="36"/>
      <c r="B182" s="36"/>
      <c r="C182" s="1881"/>
      <c r="D182" s="2466"/>
      <c r="E182" s="621"/>
      <c r="F182" s="640"/>
      <c r="G182" s="641"/>
      <c r="H182" s="1882"/>
      <c r="I182" s="1883" t="str">
        <f t="shared" si="11"/>
        <v/>
      </c>
      <c r="J182" s="1983"/>
      <c r="K182" s="1984"/>
      <c r="L182" s="2356"/>
      <c r="M182" s="602"/>
      <c r="N182" s="603"/>
      <c r="O182" s="597"/>
      <c r="P182" s="187"/>
      <c r="Q182" s="188"/>
      <c r="R182" s="188"/>
      <c r="S182" s="188"/>
      <c r="T182" s="188"/>
      <c r="U182" s="188"/>
      <c r="V182" s="188"/>
      <c r="W182" s="188"/>
      <c r="X182" s="189"/>
      <c r="Y182" s="189"/>
      <c r="Z182" s="189"/>
      <c r="AA182" s="189"/>
      <c r="AB182" s="189"/>
      <c r="AC182" s="188"/>
      <c r="AD182" s="309"/>
      <c r="AE182" s="310"/>
      <c r="AF182" s="188"/>
      <c r="AG182" s="188"/>
      <c r="AH182" s="519"/>
      <c r="AI182" s="557"/>
    </row>
    <row r="183" spans="1:35" s="37" customFormat="1" ht="24" customHeight="1">
      <c r="A183" s="36"/>
      <c r="B183" s="36"/>
      <c r="C183" s="1881"/>
      <c r="D183" s="2466"/>
      <c r="E183" s="621"/>
      <c r="F183" s="640"/>
      <c r="G183" s="641"/>
      <c r="H183" s="1882"/>
      <c r="I183" s="1883" t="str">
        <f t="shared" si="11"/>
        <v/>
      </c>
      <c r="J183" s="1983"/>
      <c r="K183" s="1984"/>
      <c r="L183" s="2356"/>
      <c r="M183" s="602"/>
      <c r="N183" s="603"/>
      <c r="O183" s="597"/>
      <c r="P183" s="187"/>
      <c r="Q183" s="188"/>
      <c r="R183" s="188"/>
      <c r="S183" s="188"/>
      <c r="T183" s="188"/>
      <c r="U183" s="188"/>
      <c r="V183" s="188"/>
      <c r="W183" s="188"/>
      <c r="X183" s="189"/>
      <c r="Y183" s="189"/>
      <c r="Z183" s="189"/>
      <c r="AA183" s="189"/>
      <c r="AB183" s="189"/>
      <c r="AC183" s="188"/>
      <c r="AD183" s="309"/>
      <c r="AE183" s="310"/>
      <c r="AF183" s="188"/>
      <c r="AG183" s="188"/>
      <c r="AH183" s="519"/>
      <c r="AI183" s="557"/>
    </row>
    <row r="184" spans="1:35" s="37" customFormat="1" ht="24" customHeight="1">
      <c r="A184" s="36"/>
      <c r="B184" s="36"/>
      <c r="C184" s="1881"/>
      <c r="D184" s="2466"/>
      <c r="E184" s="621"/>
      <c r="F184" s="640"/>
      <c r="G184" s="641"/>
      <c r="H184" s="1882"/>
      <c r="I184" s="1883" t="str">
        <f t="shared" si="11"/>
        <v/>
      </c>
      <c r="J184" s="1983"/>
      <c r="K184" s="1984"/>
      <c r="L184" s="2356"/>
      <c r="M184" s="602"/>
      <c r="N184" s="603"/>
      <c r="O184" s="597"/>
      <c r="P184" s="187"/>
      <c r="Q184" s="188"/>
      <c r="R184" s="188"/>
      <c r="S184" s="188"/>
      <c r="T184" s="188"/>
      <c r="U184" s="188"/>
      <c r="V184" s="188"/>
      <c r="W184" s="188"/>
      <c r="X184" s="189"/>
      <c r="Y184" s="189"/>
      <c r="Z184" s="189"/>
      <c r="AA184" s="189"/>
      <c r="AB184" s="189"/>
      <c r="AC184" s="188"/>
      <c r="AD184" s="309"/>
      <c r="AE184" s="310"/>
      <c r="AF184" s="188"/>
      <c r="AG184" s="188"/>
      <c r="AH184" s="519"/>
      <c r="AI184" s="557"/>
    </row>
    <row r="185" spans="1:35" ht="24" customHeight="1" thickBot="1">
      <c r="A185" s="36"/>
      <c r="B185" s="36"/>
      <c r="C185" s="2070"/>
      <c r="D185" s="2075" t="s">
        <v>4144</v>
      </c>
      <c r="E185" s="2071"/>
      <c r="F185" s="2072"/>
      <c r="G185" s="2453"/>
      <c r="H185" s="2465" t="s">
        <v>4131</v>
      </c>
      <c r="I185" s="2074">
        <f>SUM(I167:I184)</f>
        <v>650923</v>
      </c>
      <c r="J185" s="2467" t="str">
        <f>IF(C166="部分撤去工事","）うち費用",")")</f>
        <v>)</v>
      </c>
      <c r="K185" s="2468">
        <f>IF(C166="部分撤去工事",(K162+L185),0)</f>
        <v>0</v>
      </c>
      <c r="L185" s="2469">
        <f>IF(C166="部分撤去工事",SUMIF(N167:N184,"費用",I167:I184),0)</f>
        <v>0</v>
      </c>
      <c r="M185" s="2470"/>
      <c r="N185" s="2471"/>
      <c r="O185" s="597"/>
      <c r="P185" s="187"/>
      <c r="Q185" s="188"/>
      <c r="R185" s="188"/>
      <c r="S185" s="188"/>
      <c r="T185" s="188"/>
      <c r="U185" s="188"/>
      <c r="V185" s="188"/>
      <c r="W185" s="188"/>
      <c r="X185" s="189"/>
      <c r="Y185" s="189"/>
      <c r="Z185" s="189"/>
      <c r="AA185" s="189"/>
      <c r="AB185" s="189"/>
      <c r="AC185" s="188"/>
      <c r="AD185" s="309"/>
      <c r="AE185" s="310"/>
      <c r="AF185" s="188"/>
      <c r="AG185" s="188"/>
      <c r="AH185" s="188"/>
      <c r="AI185" s="557"/>
    </row>
    <row r="186" spans="1:35" ht="14.25" customHeight="1">
      <c r="E186" s="101" t="s">
        <v>130</v>
      </c>
      <c r="F186" s="102">
        <f>+F163+1</f>
        <v>53</v>
      </c>
      <c r="G186" s="103" t="s">
        <v>131</v>
      </c>
      <c r="H186" s="104">
        <f>+H163</f>
        <v>69</v>
      </c>
      <c r="I186" s="104"/>
      <c r="M186" s="598" t="str">
        <f>IF(A188="","EOL","")</f>
        <v/>
      </c>
      <c r="N186" s="1">
        <f>+F186</f>
        <v>53</v>
      </c>
      <c r="Q186" s="37"/>
      <c r="R186" s="37"/>
      <c r="S186" s="37"/>
      <c r="T186" s="37"/>
      <c r="U186" s="37"/>
      <c r="V186" s="37"/>
      <c r="W186" s="37"/>
      <c r="X186" s="37"/>
      <c r="Y186" s="37"/>
      <c r="Z186" s="37"/>
    </row>
    <row r="187" spans="1:35" ht="26.1" customHeight="1" thickBot="1">
      <c r="C187" s="2517" t="s">
        <v>107</v>
      </c>
      <c r="D187" s="2517"/>
      <c r="E187" s="2517"/>
      <c r="F187" s="2517"/>
      <c r="G187" s="2517"/>
      <c r="H187" s="2517"/>
      <c r="I187" s="2517"/>
      <c r="J187" s="2517"/>
      <c r="K187" s="2517"/>
      <c r="L187" s="2517"/>
      <c r="N187" s="1"/>
      <c r="O187" s="2730" t="s">
        <v>4098</v>
      </c>
      <c r="P187" s="2730"/>
      <c r="Q187" s="2730"/>
      <c r="R187" s="2730"/>
      <c r="S187" s="2730"/>
      <c r="T187" s="2730"/>
      <c r="U187" s="2730"/>
      <c r="V187" s="2730"/>
      <c r="W187" s="2730"/>
      <c r="X187" s="2730"/>
      <c r="Y187" s="2730"/>
      <c r="Z187" s="2730"/>
      <c r="AA187" s="2730"/>
      <c r="AB187" s="2730"/>
      <c r="AC187" s="2730"/>
      <c r="AD187" s="2730"/>
      <c r="AE187" s="2730"/>
      <c r="AF187" s="2730"/>
      <c r="AG187" s="2730"/>
      <c r="AH187" s="2731"/>
      <c r="AI187" s="555"/>
    </row>
    <row r="188" spans="1:35" ht="41.25" customHeight="1">
      <c r="A188" s="5" t="s">
        <v>108</v>
      </c>
      <c r="B188" s="5" t="s">
        <v>4145</v>
      </c>
      <c r="C188" s="99" t="s">
        <v>110</v>
      </c>
      <c r="D188" s="95"/>
      <c r="E188" s="96" t="s">
        <v>111</v>
      </c>
      <c r="F188" s="97" t="s">
        <v>112</v>
      </c>
      <c r="G188" s="97" t="s">
        <v>113</v>
      </c>
      <c r="H188" s="98" t="s">
        <v>114</v>
      </c>
      <c r="I188" s="98" t="s">
        <v>115</v>
      </c>
      <c r="J188" s="2552" t="s">
        <v>116</v>
      </c>
      <c r="K188" s="2553"/>
      <c r="L188" s="2554"/>
      <c r="M188" s="599"/>
      <c r="N188" s="604" t="s">
        <v>4154</v>
      </c>
      <c r="O188" s="596" t="s">
        <v>4099</v>
      </c>
      <c r="P188" s="303" t="s">
        <v>4100</v>
      </c>
      <c r="Q188" s="241" t="s">
        <v>4101</v>
      </c>
      <c r="R188" s="241" t="s">
        <v>4102</v>
      </c>
      <c r="S188" s="241" t="s">
        <v>4103</v>
      </c>
      <c r="T188" s="241" t="s">
        <v>4104</v>
      </c>
      <c r="U188" s="241" t="s">
        <v>4105</v>
      </c>
      <c r="V188" s="125" t="s">
        <v>4106</v>
      </c>
      <c r="W188" s="241" t="s">
        <v>4107</v>
      </c>
      <c r="X188" s="180" t="s">
        <v>4108</v>
      </c>
      <c r="Y188" s="180" t="s">
        <v>4109</v>
      </c>
      <c r="Z188" s="180" t="s">
        <v>4110</v>
      </c>
      <c r="AA188" s="180" t="s">
        <v>4111</v>
      </c>
      <c r="AB188" s="180" t="s">
        <v>4112</v>
      </c>
      <c r="AC188" s="306" t="s">
        <v>4113</v>
      </c>
      <c r="AD188" s="307" t="s">
        <v>4114</v>
      </c>
      <c r="AE188" s="308" t="s">
        <v>4115</v>
      </c>
      <c r="AF188" s="124" t="s">
        <v>4116</v>
      </c>
      <c r="AG188" s="124" t="s">
        <v>4117</v>
      </c>
      <c r="AH188" s="124" t="s">
        <v>4118</v>
      </c>
      <c r="AI188" s="556"/>
    </row>
    <row r="189" spans="1:35" ht="24" customHeight="1">
      <c r="A189" s="36"/>
      <c r="B189" s="36"/>
      <c r="C189" s="2370" t="s">
        <v>4125</v>
      </c>
      <c r="D189" s="2385"/>
      <c r="E189" s="623"/>
      <c r="F189" s="1889"/>
      <c r="G189" s="1890"/>
      <c r="H189" s="2386" t="s">
        <v>117</v>
      </c>
      <c r="I189" s="2386" t="s">
        <v>117</v>
      </c>
      <c r="J189" s="2759"/>
      <c r="K189" s="2788"/>
      <c r="L189" s="2734"/>
      <c r="M189" s="600"/>
      <c r="N189" s="601"/>
      <c r="O189" s="597"/>
      <c r="P189" s="187"/>
      <c r="Q189" s="188"/>
      <c r="R189" s="188"/>
      <c r="S189" s="188"/>
      <c r="T189" s="188"/>
      <c r="U189" s="188"/>
      <c r="V189" s="188"/>
      <c r="W189" s="188"/>
      <c r="X189" s="189"/>
      <c r="Y189" s="189"/>
      <c r="Z189" s="189"/>
      <c r="AA189" s="189"/>
      <c r="AB189" s="189"/>
      <c r="AC189" s="188"/>
      <c r="AD189" s="309"/>
      <c r="AE189" s="310"/>
      <c r="AF189" s="188"/>
      <c r="AG189" s="188"/>
      <c r="AH189" s="188"/>
      <c r="AI189" s="557"/>
    </row>
    <row r="190" spans="1:35" s="37" customFormat="1" ht="24" customHeight="1">
      <c r="A190" s="36"/>
      <c r="B190" s="36"/>
      <c r="C190" s="1881"/>
      <c r="D190" s="2466"/>
      <c r="E190" s="621"/>
      <c r="F190" s="640"/>
      <c r="G190" s="641"/>
      <c r="H190" s="1882"/>
      <c r="I190" s="1883" t="str">
        <f t="shared" ref="I190:I207" si="13">IF(F190="","",INT(F190*H190))</f>
        <v/>
      </c>
      <c r="J190" s="1983"/>
      <c r="K190" s="1984"/>
      <c r="L190" s="2356"/>
      <c r="M190" s="602"/>
      <c r="N190" s="603"/>
      <c r="O190" s="597"/>
      <c r="P190" s="187"/>
      <c r="Q190" s="188"/>
      <c r="R190" s="188"/>
      <c r="S190" s="188"/>
      <c r="T190" s="188"/>
      <c r="U190" s="188"/>
      <c r="V190" s="188"/>
      <c r="W190" s="188"/>
      <c r="X190" s="189"/>
      <c r="Y190" s="189"/>
      <c r="Z190" s="189"/>
      <c r="AA190" s="189"/>
      <c r="AB190" s="189"/>
      <c r="AC190" s="188"/>
      <c r="AD190" s="309"/>
      <c r="AE190" s="310"/>
      <c r="AF190" s="188"/>
      <c r="AG190" s="188"/>
      <c r="AH190" s="519"/>
      <c r="AI190" s="557"/>
    </row>
    <row r="191" spans="1:35" s="37" customFormat="1" ht="24" customHeight="1">
      <c r="A191" s="36">
        <v>4</v>
      </c>
      <c r="B191" s="36">
        <v>4</v>
      </c>
      <c r="C191" s="1881">
        <v>2100601</v>
      </c>
      <c r="D191" s="1980" t="s">
        <v>4200</v>
      </c>
      <c r="E191" s="621" t="s">
        <v>4201</v>
      </c>
      <c r="F191" s="640">
        <v>33.799999999999997</v>
      </c>
      <c r="G191" s="641" t="s">
        <v>4202</v>
      </c>
      <c r="H191" s="1882">
        <v>4830</v>
      </c>
      <c r="I191" s="1883">
        <f>IF(F191="","",INT(F191*H191))</f>
        <v>163254</v>
      </c>
      <c r="J191" s="1983" t="s">
        <v>4203</v>
      </c>
      <c r="K191" s="1984"/>
      <c r="L191" s="2356"/>
      <c r="M191" s="602"/>
      <c r="N191" s="603"/>
      <c r="O191" s="597">
        <v>1.3</v>
      </c>
      <c r="P191" s="187"/>
      <c r="Q191" s="188"/>
      <c r="R191" s="188"/>
      <c r="S191" s="188"/>
      <c r="T191" s="188"/>
      <c r="U191" s="188"/>
      <c r="V191" s="188"/>
      <c r="W191" s="188"/>
      <c r="X191" s="189"/>
      <c r="Y191" s="189"/>
      <c r="Z191" s="189"/>
      <c r="AA191" s="189"/>
      <c r="AB191" s="189"/>
      <c r="AC191" s="188"/>
      <c r="AD191" s="309"/>
      <c r="AE191" s="310"/>
      <c r="AF191" s="188"/>
      <c r="AG191" s="188"/>
      <c r="AH191" s="519"/>
      <c r="AI191" s="557"/>
    </row>
    <row r="192" spans="1:35" s="37" customFormat="1" ht="24" customHeight="1">
      <c r="A192" s="36"/>
      <c r="B192" s="36"/>
      <c r="C192" s="1881"/>
      <c r="D192" s="2466"/>
      <c r="E192" s="621"/>
      <c r="F192" s="640"/>
      <c r="G192" s="641"/>
      <c r="H192" s="1882"/>
      <c r="I192" s="1883" t="str">
        <f t="shared" ref="I192:I202" si="14">IF(F192="","",INT(F192*H192))</f>
        <v/>
      </c>
      <c r="J192" s="1983"/>
      <c r="K192" s="1984"/>
      <c r="L192" s="2356"/>
      <c r="M192" s="602"/>
      <c r="N192" s="603"/>
      <c r="O192" s="597"/>
      <c r="P192" s="187"/>
      <c r="Q192" s="188"/>
      <c r="R192" s="188"/>
      <c r="S192" s="188"/>
      <c r="T192" s="188"/>
      <c r="U192" s="188"/>
      <c r="V192" s="188"/>
      <c r="W192" s="188"/>
      <c r="X192" s="189"/>
      <c r="Y192" s="189"/>
      <c r="Z192" s="189"/>
      <c r="AA192" s="189"/>
      <c r="AB192" s="189"/>
      <c r="AC192" s="188"/>
      <c r="AD192" s="309"/>
      <c r="AE192" s="310"/>
      <c r="AF192" s="188"/>
      <c r="AG192" s="188"/>
      <c r="AH192" s="519"/>
      <c r="AI192" s="557"/>
    </row>
    <row r="193" spans="1:35" s="37" customFormat="1" ht="24" customHeight="1">
      <c r="A193" s="36">
        <v>4</v>
      </c>
      <c r="B193" s="36">
        <v>4</v>
      </c>
      <c r="C193" s="1910">
        <v>809</v>
      </c>
      <c r="D193" s="1980" t="s">
        <v>4204</v>
      </c>
      <c r="E193" s="621" t="s">
        <v>4447</v>
      </c>
      <c r="F193" s="640">
        <v>32</v>
      </c>
      <c r="G193" s="641" t="s">
        <v>4174</v>
      </c>
      <c r="H193" s="1882">
        <f>見積比較!O$230</f>
        <v>18200</v>
      </c>
      <c r="I193" s="1883">
        <f>IF(F193="","",INT(F193*H193))</f>
        <v>582400</v>
      </c>
      <c r="J193" s="1983" t="s">
        <v>4206</v>
      </c>
      <c r="K193" s="1984"/>
      <c r="L193" s="2356"/>
      <c r="M193" s="1917" t="s">
        <v>4207</v>
      </c>
      <c r="N193" s="603" t="s">
        <v>4208</v>
      </c>
      <c r="O193" s="597">
        <v>0</v>
      </c>
      <c r="P193" s="187"/>
      <c r="Q193" s="188"/>
      <c r="R193" s="188"/>
      <c r="S193" s="188"/>
      <c r="T193" s="188"/>
      <c r="U193" s="188"/>
      <c r="V193" s="188"/>
      <c r="W193" s="188"/>
      <c r="X193" s="189"/>
      <c r="Y193" s="189"/>
      <c r="Z193" s="189"/>
      <c r="AA193" s="189"/>
      <c r="AB193" s="189"/>
      <c r="AC193" s="188"/>
      <c r="AD193" s="309"/>
      <c r="AE193" s="310"/>
      <c r="AF193" s="188"/>
      <c r="AG193" s="188"/>
      <c r="AH193" s="519"/>
      <c r="AI193" s="557"/>
    </row>
    <row r="194" spans="1:35" s="37" customFormat="1" ht="24" customHeight="1">
      <c r="A194" s="36"/>
      <c r="B194" s="36"/>
      <c r="C194" s="1910"/>
      <c r="D194" s="2474"/>
      <c r="E194" s="621"/>
      <c r="F194" s="640"/>
      <c r="G194" s="641"/>
      <c r="H194" s="1882"/>
      <c r="I194" s="1883" t="str">
        <f t="shared" si="14"/>
        <v/>
      </c>
      <c r="J194" s="1983"/>
      <c r="K194" s="1984"/>
      <c r="L194" s="2356"/>
      <c r="M194" s="1917"/>
      <c r="N194" s="603"/>
      <c r="O194" s="597"/>
      <c r="P194" s="187"/>
      <c r="Q194" s="188"/>
      <c r="R194" s="188"/>
      <c r="S194" s="188"/>
      <c r="T194" s="188"/>
      <c r="U194" s="188"/>
      <c r="V194" s="188"/>
      <c r="W194" s="188"/>
      <c r="X194" s="189"/>
      <c r="Y194" s="189"/>
      <c r="Z194" s="189"/>
      <c r="AA194" s="189"/>
      <c r="AB194" s="189"/>
      <c r="AC194" s="188"/>
      <c r="AD194" s="309"/>
      <c r="AE194" s="310"/>
      <c r="AF194" s="188"/>
      <c r="AG194" s="188"/>
      <c r="AH194" s="519"/>
      <c r="AI194" s="557"/>
    </row>
    <row r="195" spans="1:35" s="37" customFormat="1" ht="24" customHeight="1">
      <c r="A195" s="36">
        <v>4</v>
      </c>
      <c r="B195" s="36">
        <v>4</v>
      </c>
      <c r="C195" s="1910">
        <v>810</v>
      </c>
      <c r="D195" s="1980" t="s">
        <v>4209</v>
      </c>
      <c r="E195" s="621" t="s">
        <v>4448</v>
      </c>
      <c r="F195" s="640">
        <v>14</v>
      </c>
      <c r="G195" s="641" t="s">
        <v>4174</v>
      </c>
      <c r="H195" s="1882">
        <f>見積比較!O$232</f>
        <v>39000</v>
      </c>
      <c r="I195" s="1883">
        <f>IF(F195="","",INT(F195*H195))</f>
        <v>546000</v>
      </c>
      <c r="J195" s="1983" t="s">
        <v>4206</v>
      </c>
      <c r="K195" s="1984"/>
      <c r="L195" s="2356"/>
      <c r="M195" s="1917" t="s">
        <v>4207</v>
      </c>
      <c r="N195" s="603" t="s">
        <v>4208</v>
      </c>
      <c r="O195" s="597">
        <v>0</v>
      </c>
      <c r="P195" s="187"/>
      <c r="Q195" s="188"/>
      <c r="R195" s="188"/>
      <c r="S195" s="188"/>
      <c r="T195" s="188"/>
      <c r="U195" s="188"/>
      <c r="V195" s="188"/>
      <c r="W195" s="188"/>
      <c r="X195" s="189"/>
      <c r="Y195" s="189"/>
      <c r="Z195" s="189"/>
      <c r="AA195" s="189"/>
      <c r="AB195" s="189"/>
      <c r="AC195" s="188"/>
      <c r="AD195" s="309"/>
      <c r="AE195" s="310"/>
      <c r="AF195" s="188"/>
      <c r="AG195" s="188"/>
      <c r="AH195" s="519"/>
      <c r="AI195" s="557"/>
    </row>
    <row r="196" spans="1:35" s="37" customFormat="1" ht="24" customHeight="1">
      <c r="A196" s="36"/>
      <c r="B196" s="36"/>
      <c r="C196" s="1910"/>
      <c r="D196" s="2466"/>
      <c r="E196" s="621"/>
      <c r="F196" s="640"/>
      <c r="G196" s="641"/>
      <c r="H196" s="1882"/>
      <c r="I196" s="1883" t="str">
        <f t="shared" si="14"/>
        <v/>
      </c>
      <c r="J196" s="1983"/>
      <c r="K196" s="1984"/>
      <c r="L196" s="2356"/>
      <c r="M196" s="1917"/>
      <c r="N196" s="603"/>
      <c r="O196" s="597"/>
      <c r="P196" s="187"/>
      <c r="Q196" s="188"/>
      <c r="R196" s="188"/>
      <c r="S196" s="188"/>
      <c r="T196" s="188"/>
      <c r="U196" s="188"/>
      <c r="V196" s="188"/>
      <c r="W196" s="188"/>
      <c r="X196" s="189"/>
      <c r="Y196" s="189"/>
      <c r="Z196" s="189"/>
      <c r="AA196" s="189"/>
      <c r="AB196" s="189"/>
      <c r="AC196" s="188"/>
      <c r="AD196" s="309"/>
      <c r="AE196" s="310"/>
      <c r="AF196" s="188"/>
      <c r="AG196" s="188"/>
      <c r="AH196" s="519"/>
      <c r="AI196" s="557"/>
    </row>
    <row r="197" spans="1:35" s="37" customFormat="1" ht="24" customHeight="1">
      <c r="A197" s="36">
        <v>4</v>
      </c>
      <c r="B197" s="36">
        <v>4</v>
      </c>
      <c r="C197" s="1910">
        <v>811</v>
      </c>
      <c r="D197" s="1980" t="s">
        <v>4211</v>
      </c>
      <c r="E197" s="621" t="s">
        <v>4212</v>
      </c>
      <c r="F197" s="640">
        <v>16</v>
      </c>
      <c r="G197" s="641" t="s">
        <v>4174</v>
      </c>
      <c r="H197" s="1882">
        <f>見積比較!O$234</f>
        <v>23400</v>
      </c>
      <c r="I197" s="1883">
        <f>IF(F197="","",INT(F197*H197))</f>
        <v>374400</v>
      </c>
      <c r="J197" s="1983" t="s">
        <v>4206</v>
      </c>
      <c r="K197" s="1984"/>
      <c r="L197" s="2356"/>
      <c r="M197" s="1917" t="s">
        <v>4207</v>
      </c>
      <c r="N197" s="603" t="s">
        <v>4208</v>
      </c>
      <c r="O197" s="597">
        <v>0</v>
      </c>
      <c r="P197" s="187"/>
      <c r="Q197" s="188"/>
      <c r="R197" s="188"/>
      <c r="S197" s="188"/>
      <c r="T197" s="188"/>
      <c r="U197" s="188"/>
      <c r="V197" s="188"/>
      <c r="W197" s="188"/>
      <c r="X197" s="189"/>
      <c r="Y197" s="189"/>
      <c r="Z197" s="189"/>
      <c r="AA197" s="189"/>
      <c r="AB197" s="189"/>
      <c r="AC197" s="188"/>
      <c r="AD197" s="309"/>
      <c r="AE197" s="310"/>
      <c r="AF197" s="188"/>
      <c r="AG197" s="188"/>
      <c r="AH197" s="519"/>
      <c r="AI197" s="557"/>
    </row>
    <row r="198" spans="1:35" s="37" customFormat="1" ht="24" customHeight="1">
      <c r="A198" s="36"/>
      <c r="B198" s="36"/>
      <c r="C198" s="1910"/>
      <c r="D198" s="2466"/>
      <c r="E198" s="621"/>
      <c r="F198" s="640"/>
      <c r="G198" s="641"/>
      <c r="H198" s="1882"/>
      <c r="I198" s="1883" t="str">
        <f t="shared" si="14"/>
        <v/>
      </c>
      <c r="J198" s="1983"/>
      <c r="K198" s="1984"/>
      <c r="L198" s="2356"/>
      <c r="M198" s="1917"/>
      <c r="N198" s="603"/>
      <c r="O198" s="597"/>
      <c r="P198" s="187"/>
      <c r="Q198" s="188"/>
      <c r="R198" s="188"/>
      <c r="S198" s="188"/>
      <c r="T198" s="188"/>
      <c r="U198" s="188"/>
      <c r="V198" s="188"/>
      <c r="W198" s="188"/>
      <c r="X198" s="189"/>
      <c r="Y198" s="189"/>
      <c r="Z198" s="189"/>
      <c r="AA198" s="189"/>
      <c r="AB198" s="189"/>
      <c r="AC198" s="188"/>
      <c r="AD198" s="309"/>
      <c r="AE198" s="310"/>
      <c r="AF198" s="188"/>
      <c r="AG198" s="188"/>
      <c r="AH198" s="519"/>
      <c r="AI198" s="557"/>
    </row>
    <row r="199" spans="1:35" s="37" customFormat="1" ht="24" customHeight="1">
      <c r="A199" s="36">
        <v>4</v>
      </c>
      <c r="B199" s="36">
        <v>4</v>
      </c>
      <c r="C199" s="1910">
        <v>812</v>
      </c>
      <c r="D199" s="1980" t="s">
        <v>4213</v>
      </c>
      <c r="E199" s="621" t="s">
        <v>4214</v>
      </c>
      <c r="F199" s="640">
        <v>48</v>
      </c>
      <c r="G199" s="641" t="s">
        <v>4174</v>
      </c>
      <c r="H199" s="1882">
        <f>見積比較!O$236</f>
        <v>9750</v>
      </c>
      <c r="I199" s="1883">
        <f>IF(F199="","",INT(F199*H199))</f>
        <v>468000</v>
      </c>
      <c r="J199" s="1983" t="s">
        <v>4206</v>
      </c>
      <c r="K199" s="1984"/>
      <c r="L199" s="2356"/>
      <c r="M199" s="1917" t="s">
        <v>4207</v>
      </c>
      <c r="N199" s="603" t="s">
        <v>4208</v>
      </c>
      <c r="O199" s="597">
        <v>0</v>
      </c>
      <c r="P199" s="187"/>
      <c r="Q199" s="188"/>
      <c r="R199" s="188"/>
      <c r="S199" s="188"/>
      <c r="T199" s="188"/>
      <c r="U199" s="188"/>
      <c r="V199" s="188"/>
      <c r="W199" s="188"/>
      <c r="X199" s="189"/>
      <c r="Y199" s="189"/>
      <c r="Z199" s="189"/>
      <c r="AA199" s="189"/>
      <c r="AB199" s="189"/>
      <c r="AC199" s="188"/>
      <c r="AD199" s="309"/>
      <c r="AE199" s="310"/>
      <c r="AF199" s="188"/>
      <c r="AG199" s="188"/>
      <c r="AH199" s="519"/>
      <c r="AI199" s="557"/>
    </row>
    <row r="200" spans="1:35" s="37" customFormat="1" ht="24" customHeight="1">
      <c r="A200" s="36"/>
      <c r="B200" s="36"/>
      <c r="C200" s="1910"/>
      <c r="D200" s="2466"/>
      <c r="E200" s="621"/>
      <c r="F200" s="640"/>
      <c r="G200" s="641"/>
      <c r="H200" s="1882"/>
      <c r="I200" s="1883" t="str">
        <f t="shared" si="14"/>
        <v/>
      </c>
      <c r="J200" s="1983"/>
      <c r="K200" s="1984"/>
      <c r="L200" s="2356"/>
      <c r="M200" s="1917"/>
      <c r="N200" s="603"/>
      <c r="O200" s="597"/>
      <c r="P200" s="187"/>
      <c r="Q200" s="188"/>
      <c r="R200" s="188"/>
      <c r="S200" s="188"/>
      <c r="T200" s="188"/>
      <c r="U200" s="188"/>
      <c r="V200" s="188"/>
      <c r="W200" s="188"/>
      <c r="X200" s="189"/>
      <c r="Y200" s="189"/>
      <c r="Z200" s="189"/>
      <c r="AA200" s="189"/>
      <c r="AB200" s="189"/>
      <c r="AC200" s="188"/>
      <c r="AD200" s="309"/>
      <c r="AE200" s="310"/>
      <c r="AF200" s="188"/>
      <c r="AG200" s="188"/>
      <c r="AH200" s="519"/>
      <c r="AI200" s="557"/>
    </row>
    <row r="201" spans="1:35" s="37" customFormat="1" ht="24" customHeight="1">
      <c r="A201" s="36">
        <v>4</v>
      </c>
      <c r="B201" s="36">
        <v>4</v>
      </c>
      <c r="C201" s="1910">
        <v>813</v>
      </c>
      <c r="D201" s="1980" t="s">
        <v>4215</v>
      </c>
      <c r="E201" s="621" t="s">
        <v>4216</v>
      </c>
      <c r="F201" s="640">
        <v>48</v>
      </c>
      <c r="G201" s="641" t="s">
        <v>4174</v>
      </c>
      <c r="H201" s="1882">
        <f>見積比較!O$238</f>
        <v>5200</v>
      </c>
      <c r="I201" s="1883">
        <f>IF(F201="","",INT(F201*H201))</f>
        <v>249600</v>
      </c>
      <c r="J201" s="1983" t="s">
        <v>4206</v>
      </c>
      <c r="K201" s="1984"/>
      <c r="L201" s="2356"/>
      <c r="M201" s="1917" t="s">
        <v>4207</v>
      </c>
      <c r="N201" s="603" t="s">
        <v>4208</v>
      </c>
      <c r="O201" s="597">
        <v>0</v>
      </c>
      <c r="P201" s="187"/>
      <c r="Q201" s="188"/>
      <c r="R201" s="188"/>
      <c r="S201" s="188"/>
      <c r="T201" s="188"/>
      <c r="U201" s="188"/>
      <c r="V201" s="188"/>
      <c r="W201" s="188"/>
      <c r="X201" s="189"/>
      <c r="Y201" s="189"/>
      <c r="Z201" s="189"/>
      <c r="AA201" s="189"/>
      <c r="AB201" s="189"/>
      <c r="AC201" s="188"/>
      <c r="AD201" s="309"/>
      <c r="AE201" s="310"/>
      <c r="AF201" s="188"/>
      <c r="AG201" s="188"/>
      <c r="AH201" s="519"/>
      <c r="AI201" s="557"/>
    </row>
    <row r="202" spans="1:35" s="37" customFormat="1" ht="24" customHeight="1">
      <c r="A202" s="36"/>
      <c r="B202" s="36"/>
      <c r="C202" s="1910"/>
      <c r="D202" s="2466"/>
      <c r="E202" s="621"/>
      <c r="F202" s="640"/>
      <c r="G202" s="641"/>
      <c r="H202" s="1882"/>
      <c r="I202" s="1883" t="str">
        <f t="shared" si="14"/>
        <v/>
      </c>
      <c r="J202" s="1983"/>
      <c r="K202" s="1984"/>
      <c r="L202" s="2356"/>
      <c r="M202" s="1917"/>
      <c r="N202" s="603"/>
      <c r="O202" s="597"/>
      <c r="P202" s="187"/>
      <c r="Q202" s="188"/>
      <c r="R202" s="188"/>
      <c r="S202" s="188"/>
      <c r="T202" s="188"/>
      <c r="U202" s="188"/>
      <c r="V202" s="188"/>
      <c r="W202" s="188"/>
      <c r="X202" s="189"/>
      <c r="Y202" s="189"/>
      <c r="Z202" s="189"/>
      <c r="AA202" s="189"/>
      <c r="AB202" s="189"/>
      <c r="AC202" s="188"/>
      <c r="AD202" s="309"/>
      <c r="AE202" s="310"/>
      <c r="AF202" s="188"/>
      <c r="AG202" s="188"/>
      <c r="AH202" s="519"/>
      <c r="AI202" s="557"/>
    </row>
    <row r="203" spans="1:35" s="37" customFormat="1" ht="24" customHeight="1">
      <c r="A203" s="36">
        <v>4</v>
      </c>
      <c r="B203" s="36">
        <v>4</v>
      </c>
      <c r="C203" s="1910">
        <v>814</v>
      </c>
      <c r="D203" s="1980" t="s">
        <v>4217</v>
      </c>
      <c r="E203" s="621" t="s">
        <v>4218</v>
      </c>
      <c r="F203" s="640">
        <v>48</v>
      </c>
      <c r="G203" s="641" t="s">
        <v>4174</v>
      </c>
      <c r="H203" s="1882">
        <f>見積比較!O$240</f>
        <v>29200</v>
      </c>
      <c r="I203" s="1883">
        <f>IF(F203="","",INT(F203*H203))</f>
        <v>1401600</v>
      </c>
      <c r="J203" s="1983" t="s">
        <v>4206</v>
      </c>
      <c r="K203" s="1984"/>
      <c r="L203" s="2356"/>
      <c r="M203" s="1917" t="s">
        <v>4207</v>
      </c>
      <c r="N203" s="603" t="s">
        <v>4208</v>
      </c>
      <c r="O203" s="597">
        <v>0</v>
      </c>
      <c r="P203" s="187"/>
      <c r="Q203" s="188"/>
      <c r="R203" s="188"/>
      <c r="S203" s="188"/>
      <c r="T203" s="188"/>
      <c r="U203" s="188"/>
      <c r="V203" s="188"/>
      <c r="W203" s="188"/>
      <c r="X203" s="189"/>
      <c r="Y203" s="189"/>
      <c r="Z203" s="189"/>
      <c r="AA203" s="189"/>
      <c r="AB203" s="189"/>
      <c r="AC203" s="188"/>
      <c r="AD203" s="309"/>
      <c r="AE203" s="310"/>
      <c r="AF203" s="188"/>
      <c r="AG203" s="188"/>
      <c r="AH203" s="519"/>
      <c r="AI203" s="557"/>
    </row>
    <row r="204" spans="1:35" s="37" customFormat="1" ht="24" customHeight="1">
      <c r="A204" s="36"/>
      <c r="B204" s="36"/>
      <c r="C204" s="1881"/>
      <c r="D204" s="2466"/>
      <c r="E204" s="621"/>
      <c r="F204" s="640"/>
      <c r="G204" s="641"/>
      <c r="H204" s="1882"/>
      <c r="I204" s="1883" t="str">
        <f t="shared" si="13"/>
        <v/>
      </c>
      <c r="J204" s="1983"/>
      <c r="K204" s="1984"/>
      <c r="L204" s="2356"/>
      <c r="M204" s="602"/>
      <c r="N204" s="603"/>
      <c r="O204" s="597"/>
      <c r="P204" s="187"/>
      <c r="Q204" s="188"/>
      <c r="R204" s="188"/>
      <c r="S204" s="188"/>
      <c r="T204" s="188"/>
      <c r="U204" s="188"/>
      <c r="V204" s="188"/>
      <c r="W204" s="188"/>
      <c r="X204" s="189"/>
      <c r="Y204" s="189"/>
      <c r="Z204" s="189"/>
      <c r="AA204" s="189"/>
      <c r="AB204" s="189"/>
      <c r="AC204" s="188"/>
      <c r="AD204" s="309"/>
      <c r="AE204" s="310"/>
      <c r="AF204" s="188"/>
      <c r="AG204" s="188"/>
      <c r="AH204" s="519"/>
      <c r="AI204" s="557"/>
    </row>
    <row r="205" spans="1:35" s="37" customFormat="1" ht="24" customHeight="1">
      <c r="A205" s="36"/>
      <c r="B205" s="36"/>
      <c r="C205" s="1881"/>
      <c r="D205" s="2466"/>
      <c r="E205" s="621"/>
      <c r="F205" s="640"/>
      <c r="G205" s="641"/>
      <c r="H205" s="1882"/>
      <c r="I205" s="1883" t="str">
        <f t="shared" si="13"/>
        <v/>
      </c>
      <c r="J205" s="1983"/>
      <c r="K205" s="1984"/>
      <c r="L205" s="2356"/>
      <c r="M205" s="602"/>
      <c r="N205" s="603"/>
      <c r="O205" s="597"/>
      <c r="P205" s="187"/>
      <c r="Q205" s="188"/>
      <c r="R205" s="188"/>
      <c r="S205" s="188"/>
      <c r="T205" s="188"/>
      <c r="U205" s="188"/>
      <c r="V205" s="188"/>
      <c r="W205" s="188"/>
      <c r="X205" s="189"/>
      <c r="Y205" s="189"/>
      <c r="Z205" s="189"/>
      <c r="AA205" s="189"/>
      <c r="AB205" s="189"/>
      <c r="AC205" s="188"/>
      <c r="AD205" s="309"/>
      <c r="AE205" s="310"/>
      <c r="AF205" s="188"/>
      <c r="AG205" s="188"/>
      <c r="AH205" s="519"/>
      <c r="AI205" s="557"/>
    </row>
    <row r="206" spans="1:35" s="37" customFormat="1" ht="24" customHeight="1">
      <c r="A206" s="36"/>
      <c r="B206" s="36"/>
      <c r="C206" s="1881"/>
      <c r="D206" s="2466"/>
      <c r="E206" s="621"/>
      <c r="F206" s="640"/>
      <c r="G206" s="641"/>
      <c r="H206" s="1882"/>
      <c r="I206" s="1883" t="str">
        <f t="shared" si="13"/>
        <v/>
      </c>
      <c r="J206" s="1983"/>
      <c r="K206" s="1984"/>
      <c r="L206" s="2356"/>
      <c r="M206" s="602"/>
      <c r="N206" s="603"/>
      <c r="O206" s="597"/>
      <c r="P206" s="187"/>
      <c r="Q206" s="188"/>
      <c r="R206" s="188"/>
      <c r="S206" s="188"/>
      <c r="T206" s="188"/>
      <c r="U206" s="188"/>
      <c r="V206" s="188"/>
      <c r="W206" s="188"/>
      <c r="X206" s="189"/>
      <c r="Y206" s="189"/>
      <c r="Z206" s="189"/>
      <c r="AA206" s="189"/>
      <c r="AB206" s="189"/>
      <c r="AC206" s="188"/>
      <c r="AD206" s="309"/>
      <c r="AE206" s="310"/>
      <c r="AF206" s="188"/>
      <c r="AG206" s="188"/>
      <c r="AH206" s="519"/>
      <c r="AI206" s="557"/>
    </row>
    <row r="207" spans="1:35" s="37" customFormat="1" ht="24" customHeight="1">
      <c r="A207" s="36"/>
      <c r="B207" s="36"/>
      <c r="C207" s="1881"/>
      <c r="D207" s="2466"/>
      <c r="E207" s="621"/>
      <c r="F207" s="640"/>
      <c r="G207" s="641"/>
      <c r="H207" s="1882"/>
      <c r="I207" s="1883" t="str">
        <f t="shared" si="13"/>
        <v/>
      </c>
      <c r="J207" s="1983"/>
      <c r="K207" s="1984"/>
      <c r="L207" s="2356"/>
      <c r="M207" s="602"/>
      <c r="N207" s="603"/>
      <c r="O207" s="597"/>
      <c r="P207" s="187"/>
      <c r="Q207" s="188"/>
      <c r="R207" s="188"/>
      <c r="S207" s="188"/>
      <c r="T207" s="188"/>
      <c r="U207" s="188"/>
      <c r="V207" s="188"/>
      <c r="W207" s="188"/>
      <c r="X207" s="189"/>
      <c r="Y207" s="189"/>
      <c r="Z207" s="189"/>
      <c r="AA207" s="189"/>
      <c r="AB207" s="189"/>
      <c r="AC207" s="188"/>
      <c r="AD207" s="309"/>
      <c r="AE207" s="310"/>
      <c r="AF207" s="188"/>
      <c r="AG207" s="188"/>
      <c r="AH207" s="519"/>
      <c r="AI207" s="557"/>
    </row>
    <row r="208" spans="1:35" ht="24" customHeight="1" thickBot="1">
      <c r="A208" s="36"/>
      <c r="B208" s="36"/>
      <c r="C208" s="2070"/>
      <c r="D208" s="2075" t="s">
        <v>4144</v>
      </c>
      <c r="E208" s="2071"/>
      <c r="F208" s="2072"/>
      <c r="G208" s="2453"/>
      <c r="H208" s="2465" t="s">
        <v>4131</v>
      </c>
      <c r="I208" s="2074">
        <f>SUM(I190:I207)</f>
        <v>3785254</v>
      </c>
      <c r="J208" s="2467" t="str">
        <f>IF(C189="部分撤去工事","）うち費用",")")</f>
        <v>)</v>
      </c>
      <c r="K208" s="2468">
        <f>IF(C189="部分撤去工事",(K185+L208),0)</f>
        <v>0</v>
      </c>
      <c r="L208" s="2469">
        <f>IF(C189="部分撤去工事",SUMIF(N190:N207,"費用",I190:I207),0)</f>
        <v>0</v>
      </c>
      <c r="M208" s="2470"/>
      <c r="N208" s="2471"/>
      <c r="O208" s="597"/>
      <c r="P208" s="187"/>
      <c r="Q208" s="188"/>
      <c r="R208" s="188"/>
      <c r="S208" s="188"/>
      <c r="T208" s="188"/>
      <c r="U208" s="188"/>
      <c r="V208" s="188"/>
      <c r="W208" s="188"/>
      <c r="X208" s="189"/>
      <c r="Y208" s="189"/>
      <c r="Z208" s="189"/>
      <c r="AA208" s="189"/>
      <c r="AB208" s="189"/>
      <c r="AC208" s="188"/>
      <c r="AD208" s="309"/>
      <c r="AE208" s="310"/>
      <c r="AF208" s="188"/>
      <c r="AG208" s="188"/>
      <c r="AH208" s="188"/>
      <c r="AI208" s="557"/>
    </row>
    <row r="209" spans="1:35" ht="14.25" customHeight="1">
      <c r="E209" s="101" t="s">
        <v>130</v>
      </c>
      <c r="F209" s="102">
        <f>+F186+1</f>
        <v>54</v>
      </c>
      <c r="G209" s="103" t="s">
        <v>131</v>
      </c>
      <c r="H209" s="104">
        <f>+H186</f>
        <v>69</v>
      </c>
      <c r="I209" s="104"/>
      <c r="M209" s="598" t="str">
        <f>IF(A211="","EOL","")</f>
        <v/>
      </c>
      <c r="N209" s="1">
        <f>+F209</f>
        <v>54</v>
      </c>
      <c r="Q209" s="37"/>
      <c r="R209" s="37"/>
      <c r="S209" s="37"/>
      <c r="T209" s="37"/>
      <c r="U209" s="37"/>
      <c r="V209" s="37"/>
      <c r="W209" s="37"/>
      <c r="X209" s="37"/>
      <c r="Y209" s="37"/>
      <c r="Z209" s="37"/>
    </row>
    <row r="210" spans="1:35" ht="26.1" customHeight="1" thickBot="1">
      <c r="C210" s="2517" t="s">
        <v>107</v>
      </c>
      <c r="D210" s="2517"/>
      <c r="E210" s="2517"/>
      <c r="F210" s="2517"/>
      <c r="G210" s="2517"/>
      <c r="H210" s="2517"/>
      <c r="I210" s="2517"/>
      <c r="J210" s="2517"/>
      <c r="K210" s="2517"/>
      <c r="L210" s="2517"/>
      <c r="N210" s="1"/>
      <c r="O210" s="2730" t="s">
        <v>4098</v>
      </c>
      <c r="P210" s="2730"/>
      <c r="Q210" s="2730"/>
      <c r="R210" s="2730"/>
      <c r="S210" s="2730"/>
      <c r="T210" s="2730"/>
      <c r="U210" s="2730"/>
      <c r="V210" s="2730"/>
      <c r="W210" s="2730"/>
      <c r="X210" s="2730"/>
      <c r="Y210" s="2730"/>
      <c r="Z210" s="2730"/>
      <c r="AA210" s="2730"/>
      <c r="AB210" s="2730"/>
      <c r="AC210" s="2730"/>
      <c r="AD210" s="2730"/>
      <c r="AE210" s="2730"/>
      <c r="AF210" s="2730"/>
      <c r="AG210" s="2730"/>
      <c r="AH210" s="2731"/>
      <c r="AI210" s="555"/>
    </row>
    <row r="211" spans="1:35" ht="41.25" customHeight="1">
      <c r="A211" s="5" t="s">
        <v>108</v>
      </c>
      <c r="B211" s="5" t="s">
        <v>4145</v>
      </c>
      <c r="C211" s="99" t="s">
        <v>110</v>
      </c>
      <c r="D211" s="95"/>
      <c r="E211" s="96" t="s">
        <v>111</v>
      </c>
      <c r="F211" s="97" t="s">
        <v>112</v>
      </c>
      <c r="G211" s="97" t="s">
        <v>113</v>
      </c>
      <c r="H211" s="98" t="s">
        <v>114</v>
      </c>
      <c r="I211" s="98" t="s">
        <v>115</v>
      </c>
      <c r="J211" s="2552" t="s">
        <v>116</v>
      </c>
      <c r="K211" s="2553"/>
      <c r="L211" s="2554"/>
      <c r="M211" s="599"/>
      <c r="N211" s="604" t="s">
        <v>4154</v>
      </c>
      <c r="O211" s="596" t="s">
        <v>4099</v>
      </c>
      <c r="P211" s="303" t="s">
        <v>4100</v>
      </c>
      <c r="Q211" s="241" t="s">
        <v>4101</v>
      </c>
      <c r="R211" s="241" t="s">
        <v>4102</v>
      </c>
      <c r="S211" s="241" t="s">
        <v>4103</v>
      </c>
      <c r="T211" s="241" t="s">
        <v>4104</v>
      </c>
      <c r="U211" s="241" t="s">
        <v>4105</v>
      </c>
      <c r="V211" s="125" t="s">
        <v>4106</v>
      </c>
      <c r="W211" s="241" t="s">
        <v>4107</v>
      </c>
      <c r="X211" s="180" t="s">
        <v>4108</v>
      </c>
      <c r="Y211" s="180" t="s">
        <v>4109</v>
      </c>
      <c r="Z211" s="180" t="s">
        <v>4110</v>
      </c>
      <c r="AA211" s="180" t="s">
        <v>4111</v>
      </c>
      <c r="AB211" s="180" t="s">
        <v>4112</v>
      </c>
      <c r="AC211" s="306" t="s">
        <v>4113</v>
      </c>
      <c r="AD211" s="307" t="s">
        <v>4114</v>
      </c>
      <c r="AE211" s="308" t="s">
        <v>4115</v>
      </c>
      <c r="AF211" s="124" t="s">
        <v>4116</v>
      </c>
      <c r="AG211" s="124" t="s">
        <v>4117</v>
      </c>
      <c r="AH211" s="124" t="s">
        <v>4118</v>
      </c>
      <c r="AI211" s="556"/>
    </row>
    <row r="212" spans="1:35" ht="24" customHeight="1">
      <c r="A212" s="36"/>
      <c r="B212" s="36"/>
      <c r="C212" s="2370" t="s">
        <v>4126</v>
      </c>
      <c r="D212" s="2385"/>
      <c r="E212" s="623"/>
      <c r="F212" s="1889"/>
      <c r="G212" s="1890"/>
      <c r="H212" s="2386" t="s">
        <v>117</v>
      </c>
      <c r="I212" s="2386" t="s">
        <v>117</v>
      </c>
      <c r="J212" s="2759"/>
      <c r="K212" s="2788"/>
      <c r="L212" s="2734"/>
      <c r="M212" s="600"/>
      <c r="N212" s="601"/>
      <c r="O212" s="597"/>
      <c r="P212" s="187"/>
      <c r="Q212" s="188"/>
      <c r="R212" s="188"/>
      <c r="S212" s="188"/>
      <c r="T212" s="188"/>
      <c r="U212" s="188"/>
      <c r="V212" s="188"/>
      <c r="W212" s="188"/>
      <c r="X212" s="189"/>
      <c r="Y212" s="189"/>
      <c r="Z212" s="189"/>
      <c r="AA212" s="189"/>
      <c r="AB212" s="189"/>
      <c r="AC212" s="188"/>
      <c r="AD212" s="309"/>
      <c r="AE212" s="310"/>
      <c r="AF212" s="188"/>
      <c r="AG212" s="188"/>
      <c r="AH212" s="188"/>
      <c r="AI212" s="557"/>
    </row>
    <row r="213" spans="1:35" s="37" customFormat="1" ht="24" customHeight="1">
      <c r="A213" s="36"/>
      <c r="B213" s="36"/>
      <c r="C213" s="1881"/>
      <c r="D213" s="2466"/>
      <c r="E213" s="621"/>
      <c r="F213" s="640"/>
      <c r="G213" s="641"/>
      <c r="H213" s="1882"/>
      <c r="I213" s="1883" t="str">
        <f t="shared" ref="I213:I230" si="15">IF(F213="","",INT(F213*H213))</f>
        <v/>
      </c>
      <c r="J213" s="1983"/>
      <c r="K213" s="1984"/>
      <c r="L213" s="2356"/>
      <c r="M213" s="602"/>
      <c r="N213" s="603"/>
      <c r="O213" s="597"/>
      <c r="P213" s="187"/>
      <c r="Q213" s="188"/>
      <c r="R213" s="188"/>
      <c r="S213" s="188"/>
      <c r="T213" s="188"/>
      <c r="U213" s="188"/>
      <c r="V213" s="188"/>
      <c r="W213" s="188"/>
      <c r="X213" s="189"/>
      <c r="Y213" s="189"/>
      <c r="Z213" s="189"/>
      <c r="AA213" s="189"/>
      <c r="AB213" s="189"/>
      <c r="AC213" s="188"/>
      <c r="AD213" s="309"/>
      <c r="AE213" s="310"/>
      <c r="AF213" s="188"/>
      <c r="AG213" s="188"/>
      <c r="AH213" s="519"/>
      <c r="AI213" s="557"/>
    </row>
    <row r="214" spans="1:35" s="37" customFormat="1" ht="24" customHeight="1">
      <c r="A214" s="36">
        <v>4</v>
      </c>
      <c r="B214" s="36">
        <v>4</v>
      </c>
      <c r="C214" s="1911">
        <v>25012</v>
      </c>
      <c r="D214" s="2472" t="s">
        <v>4219</v>
      </c>
      <c r="E214" s="1912" t="s">
        <v>4220</v>
      </c>
      <c r="F214" s="1913">
        <v>77</v>
      </c>
      <c r="G214" s="1914" t="s">
        <v>4193</v>
      </c>
      <c r="H214" s="1915">
        <v>29100</v>
      </c>
      <c r="I214" s="1919">
        <f t="shared" ref="I214:I219" si="16">IF(F214="","",INT(F214*H214))</f>
        <v>2240700</v>
      </c>
      <c r="J214" s="2475" t="s">
        <v>4221</v>
      </c>
      <c r="K214" s="2473"/>
      <c r="L214" s="2409"/>
      <c r="M214" s="602"/>
      <c r="N214" s="603" t="s">
        <v>4223</v>
      </c>
      <c r="O214" s="597"/>
      <c r="P214" s="187">
        <v>60</v>
      </c>
      <c r="Q214" s="188"/>
      <c r="R214" s="188"/>
      <c r="S214" s="188"/>
      <c r="T214" s="188"/>
      <c r="U214" s="188">
        <v>20</v>
      </c>
      <c r="V214" s="188"/>
      <c r="W214" s="188"/>
      <c r="X214" s="189"/>
      <c r="Y214" s="189"/>
      <c r="Z214" s="189"/>
      <c r="AA214" s="189"/>
      <c r="AB214" s="189"/>
      <c r="AC214" s="188"/>
      <c r="AD214" s="309"/>
      <c r="AE214" s="310"/>
      <c r="AF214" s="188"/>
      <c r="AG214" s="188"/>
      <c r="AH214" s="519"/>
      <c r="AI214" s="557"/>
    </row>
    <row r="215" spans="1:35" s="37" customFormat="1" ht="24" customHeight="1">
      <c r="A215" s="36">
        <v>4</v>
      </c>
      <c r="B215" s="36">
        <v>4</v>
      </c>
      <c r="C215" s="1911">
        <v>25012</v>
      </c>
      <c r="D215" s="2472" t="s">
        <v>4219</v>
      </c>
      <c r="E215" s="1912" t="s">
        <v>4220</v>
      </c>
      <c r="F215" s="1913">
        <v>136</v>
      </c>
      <c r="G215" s="1914" t="s">
        <v>4193</v>
      </c>
      <c r="H215" s="1915">
        <v>29100</v>
      </c>
      <c r="I215" s="1919">
        <f>IF(F215="","",INT(F215*H215))</f>
        <v>3957600</v>
      </c>
      <c r="J215" s="2475" t="s">
        <v>4221</v>
      </c>
      <c r="K215" s="2473" t="s">
        <v>4222</v>
      </c>
      <c r="L215" s="2409"/>
      <c r="M215" s="602"/>
      <c r="N215" s="603" t="s">
        <v>4223</v>
      </c>
      <c r="O215" s="597"/>
      <c r="P215" s="187">
        <v>60</v>
      </c>
      <c r="Q215" s="188"/>
      <c r="R215" s="188"/>
      <c r="S215" s="188"/>
      <c r="T215" s="188"/>
      <c r="U215" s="188">
        <v>20</v>
      </c>
      <c r="V215" s="188"/>
      <c r="W215" s="188"/>
      <c r="X215" s="189"/>
      <c r="Y215" s="189"/>
      <c r="Z215" s="189"/>
      <c r="AA215" s="189"/>
      <c r="AB215" s="189"/>
      <c r="AC215" s="188"/>
      <c r="AD215" s="309"/>
      <c r="AE215" s="310"/>
      <c r="AF215" s="188"/>
      <c r="AG215" s="188"/>
      <c r="AH215" s="519"/>
      <c r="AI215" s="557"/>
    </row>
    <row r="216" spans="1:35" s="37" customFormat="1" ht="24" customHeight="1">
      <c r="A216" s="36">
        <v>4</v>
      </c>
      <c r="B216" s="36">
        <v>4</v>
      </c>
      <c r="C216" s="1911">
        <v>23064</v>
      </c>
      <c r="D216" s="2472" t="s">
        <v>4348</v>
      </c>
      <c r="E216" s="1912" t="s">
        <v>4349</v>
      </c>
      <c r="F216" s="1913">
        <v>99.1</v>
      </c>
      <c r="G216" s="1914" t="s">
        <v>4449</v>
      </c>
      <c r="H216" s="1915">
        <v>9150</v>
      </c>
      <c r="I216" s="1919">
        <f t="shared" si="16"/>
        <v>906765</v>
      </c>
      <c r="J216" s="2475" t="s">
        <v>4450</v>
      </c>
      <c r="K216" s="2473"/>
      <c r="L216" s="2409"/>
      <c r="M216" s="602"/>
      <c r="N216" s="603" t="s">
        <v>4223</v>
      </c>
      <c r="O216" s="597"/>
      <c r="P216" s="187">
        <v>60</v>
      </c>
      <c r="Q216" s="188"/>
      <c r="R216" s="188"/>
      <c r="S216" s="188"/>
      <c r="T216" s="188"/>
      <c r="U216" s="188">
        <v>20</v>
      </c>
      <c r="V216" s="188"/>
      <c r="W216" s="188"/>
      <c r="X216" s="189"/>
      <c r="Y216" s="189"/>
      <c r="Z216" s="189"/>
      <c r="AA216" s="189"/>
      <c r="AB216" s="189"/>
      <c r="AC216" s="188"/>
      <c r="AD216" s="309"/>
      <c r="AE216" s="310"/>
      <c r="AF216" s="188"/>
      <c r="AG216" s="188"/>
      <c r="AH216" s="519"/>
      <c r="AI216" s="557"/>
    </row>
    <row r="217" spans="1:35" s="37" customFormat="1" ht="24" customHeight="1">
      <c r="A217" s="36">
        <v>4</v>
      </c>
      <c r="B217" s="36">
        <v>4</v>
      </c>
      <c r="C217" s="1881">
        <v>20020</v>
      </c>
      <c r="D217" s="1980" t="s">
        <v>4224</v>
      </c>
      <c r="E217" s="621" t="s">
        <v>4231</v>
      </c>
      <c r="F217" s="640">
        <v>312</v>
      </c>
      <c r="G217" s="641" t="s">
        <v>4202</v>
      </c>
      <c r="H217" s="1882">
        <v>330</v>
      </c>
      <c r="I217" s="1883">
        <f t="shared" si="16"/>
        <v>102960</v>
      </c>
      <c r="J217" s="1983"/>
      <c r="K217" s="1984" t="s">
        <v>4230</v>
      </c>
      <c r="L217" s="2356"/>
      <c r="M217" s="602"/>
      <c r="N217" s="603" t="s">
        <v>4223</v>
      </c>
      <c r="O217" s="597"/>
      <c r="P217" s="187"/>
      <c r="Q217" s="188"/>
      <c r="R217" s="188"/>
      <c r="S217" s="188"/>
      <c r="T217" s="188">
        <v>1.3</v>
      </c>
      <c r="U217" s="188"/>
      <c r="V217" s="188"/>
      <c r="W217" s="188"/>
      <c r="X217" s="189"/>
      <c r="Y217" s="189"/>
      <c r="Z217" s="189"/>
      <c r="AA217" s="189"/>
      <c r="AB217" s="189"/>
      <c r="AC217" s="188"/>
      <c r="AD217" s="309"/>
      <c r="AE217" s="310"/>
      <c r="AF217" s="188"/>
      <c r="AG217" s="188"/>
      <c r="AH217" s="519"/>
      <c r="AI217" s="557"/>
    </row>
    <row r="218" spans="1:35" s="37" customFormat="1" ht="24" customHeight="1">
      <c r="A218" s="36">
        <v>4</v>
      </c>
      <c r="B218" s="36">
        <v>4</v>
      </c>
      <c r="C218" s="1881">
        <v>20021</v>
      </c>
      <c r="D218" s="1980" t="s">
        <v>4224</v>
      </c>
      <c r="E218" s="621" t="s">
        <v>4231</v>
      </c>
      <c r="F218" s="640">
        <v>44</v>
      </c>
      <c r="G218" s="641" t="s">
        <v>4232</v>
      </c>
      <c r="H218" s="1882">
        <v>90</v>
      </c>
      <c r="I218" s="1883">
        <f t="shared" si="16"/>
        <v>3960</v>
      </c>
      <c r="J218" s="1983"/>
      <c r="K218" s="1984" t="s">
        <v>4393</v>
      </c>
      <c r="L218" s="2356"/>
      <c r="M218" s="602"/>
      <c r="N218" s="603" t="s">
        <v>4223</v>
      </c>
      <c r="O218" s="597"/>
      <c r="P218" s="187"/>
      <c r="Q218" s="188"/>
      <c r="R218" s="188"/>
      <c r="S218" s="188"/>
      <c r="T218" s="188">
        <v>0.39</v>
      </c>
      <c r="U218" s="188"/>
      <c r="V218" s="188"/>
      <c r="W218" s="188"/>
      <c r="X218" s="189"/>
      <c r="Y218" s="189"/>
      <c r="Z218" s="189"/>
      <c r="AA218" s="189"/>
      <c r="AB218" s="189"/>
      <c r="AC218" s="188"/>
      <c r="AD218" s="309"/>
      <c r="AE218" s="310"/>
      <c r="AF218" s="188"/>
      <c r="AG218" s="188"/>
      <c r="AH218" s="519"/>
      <c r="AI218" s="557"/>
    </row>
    <row r="219" spans="1:35" s="37" customFormat="1" ht="24" customHeight="1">
      <c r="A219" s="36">
        <v>4</v>
      </c>
      <c r="B219" s="36">
        <v>4</v>
      </c>
      <c r="C219" s="1881">
        <v>20020</v>
      </c>
      <c r="D219" s="1980" t="s">
        <v>4224</v>
      </c>
      <c r="E219" s="621" t="s">
        <v>4231</v>
      </c>
      <c r="F219" s="640">
        <v>387</v>
      </c>
      <c r="G219" s="641" t="s">
        <v>4202</v>
      </c>
      <c r="H219" s="1882">
        <v>330</v>
      </c>
      <c r="I219" s="1883">
        <f t="shared" si="16"/>
        <v>127710</v>
      </c>
      <c r="J219" s="1983"/>
      <c r="K219" s="1984"/>
      <c r="L219" s="2356"/>
      <c r="M219" s="602"/>
      <c r="N219" s="603" t="s">
        <v>4223</v>
      </c>
      <c r="O219" s="597"/>
      <c r="P219" s="187"/>
      <c r="Q219" s="188"/>
      <c r="R219" s="188"/>
      <c r="S219" s="188"/>
      <c r="T219" s="188">
        <v>1.3</v>
      </c>
      <c r="U219" s="188"/>
      <c r="V219" s="188"/>
      <c r="W219" s="188"/>
      <c r="X219" s="189"/>
      <c r="Y219" s="189"/>
      <c r="Z219" s="189"/>
      <c r="AA219" s="189"/>
      <c r="AB219" s="189"/>
      <c r="AC219" s="188"/>
      <c r="AD219" s="309"/>
      <c r="AE219" s="310"/>
      <c r="AF219" s="188"/>
      <c r="AG219" s="188"/>
      <c r="AH219" s="519"/>
      <c r="AI219" s="557"/>
    </row>
    <row r="220" spans="1:35" s="37" customFormat="1" ht="24" customHeight="1">
      <c r="A220" s="36"/>
      <c r="B220" s="36"/>
      <c r="C220" s="1881"/>
      <c r="D220" s="2466"/>
      <c r="E220" s="621"/>
      <c r="F220" s="640"/>
      <c r="G220" s="641"/>
      <c r="H220" s="1882"/>
      <c r="I220" s="1883" t="str">
        <f t="shared" ref="I220:I228" si="17">IF(F220="","",INT(F220*H220))</f>
        <v/>
      </c>
      <c r="J220" s="1983"/>
      <c r="K220" s="1984"/>
      <c r="L220" s="2356"/>
      <c r="M220" s="602"/>
      <c r="N220" s="603"/>
      <c r="O220" s="597"/>
      <c r="P220" s="187"/>
      <c r="Q220" s="188"/>
      <c r="R220" s="188"/>
      <c r="S220" s="188"/>
      <c r="T220" s="188"/>
      <c r="U220" s="188"/>
      <c r="V220" s="188"/>
      <c r="W220" s="188"/>
      <c r="X220" s="189"/>
      <c r="Y220" s="189"/>
      <c r="Z220" s="189"/>
      <c r="AA220" s="189"/>
      <c r="AB220" s="189"/>
      <c r="AC220" s="188"/>
      <c r="AD220" s="309"/>
      <c r="AE220" s="310"/>
      <c r="AF220" s="188"/>
      <c r="AG220" s="188"/>
      <c r="AH220" s="519"/>
      <c r="AI220" s="557"/>
    </row>
    <row r="221" spans="1:35" s="37" customFormat="1" ht="24" customHeight="1">
      <c r="A221" s="36">
        <v>4</v>
      </c>
      <c r="B221" s="36">
        <v>4</v>
      </c>
      <c r="C221" s="1881">
        <v>23512</v>
      </c>
      <c r="D221" s="1980" t="s">
        <v>4224</v>
      </c>
      <c r="E221" s="621" t="s">
        <v>4236</v>
      </c>
      <c r="F221" s="640">
        <v>77</v>
      </c>
      <c r="G221" s="641" t="s">
        <v>4237</v>
      </c>
      <c r="H221" s="1882">
        <v>2680</v>
      </c>
      <c r="I221" s="1883">
        <f>IF(F221="","",INT(F221*H221))</f>
        <v>206360</v>
      </c>
      <c r="J221" s="1983"/>
      <c r="K221" s="1984" t="s">
        <v>4451</v>
      </c>
      <c r="L221" s="2356"/>
      <c r="M221" s="602"/>
      <c r="N221" s="603" t="s">
        <v>4223</v>
      </c>
      <c r="O221" s="597"/>
      <c r="P221" s="187"/>
      <c r="Q221" s="188"/>
      <c r="R221" s="188"/>
      <c r="S221" s="188"/>
      <c r="T221" s="188"/>
      <c r="U221" s="188"/>
      <c r="V221" s="188"/>
      <c r="W221" s="188"/>
      <c r="X221" s="189"/>
      <c r="Y221" s="189"/>
      <c r="Z221" s="189"/>
      <c r="AA221" s="189"/>
      <c r="AB221" s="189"/>
      <c r="AC221" s="188"/>
      <c r="AD221" s="309"/>
      <c r="AE221" s="310">
        <v>20</v>
      </c>
      <c r="AF221" s="188"/>
      <c r="AG221" s="188"/>
      <c r="AH221" s="519"/>
      <c r="AI221" s="557"/>
    </row>
    <row r="222" spans="1:35" s="37" customFormat="1" ht="24" customHeight="1">
      <c r="A222" s="36">
        <v>4</v>
      </c>
      <c r="B222" s="36">
        <v>4</v>
      </c>
      <c r="C222" s="1881">
        <v>23512</v>
      </c>
      <c r="D222" s="1980" t="s">
        <v>4224</v>
      </c>
      <c r="E222" s="621" t="s">
        <v>4236</v>
      </c>
      <c r="F222" s="640">
        <v>2.9</v>
      </c>
      <c r="G222" s="641" t="s">
        <v>4237</v>
      </c>
      <c r="H222" s="1882">
        <v>2680</v>
      </c>
      <c r="I222" s="1883">
        <f>IF(F222="","",INT(F222*H222))</f>
        <v>7772</v>
      </c>
      <c r="J222" s="1983"/>
      <c r="K222" s="1984" t="s">
        <v>4268</v>
      </c>
      <c r="L222" s="2356"/>
      <c r="M222" s="602"/>
      <c r="N222" s="603" t="s">
        <v>4223</v>
      </c>
      <c r="O222" s="597"/>
      <c r="P222" s="187"/>
      <c r="Q222" s="188"/>
      <c r="R222" s="188"/>
      <c r="S222" s="188"/>
      <c r="T222" s="188"/>
      <c r="U222" s="188"/>
      <c r="V222" s="188"/>
      <c r="W222" s="188"/>
      <c r="X222" s="189"/>
      <c r="Y222" s="189"/>
      <c r="Z222" s="189"/>
      <c r="AA222" s="189"/>
      <c r="AB222" s="189"/>
      <c r="AC222" s="188"/>
      <c r="AD222" s="309"/>
      <c r="AE222" s="310"/>
      <c r="AF222" s="188">
        <v>20</v>
      </c>
      <c r="AG222" s="188"/>
      <c r="AH222" s="519"/>
      <c r="AI222" s="557"/>
    </row>
    <row r="223" spans="1:35" s="37" customFormat="1" ht="24" customHeight="1">
      <c r="A223" s="36"/>
      <c r="B223" s="36"/>
      <c r="C223" s="1881"/>
      <c r="D223" s="2466"/>
      <c r="E223" s="621"/>
      <c r="F223" s="640"/>
      <c r="G223" s="641"/>
      <c r="H223" s="1882"/>
      <c r="I223" s="1883" t="str">
        <f t="shared" si="17"/>
        <v/>
      </c>
      <c r="J223" s="1983"/>
      <c r="K223" s="1984"/>
      <c r="L223" s="2356"/>
      <c r="M223" s="602"/>
      <c r="N223" s="603"/>
      <c r="O223" s="597"/>
      <c r="P223" s="187"/>
      <c r="Q223" s="188"/>
      <c r="R223" s="188"/>
      <c r="S223" s="188"/>
      <c r="T223" s="188"/>
      <c r="U223" s="188"/>
      <c r="V223" s="188"/>
      <c r="W223" s="188"/>
      <c r="X223" s="189"/>
      <c r="Y223" s="189"/>
      <c r="Z223" s="189"/>
      <c r="AA223" s="189"/>
      <c r="AB223" s="189"/>
      <c r="AC223" s="188"/>
      <c r="AD223" s="309"/>
      <c r="AE223" s="310"/>
      <c r="AF223" s="188"/>
      <c r="AG223" s="188"/>
      <c r="AH223" s="519"/>
      <c r="AI223" s="557"/>
    </row>
    <row r="224" spans="1:35" s="37" customFormat="1" ht="24" customHeight="1">
      <c r="A224" s="36">
        <v>4</v>
      </c>
      <c r="B224" s="36">
        <v>4</v>
      </c>
      <c r="C224" s="1881">
        <v>23090</v>
      </c>
      <c r="D224" s="1980" t="s">
        <v>4238</v>
      </c>
      <c r="E224" s="621" t="s">
        <v>4239</v>
      </c>
      <c r="F224" s="640">
        <v>587</v>
      </c>
      <c r="G224" s="641" t="s">
        <v>4237</v>
      </c>
      <c r="H224" s="1882">
        <v>2280</v>
      </c>
      <c r="I224" s="1883">
        <f>IF(F224="","",INT(F224*H224))</f>
        <v>1338360</v>
      </c>
      <c r="J224" s="1983" t="s">
        <v>4240</v>
      </c>
      <c r="K224" s="1984"/>
      <c r="L224" s="2356"/>
      <c r="M224" s="602"/>
      <c r="N224" s="603" t="s">
        <v>4223</v>
      </c>
      <c r="O224" s="597">
        <v>0</v>
      </c>
      <c r="P224" s="187"/>
      <c r="Q224" s="188"/>
      <c r="R224" s="188"/>
      <c r="S224" s="188"/>
      <c r="T224" s="188"/>
      <c r="U224" s="188"/>
      <c r="V224" s="188"/>
      <c r="W224" s="188"/>
      <c r="X224" s="189"/>
      <c r="Y224" s="189"/>
      <c r="Z224" s="189"/>
      <c r="AA224" s="189"/>
      <c r="AB224" s="189"/>
      <c r="AC224" s="188"/>
      <c r="AD224" s="309"/>
      <c r="AE224" s="310"/>
      <c r="AF224" s="188"/>
      <c r="AG224" s="188"/>
      <c r="AH224" s="519"/>
      <c r="AI224" s="557"/>
    </row>
    <row r="225" spans="1:35" s="37" customFormat="1" ht="24" customHeight="1">
      <c r="A225" s="36"/>
      <c r="B225" s="36"/>
      <c r="C225" s="1881"/>
      <c r="D225" s="2466"/>
      <c r="E225" s="621"/>
      <c r="F225" s="640"/>
      <c r="G225" s="641"/>
      <c r="H225" s="1882"/>
      <c r="I225" s="1883" t="str">
        <f t="shared" si="17"/>
        <v/>
      </c>
      <c r="J225" s="1983"/>
      <c r="K225" s="1984"/>
      <c r="L225" s="2356"/>
      <c r="M225" s="602"/>
      <c r="N225" s="603"/>
      <c r="O225" s="597"/>
      <c r="P225" s="187"/>
      <c r="Q225" s="188"/>
      <c r="R225" s="188"/>
      <c r="S225" s="188"/>
      <c r="T225" s="188"/>
      <c r="U225" s="188"/>
      <c r="V225" s="188"/>
      <c r="W225" s="188"/>
      <c r="X225" s="189"/>
      <c r="Y225" s="189"/>
      <c r="Z225" s="189"/>
      <c r="AA225" s="189"/>
      <c r="AB225" s="189"/>
      <c r="AC225" s="188"/>
      <c r="AD225" s="309"/>
      <c r="AE225" s="310"/>
      <c r="AF225" s="188"/>
      <c r="AG225" s="188"/>
      <c r="AH225" s="519"/>
      <c r="AI225" s="557"/>
    </row>
    <row r="226" spans="1:35" s="37" customFormat="1" ht="24" customHeight="1">
      <c r="A226" s="36">
        <v>3</v>
      </c>
      <c r="B226" s="36">
        <v>3</v>
      </c>
      <c r="C226" s="1881">
        <v>20060</v>
      </c>
      <c r="D226" s="1980" t="s">
        <v>4241</v>
      </c>
      <c r="E226" s="621" t="s">
        <v>4242</v>
      </c>
      <c r="F226" s="640">
        <f>ROUND('6'!M3*0.001,2)</f>
        <v>0.33</v>
      </c>
      <c r="G226" s="641" t="s">
        <v>4243</v>
      </c>
      <c r="H226" s="1882">
        <v>920</v>
      </c>
      <c r="I226" s="1883">
        <f>IF(F226="","",INT(F226*H226))</f>
        <v>303</v>
      </c>
      <c r="J226" s="1983" t="s">
        <v>4244</v>
      </c>
      <c r="K226" s="1984"/>
      <c r="L226" s="2356"/>
      <c r="M226" s="602"/>
      <c r="N226" s="603" t="s">
        <v>4223</v>
      </c>
      <c r="O226" s="597">
        <v>0</v>
      </c>
      <c r="P226" s="187"/>
      <c r="Q226" s="188"/>
      <c r="R226" s="188"/>
      <c r="S226" s="188"/>
      <c r="T226" s="188"/>
      <c r="U226" s="188"/>
      <c r="V226" s="188"/>
      <c r="W226" s="188"/>
      <c r="X226" s="189"/>
      <c r="Y226" s="189"/>
      <c r="Z226" s="189"/>
      <c r="AA226" s="189"/>
      <c r="AB226" s="189"/>
      <c r="AC226" s="188"/>
      <c r="AD226" s="309"/>
      <c r="AE226" s="310"/>
      <c r="AF226" s="188"/>
      <c r="AG226" s="188"/>
      <c r="AH226" s="519"/>
      <c r="AI226" s="557"/>
    </row>
    <row r="227" spans="1:35" s="37" customFormat="1" ht="24" customHeight="1">
      <c r="A227" s="36">
        <v>3</v>
      </c>
      <c r="B227" s="36">
        <v>3</v>
      </c>
      <c r="C227" s="1881">
        <v>20061</v>
      </c>
      <c r="D227" s="1980" t="s">
        <v>4241</v>
      </c>
      <c r="E227" s="621" t="s">
        <v>4245</v>
      </c>
      <c r="F227" s="640">
        <f>ROUND('6'!M2*0.001,2)</f>
        <v>0.33</v>
      </c>
      <c r="G227" s="641" t="s">
        <v>4246</v>
      </c>
      <c r="H227" s="1882">
        <f>10900*L227</f>
        <v>17440</v>
      </c>
      <c r="I227" s="1883">
        <f>IF(F227="","",INT(F227*H227))</f>
        <v>5755</v>
      </c>
      <c r="J227" s="1983" t="s">
        <v>4247</v>
      </c>
      <c r="K227" s="1984"/>
      <c r="L227" s="2356">
        <v>1.6</v>
      </c>
      <c r="M227" s="602"/>
      <c r="N227" s="603" t="s">
        <v>4223</v>
      </c>
      <c r="O227" s="597">
        <v>0</v>
      </c>
      <c r="P227" s="187"/>
      <c r="Q227" s="188"/>
      <c r="R227" s="188"/>
      <c r="S227" s="188"/>
      <c r="T227" s="188"/>
      <c r="U227" s="188"/>
      <c r="V227" s="188"/>
      <c r="W227" s="188"/>
      <c r="X227" s="189"/>
      <c r="Y227" s="189"/>
      <c r="Z227" s="189"/>
      <c r="AA227" s="189"/>
      <c r="AB227" s="189"/>
      <c r="AC227" s="188"/>
      <c r="AD227" s="309"/>
      <c r="AE227" s="310"/>
      <c r="AF227" s="188"/>
      <c r="AG227" s="188"/>
      <c r="AH227" s="519"/>
      <c r="AI227" s="557"/>
    </row>
    <row r="228" spans="1:35" s="37" customFormat="1" ht="24" customHeight="1">
      <c r="A228" s="36"/>
      <c r="B228" s="36"/>
      <c r="C228" s="1881"/>
      <c r="D228" s="2466"/>
      <c r="E228" s="621"/>
      <c r="F228" s="640"/>
      <c r="G228" s="641"/>
      <c r="H228" s="1882"/>
      <c r="I228" s="1883" t="str">
        <f t="shared" si="17"/>
        <v/>
      </c>
      <c r="J228" s="1983"/>
      <c r="K228" s="1984"/>
      <c r="L228" s="2356"/>
      <c r="M228" s="602"/>
      <c r="N228" s="603"/>
      <c r="O228" s="597"/>
      <c r="P228" s="187"/>
      <c r="Q228" s="188"/>
      <c r="R228" s="188"/>
      <c r="S228" s="188"/>
      <c r="T228" s="188"/>
      <c r="U228" s="188"/>
      <c r="V228" s="188"/>
      <c r="W228" s="188"/>
      <c r="X228" s="189"/>
      <c r="Y228" s="189"/>
      <c r="Z228" s="189"/>
      <c r="AA228" s="189"/>
      <c r="AB228" s="189"/>
      <c r="AC228" s="188"/>
      <c r="AD228" s="309"/>
      <c r="AE228" s="310"/>
      <c r="AF228" s="188"/>
      <c r="AG228" s="188"/>
      <c r="AH228" s="519"/>
      <c r="AI228" s="557"/>
    </row>
    <row r="229" spans="1:35" s="37" customFormat="1" ht="24" customHeight="1">
      <c r="A229" s="36"/>
      <c r="B229" s="36"/>
      <c r="C229" s="1881"/>
      <c r="D229" s="1980"/>
      <c r="E229" s="621"/>
      <c r="F229" s="640"/>
      <c r="G229" s="641"/>
      <c r="H229" s="1882"/>
      <c r="I229" s="1883"/>
      <c r="J229" s="1983"/>
      <c r="K229" s="1984"/>
      <c r="L229" s="2356"/>
      <c r="M229" s="602"/>
      <c r="N229" s="603"/>
      <c r="O229" s="597"/>
      <c r="P229" s="187"/>
      <c r="Q229" s="188"/>
      <c r="R229" s="188"/>
      <c r="S229" s="188"/>
      <c r="T229" s="188"/>
      <c r="U229" s="188"/>
      <c r="V229" s="188"/>
      <c r="W229" s="188"/>
      <c r="X229" s="189"/>
      <c r="Y229" s="189"/>
      <c r="Z229" s="189"/>
      <c r="AA229" s="189"/>
      <c r="AB229" s="189"/>
      <c r="AC229" s="188"/>
      <c r="AD229" s="309"/>
      <c r="AE229" s="310"/>
      <c r="AF229" s="188"/>
      <c r="AG229" s="188"/>
      <c r="AH229" s="519"/>
      <c r="AI229" s="557"/>
    </row>
    <row r="230" spans="1:35" s="37" customFormat="1" ht="24" customHeight="1">
      <c r="A230" s="36"/>
      <c r="B230" s="36"/>
      <c r="C230" s="1881"/>
      <c r="D230" s="2466"/>
      <c r="E230" s="621"/>
      <c r="F230" s="640"/>
      <c r="G230" s="641"/>
      <c r="H230" s="1882"/>
      <c r="I230" s="1883" t="str">
        <f t="shared" si="15"/>
        <v/>
      </c>
      <c r="J230" s="1983"/>
      <c r="K230" s="1984"/>
      <c r="L230" s="2356"/>
      <c r="M230" s="602"/>
      <c r="N230" s="603"/>
      <c r="O230" s="597"/>
      <c r="P230" s="187"/>
      <c r="Q230" s="188"/>
      <c r="R230" s="188"/>
      <c r="S230" s="188"/>
      <c r="T230" s="188"/>
      <c r="U230" s="188"/>
      <c r="V230" s="188"/>
      <c r="W230" s="188"/>
      <c r="X230" s="189"/>
      <c r="Y230" s="189"/>
      <c r="Z230" s="189"/>
      <c r="AA230" s="189"/>
      <c r="AB230" s="189"/>
      <c r="AC230" s="188"/>
      <c r="AD230" s="309"/>
      <c r="AE230" s="310"/>
      <c r="AF230" s="188"/>
      <c r="AG230" s="188"/>
      <c r="AH230" s="519"/>
      <c r="AI230" s="557"/>
    </row>
    <row r="231" spans="1:35" ht="24" customHeight="1" thickBot="1">
      <c r="A231" s="36"/>
      <c r="B231" s="36"/>
      <c r="C231" s="2070"/>
      <c r="D231" s="2075"/>
      <c r="E231" s="2071"/>
      <c r="F231" s="2072"/>
      <c r="G231" s="2453"/>
      <c r="H231" s="2465"/>
      <c r="I231" s="2476">
        <f>SUM(I213:I230)</f>
        <v>8898245</v>
      </c>
      <c r="J231" s="2467"/>
      <c r="K231" s="2477">
        <f>IF(C212="部分撤去工事",(K208+L231),0)</f>
        <v>8898245</v>
      </c>
      <c r="L231" s="2469">
        <f>IF(C212="部分撤去工事",SUMIF(N213:N230,"費用",I213:I230),0)</f>
        <v>8898245</v>
      </c>
      <c r="M231" s="2470"/>
      <c r="N231" s="2471"/>
      <c r="O231" s="597"/>
      <c r="P231" s="187"/>
      <c r="Q231" s="188"/>
      <c r="R231" s="188"/>
      <c r="S231" s="188"/>
      <c r="T231" s="188"/>
      <c r="U231" s="188"/>
      <c r="V231" s="188"/>
      <c r="W231" s="188"/>
      <c r="X231" s="189"/>
      <c r="Y231" s="189"/>
      <c r="Z231" s="189"/>
      <c r="AA231" s="189"/>
      <c r="AB231" s="189"/>
      <c r="AC231" s="188"/>
      <c r="AD231" s="309"/>
      <c r="AE231" s="310"/>
      <c r="AF231" s="188"/>
      <c r="AG231" s="188"/>
      <c r="AH231" s="188"/>
      <c r="AI231" s="557"/>
    </row>
    <row r="232" spans="1:35" ht="14.25" customHeight="1">
      <c r="E232" s="101" t="s">
        <v>130</v>
      </c>
      <c r="F232" s="102">
        <f>+F209+1</f>
        <v>55</v>
      </c>
      <c r="G232" s="103" t="s">
        <v>131</v>
      </c>
      <c r="H232" s="104">
        <f>+H209</f>
        <v>69</v>
      </c>
      <c r="I232" s="104"/>
      <c r="M232" s="598" t="str">
        <f>IF(A234="","EOL","")</f>
        <v/>
      </c>
      <c r="N232" s="1">
        <f>+F232</f>
        <v>55</v>
      </c>
      <c r="Q232" s="37"/>
      <c r="R232" s="37"/>
      <c r="S232" s="37"/>
      <c r="T232" s="37"/>
      <c r="U232" s="37"/>
      <c r="V232" s="37"/>
      <c r="W232" s="37"/>
      <c r="X232" s="37"/>
      <c r="Y232" s="37"/>
      <c r="Z232" s="37"/>
    </row>
    <row r="233" spans="1:35" ht="26.1" customHeight="1" thickBot="1">
      <c r="C233" s="2517" t="s">
        <v>107</v>
      </c>
      <c r="D233" s="2517"/>
      <c r="E233" s="2517"/>
      <c r="F233" s="2517"/>
      <c r="G233" s="2517"/>
      <c r="H233" s="2517"/>
      <c r="I233" s="2517"/>
      <c r="J233" s="2517"/>
      <c r="K233" s="2517"/>
      <c r="L233" s="2517"/>
      <c r="N233" s="1"/>
      <c r="O233" s="2730" t="s">
        <v>4098</v>
      </c>
      <c r="P233" s="2730"/>
      <c r="Q233" s="2730"/>
      <c r="R233" s="2730"/>
      <c r="S233" s="2730"/>
      <c r="T233" s="2730"/>
      <c r="U233" s="2730"/>
      <c r="V233" s="2730"/>
      <c r="W233" s="2730"/>
      <c r="X233" s="2730"/>
      <c r="Y233" s="2730"/>
      <c r="Z233" s="2730"/>
      <c r="AA233" s="2730"/>
      <c r="AB233" s="2730"/>
      <c r="AC233" s="2730"/>
      <c r="AD233" s="2730"/>
      <c r="AE233" s="2730"/>
      <c r="AF233" s="2730"/>
      <c r="AG233" s="2730"/>
      <c r="AH233" s="2731"/>
      <c r="AI233" s="555"/>
    </row>
    <row r="234" spans="1:35" ht="41.25" customHeight="1">
      <c r="A234" s="5" t="s">
        <v>108</v>
      </c>
      <c r="B234" s="5" t="s">
        <v>4145</v>
      </c>
      <c r="C234" s="99" t="s">
        <v>110</v>
      </c>
      <c r="D234" s="95"/>
      <c r="E234" s="96" t="s">
        <v>111</v>
      </c>
      <c r="F234" s="97" t="s">
        <v>112</v>
      </c>
      <c r="G234" s="97" t="s">
        <v>113</v>
      </c>
      <c r="H234" s="98" t="s">
        <v>114</v>
      </c>
      <c r="I234" s="98" t="s">
        <v>115</v>
      </c>
      <c r="J234" s="2552" t="s">
        <v>116</v>
      </c>
      <c r="K234" s="2553"/>
      <c r="L234" s="2554"/>
      <c r="M234" s="599"/>
      <c r="N234" s="604" t="s">
        <v>4154</v>
      </c>
      <c r="O234" s="596" t="s">
        <v>4099</v>
      </c>
      <c r="P234" s="303" t="s">
        <v>4100</v>
      </c>
      <c r="Q234" s="241" t="s">
        <v>4101</v>
      </c>
      <c r="R234" s="241" t="s">
        <v>4102</v>
      </c>
      <c r="S234" s="241" t="s">
        <v>4103</v>
      </c>
      <c r="T234" s="241" t="s">
        <v>4104</v>
      </c>
      <c r="U234" s="241" t="s">
        <v>4105</v>
      </c>
      <c r="V234" s="125" t="s">
        <v>4106</v>
      </c>
      <c r="W234" s="241" t="s">
        <v>4107</v>
      </c>
      <c r="X234" s="180" t="s">
        <v>4108</v>
      </c>
      <c r="Y234" s="180" t="s">
        <v>4109</v>
      </c>
      <c r="Z234" s="180" t="s">
        <v>4110</v>
      </c>
      <c r="AA234" s="180" t="s">
        <v>4111</v>
      </c>
      <c r="AB234" s="180" t="s">
        <v>4112</v>
      </c>
      <c r="AC234" s="306" t="s">
        <v>4113</v>
      </c>
      <c r="AD234" s="307" t="s">
        <v>4114</v>
      </c>
      <c r="AE234" s="308" t="s">
        <v>4115</v>
      </c>
      <c r="AF234" s="124" t="s">
        <v>4116</v>
      </c>
      <c r="AG234" s="124" t="s">
        <v>4117</v>
      </c>
      <c r="AH234" s="124" t="s">
        <v>4118</v>
      </c>
      <c r="AI234" s="556"/>
    </row>
    <row r="235" spans="1:35" ht="24" customHeight="1">
      <c r="A235" s="36"/>
      <c r="B235" s="36"/>
      <c r="C235" s="2370" t="s">
        <v>4126</v>
      </c>
      <c r="D235" s="2385"/>
      <c r="E235" s="623"/>
      <c r="F235" s="1889"/>
      <c r="G235" s="1890"/>
      <c r="H235" s="2386" t="s">
        <v>117</v>
      </c>
      <c r="I235" s="2386" t="s">
        <v>117</v>
      </c>
      <c r="J235" s="2759"/>
      <c r="K235" s="2788"/>
      <c r="L235" s="2734"/>
      <c r="M235" s="600"/>
      <c r="N235" s="601"/>
      <c r="O235" s="597"/>
      <c r="P235" s="187"/>
      <c r="Q235" s="188"/>
      <c r="R235" s="188"/>
      <c r="S235" s="188"/>
      <c r="T235" s="188"/>
      <c r="U235" s="188"/>
      <c r="V235" s="188"/>
      <c r="W235" s="188"/>
      <c r="X235" s="189"/>
      <c r="Y235" s="189"/>
      <c r="Z235" s="189"/>
      <c r="AA235" s="189"/>
      <c r="AB235" s="189"/>
      <c r="AC235" s="188"/>
      <c r="AD235" s="309"/>
      <c r="AE235" s="310"/>
      <c r="AF235" s="188"/>
      <c r="AG235" s="188"/>
      <c r="AH235" s="188"/>
      <c r="AI235" s="557"/>
    </row>
    <row r="236" spans="1:35" s="37" customFormat="1" ht="24" customHeight="1">
      <c r="A236" s="36"/>
      <c r="B236" s="36"/>
      <c r="C236" s="1881"/>
      <c r="D236" s="2466"/>
      <c r="E236" s="621"/>
      <c r="F236" s="640"/>
      <c r="G236" s="641"/>
      <c r="H236" s="1882"/>
      <c r="I236" s="1883" t="str">
        <f t="shared" ref="I236:I253" si="18">IF(F236="","",INT(F236*H236))</f>
        <v/>
      </c>
      <c r="J236" s="1983"/>
      <c r="K236" s="1984"/>
      <c r="L236" s="2356"/>
      <c r="M236" s="602"/>
      <c r="N236" s="603"/>
      <c r="O236" s="597"/>
      <c r="P236" s="187"/>
      <c r="Q236" s="188"/>
      <c r="R236" s="188"/>
      <c r="S236" s="188"/>
      <c r="T236" s="188"/>
      <c r="U236" s="188"/>
      <c r="V236" s="188"/>
      <c r="W236" s="188"/>
      <c r="X236" s="189"/>
      <c r="Y236" s="189"/>
      <c r="Z236" s="189"/>
      <c r="AA236" s="189"/>
      <c r="AB236" s="189"/>
      <c r="AC236" s="188"/>
      <c r="AD236" s="309"/>
      <c r="AE236" s="310"/>
      <c r="AF236" s="188"/>
      <c r="AG236" s="188"/>
      <c r="AH236" s="519"/>
      <c r="AI236" s="557"/>
    </row>
    <row r="237" spans="1:35" s="37" customFormat="1" ht="24" customHeight="1">
      <c r="A237" s="36">
        <v>4</v>
      </c>
      <c r="B237" s="36">
        <v>4</v>
      </c>
      <c r="C237" s="1881">
        <v>20060</v>
      </c>
      <c r="D237" s="1980" t="s">
        <v>4248</v>
      </c>
      <c r="E237" s="621" t="s">
        <v>4396</v>
      </c>
      <c r="F237" s="640">
        <f>ROUND('6'!N3*0.001,1)</f>
        <v>8.1999999999999993</v>
      </c>
      <c r="G237" s="641" t="s">
        <v>4262</v>
      </c>
      <c r="H237" s="1882">
        <v>920</v>
      </c>
      <c r="I237" s="1883">
        <f>IF(F237="","",INT(F237*H237))</f>
        <v>7544</v>
      </c>
      <c r="J237" s="1983" t="s">
        <v>4397</v>
      </c>
      <c r="K237" s="1984"/>
      <c r="L237" s="2356"/>
      <c r="M237" s="602"/>
      <c r="N237" s="603" t="s">
        <v>4223</v>
      </c>
      <c r="O237" s="597">
        <v>0</v>
      </c>
      <c r="P237" s="187"/>
      <c r="Q237" s="188"/>
      <c r="R237" s="188"/>
      <c r="S237" s="188"/>
      <c r="T237" s="188"/>
      <c r="U237" s="188"/>
      <c r="V237" s="188"/>
      <c r="W237" s="188"/>
      <c r="X237" s="189"/>
      <c r="Y237" s="189"/>
      <c r="Z237" s="189"/>
      <c r="AA237" s="189"/>
      <c r="AB237" s="189"/>
      <c r="AC237" s="188"/>
      <c r="AD237" s="309"/>
      <c r="AE237" s="310"/>
      <c r="AF237" s="188"/>
      <c r="AG237" s="188"/>
      <c r="AH237" s="519"/>
      <c r="AI237" s="557"/>
    </row>
    <row r="238" spans="1:35" s="37" customFormat="1" ht="24" customHeight="1">
      <c r="A238" s="36">
        <v>4</v>
      </c>
      <c r="B238" s="36">
        <v>4</v>
      </c>
      <c r="C238" s="1881">
        <v>20061</v>
      </c>
      <c r="D238" s="1980" t="s">
        <v>4248</v>
      </c>
      <c r="E238" s="621" t="s">
        <v>4249</v>
      </c>
      <c r="F238" s="640">
        <f>ROUND('6'!N2*0.001,1)</f>
        <v>35.700000000000003</v>
      </c>
      <c r="G238" s="641" t="s">
        <v>4250</v>
      </c>
      <c r="H238" s="1882">
        <f>10900*L238</f>
        <v>25069.999999999996</v>
      </c>
      <c r="I238" s="1883">
        <f>IF(F238="","",INT(F238*H238))</f>
        <v>894999</v>
      </c>
      <c r="J238" s="1983" t="s">
        <v>4251</v>
      </c>
      <c r="K238" s="1984"/>
      <c r="L238" s="2356">
        <v>2.2999999999999998</v>
      </c>
      <c r="M238" s="602"/>
      <c r="N238" s="603" t="s">
        <v>4223</v>
      </c>
      <c r="O238" s="597">
        <v>0</v>
      </c>
      <c r="P238" s="187"/>
      <c r="Q238" s="188"/>
      <c r="R238" s="188"/>
      <c r="S238" s="188"/>
      <c r="T238" s="188"/>
      <c r="U238" s="188"/>
      <c r="V238" s="188"/>
      <c r="W238" s="188"/>
      <c r="X238" s="189"/>
      <c r="Y238" s="189"/>
      <c r="Z238" s="189"/>
      <c r="AA238" s="189"/>
      <c r="AB238" s="189"/>
      <c r="AC238" s="188"/>
      <c r="AD238" s="309"/>
      <c r="AE238" s="310"/>
      <c r="AF238" s="188"/>
      <c r="AG238" s="188"/>
      <c r="AH238" s="519"/>
      <c r="AI238" s="557"/>
    </row>
    <row r="239" spans="1:35" s="37" customFormat="1" ht="24" customHeight="1">
      <c r="A239" s="36"/>
      <c r="B239" s="36"/>
      <c r="C239" s="1881"/>
      <c r="D239" s="2466"/>
      <c r="E239" s="621"/>
      <c r="F239" s="640"/>
      <c r="G239" s="641"/>
      <c r="H239" s="1882"/>
      <c r="I239" s="1883" t="str">
        <f t="shared" ref="I239" si="19">IF(F239="","",INT(F239*H239))</f>
        <v/>
      </c>
      <c r="J239" s="1983"/>
      <c r="K239" s="1984"/>
      <c r="L239" s="2356"/>
      <c r="M239" s="602"/>
      <c r="N239" s="603"/>
      <c r="O239" s="597"/>
      <c r="P239" s="187"/>
      <c r="Q239" s="188"/>
      <c r="R239" s="188"/>
      <c r="S239" s="188"/>
      <c r="T239" s="188"/>
      <c r="U239" s="188"/>
      <c r="V239" s="188"/>
      <c r="W239" s="188"/>
      <c r="X239" s="189"/>
      <c r="Y239" s="189"/>
      <c r="Z239" s="189"/>
      <c r="AA239" s="189"/>
      <c r="AB239" s="189"/>
      <c r="AC239" s="188"/>
      <c r="AD239" s="309"/>
      <c r="AE239" s="310"/>
      <c r="AF239" s="188"/>
      <c r="AG239" s="188"/>
      <c r="AH239" s="519"/>
      <c r="AI239" s="557"/>
    </row>
    <row r="240" spans="1:35" s="37" customFormat="1" ht="24" customHeight="1">
      <c r="A240" s="36">
        <v>4</v>
      </c>
      <c r="B240" s="36">
        <v>4</v>
      </c>
      <c r="C240" s="1881">
        <v>24020</v>
      </c>
      <c r="D240" s="1980" t="s">
        <v>4252</v>
      </c>
      <c r="E240" s="621" t="s">
        <v>4253</v>
      </c>
      <c r="F240" s="640">
        <f>ROUND('6'!V2*0.001,1)</f>
        <v>27.5</v>
      </c>
      <c r="G240" s="641" t="s">
        <v>4246</v>
      </c>
      <c r="H240" s="1882">
        <v>4410</v>
      </c>
      <c r="I240" s="1883">
        <f>IF(F240="","",INT(F240*H240))</f>
        <v>121275</v>
      </c>
      <c r="J240" s="1983"/>
      <c r="K240" s="1984"/>
      <c r="L240" s="2356"/>
      <c r="M240" s="602"/>
      <c r="N240" s="603" t="s">
        <v>4223</v>
      </c>
      <c r="O240" s="597">
        <v>0</v>
      </c>
      <c r="P240" s="187"/>
      <c r="Q240" s="188"/>
      <c r="R240" s="188"/>
      <c r="S240" s="188"/>
      <c r="T240" s="188"/>
      <c r="U240" s="188"/>
      <c r="V240" s="188"/>
      <c r="W240" s="188"/>
      <c r="X240" s="189"/>
      <c r="Y240" s="189"/>
      <c r="Z240" s="189"/>
      <c r="AA240" s="189"/>
      <c r="AB240" s="189"/>
      <c r="AC240" s="188"/>
      <c r="AD240" s="309"/>
      <c r="AE240" s="310"/>
      <c r="AF240" s="188"/>
      <c r="AG240" s="188"/>
      <c r="AH240" s="519"/>
      <c r="AI240" s="557"/>
    </row>
    <row r="241" spans="1:35" s="37" customFormat="1" ht="24" customHeight="1">
      <c r="A241" s="36"/>
      <c r="B241" s="36"/>
      <c r="C241" s="1881"/>
      <c r="D241" s="1980"/>
      <c r="E241" s="621"/>
      <c r="F241" s="640"/>
      <c r="G241" s="641"/>
      <c r="H241" s="1882"/>
      <c r="I241" s="1883"/>
      <c r="J241" s="1983"/>
      <c r="K241" s="1984"/>
      <c r="L241" s="2356"/>
      <c r="M241" s="602"/>
      <c r="N241" s="603"/>
      <c r="O241" s="597"/>
      <c r="P241" s="187"/>
      <c r="Q241" s="188"/>
      <c r="R241" s="188"/>
      <c r="S241" s="188"/>
      <c r="T241" s="188"/>
      <c r="U241" s="188"/>
      <c r="V241" s="188"/>
      <c r="W241" s="188"/>
      <c r="X241" s="189"/>
      <c r="Y241" s="189"/>
      <c r="Z241" s="189"/>
      <c r="AA241" s="189"/>
      <c r="AB241" s="189"/>
      <c r="AC241" s="188"/>
      <c r="AD241" s="309"/>
      <c r="AE241" s="310"/>
      <c r="AF241" s="188"/>
      <c r="AG241" s="188"/>
      <c r="AH241" s="519"/>
      <c r="AI241" s="557"/>
    </row>
    <row r="242" spans="1:35" s="37" customFormat="1" ht="24" customHeight="1">
      <c r="A242" s="36"/>
      <c r="B242" s="36"/>
      <c r="C242" s="1881"/>
      <c r="D242" s="2466"/>
      <c r="E242" s="621"/>
      <c r="F242" s="640"/>
      <c r="G242" s="641"/>
      <c r="H242" s="1882"/>
      <c r="I242" s="1883" t="str">
        <f t="shared" si="18"/>
        <v/>
      </c>
      <c r="J242" s="1983"/>
      <c r="K242" s="1984"/>
      <c r="L242" s="2356"/>
      <c r="M242" s="602"/>
      <c r="N242" s="603"/>
      <c r="O242" s="597"/>
      <c r="P242" s="187"/>
      <c r="Q242" s="188"/>
      <c r="R242" s="188"/>
      <c r="S242" s="188"/>
      <c r="T242" s="188"/>
      <c r="U242" s="188"/>
      <c r="V242" s="188"/>
      <c r="W242" s="188"/>
      <c r="X242" s="189"/>
      <c r="Y242" s="189"/>
      <c r="Z242" s="189"/>
      <c r="AA242" s="189"/>
      <c r="AB242" s="189"/>
      <c r="AC242" s="188"/>
      <c r="AD242" s="309"/>
      <c r="AE242" s="310"/>
      <c r="AF242" s="188"/>
      <c r="AG242" s="188"/>
      <c r="AH242" s="519"/>
      <c r="AI242" s="557"/>
    </row>
    <row r="243" spans="1:35" s="37" customFormat="1" ht="24" customHeight="1">
      <c r="A243" s="36">
        <v>4</v>
      </c>
      <c r="B243" s="36">
        <v>4</v>
      </c>
      <c r="C243" s="1881"/>
      <c r="D243" s="1980" t="s">
        <v>4256</v>
      </c>
      <c r="E243" s="621" t="s">
        <v>4257</v>
      </c>
      <c r="F243" s="640">
        <v>1</v>
      </c>
      <c r="G243" s="641" t="s">
        <v>122</v>
      </c>
      <c r="H243" s="1882"/>
      <c r="I243" s="1883">
        <f>+[7]残材運搬費按分表!$T$91</f>
        <v>295715</v>
      </c>
      <c r="J243" s="1983" t="s">
        <v>4147</v>
      </c>
      <c r="K243" s="1984"/>
      <c r="L243" s="2356"/>
      <c r="M243" s="602"/>
      <c r="N243" s="603" t="s">
        <v>4223</v>
      </c>
      <c r="O243" s="597">
        <v>0</v>
      </c>
      <c r="P243" s="187"/>
      <c r="Q243" s="188"/>
      <c r="R243" s="188"/>
      <c r="S243" s="188"/>
      <c r="T243" s="188"/>
      <c r="U243" s="188"/>
      <c r="V243" s="188"/>
      <c r="W243" s="188"/>
      <c r="X243" s="189"/>
      <c r="Y243" s="189"/>
      <c r="Z243" s="189"/>
      <c r="AA243" s="189"/>
      <c r="AB243" s="189"/>
      <c r="AC243" s="188"/>
      <c r="AD243" s="309"/>
      <c r="AE243" s="310"/>
      <c r="AF243" s="188"/>
      <c r="AG243" s="188"/>
      <c r="AH243" s="519"/>
      <c r="AI243" s="557"/>
    </row>
    <row r="244" spans="1:35" s="37" customFormat="1" ht="24" customHeight="1">
      <c r="A244" s="36">
        <v>4</v>
      </c>
      <c r="B244" s="36">
        <v>4</v>
      </c>
      <c r="C244" s="1881"/>
      <c r="D244" s="1980" t="s">
        <v>4256</v>
      </c>
      <c r="E244" s="621" t="s">
        <v>4258</v>
      </c>
      <c r="F244" s="640">
        <v>1</v>
      </c>
      <c r="G244" s="641" t="s">
        <v>122</v>
      </c>
      <c r="H244" s="1882"/>
      <c r="I244" s="1883">
        <f>+[7]スクラップ運搬費按分表!$T$91</f>
        <v>22700</v>
      </c>
      <c r="J244" s="1983" t="s">
        <v>4149</v>
      </c>
      <c r="K244" s="1984"/>
      <c r="L244" s="2356"/>
      <c r="M244" s="602"/>
      <c r="N244" s="603" t="s">
        <v>4223</v>
      </c>
      <c r="O244" s="597">
        <v>0</v>
      </c>
      <c r="P244" s="187"/>
      <c r="Q244" s="188"/>
      <c r="R244" s="188"/>
      <c r="S244" s="188"/>
      <c r="T244" s="188"/>
      <c r="U244" s="188"/>
      <c r="V244" s="188"/>
      <c r="W244" s="188"/>
      <c r="X244" s="189"/>
      <c r="Y244" s="189"/>
      <c r="Z244" s="189"/>
      <c r="AA244" s="189"/>
      <c r="AB244" s="189"/>
      <c r="AC244" s="188"/>
      <c r="AD244" s="309"/>
      <c r="AE244" s="310"/>
      <c r="AF244" s="188"/>
      <c r="AG244" s="188"/>
      <c r="AH244" s="519"/>
      <c r="AI244" s="557"/>
    </row>
    <row r="245" spans="1:35" s="37" customFormat="1" ht="24" customHeight="1">
      <c r="A245" s="36"/>
      <c r="B245" s="36"/>
      <c r="C245" s="1881"/>
      <c r="D245" s="2466"/>
      <c r="E245" s="621"/>
      <c r="F245" s="640"/>
      <c r="G245" s="641"/>
      <c r="H245" s="1882"/>
      <c r="I245" s="1883" t="str">
        <f t="shared" si="18"/>
        <v/>
      </c>
      <c r="J245" s="1983"/>
      <c r="K245" s="1984"/>
      <c r="L245" s="2356"/>
      <c r="M245" s="602"/>
      <c r="N245" s="603"/>
      <c r="O245" s="597"/>
      <c r="P245" s="187"/>
      <c r="Q245" s="188"/>
      <c r="R245" s="188"/>
      <c r="S245" s="188"/>
      <c r="T245" s="188"/>
      <c r="U245" s="188"/>
      <c r="V245" s="188"/>
      <c r="W245" s="188"/>
      <c r="X245" s="189"/>
      <c r="Y245" s="189"/>
      <c r="Z245" s="189"/>
      <c r="AA245" s="189"/>
      <c r="AB245" s="189"/>
      <c r="AC245" s="188"/>
      <c r="AD245" s="309"/>
      <c r="AE245" s="310"/>
      <c r="AF245" s="188"/>
      <c r="AG245" s="188"/>
      <c r="AH245" s="519"/>
      <c r="AI245" s="557"/>
    </row>
    <row r="246" spans="1:35" s="37" customFormat="1" ht="24" customHeight="1">
      <c r="A246" s="36">
        <v>4</v>
      </c>
      <c r="B246" s="36">
        <v>4</v>
      </c>
      <c r="C246" s="1881">
        <v>24063</v>
      </c>
      <c r="D246" s="1980" t="s">
        <v>4260</v>
      </c>
      <c r="E246" s="621" t="s">
        <v>4261</v>
      </c>
      <c r="F246" s="640">
        <f>ROUND('6'!E39*0.001,1)</f>
        <v>18.7</v>
      </c>
      <c r="G246" s="641" t="s">
        <v>4262</v>
      </c>
      <c r="H246" s="1882">
        <v>1180</v>
      </c>
      <c r="I246" s="1883">
        <f>IF(F246="","",INT(F246*H246))</f>
        <v>22066</v>
      </c>
      <c r="J246" s="1983"/>
      <c r="K246" s="1984"/>
      <c r="L246" s="2356"/>
      <c r="M246" s="602"/>
      <c r="N246" s="603" t="s">
        <v>4223</v>
      </c>
      <c r="O246" s="597">
        <v>0</v>
      </c>
      <c r="P246" s="187"/>
      <c r="Q246" s="188"/>
      <c r="R246" s="188"/>
      <c r="S246" s="188"/>
      <c r="T246" s="188"/>
      <c r="U246" s="188"/>
      <c r="V246" s="188"/>
      <c r="W246" s="188"/>
      <c r="X246" s="189"/>
      <c r="Y246" s="189"/>
      <c r="Z246" s="189"/>
      <c r="AA246" s="189"/>
      <c r="AB246" s="189"/>
      <c r="AC246" s="188"/>
      <c r="AD246" s="309"/>
      <c r="AE246" s="310"/>
      <c r="AF246" s="188"/>
      <c r="AG246" s="188"/>
      <c r="AH246" s="519"/>
      <c r="AI246" s="557"/>
    </row>
    <row r="247" spans="1:35" s="37" customFormat="1" ht="24" customHeight="1">
      <c r="A247" s="36">
        <v>4</v>
      </c>
      <c r="B247" s="36">
        <v>4</v>
      </c>
      <c r="C247" s="1881">
        <v>24008</v>
      </c>
      <c r="D247" s="1980" t="s">
        <v>4260</v>
      </c>
      <c r="E247" s="621" t="s">
        <v>4263</v>
      </c>
      <c r="F247" s="640">
        <f>ROUND('6'!I39*0.001,2)</f>
        <v>0.93</v>
      </c>
      <c r="G247" s="641" t="s">
        <v>4262</v>
      </c>
      <c r="H247" s="1882">
        <v>12900</v>
      </c>
      <c r="I247" s="1883">
        <f>IF(F247="","",INT(F247*H247))</f>
        <v>11997</v>
      </c>
      <c r="J247" s="1983"/>
      <c r="K247" s="1984"/>
      <c r="L247" s="2356"/>
      <c r="M247" s="602"/>
      <c r="N247" s="603" t="s">
        <v>4223</v>
      </c>
      <c r="O247" s="597">
        <v>0</v>
      </c>
      <c r="P247" s="187"/>
      <c r="Q247" s="188"/>
      <c r="R247" s="188"/>
      <c r="S247" s="188"/>
      <c r="T247" s="188"/>
      <c r="U247" s="188"/>
      <c r="V247" s="188"/>
      <c r="W247" s="188"/>
      <c r="X247" s="189"/>
      <c r="Y247" s="189"/>
      <c r="Z247" s="189"/>
      <c r="AA247" s="189"/>
      <c r="AB247" s="189"/>
      <c r="AC247" s="188"/>
      <c r="AD247" s="309"/>
      <c r="AE247" s="310"/>
      <c r="AF247" s="188"/>
      <c r="AG247" s="188"/>
      <c r="AH247" s="519"/>
      <c r="AI247" s="557"/>
    </row>
    <row r="248" spans="1:35" s="37" customFormat="1" ht="24" customHeight="1">
      <c r="A248" s="36">
        <v>4</v>
      </c>
      <c r="B248" s="36">
        <v>4</v>
      </c>
      <c r="C248" s="1881">
        <v>24006</v>
      </c>
      <c r="D248" s="1980" t="s">
        <v>4260</v>
      </c>
      <c r="E248" s="621" t="s">
        <v>4264</v>
      </c>
      <c r="F248" s="640">
        <f>ROUND('6'!J39*0.001,1)</f>
        <v>6.2</v>
      </c>
      <c r="G248" s="641" t="s">
        <v>4250</v>
      </c>
      <c r="H248" s="1882">
        <v>10000</v>
      </c>
      <c r="I248" s="1883">
        <f>IF(F248="","",INT(F248*H248))</f>
        <v>62000</v>
      </c>
      <c r="J248" s="1983"/>
      <c r="K248" s="1984"/>
      <c r="L248" s="2356"/>
      <c r="M248" s="602"/>
      <c r="N248" s="603" t="s">
        <v>4223</v>
      </c>
      <c r="O248" s="597">
        <v>0</v>
      </c>
      <c r="P248" s="187"/>
      <c r="Q248" s="188"/>
      <c r="R248" s="188"/>
      <c r="S248" s="188"/>
      <c r="T248" s="188"/>
      <c r="U248" s="188"/>
      <c r="V248" s="188"/>
      <c r="W248" s="188"/>
      <c r="X248" s="189"/>
      <c r="Y248" s="189"/>
      <c r="Z248" s="189"/>
      <c r="AA248" s="189"/>
      <c r="AB248" s="189"/>
      <c r="AC248" s="188"/>
      <c r="AD248" s="309"/>
      <c r="AE248" s="310"/>
      <c r="AF248" s="188"/>
      <c r="AG248" s="188"/>
      <c r="AH248" s="519"/>
      <c r="AI248" s="557"/>
    </row>
    <row r="249" spans="1:35" s="37" customFormat="1" ht="24" customHeight="1">
      <c r="A249" s="36"/>
      <c r="B249" s="36"/>
      <c r="C249" s="1881"/>
      <c r="D249" s="1980"/>
      <c r="E249" s="621"/>
      <c r="F249" s="640"/>
      <c r="G249" s="641"/>
      <c r="H249" s="1882"/>
      <c r="I249" s="1883"/>
      <c r="J249" s="1983"/>
      <c r="K249" s="1984"/>
      <c r="L249" s="2356"/>
      <c r="M249" s="602"/>
      <c r="N249" s="603"/>
      <c r="O249" s="597"/>
      <c r="P249" s="187"/>
      <c r="Q249" s="188"/>
      <c r="R249" s="188"/>
      <c r="S249" s="188"/>
      <c r="T249" s="188"/>
      <c r="U249" s="188"/>
      <c r="V249" s="188"/>
      <c r="W249" s="188"/>
      <c r="X249" s="189"/>
      <c r="Y249" s="189"/>
      <c r="Z249" s="189"/>
      <c r="AA249" s="189"/>
      <c r="AB249" s="189"/>
      <c r="AC249" s="188"/>
      <c r="AD249" s="309"/>
      <c r="AE249" s="310"/>
      <c r="AF249" s="188"/>
      <c r="AG249" s="188"/>
      <c r="AH249" s="519"/>
      <c r="AI249" s="557"/>
    </row>
    <row r="250" spans="1:35" s="37" customFormat="1" ht="24" customHeight="1">
      <c r="A250" s="36"/>
      <c r="B250" s="36"/>
      <c r="C250" s="1881"/>
      <c r="D250" s="2466" t="s">
        <v>4267</v>
      </c>
      <c r="E250" s="621" t="s">
        <v>4451</v>
      </c>
      <c r="F250" s="640">
        <f>ROUND('6'!T39*0.001,1)</f>
        <v>1.5</v>
      </c>
      <c r="G250" s="641" t="s">
        <v>4262</v>
      </c>
      <c r="H250" s="1882">
        <v>-18500</v>
      </c>
      <c r="I250" s="1883">
        <f t="shared" ref="I250" si="20">IF(F250="","",INT(F250*H250))</f>
        <v>-27750</v>
      </c>
      <c r="J250" s="1983" t="s">
        <v>4452</v>
      </c>
      <c r="K250" s="1984"/>
      <c r="L250" s="2356"/>
      <c r="M250" s="602"/>
      <c r="N250" s="603" t="s">
        <v>4223</v>
      </c>
      <c r="O250" s="597"/>
      <c r="P250" s="187"/>
      <c r="Q250" s="188"/>
      <c r="R250" s="188"/>
      <c r="S250" s="188"/>
      <c r="T250" s="188"/>
      <c r="U250" s="188"/>
      <c r="V250" s="188"/>
      <c r="W250" s="188"/>
      <c r="X250" s="189"/>
      <c r="Y250" s="189"/>
      <c r="Z250" s="189"/>
      <c r="AA250" s="189"/>
      <c r="AB250" s="189"/>
      <c r="AC250" s="188"/>
      <c r="AD250" s="309"/>
      <c r="AE250" s="310"/>
      <c r="AF250" s="188"/>
      <c r="AG250" s="188"/>
      <c r="AH250" s="519"/>
      <c r="AI250" s="557"/>
    </row>
    <row r="251" spans="1:35" s="37" customFormat="1" ht="24" customHeight="1">
      <c r="A251" s="36"/>
      <c r="B251" s="36"/>
      <c r="C251" s="1881"/>
      <c r="D251" s="2466" t="s">
        <v>4267</v>
      </c>
      <c r="E251" s="621" t="s">
        <v>4268</v>
      </c>
      <c r="F251" s="640">
        <f>ROUND('6'!U39*0.001,2)</f>
        <v>0.06</v>
      </c>
      <c r="G251" s="641" t="s">
        <v>4262</v>
      </c>
      <c r="H251" s="1882">
        <v>-80000</v>
      </c>
      <c r="I251" s="1883">
        <f t="shared" ref="I251" si="21">IF(F251="","",INT(F251*H251))</f>
        <v>-4800</v>
      </c>
      <c r="J251" s="1983" t="s">
        <v>4269</v>
      </c>
      <c r="K251" s="1984"/>
      <c r="L251" s="2356"/>
      <c r="M251" s="602"/>
      <c r="N251" s="603" t="s">
        <v>4223</v>
      </c>
      <c r="O251" s="597"/>
      <c r="P251" s="187"/>
      <c r="Q251" s="188"/>
      <c r="R251" s="188"/>
      <c r="S251" s="188"/>
      <c r="T251" s="188"/>
      <c r="U251" s="188"/>
      <c r="V251" s="188"/>
      <c r="W251" s="188"/>
      <c r="X251" s="189"/>
      <c r="Y251" s="189"/>
      <c r="Z251" s="189"/>
      <c r="AA251" s="189"/>
      <c r="AB251" s="189"/>
      <c r="AC251" s="188"/>
      <c r="AD251" s="309"/>
      <c r="AE251" s="310"/>
      <c r="AF251" s="188"/>
      <c r="AG251" s="188"/>
      <c r="AH251" s="519"/>
      <c r="AI251" s="557"/>
    </row>
    <row r="252" spans="1:35" s="37" customFormat="1" ht="24" customHeight="1">
      <c r="A252" s="36"/>
      <c r="B252" s="36"/>
      <c r="C252" s="1881"/>
      <c r="D252" s="2466"/>
      <c r="E252" s="621"/>
      <c r="F252" s="640"/>
      <c r="G252" s="641"/>
      <c r="H252" s="1882"/>
      <c r="I252" s="1883"/>
      <c r="J252" s="1983"/>
      <c r="K252" s="1984"/>
      <c r="L252" s="2356"/>
      <c r="M252" s="602"/>
      <c r="N252" s="603"/>
      <c r="O252" s="597"/>
      <c r="P252" s="187"/>
      <c r="Q252" s="188"/>
      <c r="R252" s="188"/>
      <c r="S252" s="188"/>
      <c r="T252" s="188"/>
      <c r="U252" s="188"/>
      <c r="V252" s="188"/>
      <c r="W252" s="188"/>
      <c r="X252" s="189"/>
      <c r="Y252" s="189"/>
      <c r="Z252" s="189"/>
      <c r="AA252" s="189"/>
      <c r="AB252" s="189"/>
      <c r="AC252" s="188"/>
      <c r="AD252" s="309"/>
      <c r="AE252" s="310"/>
      <c r="AF252" s="188"/>
      <c r="AG252" s="188"/>
      <c r="AH252" s="519"/>
      <c r="AI252" s="557"/>
    </row>
    <row r="253" spans="1:35" s="37" customFormat="1" ht="24" customHeight="1">
      <c r="A253" s="36"/>
      <c r="B253" s="36"/>
      <c r="C253" s="1881"/>
      <c r="D253" s="2466"/>
      <c r="E253" s="621"/>
      <c r="F253" s="640"/>
      <c r="G253" s="641"/>
      <c r="H253" s="1882"/>
      <c r="I253" s="1883" t="str">
        <f t="shared" si="18"/>
        <v/>
      </c>
      <c r="J253" s="1983"/>
      <c r="K253" s="1984"/>
      <c r="L253" s="2356"/>
      <c r="M253" s="602"/>
      <c r="N253" s="603"/>
      <c r="O253" s="597"/>
      <c r="P253" s="187"/>
      <c r="Q253" s="188"/>
      <c r="R253" s="188"/>
      <c r="S253" s="188"/>
      <c r="T253" s="188"/>
      <c r="U253" s="188"/>
      <c r="V253" s="188"/>
      <c r="W253" s="188"/>
      <c r="X253" s="189"/>
      <c r="Y253" s="189"/>
      <c r="Z253" s="189"/>
      <c r="AA253" s="189"/>
      <c r="AB253" s="189"/>
      <c r="AC253" s="188"/>
      <c r="AD253" s="309"/>
      <c r="AE253" s="310"/>
      <c r="AF253" s="188"/>
      <c r="AG253" s="188"/>
      <c r="AH253" s="519"/>
      <c r="AI253" s="557"/>
    </row>
    <row r="254" spans="1:35" ht="24" customHeight="1" thickBot="1">
      <c r="A254" s="36"/>
      <c r="B254" s="36"/>
      <c r="C254" s="2070"/>
      <c r="D254" s="2075" t="s">
        <v>4144</v>
      </c>
      <c r="E254" s="2071"/>
      <c r="F254" s="2072"/>
      <c r="G254" s="2453"/>
      <c r="H254" s="2465" t="s">
        <v>4131</v>
      </c>
      <c r="I254" s="2074">
        <f>SUM(I236:I253)+I231</f>
        <v>10303991</v>
      </c>
      <c r="J254" s="2478" t="str">
        <f>IF(C235="部分撤去工事","）うち費用",")")</f>
        <v>）うち費用</v>
      </c>
      <c r="K254" s="2477">
        <f>IF(C235="部分撤去工事",(K231+L254),0)</f>
        <v>10303991</v>
      </c>
      <c r="L254" s="2469">
        <f>IF(C235="部分撤去工事",SUMIF(N236:N253,"費用",I236:I253),0)</f>
        <v>1405746</v>
      </c>
      <c r="M254" s="2470"/>
      <c r="N254" s="2471"/>
      <c r="O254" s="597"/>
      <c r="P254" s="187"/>
      <c r="Q254" s="188"/>
      <c r="R254" s="188"/>
      <c r="S254" s="188"/>
      <c r="T254" s="188"/>
      <c r="U254" s="188"/>
      <c r="V254" s="188"/>
      <c r="W254" s="188"/>
      <c r="X254" s="189"/>
      <c r="Y254" s="189"/>
      <c r="Z254" s="189"/>
      <c r="AA254" s="189"/>
      <c r="AB254" s="189"/>
      <c r="AC254" s="188"/>
      <c r="AD254" s="309"/>
      <c r="AE254" s="310"/>
      <c r="AF254" s="188"/>
      <c r="AG254" s="188"/>
      <c r="AH254" s="188"/>
      <c r="AI254" s="557"/>
    </row>
    <row r="255" spans="1:35" ht="14.25" customHeight="1">
      <c r="E255" s="101" t="s">
        <v>130</v>
      </c>
      <c r="F255" s="102">
        <f>+F232+1</f>
        <v>56</v>
      </c>
      <c r="G255" s="103" t="s">
        <v>131</v>
      </c>
      <c r="H255" s="104">
        <f>+H232</f>
        <v>69</v>
      </c>
      <c r="I255" s="104"/>
      <c r="M255" s="598" t="str">
        <f>IF(A257="","EOL","")</f>
        <v>EOL</v>
      </c>
      <c r="N255" s="1">
        <f>+F255</f>
        <v>56</v>
      </c>
      <c r="Q255" s="37"/>
      <c r="R255" s="37"/>
      <c r="S255" s="37"/>
      <c r="T255" s="37"/>
      <c r="U255" s="37"/>
      <c r="V255" s="37"/>
      <c r="W255" s="37"/>
      <c r="X255" s="37"/>
      <c r="Y255" s="37"/>
      <c r="Z255" s="37"/>
    </row>
    <row r="256" spans="1:35" ht="26.1" customHeight="1">
      <c r="O256" s="185"/>
      <c r="P256" s="185"/>
      <c r="Q256" s="185"/>
      <c r="R256" s="185"/>
      <c r="S256" s="185"/>
      <c r="T256" s="185"/>
      <c r="U256" s="185"/>
      <c r="V256" s="185"/>
      <c r="W256" s="185"/>
      <c r="X256" s="185"/>
      <c r="Y256" s="185"/>
      <c r="Z256" s="185"/>
      <c r="AA256" s="185"/>
    </row>
    <row r="257" spans="15:27" ht="26.1" customHeight="1">
      <c r="O257" s="1990"/>
      <c r="P257" s="1990"/>
      <c r="Q257" s="181"/>
      <c r="R257" s="182"/>
      <c r="S257" s="183"/>
      <c r="T257" s="183"/>
      <c r="U257" s="181"/>
      <c r="V257" s="181"/>
      <c r="W257" s="183"/>
      <c r="X257" s="1990"/>
      <c r="Y257" s="1990"/>
      <c r="Z257" s="1990"/>
      <c r="AA257" s="1990"/>
    </row>
    <row r="258" spans="15:27" ht="26.1" customHeight="1">
      <c r="O258" s="184"/>
      <c r="P258" s="184"/>
      <c r="Q258" s="181"/>
      <c r="R258" s="181"/>
      <c r="S258" s="181"/>
      <c r="T258" s="181"/>
      <c r="U258" s="181"/>
      <c r="V258" s="181"/>
      <c r="W258" s="181"/>
      <c r="X258" s="181"/>
      <c r="Y258" s="181"/>
      <c r="Z258" s="181"/>
      <c r="AA258" s="181"/>
    </row>
    <row r="259" spans="15:27" ht="26.1" customHeight="1">
      <c r="O259" s="184"/>
      <c r="P259" s="184"/>
      <c r="Q259" s="181"/>
      <c r="R259" s="181"/>
      <c r="S259" s="181"/>
      <c r="T259" s="181"/>
      <c r="U259" s="181"/>
      <c r="V259" s="181"/>
      <c r="W259" s="181"/>
      <c r="X259" s="181"/>
      <c r="Y259" s="181"/>
      <c r="Z259" s="181"/>
      <c r="AA259" s="181"/>
    </row>
    <row r="260" spans="15:27" ht="26.1" customHeight="1">
      <c r="O260" s="184"/>
      <c r="P260" s="184"/>
      <c r="Q260" s="181"/>
      <c r="R260" s="181"/>
      <c r="S260" s="181"/>
      <c r="T260" s="181"/>
      <c r="U260" s="181"/>
      <c r="V260" s="181"/>
      <c r="W260" s="181"/>
      <c r="X260" s="181"/>
      <c r="Y260" s="181"/>
      <c r="Z260" s="181"/>
      <c r="AA260" s="181"/>
    </row>
    <row r="261" spans="15:27" ht="26.1" customHeight="1">
      <c r="O261" s="184"/>
      <c r="P261" s="184"/>
      <c r="Q261" s="181"/>
      <c r="R261" s="181"/>
      <c r="S261" s="181"/>
      <c r="T261" s="181"/>
      <c r="U261" s="181"/>
      <c r="V261" s="181"/>
      <c r="W261" s="181"/>
      <c r="X261" s="181"/>
      <c r="Y261" s="181"/>
      <c r="Z261" s="181"/>
      <c r="AA261" s="181"/>
    </row>
    <row r="262" spans="15:27" ht="26.1" customHeight="1">
      <c r="O262" s="184"/>
      <c r="P262" s="184"/>
      <c r="Q262" s="181"/>
      <c r="R262" s="181"/>
      <c r="S262" s="181"/>
      <c r="T262" s="181"/>
      <c r="U262" s="181"/>
      <c r="V262" s="181"/>
      <c r="W262" s="181"/>
      <c r="X262" s="181"/>
      <c r="Y262" s="181"/>
      <c r="Z262" s="181"/>
      <c r="AA262" s="181"/>
    </row>
    <row r="263" spans="15:27" ht="26.1" customHeight="1">
      <c r="O263" s="184"/>
      <c r="P263" s="184"/>
      <c r="Q263" s="181"/>
      <c r="R263" s="181"/>
      <c r="S263" s="181"/>
      <c r="T263" s="181"/>
      <c r="U263" s="181"/>
      <c r="V263" s="181"/>
      <c r="W263" s="181"/>
      <c r="X263" s="181"/>
      <c r="Y263" s="181"/>
      <c r="Z263" s="181"/>
      <c r="AA263" s="181"/>
    </row>
    <row r="264" spans="15:27" ht="26.1" customHeight="1">
      <c r="O264" s="184"/>
      <c r="P264" s="184"/>
      <c r="Q264" s="181"/>
      <c r="R264" s="181"/>
      <c r="S264" s="181"/>
      <c r="T264" s="181"/>
      <c r="U264" s="181"/>
      <c r="V264" s="181"/>
      <c r="W264" s="181"/>
      <c r="X264" s="181"/>
      <c r="Y264" s="181"/>
      <c r="Z264" s="181"/>
      <c r="AA264" s="181"/>
    </row>
    <row r="265" spans="15:27" ht="26.1" customHeight="1">
      <c r="O265" s="184"/>
      <c r="P265" s="184"/>
      <c r="Q265" s="181"/>
      <c r="R265" s="181"/>
      <c r="S265" s="181"/>
      <c r="T265" s="181"/>
      <c r="U265" s="181"/>
      <c r="V265" s="181"/>
      <c r="W265" s="181"/>
      <c r="X265" s="181"/>
      <c r="Y265" s="181"/>
      <c r="Z265" s="181"/>
      <c r="AA265" s="181"/>
    </row>
    <row r="266" spans="15:27" ht="26.1" customHeight="1">
      <c r="O266" s="184"/>
      <c r="P266" s="184"/>
      <c r="Q266" s="181"/>
      <c r="R266" s="181"/>
      <c r="S266" s="181"/>
      <c r="T266" s="181"/>
      <c r="U266" s="181"/>
      <c r="V266" s="181"/>
      <c r="W266" s="181"/>
      <c r="X266" s="181"/>
      <c r="Y266" s="181"/>
      <c r="Z266" s="181"/>
      <c r="AA266" s="181"/>
    </row>
    <row r="267" spans="15:27" ht="26.1" customHeight="1">
      <c r="O267" s="184"/>
      <c r="P267" s="184"/>
      <c r="Q267" s="181"/>
      <c r="R267" s="181"/>
      <c r="S267" s="181"/>
      <c r="T267" s="181"/>
      <c r="U267" s="181"/>
      <c r="V267" s="181"/>
      <c r="W267" s="181"/>
      <c r="X267" s="181"/>
      <c r="Y267" s="181"/>
      <c r="Z267" s="181"/>
      <c r="AA267" s="181"/>
    </row>
    <row r="268" spans="15:27" ht="26.1" customHeight="1">
      <c r="O268" s="184"/>
      <c r="P268" s="184"/>
      <c r="Q268" s="181"/>
      <c r="R268" s="181"/>
      <c r="S268" s="181"/>
      <c r="T268" s="181"/>
      <c r="U268" s="181"/>
      <c r="V268" s="181"/>
      <c r="W268" s="181"/>
      <c r="X268" s="181"/>
      <c r="Y268" s="181"/>
      <c r="Z268" s="181"/>
      <c r="AA268" s="181"/>
    </row>
    <row r="269" spans="15:27" ht="26.1" customHeight="1">
      <c r="O269" s="184"/>
      <c r="P269" s="184"/>
      <c r="Q269" s="181"/>
      <c r="R269" s="181"/>
      <c r="S269" s="181"/>
      <c r="T269" s="181"/>
      <c r="U269" s="181"/>
      <c r="V269" s="181"/>
      <c r="W269" s="181"/>
      <c r="X269" s="181"/>
      <c r="Y269" s="181"/>
      <c r="Z269" s="181"/>
      <c r="AA269" s="181"/>
    </row>
    <row r="270" spans="15:27" ht="26.1" customHeight="1">
      <c r="O270" s="184"/>
      <c r="P270" s="184"/>
      <c r="Q270" s="181"/>
      <c r="R270" s="181"/>
      <c r="S270" s="181"/>
      <c r="T270" s="181"/>
      <c r="U270" s="181"/>
      <c r="V270" s="181"/>
      <c r="W270" s="181"/>
      <c r="X270" s="181"/>
      <c r="Y270" s="181"/>
      <c r="Z270" s="181"/>
      <c r="AA270" s="181"/>
    </row>
    <row r="271" spans="15:27" ht="26.1" customHeight="1">
      <c r="O271" s="184"/>
      <c r="P271" s="184"/>
      <c r="Q271" s="181"/>
      <c r="R271" s="181"/>
      <c r="S271" s="181"/>
      <c r="T271" s="181"/>
      <c r="U271" s="181"/>
      <c r="V271" s="181"/>
      <c r="W271" s="181"/>
      <c r="X271" s="181"/>
      <c r="Y271" s="181"/>
      <c r="Z271" s="181"/>
      <c r="AA271" s="181"/>
    </row>
    <row r="272" spans="15:27" ht="26.1" customHeight="1">
      <c r="O272" s="184"/>
      <c r="P272" s="184"/>
      <c r="Q272" s="181"/>
      <c r="R272" s="181"/>
      <c r="S272" s="181"/>
      <c r="T272" s="181"/>
      <c r="U272" s="181"/>
      <c r="V272" s="181"/>
      <c r="W272" s="181"/>
      <c r="X272" s="181"/>
      <c r="Y272" s="181"/>
      <c r="Z272" s="181"/>
      <c r="AA272" s="181"/>
    </row>
    <row r="273" spans="15:27" ht="26.1" customHeight="1">
      <c r="O273" s="184"/>
      <c r="P273" s="184"/>
      <c r="Q273" s="181"/>
      <c r="R273" s="181"/>
      <c r="S273" s="181"/>
      <c r="T273" s="181"/>
      <c r="U273" s="181"/>
      <c r="V273" s="181"/>
      <c r="W273" s="181"/>
      <c r="X273" s="181"/>
      <c r="Y273" s="181"/>
      <c r="Z273" s="181"/>
      <c r="AA273" s="181"/>
    </row>
    <row r="274" spans="15:27" ht="26.1" customHeight="1">
      <c r="O274" s="184"/>
      <c r="P274" s="184"/>
      <c r="Q274" s="181"/>
      <c r="R274" s="181"/>
      <c r="S274" s="181"/>
      <c r="T274" s="181"/>
      <c r="U274" s="181"/>
      <c r="V274" s="181"/>
      <c r="W274" s="181"/>
      <c r="X274" s="181"/>
      <c r="Y274" s="181"/>
      <c r="Z274" s="181"/>
      <c r="AA274" s="181"/>
    </row>
    <row r="275" spans="15:27" ht="26.1" customHeight="1">
      <c r="O275" s="184"/>
      <c r="P275" s="184"/>
      <c r="Q275" s="181"/>
      <c r="R275" s="181"/>
      <c r="S275" s="181"/>
      <c r="T275" s="181"/>
      <c r="U275" s="181"/>
      <c r="V275" s="181"/>
      <c r="W275" s="181"/>
      <c r="X275" s="181"/>
      <c r="Y275" s="181"/>
      <c r="Z275" s="181"/>
      <c r="AA275" s="181"/>
    </row>
    <row r="276" spans="15:27" ht="26.1" customHeight="1">
      <c r="O276" s="184"/>
      <c r="P276" s="184"/>
      <c r="Q276" s="181"/>
      <c r="R276" s="181"/>
      <c r="S276" s="181"/>
      <c r="T276" s="181"/>
      <c r="U276" s="181"/>
      <c r="V276" s="181"/>
      <c r="W276" s="181"/>
      <c r="X276" s="181"/>
      <c r="Y276" s="181"/>
      <c r="Z276" s="181"/>
      <c r="AA276" s="181"/>
    </row>
    <row r="277" spans="15:27" ht="26.1" customHeight="1">
      <c r="O277" s="184"/>
      <c r="P277" s="184"/>
      <c r="Q277" s="181"/>
      <c r="R277" s="181"/>
      <c r="S277" s="181"/>
      <c r="T277" s="181"/>
      <c r="U277" s="181"/>
      <c r="V277" s="181"/>
      <c r="W277" s="181"/>
      <c r="X277" s="181"/>
      <c r="Y277" s="181"/>
      <c r="Z277" s="181"/>
      <c r="AA277" s="181"/>
    </row>
    <row r="278" spans="15:27" ht="26.1" customHeight="1">
      <c r="O278" s="1"/>
      <c r="P278" s="1"/>
    </row>
  </sheetData>
  <mergeCells count="43">
    <mergeCell ref="C3:L3"/>
    <mergeCell ref="O3:AH3"/>
    <mergeCell ref="J4:L4"/>
    <mergeCell ref="J5:L5"/>
    <mergeCell ref="C26:L26"/>
    <mergeCell ref="O26:AH26"/>
    <mergeCell ref="J97:L97"/>
    <mergeCell ref="J27:L27"/>
    <mergeCell ref="C49:L49"/>
    <mergeCell ref="O49:AH49"/>
    <mergeCell ref="J50:L50"/>
    <mergeCell ref="J51:L51"/>
    <mergeCell ref="C72:L72"/>
    <mergeCell ref="O72:AH72"/>
    <mergeCell ref="J73:L73"/>
    <mergeCell ref="J74:L74"/>
    <mergeCell ref="C95:L95"/>
    <mergeCell ref="O95:AH95"/>
    <mergeCell ref="J96:L96"/>
    <mergeCell ref="J166:L166"/>
    <mergeCell ref="C118:L118"/>
    <mergeCell ref="O118:AH118"/>
    <mergeCell ref="J119:L119"/>
    <mergeCell ref="J120:L120"/>
    <mergeCell ref="C141:L141"/>
    <mergeCell ref="O141:AH141"/>
    <mergeCell ref="J142:L142"/>
    <mergeCell ref="J143:L143"/>
    <mergeCell ref="C164:L164"/>
    <mergeCell ref="O164:AH164"/>
    <mergeCell ref="J165:L165"/>
    <mergeCell ref="C187:L187"/>
    <mergeCell ref="O187:AH187"/>
    <mergeCell ref="J188:L188"/>
    <mergeCell ref="J189:L189"/>
    <mergeCell ref="C210:L210"/>
    <mergeCell ref="O210:AH210"/>
    <mergeCell ref="C233:L233"/>
    <mergeCell ref="O233:AH233"/>
    <mergeCell ref="J234:L234"/>
    <mergeCell ref="J235:L235"/>
    <mergeCell ref="J211:L211"/>
    <mergeCell ref="J212:L212"/>
  </mergeCells>
  <phoneticPr fontId="2"/>
  <dataValidations count="1">
    <dataValidation type="list" allowBlank="1" showInputMessage="1" showErrorMessage="1" prompt="費用/建物附属設備/工具・器具・備品の場合、選択してください。" sqref="N236:N253 N98:N115 N121:N138 N144:N161 N167:N184 N75:N92 N213:N230 N190:N207" xr:uid="{00000000-0002-0000-11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12" orientation="portrait" r:id="rId1"/>
  <headerFooter alignWithMargins="0"/>
  <rowBreaks count="1" manualBreakCount="1">
    <brk id="2"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AE52"/>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工事6!C2</f>
        <v>イ)6号線堺筋本町駅の部-可動式ホーム柵設置に伴う建築工事</v>
      </c>
      <c r="F1" s="127"/>
      <c r="G1" s="285"/>
      <c r="H1" s="286"/>
      <c r="I1" s="286"/>
      <c r="J1" s="287"/>
      <c r="K1" s="2514">
        <v>44197</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327.29999999999995</v>
      </c>
      <c r="N2" s="296">
        <f>+K9+O9</f>
        <v>35652.1</v>
      </c>
      <c r="O2" s="2750" t="s">
        <v>4315</v>
      </c>
      <c r="P2" s="2751"/>
      <c r="Q2" s="2751"/>
      <c r="R2" s="2752"/>
      <c r="S2" s="294">
        <f>+P9+T9+X9</f>
        <v>0</v>
      </c>
      <c r="T2" s="295">
        <f>+Q9+U9+Y9</f>
        <v>0</v>
      </c>
      <c r="U2" s="295">
        <f>+R9+V9+Z9</f>
        <v>0</v>
      </c>
      <c r="V2" s="296">
        <f>+S9+W9+AA9</f>
        <v>27491.859999999997</v>
      </c>
      <c r="W2" s="277"/>
    </row>
    <row r="3" spans="1:31" ht="15" customHeight="1">
      <c r="B3" s="142"/>
      <c r="E3" s="278"/>
      <c r="G3" s="2753" t="s">
        <v>4316</v>
      </c>
      <c r="H3" s="2754"/>
      <c r="I3" s="2754"/>
      <c r="J3" s="2755"/>
      <c r="K3" s="297">
        <f>+H9</f>
        <v>0</v>
      </c>
      <c r="L3" s="298">
        <f>+I9</f>
        <v>0</v>
      </c>
      <c r="M3" s="298">
        <f>+J9</f>
        <v>327.29999999999995</v>
      </c>
      <c r="N3" s="299">
        <f>+K9</f>
        <v>8160.2399999999989</v>
      </c>
      <c r="O3" s="2756" t="s">
        <v>4317</v>
      </c>
      <c r="P3" s="2757"/>
      <c r="Q3" s="2757"/>
      <c r="R3" s="2758"/>
      <c r="S3" s="297">
        <f>+P9</f>
        <v>0</v>
      </c>
      <c r="T3" s="298">
        <f>+Q9</f>
        <v>0</v>
      </c>
      <c r="U3" s="298">
        <f>+R9</f>
        <v>0</v>
      </c>
      <c r="V3" s="299">
        <f>+S9</f>
        <v>25893.859999999997</v>
      </c>
      <c r="W3" s="277"/>
    </row>
    <row r="4" spans="1:31" ht="15" customHeight="1">
      <c r="B4" s="142"/>
      <c r="E4" s="278"/>
      <c r="G4" s="2753" t="s">
        <v>4318</v>
      </c>
      <c r="H4" s="2754"/>
      <c r="I4" s="2754"/>
      <c r="J4" s="2755"/>
      <c r="K4" s="297">
        <f>+L9</f>
        <v>0</v>
      </c>
      <c r="L4" s="298">
        <f>+M9</f>
        <v>0</v>
      </c>
      <c r="M4" s="298">
        <f>+N9</f>
        <v>0</v>
      </c>
      <c r="N4" s="299">
        <f>+O9</f>
        <v>27491.859999999997</v>
      </c>
      <c r="O4" s="2756" t="s">
        <v>4319</v>
      </c>
      <c r="P4" s="2757"/>
      <c r="Q4" s="2757"/>
      <c r="R4" s="2758"/>
      <c r="S4" s="297">
        <f>+T9</f>
        <v>0</v>
      </c>
      <c r="T4" s="298">
        <f>+U9</f>
        <v>0</v>
      </c>
      <c r="U4" s="298">
        <f>+V9</f>
        <v>0</v>
      </c>
      <c r="V4" s="299">
        <f>+W9</f>
        <v>1598</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SUM(H10:H34)</f>
        <v>0</v>
      </c>
      <c r="I9" s="159">
        <f t="shared" si="0"/>
        <v>0</v>
      </c>
      <c r="J9" s="159">
        <f t="shared" si="0"/>
        <v>327.29999999999995</v>
      </c>
      <c r="K9" s="160">
        <f t="shared" si="0"/>
        <v>8160.2399999999989</v>
      </c>
      <c r="L9" s="158">
        <f t="shared" si="0"/>
        <v>0</v>
      </c>
      <c r="M9" s="159">
        <f t="shared" si="0"/>
        <v>0</v>
      </c>
      <c r="N9" s="159">
        <f t="shared" si="0"/>
        <v>0</v>
      </c>
      <c r="O9" s="160">
        <f t="shared" si="0"/>
        <v>27491.859999999997</v>
      </c>
      <c r="P9" s="158">
        <f t="shared" si="0"/>
        <v>0</v>
      </c>
      <c r="Q9" s="159">
        <f t="shared" si="0"/>
        <v>0</v>
      </c>
      <c r="R9" s="159">
        <f t="shared" si="0"/>
        <v>0</v>
      </c>
      <c r="S9" s="160">
        <f t="shared" si="0"/>
        <v>25893.859999999997</v>
      </c>
      <c r="T9" s="159">
        <f t="shared" si="0"/>
        <v>0</v>
      </c>
      <c r="U9" s="159">
        <f t="shared" si="0"/>
        <v>0</v>
      </c>
      <c r="V9" s="159">
        <f t="shared" si="0"/>
        <v>0</v>
      </c>
      <c r="W9" s="160">
        <f t="shared" si="0"/>
        <v>1598</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4453</v>
      </c>
      <c r="C11" s="153" t="s">
        <v>4334</v>
      </c>
      <c r="D11" s="154">
        <v>4</v>
      </c>
      <c r="E11" s="155">
        <v>1</v>
      </c>
      <c r="F11" s="1916"/>
      <c r="G11" s="336"/>
      <c r="H11" s="161"/>
      <c r="I11" s="162"/>
      <c r="J11" s="162"/>
      <c r="K11" s="163">
        <f>D11*E11</f>
        <v>4</v>
      </c>
      <c r="L11" s="161"/>
      <c r="M11" s="162"/>
      <c r="N11" s="162"/>
      <c r="O11" s="163"/>
      <c r="P11" s="161"/>
      <c r="Q11" s="162"/>
      <c r="R11" s="162"/>
      <c r="S11" s="163"/>
      <c r="T11" s="161"/>
      <c r="U11" s="162"/>
      <c r="V11" s="162"/>
      <c r="W11" s="163"/>
      <c r="X11" s="161"/>
      <c r="Y11" s="162"/>
      <c r="Z11" s="162"/>
      <c r="AA11" s="163"/>
    </row>
    <row r="12" spans="1:31" s="140" customFormat="1" ht="11.25" customHeight="1">
      <c r="B12" s="152" t="s">
        <v>4453</v>
      </c>
      <c r="C12" s="153" t="s">
        <v>4334</v>
      </c>
      <c r="D12" s="154">
        <v>1</v>
      </c>
      <c r="E12" s="155">
        <v>1</v>
      </c>
      <c r="F12" s="1916"/>
      <c r="G12" s="336"/>
      <c r="H12" s="161"/>
      <c r="I12" s="162"/>
      <c r="J12" s="162">
        <f>D12*E12</f>
        <v>1</v>
      </c>
      <c r="K12" s="163"/>
      <c r="L12" s="161"/>
      <c r="M12" s="162"/>
      <c r="N12" s="162"/>
      <c r="O12" s="163"/>
      <c r="P12" s="161"/>
      <c r="Q12" s="162"/>
      <c r="R12" s="162"/>
      <c r="S12" s="163"/>
      <c r="T12" s="161"/>
      <c r="U12" s="162"/>
      <c r="V12" s="162"/>
      <c r="W12" s="163"/>
      <c r="X12" s="161"/>
      <c r="Y12" s="162"/>
      <c r="Z12" s="162"/>
      <c r="AA12" s="163"/>
    </row>
    <row r="13" spans="1:31" s="140" customFormat="1" ht="11.25" customHeight="1">
      <c r="B13" s="152" t="s">
        <v>4335</v>
      </c>
      <c r="C13" s="153" t="s">
        <v>4454</v>
      </c>
      <c r="D13" s="154">
        <v>4</v>
      </c>
      <c r="E13" s="155">
        <v>2</v>
      </c>
      <c r="F13" s="1916"/>
      <c r="G13" s="336"/>
      <c r="H13" s="161"/>
      <c r="I13" s="162"/>
      <c r="J13" s="162"/>
      <c r="K13" s="163">
        <f>D13*E13</f>
        <v>8</v>
      </c>
      <c r="L13" s="161"/>
      <c r="M13" s="162"/>
      <c r="N13" s="162"/>
      <c r="O13" s="163"/>
      <c r="P13" s="161"/>
      <c r="Q13" s="162"/>
      <c r="R13" s="162"/>
      <c r="S13" s="163"/>
      <c r="T13" s="161"/>
      <c r="U13" s="162"/>
      <c r="V13" s="162"/>
      <c r="W13" s="163"/>
      <c r="X13" s="161"/>
      <c r="Y13" s="162"/>
      <c r="Z13" s="162"/>
      <c r="AA13" s="163"/>
    </row>
    <row r="14" spans="1:31" s="140" customFormat="1" ht="11.25" customHeight="1">
      <c r="B14" s="152" t="s">
        <v>4335</v>
      </c>
      <c r="C14" s="153" t="s">
        <v>4454</v>
      </c>
      <c r="D14" s="154">
        <v>1</v>
      </c>
      <c r="E14" s="155">
        <v>2</v>
      </c>
      <c r="F14" s="1916"/>
      <c r="G14" s="336"/>
      <c r="H14" s="161"/>
      <c r="I14" s="162"/>
      <c r="J14" s="162">
        <f>D14*E14</f>
        <v>2</v>
      </c>
      <c r="K14" s="163"/>
      <c r="L14" s="161"/>
      <c r="M14" s="162"/>
      <c r="N14" s="162"/>
      <c r="O14" s="163"/>
      <c r="P14" s="161"/>
      <c r="Q14" s="162"/>
      <c r="R14" s="162"/>
      <c r="S14" s="163"/>
      <c r="T14" s="161"/>
      <c r="U14" s="162"/>
      <c r="V14" s="162"/>
      <c r="W14" s="163"/>
      <c r="X14" s="161"/>
      <c r="Y14" s="162"/>
      <c r="Z14" s="162"/>
      <c r="AA14" s="163"/>
    </row>
    <row r="15" spans="1:31" s="140" customFormat="1" ht="11.25" customHeight="1">
      <c r="B15" s="152" t="s">
        <v>4337</v>
      </c>
      <c r="C15" s="153" t="s">
        <v>4338</v>
      </c>
      <c r="D15" s="154">
        <v>99.1</v>
      </c>
      <c r="E15" s="155">
        <v>77</v>
      </c>
      <c r="F15" s="1916"/>
      <c r="G15" s="336"/>
      <c r="H15" s="161"/>
      <c r="I15" s="162"/>
      <c r="J15" s="162"/>
      <c r="K15" s="163">
        <f>D15*E15</f>
        <v>7630.7</v>
      </c>
      <c r="L15" s="161"/>
      <c r="M15" s="162"/>
      <c r="N15" s="162"/>
      <c r="O15" s="163"/>
      <c r="P15" s="161"/>
      <c r="Q15" s="162"/>
      <c r="R15" s="162"/>
      <c r="S15" s="163"/>
      <c r="T15" s="161"/>
      <c r="U15" s="162"/>
      <c r="V15" s="162"/>
      <c r="W15" s="163"/>
      <c r="X15" s="161"/>
      <c r="Y15" s="162"/>
      <c r="Z15" s="162"/>
      <c r="AA15" s="163"/>
    </row>
    <row r="16" spans="1:31" s="140" customFormat="1" ht="11.25" customHeight="1">
      <c r="B16" s="152" t="s">
        <v>4455</v>
      </c>
      <c r="C16" s="153" t="s">
        <v>4456</v>
      </c>
      <c r="D16" s="154">
        <v>64</v>
      </c>
      <c r="E16" s="155">
        <v>0.1</v>
      </c>
      <c r="F16" s="1916"/>
      <c r="G16" s="336"/>
      <c r="H16" s="161"/>
      <c r="I16" s="162"/>
      <c r="J16" s="162"/>
      <c r="K16" s="163">
        <f>D16*E16</f>
        <v>6.4</v>
      </c>
      <c r="L16" s="161"/>
      <c r="M16" s="162"/>
      <c r="N16" s="162"/>
      <c r="O16" s="163"/>
      <c r="P16" s="161"/>
      <c r="Q16" s="162"/>
      <c r="R16" s="162"/>
      <c r="S16" s="163"/>
      <c r="T16" s="161"/>
      <c r="U16" s="162"/>
      <c r="V16" s="162"/>
      <c r="W16" s="163"/>
      <c r="X16" s="161"/>
      <c r="Y16" s="162"/>
      <c r="Z16" s="162"/>
      <c r="AA16" s="163"/>
    </row>
    <row r="17" spans="2:27" s="140" customFormat="1" ht="11.25" customHeight="1">
      <c r="B17" s="152" t="s">
        <v>4455</v>
      </c>
      <c r="C17" s="153" t="s">
        <v>4456</v>
      </c>
      <c r="D17" s="154">
        <v>31</v>
      </c>
      <c r="E17" s="155">
        <v>0.1</v>
      </c>
      <c r="F17" s="1916"/>
      <c r="G17" s="336"/>
      <c r="H17" s="161"/>
      <c r="I17" s="162"/>
      <c r="J17" s="162">
        <f>D17*E17</f>
        <v>3.1</v>
      </c>
      <c r="K17" s="163"/>
      <c r="L17" s="161"/>
      <c r="M17" s="162"/>
      <c r="N17" s="162"/>
      <c r="O17" s="163"/>
      <c r="P17" s="161"/>
      <c r="Q17" s="162"/>
      <c r="R17" s="162"/>
      <c r="S17" s="163"/>
      <c r="T17" s="161"/>
      <c r="U17" s="162"/>
      <c r="V17" s="162"/>
      <c r="W17" s="163"/>
      <c r="X17" s="161"/>
      <c r="Y17" s="162"/>
      <c r="Z17" s="162"/>
      <c r="AA17" s="163"/>
    </row>
    <row r="18" spans="2:27" s="140" customFormat="1" ht="11.25" customHeight="1">
      <c r="B18" s="152" t="s">
        <v>4457</v>
      </c>
      <c r="C18" s="153" t="s">
        <v>4458</v>
      </c>
      <c r="D18" s="154">
        <v>64</v>
      </c>
      <c r="E18" s="155">
        <v>0.3</v>
      </c>
      <c r="F18" s="1916"/>
      <c r="G18" s="336"/>
      <c r="H18" s="161"/>
      <c r="I18" s="162"/>
      <c r="J18" s="162"/>
      <c r="K18" s="163">
        <f>D18*E18</f>
        <v>19.2</v>
      </c>
      <c r="L18" s="161"/>
      <c r="M18" s="162"/>
      <c r="N18" s="162"/>
      <c r="O18" s="163"/>
      <c r="P18" s="161"/>
      <c r="Q18" s="162"/>
      <c r="R18" s="162"/>
      <c r="S18" s="163"/>
      <c r="T18" s="161"/>
      <c r="U18" s="162"/>
      <c r="V18" s="162"/>
      <c r="W18" s="163"/>
      <c r="X18" s="161"/>
      <c r="Y18" s="162"/>
      <c r="Z18" s="162"/>
      <c r="AA18" s="163"/>
    </row>
    <row r="19" spans="2:27" s="140" customFormat="1" ht="11.25" customHeight="1">
      <c r="B19" s="152" t="s">
        <v>4457</v>
      </c>
      <c r="C19" s="153" t="s">
        <v>4458</v>
      </c>
      <c r="D19" s="154">
        <v>31</v>
      </c>
      <c r="E19" s="155">
        <v>0.3</v>
      </c>
      <c r="F19" s="1916"/>
      <c r="G19" s="336"/>
      <c r="H19" s="161"/>
      <c r="I19" s="162"/>
      <c r="J19" s="162">
        <f>D19*E19</f>
        <v>9.2999999999999989</v>
      </c>
      <c r="K19" s="163"/>
      <c r="L19" s="161"/>
      <c r="M19" s="162"/>
      <c r="N19" s="162"/>
      <c r="O19" s="163"/>
      <c r="P19" s="161"/>
      <c r="Q19" s="162"/>
      <c r="R19" s="162"/>
      <c r="S19" s="163"/>
      <c r="T19" s="161"/>
      <c r="U19" s="162"/>
      <c r="V19" s="162"/>
      <c r="W19" s="163"/>
      <c r="X19" s="161"/>
      <c r="Y19" s="162"/>
      <c r="Z19" s="162"/>
      <c r="AA19" s="163"/>
    </row>
    <row r="20" spans="2:27" s="140" customFormat="1" ht="11.25" customHeight="1">
      <c r="B20" s="152" t="s">
        <v>4459</v>
      </c>
      <c r="C20" s="153" t="s">
        <v>4460</v>
      </c>
      <c r="D20" s="154">
        <v>7.3</v>
      </c>
      <c r="E20" s="155">
        <v>13</v>
      </c>
      <c r="F20" s="1916"/>
      <c r="G20" s="336"/>
      <c r="H20" s="161"/>
      <c r="I20" s="162"/>
      <c r="J20" s="162">
        <f>D20*E20</f>
        <v>94.899999999999991</v>
      </c>
      <c r="K20" s="163"/>
      <c r="L20" s="161"/>
      <c r="M20" s="162"/>
      <c r="N20" s="162"/>
      <c r="O20" s="163"/>
      <c r="P20" s="161"/>
      <c r="Q20" s="162"/>
      <c r="R20" s="162"/>
      <c r="S20" s="163"/>
      <c r="T20" s="161"/>
      <c r="U20" s="162"/>
      <c r="V20" s="162"/>
      <c r="W20" s="163"/>
      <c r="X20" s="161"/>
      <c r="Y20" s="162"/>
      <c r="Z20" s="162"/>
      <c r="AA20" s="163"/>
    </row>
    <row r="21" spans="2:27" s="140" customFormat="1" ht="11.25" customHeight="1">
      <c r="B21" s="152" t="s">
        <v>4341</v>
      </c>
      <c r="C21" s="153" t="s">
        <v>4343</v>
      </c>
      <c r="D21" s="154">
        <v>64</v>
      </c>
      <c r="E21" s="155">
        <v>7</v>
      </c>
      <c r="F21" s="1916"/>
      <c r="G21" s="336"/>
      <c r="H21" s="161"/>
      <c r="I21" s="162"/>
      <c r="J21" s="162"/>
      <c r="K21" s="163">
        <f>D21*E21</f>
        <v>448</v>
      </c>
      <c r="L21" s="161"/>
      <c r="M21" s="162"/>
      <c r="N21" s="162"/>
      <c r="O21" s="163"/>
      <c r="P21" s="161"/>
      <c r="Q21" s="162"/>
      <c r="R21" s="162"/>
      <c r="S21" s="163"/>
      <c r="T21" s="161"/>
      <c r="U21" s="162"/>
      <c r="V21" s="162"/>
      <c r="W21" s="163"/>
      <c r="X21" s="161"/>
      <c r="Y21" s="162"/>
      <c r="Z21" s="162"/>
      <c r="AA21" s="163"/>
    </row>
    <row r="22" spans="2:27" s="140" customFormat="1" ht="11.25" customHeight="1">
      <c r="B22" s="152" t="s">
        <v>4341</v>
      </c>
      <c r="C22" s="153" t="s">
        <v>4343</v>
      </c>
      <c r="D22" s="154">
        <v>31</v>
      </c>
      <c r="E22" s="155">
        <v>7</v>
      </c>
      <c r="F22" s="1916"/>
      <c r="G22" s="336"/>
      <c r="H22" s="161"/>
      <c r="I22" s="162"/>
      <c r="J22" s="162">
        <f>D22*E22</f>
        <v>217</v>
      </c>
      <c r="K22" s="163"/>
      <c r="L22" s="161"/>
      <c r="M22" s="162"/>
      <c r="N22" s="162"/>
      <c r="O22" s="163"/>
      <c r="P22" s="161"/>
      <c r="Q22" s="162"/>
      <c r="R22" s="162"/>
      <c r="S22" s="163"/>
      <c r="T22" s="161"/>
      <c r="U22" s="162"/>
      <c r="V22" s="162"/>
      <c r="W22" s="163"/>
      <c r="X22" s="161"/>
      <c r="Y22" s="162"/>
      <c r="Z22" s="162"/>
      <c r="AA22" s="163"/>
    </row>
    <row r="23" spans="2:27" s="140" customFormat="1" ht="11.25" customHeight="1">
      <c r="B23" s="152" t="s">
        <v>4344</v>
      </c>
      <c r="C23" s="153" t="s">
        <v>4345</v>
      </c>
      <c r="D23" s="154">
        <v>33.799999999999997</v>
      </c>
      <c r="E23" s="155">
        <v>1.3</v>
      </c>
      <c r="F23" s="1916"/>
      <c r="G23" s="336"/>
      <c r="H23" s="161"/>
      <c r="I23" s="162"/>
      <c r="J23" s="162"/>
      <c r="K23" s="163">
        <f>D23*E23</f>
        <v>43.94</v>
      </c>
      <c r="L23" s="161"/>
      <c r="M23" s="162"/>
      <c r="N23" s="162"/>
      <c r="O23" s="163"/>
      <c r="P23" s="161"/>
      <c r="Q23" s="162"/>
      <c r="R23" s="162"/>
      <c r="S23" s="163"/>
      <c r="T23" s="161"/>
      <c r="U23" s="162"/>
      <c r="V23" s="162"/>
      <c r="W23" s="163"/>
      <c r="X23" s="161"/>
      <c r="Y23" s="162"/>
      <c r="Z23" s="162"/>
      <c r="AA23" s="163"/>
    </row>
    <row r="24" spans="2:27" s="140" customFormat="1" ht="11.25" customHeight="1">
      <c r="B24" s="152" t="s">
        <v>4346</v>
      </c>
      <c r="C24" s="153" t="s">
        <v>4347</v>
      </c>
      <c r="D24" s="154">
        <v>77</v>
      </c>
      <c r="E24" s="155">
        <v>80</v>
      </c>
      <c r="F24" s="1916">
        <v>0</v>
      </c>
      <c r="G24" s="336">
        <v>0</v>
      </c>
      <c r="H24" s="161"/>
      <c r="I24" s="162"/>
      <c r="J24" s="162"/>
      <c r="K24" s="163"/>
      <c r="L24" s="161"/>
      <c r="M24" s="162"/>
      <c r="N24" s="162"/>
      <c r="O24" s="163">
        <f t="shared" ref="O24:O31" si="1">D24*(E24+F24+G24)</f>
        <v>6160</v>
      </c>
      <c r="P24" s="161"/>
      <c r="Q24" s="162"/>
      <c r="R24" s="162"/>
      <c r="S24" s="163">
        <f t="shared" ref="S24:S31" si="2">D24*E24</f>
        <v>6160</v>
      </c>
      <c r="T24" s="161"/>
      <c r="U24" s="162"/>
      <c r="V24" s="162"/>
      <c r="W24" s="163">
        <f t="shared" ref="W24:W31" si="3">D24*F24</f>
        <v>0</v>
      </c>
      <c r="X24" s="161"/>
      <c r="Y24" s="162"/>
      <c r="Z24" s="162"/>
      <c r="AA24" s="163">
        <f t="shared" ref="AA24:AA31" si="4">D24*G24</f>
        <v>0</v>
      </c>
    </row>
    <row r="25" spans="2:27" s="140" customFormat="1" ht="11.25" customHeight="1">
      <c r="B25" s="152" t="s">
        <v>4346</v>
      </c>
      <c r="C25" s="153" t="s">
        <v>4347</v>
      </c>
      <c r="D25" s="154">
        <v>136</v>
      </c>
      <c r="E25" s="155">
        <v>80</v>
      </c>
      <c r="F25" s="1916">
        <v>0</v>
      </c>
      <c r="G25" s="336">
        <v>0</v>
      </c>
      <c r="H25" s="161"/>
      <c r="I25" s="162"/>
      <c r="J25" s="162"/>
      <c r="K25" s="163"/>
      <c r="L25" s="161"/>
      <c r="M25" s="162"/>
      <c r="N25" s="162"/>
      <c r="O25" s="163">
        <f t="shared" si="1"/>
        <v>10880</v>
      </c>
      <c r="P25" s="161"/>
      <c r="Q25" s="162"/>
      <c r="R25" s="162"/>
      <c r="S25" s="163">
        <f t="shared" si="2"/>
        <v>10880</v>
      </c>
      <c r="T25" s="161"/>
      <c r="U25" s="162"/>
      <c r="V25" s="162"/>
      <c r="W25" s="163">
        <f t="shared" si="3"/>
        <v>0</v>
      </c>
      <c r="X25" s="161"/>
      <c r="Y25" s="162"/>
      <c r="Z25" s="162"/>
      <c r="AA25" s="163">
        <f t="shared" si="4"/>
        <v>0</v>
      </c>
    </row>
    <row r="26" spans="2:27" s="140" customFormat="1" ht="11.25" customHeight="1">
      <c r="B26" s="152" t="s">
        <v>4348</v>
      </c>
      <c r="C26" s="153" t="s">
        <v>4349</v>
      </c>
      <c r="D26" s="154">
        <v>99.1</v>
      </c>
      <c r="E26" s="155">
        <v>80</v>
      </c>
      <c r="F26" s="1916">
        <v>0</v>
      </c>
      <c r="G26" s="336">
        <v>0</v>
      </c>
      <c r="H26" s="161"/>
      <c r="I26" s="162"/>
      <c r="J26" s="162"/>
      <c r="K26" s="163"/>
      <c r="L26" s="161"/>
      <c r="M26" s="162"/>
      <c r="N26" s="162"/>
      <c r="O26" s="163">
        <f t="shared" si="1"/>
        <v>7928</v>
      </c>
      <c r="P26" s="161"/>
      <c r="Q26" s="162"/>
      <c r="R26" s="162"/>
      <c r="S26" s="163">
        <f t="shared" si="2"/>
        <v>7928</v>
      </c>
      <c r="T26" s="161"/>
      <c r="U26" s="162"/>
      <c r="V26" s="162"/>
      <c r="W26" s="163">
        <f t="shared" si="3"/>
        <v>0</v>
      </c>
      <c r="X26" s="161"/>
      <c r="Y26" s="162"/>
      <c r="Z26" s="162"/>
      <c r="AA26" s="163">
        <f t="shared" si="4"/>
        <v>0</v>
      </c>
    </row>
    <row r="27" spans="2:27" s="140" customFormat="1" ht="11.25" customHeight="1">
      <c r="B27" s="152" t="s">
        <v>4348</v>
      </c>
      <c r="C27" s="153" t="s">
        <v>4351</v>
      </c>
      <c r="D27" s="154">
        <v>312</v>
      </c>
      <c r="E27" s="155">
        <v>1.3</v>
      </c>
      <c r="F27" s="1916">
        <v>0</v>
      </c>
      <c r="G27" s="336">
        <v>0</v>
      </c>
      <c r="H27" s="161"/>
      <c r="I27" s="162"/>
      <c r="J27" s="162"/>
      <c r="K27" s="163"/>
      <c r="L27" s="161"/>
      <c r="M27" s="162"/>
      <c r="N27" s="162"/>
      <c r="O27" s="163">
        <f t="shared" si="1"/>
        <v>405.6</v>
      </c>
      <c r="P27" s="161"/>
      <c r="Q27" s="162"/>
      <c r="R27" s="162"/>
      <c r="S27" s="163">
        <f t="shared" si="2"/>
        <v>405.6</v>
      </c>
      <c r="T27" s="161"/>
      <c r="U27" s="162"/>
      <c r="V27" s="162"/>
      <c r="W27" s="163">
        <f t="shared" si="3"/>
        <v>0</v>
      </c>
      <c r="X27" s="161"/>
      <c r="Y27" s="162"/>
      <c r="Z27" s="162"/>
      <c r="AA27" s="163">
        <f t="shared" si="4"/>
        <v>0</v>
      </c>
    </row>
    <row r="28" spans="2:27" s="140" customFormat="1" ht="11.25" customHeight="1">
      <c r="B28" s="152" t="s">
        <v>4348</v>
      </c>
      <c r="C28" s="153" t="s">
        <v>4351</v>
      </c>
      <c r="D28" s="154">
        <v>44</v>
      </c>
      <c r="E28" s="155">
        <v>0.39</v>
      </c>
      <c r="F28" s="1916">
        <v>0</v>
      </c>
      <c r="G28" s="336">
        <v>0</v>
      </c>
      <c r="H28" s="161"/>
      <c r="I28" s="162"/>
      <c r="J28" s="162"/>
      <c r="K28" s="163"/>
      <c r="L28" s="161"/>
      <c r="M28" s="162"/>
      <c r="N28" s="162"/>
      <c r="O28" s="163">
        <f t="shared" si="1"/>
        <v>17.16</v>
      </c>
      <c r="P28" s="161"/>
      <c r="Q28" s="162"/>
      <c r="R28" s="162"/>
      <c r="S28" s="163">
        <f t="shared" si="2"/>
        <v>17.16</v>
      </c>
      <c r="T28" s="161"/>
      <c r="U28" s="162"/>
      <c r="V28" s="162"/>
      <c r="W28" s="163">
        <f t="shared" si="3"/>
        <v>0</v>
      </c>
      <c r="X28" s="161"/>
      <c r="Y28" s="162"/>
      <c r="Z28" s="162"/>
      <c r="AA28" s="163">
        <f t="shared" si="4"/>
        <v>0</v>
      </c>
    </row>
    <row r="29" spans="2:27" s="140" customFormat="1" ht="11.25" customHeight="1">
      <c r="B29" s="152" t="s">
        <v>4348</v>
      </c>
      <c r="C29" s="153" t="s">
        <v>4351</v>
      </c>
      <c r="D29" s="154">
        <v>387</v>
      </c>
      <c r="E29" s="155">
        <v>1.3</v>
      </c>
      <c r="F29" s="1916">
        <v>0</v>
      </c>
      <c r="G29" s="336">
        <v>0</v>
      </c>
      <c r="H29" s="161"/>
      <c r="I29" s="162"/>
      <c r="J29" s="162"/>
      <c r="K29" s="163"/>
      <c r="L29" s="161"/>
      <c r="M29" s="162"/>
      <c r="N29" s="162"/>
      <c r="O29" s="163">
        <f t="shared" si="1"/>
        <v>503.1</v>
      </c>
      <c r="P29" s="161"/>
      <c r="Q29" s="162"/>
      <c r="R29" s="162"/>
      <c r="S29" s="163">
        <f t="shared" si="2"/>
        <v>503.1</v>
      </c>
      <c r="T29" s="161"/>
      <c r="U29" s="162"/>
      <c r="V29" s="162"/>
      <c r="W29" s="163">
        <f t="shared" si="3"/>
        <v>0</v>
      </c>
      <c r="X29" s="161"/>
      <c r="Y29" s="162"/>
      <c r="Z29" s="162"/>
      <c r="AA29" s="163">
        <f t="shared" si="4"/>
        <v>0</v>
      </c>
    </row>
    <row r="30" spans="2:27" s="140" customFormat="1" ht="11.25" customHeight="1">
      <c r="B30" s="152" t="s">
        <v>4348</v>
      </c>
      <c r="C30" s="153" t="s">
        <v>4353</v>
      </c>
      <c r="D30" s="154">
        <v>77</v>
      </c>
      <c r="E30" s="155">
        <v>0</v>
      </c>
      <c r="F30" s="1916">
        <v>20</v>
      </c>
      <c r="G30" s="336">
        <v>0</v>
      </c>
      <c r="H30" s="161"/>
      <c r="I30" s="162"/>
      <c r="J30" s="162"/>
      <c r="K30" s="163"/>
      <c r="L30" s="161"/>
      <c r="M30" s="162"/>
      <c r="N30" s="162"/>
      <c r="O30" s="163">
        <f t="shared" si="1"/>
        <v>1540</v>
      </c>
      <c r="P30" s="161"/>
      <c r="Q30" s="162"/>
      <c r="R30" s="162"/>
      <c r="S30" s="163">
        <f t="shared" si="2"/>
        <v>0</v>
      </c>
      <c r="T30" s="161"/>
      <c r="U30" s="162"/>
      <c r="V30" s="162"/>
      <c r="W30" s="163">
        <f t="shared" si="3"/>
        <v>1540</v>
      </c>
      <c r="X30" s="161"/>
      <c r="Y30" s="162"/>
      <c r="Z30" s="162"/>
      <c r="AA30" s="163">
        <f t="shared" si="4"/>
        <v>0</v>
      </c>
    </row>
    <row r="31" spans="2:27" s="140" customFormat="1" ht="11.25" customHeight="1">
      <c r="B31" s="152" t="s">
        <v>4348</v>
      </c>
      <c r="C31" s="153" t="s">
        <v>4353</v>
      </c>
      <c r="D31" s="154">
        <v>2.9</v>
      </c>
      <c r="E31" s="155">
        <v>0</v>
      </c>
      <c r="F31" s="1916">
        <v>20</v>
      </c>
      <c r="G31" s="336">
        <v>0</v>
      </c>
      <c r="H31" s="161"/>
      <c r="I31" s="162"/>
      <c r="J31" s="162"/>
      <c r="K31" s="163"/>
      <c r="L31" s="161"/>
      <c r="M31" s="162"/>
      <c r="N31" s="162"/>
      <c r="O31" s="163">
        <f t="shared" si="1"/>
        <v>58</v>
      </c>
      <c r="P31" s="161"/>
      <c r="Q31" s="162"/>
      <c r="R31" s="162"/>
      <c r="S31" s="163">
        <f t="shared" si="2"/>
        <v>0</v>
      </c>
      <c r="T31" s="161"/>
      <c r="U31" s="162"/>
      <c r="V31" s="162"/>
      <c r="W31" s="163">
        <f t="shared" si="3"/>
        <v>58</v>
      </c>
      <c r="X31" s="161"/>
      <c r="Y31" s="162"/>
      <c r="Z31" s="162"/>
      <c r="AA31" s="163">
        <f t="shared" si="4"/>
        <v>0</v>
      </c>
    </row>
    <row r="32" spans="2:27" s="140" customFormat="1" ht="11.25" customHeight="1">
      <c r="B32" s="152"/>
      <c r="C32" s="153"/>
      <c r="D32" s="154"/>
      <c r="E32" s="155"/>
      <c r="F32" s="1916"/>
      <c r="G32" s="336"/>
      <c r="H32" s="161"/>
      <c r="I32" s="162"/>
      <c r="J32" s="162"/>
      <c r="K32" s="163"/>
      <c r="L32" s="161"/>
      <c r="M32" s="162"/>
      <c r="N32" s="162"/>
      <c r="O32" s="163"/>
      <c r="P32" s="161"/>
      <c r="Q32" s="162"/>
      <c r="R32" s="162"/>
      <c r="S32" s="163"/>
      <c r="T32" s="161"/>
      <c r="U32" s="162"/>
      <c r="V32" s="162"/>
      <c r="W32" s="163"/>
      <c r="X32" s="161"/>
      <c r="Y32" s="162"/>
      <c r="Z32" s="162"/>
      <c r="AA32" s="163"/>
    </row>
    <row r="33" spans="1:27" s="140" customFormat="1" ht="11.25" customHeight="1">
      <c r="A33" s="127" t="s">
        <v>4354</v>
      </c>
      <c r="B33" s="146"/>
      <c r="C33" s="147"/>
      <c r="D33" s="148"/>
      <c r="E33" s="156"/>
      <c r="F33" s="2434"/>
      <c r="G33" s="337"/>
      <c r="H33" s="164">
        <f>D33*E33</f>
        <v>0</v>
      </c>
      <c r="I33" s="165"/>
      <c r="J33" s="165"/>
      <c r="K33" s="166"/>
      <c r="L33" s="164"/>
      <c r="M33" s="165"/>
      <c r="N33" s="165"/>
      <c r="O33" s="166"/>
      <c r="P33" s="164"/>
      <c r="Q33" s="165"/>
      <c r="R33" s="165"/>
      <c r="S33" s="166"/>
      <c r="T33" s="164"/>
      <c r="U33" s="165"/>
      <c r="V33" s="165"/>
      <c r="W33" s="166"/>
      <c r="X33" s="164"/>
      <c r="Y33" s="165"/>
      <c r="Z33" s="165"/>
      <c r="AA33" s="166"/>
    </row>
    <row r="34" spans="1:27">
      <c r="A34" s="80"/>
      <c r="B34" s="144"/>
      <c r="C34" s="145"/>
      <c r="D34" s="151"/>
      <c r="E34" s="157"/>
      <c r="F34" s="332"/>
      <c r="G34" s="338"/>
      <c r="H34" s="167"/>
      <c r="I34" s="168"/>
      <c r="J34" s="168"/>
      <c r="K34" s="169"/>
      <c r="L34" s="167"/>
      <c r="M34" s="168"/>
      <c r="N34" s="168"/>
      <c r="O34" s="169"/>
      <c r="P34" s="167"/>
      <c r="Q34" s="168"/>
      <c r="R34" s="168"/>
      <c r="S34" s="169"/>
      <c r="T34" s="167"/>
      <c r="U34" s="168"/>
      <c r="V34" s="168"/>
      <c r="W34" s="169"/>
      <c r="X34" s="167"/>
      <c r="Y34" s="168"/>
      <c r="Z34" s="168"/>
      <c r="AA34" s="169"/>
    </row>
    <row r="35" spans="1:27" ht="15" customHeight="1">
      <c r="B35" s="143" t="s">
        <v>4355</v>
      </c>
      <c r="C35"/>
      <c r="D35"/>
      <c r="E35"/>
      <c r="F35"/>
      <c r="G35"/>
      <c r="H35"/>
      <c r="I35"/>
      <c r="J35"/>
      <c r="K35"/>
      <c r="L35"/>
      <c r="M35"/>
      <c r="N35"/>
      <c r="O35"/>
    </row>
    <row r="36" spans="1:27" ht="13.5" customHeight="1">
      <c r="B36" s="134" t="s">
        <v>4356</v>
      </c>
      <c r="C36" s="135"/>
      <c r="D36" s="136"/>
      <c r="E36" s="2738" t="s">
        <v>4357</v>
      </c>
      <c r="F36" s="2739"/>
      <c r="G36" s="2739"/>
      <c r="H36" s="2739"/>
      <c r="I36" s="2739"/>
      <c r="J36" s="2739"/>
      <c r="K36" s="2739"/>
      <c r="L36" s="2739"/>
      <c r="M36" s="2739"/>
      <c r="N36" s="2739"/>
      <c r="O36" s="2739"/>
      <c r="P36" s="2739"/>
      <c r="Q36" s="2739"/>
      <c r="R36" s="2740"/>
      <c r="S36" s="2741"/>
      <c r="T36" s="2735" t="s">
        <v>4358</v>
      </c>
      <c r="U36" s="2742"/>
      <c r="V36" s="2742"/>
      <c r="W36" s="2743"/>
    </row>
    <row r="37" spans="1:27" ht="12.75" customHeight="1">
      <c r="B37" s="192"/>
      <c r="C37" s="193"/>
      <c r="D37" s="194"/>
      <c r="E37" s="242" t="s">
        <v>4100</v>
      </c>
      <c r="F37" s="243" t="s">
        <v>4101</v>
      </c>
      <c r="G37" s="243" t="s">
        <v>4359</v>
      </c>
      <c r="H37" s="243" t="s">
        <v>4359</v>
      </c>
      <c r="I37" s="243" t="s">
        <v>4104</v>
      </c>
      <c r="J37" s="244" t="s">
        <v>4360</v>
      </c>
      <c r="K37" s="246" t="s">
        <v>4361</v>
      </c>
      <c r="L37" s="243" t="s">
        <v>4362</v>
      </c>
      <c r="M37" s="243" t="s">
        <v>4363</v>
      </c>
      <c r="N37" s="243" t="s">
        <v>4364</v>
      </c>
      <c r="O37" s="247" t="s">
        <v>4365</v>
      </c>
      <c r="P37" s="248" t="s">
        <v>4366</v>
      </c>
      <c r="Q37" s="312" t="s">
        <v>4367</v>
      </c>
      <c r="R37" s="313" t="s">
        <v>4108</v>
      </c>
      <c r="S37" s="314" t="s">
        <v>4109</v>
      </c>
      <c r="T37" s="315" t="s">
        <v>4115</v>
      </c>
      <c r="U37" s="243" t="s">
        <v>4116</v>
      </c>
      <c r="V37" s="313" t="s">
        <v>4368</v>
      </c>
      <c r="W37" s="314" t="s">
        <v>4118</v>
      </c>
    </row>
    <row r="38" spans="1:27">
      <c r="B38" s="133" t="s">
        <v>4099</v>
      </c>
      <c r="C38" s="117" t="s">
        <v>4326</v>
      </c>
      <c r="D38" s="129" t="s">
        <v>4327</v>
      </c>
      <c r="E38" s="275"/>
      <c r="F38" s="245"/>
      <c r="G38" s="245" t="s">
        <v>4369</v>
      </c>
      <c r="H38" s="245" t="s">
        <v>4370</v>
      </c>
      <c r="I38" s="245"/>
      <c r="J38" s="245" t="s">
        <v>4371</v>
      </c>
      <c r="K38" s="245" t="s">
        <v>4372</v>
      </c>
      <c r="L38" s="245"/>
      <c r="M38" s="245" t="s">
        <v>4373</v>
      </c>
      <c r="N38" s="245" t="s">
        <v>4374</v>
      </c>
      <c r="O38" s="245" t="s">
        <v>1439</v>
      </c>
      <c r="P38" s="245" t="s">
        <v>4375</v>
      </c>
      <c r="Q38" s="316" t="s">
        <v>4376</v>
      </c>
      <c r="R38" s="194" t="s">
        <v>4377</v>
      </c>
      <c r="S38" s="317" t="s">
        <v>4377</v>
      </c>
      <c r="T38" s="318"/>
      <c r="U38" s="193"/>
      <c r="V38" s="319"/>
      <c r="W38" s="317"/>
    </row>
    <row r="39" spans="1:27" s="140" customFormat="1" ht="15.75" customHeight="1">
      <c r="A39" s="137"/>
      <c r="B39" s="138"/>
      <c r="C39" s="139"/>
      <c r="D39" s="141"/>
      <c r="E39" s="158">
        <f t="shared" ref="E39:W39" si="5">SUM(E40:E55)</f>
        <v>18726</v>
      </c>
      <c r="F39" s="159">
        <f t="shared" si="5"/>
        <v>0</v>
      </c>
      <c r="G39" s="159">
        <f t="shared" si="5"/>
        <v>0</v>
      </c>
      <c r="H39" s="159">
        <f t="shared" si="5"/>
        <v>0</v>
      </c>
      <c r="I39" s="159">
        <f t="shared" si="5"/>
        <v>925.86000000000013</v>
      </c>
      <c r="J39" s="159">
        <f t="shared" si="5"/>
        <v>6242</v>
      </c>
      <c r="K39" s="159">
        <f t="shared" si="5"/>
        <v>0</v>
      </c>
      <c r="L39" s="159">
        <f t="shared" si="5"/>
        <v>0</v>
      </c>
      <c r="M39" s="159">
        <f t="shared" si="5"/>
        <v>0</v>
      </c>
      <c r="N39" s="159">
        <f t="shared" si="5"/>
        <v>0</v>
      </c>
      <c r="O39" s="276">
        <f t="shared" si="5"/>
        <v>0</v>
      </c>
      <c r="P39" s="159">
        <f t="shared" si="5"/>
        <v>0</v>
      </c>
      <c r="Q39" s="320">
        <f t="shared" si="5"/>
        <v>0</v>
      </c>
      <c r="R39" s="159">
        <f t="shared" si="5"/>
        <v>0</v>
      </c>
      <c r="S39" s="160">
        <f t="shared" si="5"/>
        <v>0</v>
      </c>
      <c r="T39" s="323">
        <f t="shared" si="5"/>
        <v>1540</v>
      </c>
      <c r="U39" s="159">
        <f t="shared" si="5"/>
        <v>58</v>
      </c>
      <c r="V39" s="320">
        <f t="shared" si="5"/>
        <v>0</v>
      </c>
      <c r="W39" s="160">
        <f t="shared" si="5"/>
        <v>0</v>
      </c>
    </row>
    <row r="40" spans="1:27" s="140" customFormat="1" ht="11.25" customHeight="1">
      <c r="B40" s="146"/>
      <c r="C40" s="147"/>
      <c r="D40" s="148"/>
      <c r="E40" s="164"/>
      <c r="F40" s="165"/>
      <c r="G40" s="165"/>
      <c r="H40" s="165"/>
      <c r="I40" s="165"/>
      <c r="J40" s="165"/>
      <c r="K40" s="165"/>
      <c r="L40" s="165"/>
      <c r="M40" s="165"/>
      <c r="N40" s="165"/>
      <c r="O40" s="249"/>
      <c r="P40" s="165"/>
      <c r="Q40" s="321"/>
      <c r="R40" s="165"/>
      <c r="S40" s="166"/>
      <c r="T40" s="324"/>
      <c r="U40" s="165"/>
      <c r="V40" s="321"/>
      <c r="W40" s="327"/>
    </row>
    <row r="41" spans="1:27" s="140" customFormat="1" ht="11.25" customHeight="1">
      <c r="B41" s="146" t="s">
        <v>4346</v>
      </c>
      <c r="C41" s="147" t="s">
        <v>4347</v>
      </c>
      <c r="D41" s="148">
        <v>77</v>
      </c>
      <c r="E41" s="164">
        <f>D41*60</f>
        <v>4620</v>
      </c>
      <c r="F41" s="165"/>
      <c r="G41" s="165"/>
      <c r="H41" s="165"/>
      <c r="I41" s="165"/>
      <c r="J41" s="165">
        <f>D41*20</f>
        <v>1540</v>
      </c>
      <c r="K41" s="165"/>
      <c r="L41" s="165"/>
      <c r="M41" s="165"/>
      <c r="N41" s="165"/>
      <c r="O41" s="249"/>
      <c r="P41" s="165"/>
      <c r="Q41" s="321"/>
      <c r="R41" s="165"/>
      <c r="S41" s="166"/>
      <c r="T41" s="324"/>
      <c r="U41" s="165"/>
      <c r="V41" s="321"/>
      <c r="W41" s="327"/>
    </row>
    <row r="42" spans="1:27" s="140" customFormat="1" ht="11.25" customHeight="1">
      <c r="B42" s="146" t="s">
        <v>4346</v>
      </c>
      <c r="C42" s="147" t="s">
        <v>4347</v>
      </c>
      <c r="D42" s="148">
        <v>136</v>
      </c>
      <c r="E42" s="164">
        <f>D42*60</f>
        <v>8160</v>
      </c>
      <c r="F42" s="165"/>
      <c r="G42" s="165"/>
      <c r="H42" s="165"/>
      <c r="I42" s="165"/>
      <c r="J42" s="165">
        <f>D42*20</f>
        <v>2720</v>
      </c>
      <c r="K42" s="165"/>
      <c r="L42" s="165"/>
      <c r="M42" s="165"/>
      <c r="N42" s="165"/>
      <c r="O42" s="249"/>
      <c r="P42" s="165"/>
      <c r="Q42" s="321"/>
      <c r="R42" s="165"/>
      <c r="S42" s="166"/>
      <c r="T42" s="324"/>
      <c r="U42" s="165"/>
      <c r="V42" s="321"/>
      <c r="W42" s="327"/>
    </row>
    <row r="43" spans="1:27" s="140" customFormat="1" ht="11.25" customHeight="1">
      <c r="B43" s="146" t="s">
        <v>4348</v>
      </c>
      <c r="C43" s="147" t="s">
        <v>4349</v>
      </c>
      <c r="D43" s="148">
        <v>99.1</v>
      </c>
      <c r="E43" s="164">
        <f>D43*60</f>
        <v>5946</v>
      </c>
      <c r="F43" s="165"/>
      <c r="G43" s="165"/>
      <c r="H43" s="165"/>
      <c r="I43" s="165"/>
      <c r="J43" s="165">
        <f>D43*20</f>
        <v>1982</v>
      </c>
      <c r="K43" s="165"/>
      <c r="L43" s="165"/>
      <c r="M43" s="165"/>
      <c r="N43" s="165"/>
      <c r="O43" s="249"/>
      <c r="P43" s="165"/>
      <c r="Q43" s="321"/>
      <c r="R43" s="165"/>
      <c r="S43" s="166"/>
      <c r="T43" s="324"/>
      <c r="U43" s="165"/>
      <c r="V43" s="321"/>
      <c r="W43" s="327"/>
    </row>
    <row r="44" spans="1:27" s="140" customFormat="1" ht="11.25" customHeight="1">
      <c r="B44" s="146" t="s">
        <v>4348</v>
      </c>
      <c r="C44" s="147" t="s">
        <v>4351</v>
      </c>
      <c r="D44" s="148">
        <v>312</v>
      </c>
      <c r="E44" s="164"/>
      <c r="F44" s="165"/>
      <c r="G44" s="165"/>
      <c r="H44" s="165"/>
      <c r="I44" s="165">
        <f>D44*1.3</f>
        <v>405.6</v>
      </c>
      <c r="J44" s="165"/>
      <c r="K44" s="165"/>
      <c r="L44" s="165"/>
      <c r="M44" s="165"/>
      <c r="N44" s="165"/>
      <c r="O44" s="249"/>
      <c r="P44" s="165"/>
      <c r="Q44" s="321"/>
      <c r="R44" s="165"/>
      <c r="S44" s="166"/>
      <c r="T44" s="324"/>
      <c r="U44" s="165"/>
      <c r="V44" s="321"/>
      <c r="W44" s="327"/>
    </row>
    <row r="45" spans="1:27" s="140" customFormat="1" ht="11.25" customHeight="1">
      <c r="B45" s="146" t="s">
        <v>4348</v>
      </c>
      <c r="C45" s="147" t="s">
        <v>4351</v>
      </c>
      <c r="D45" s="148">
        <v>44</v>
      </c>
      <c r="E45" s="164"/>
      <c r="F45" s="165"/>
      <c r="G45" s="165"/>
      <c r="H45" s="165"/>
      <c r="I45" s="165">
        <f>D45*0.39</f>
        <v>17.16</v>
      </c>
      <c r="J45" s="165"/>
      <c r="K45" s="165"/>
      <c r="L45" s="165"/>
      <c r="M45" s="165"/>
      <c r="N45" s="165"/>
      <c r="O45" s="249"/>
      <c r="P45" s="165"/>
      <c r="Q45" s="321"/>
      <c r="R45" s="165"/>
      <c r="S45" s="166"/>
      <c r="T45" s="324"/>
      <c r="U45" s="165"/>
      <c r="V45" s="321"/>
      <c r="W45" s="327"/>
    </row>
    <row r="46" spans="1:27" s="140" customFormat="1" ht="11.25" customHeight="1">
      <c r="B46" s="146" t="s">
        <v>4348</v>
      </c>
      <c r="C46" s="147" t="s">
        <v>4351</v>
      </c>
      <c r="D46" s="148">
        <v>387</v>
      </c>
      <c r="E46" s="164"/>
      <c r="F46" s="165"/>
      <c r="G46" s="165"/>
      <c r="H46" s="165"/>
      <c r="I46" s="165">
        <f>D46*1.3</f>
        <v>503.1</v>
      </c>
      <c r="J46" s="165"/>
      <c r="K46" s="165"/>
      <c r="L46" s="165"/>
      <c r="M46" s="165"/>
      <c r="N46" s="165"/>
      <c r="O46" s="249"/>
      <c r="P46" s="165"/>
      <c r="Q46" s="321"/>
      <c r="R46" s="165"/>
      <c r="S46" s="166"/>
      <c r="T46" s="324"/>
      <c r="U46" s="165"/>
      <c r="V46" s="321"/>
      <c r="W46" s="327"/>
    </row>
    <row r="47" spans="1:27" s="140" customFormat="1" ht="11.25" customHeight="1">
      <c r="B47" s="146" t="s">
        <v>4348</v>
      </c>
      <c r="C47" s="147" t="s">
        <v>4353</v>
      </c>
      <c r="D47" s="148">
        <v>77</v>
      </c>
      <c r="E47" s="164"/>
      <c r="F47" s="165"/>
      <c r="G47" s="165"/>
      <c r="H47" s="165"/>
      <c r="I47" s="165"/>
      <c r="J47" s="165"/>
      <c r="K47" s="165"/>
      <c r="L47" s="165"/>
      <c r="M47" s="165"/>
      <c r="N47" s="165"/>
      <c r="O47" s="249"/>
      <c r="P47" s="165"/>
      <c r="Q47" s="321"/>
      <c r="R47" s="165"/>
      <c r="S47" s="166"/>
      <c r="T47" s="324">
        <f>+D47*20</f>
        <v>1540</v>
      </c>
      <c r="U47" s="165"/>
      <c r="V47" s="321"/>
      <c r="W47" s="327"/>
    </row>
    <row r="48" spans="1:27" s="140" customFormat="1" ht="11.25" customHeight="1">
      <c r="B48" s="146" t="s">
        <v>4348</v>
      </c>
      <c r="C48" s="147" t="s">
        <v>4353</v>
      </c>
      <c r="D48" s="148">
        <v>2.9</v>
      </c>
      <c r="E48" s="164"/>
      <c r="F48" s="165"/>
      <c r="G48" s="165"/>
      <c r="H48" s="165"/>
      <c r="I48" s="165"/>
      <c r="J48" s="165"/>
      <c r="K48" s="165"/>
      <c r="L48" s="165"/>
      <c r="M48" s="165"/>
      <c r="N48" s="165"/>
      <c r="O48" s="249"/>
      <c r="P48" s="165"/>
      <c r="Q48" s="321"/>
      <c r="R48" s="165"/>
      <c r="S48" s="166"/>
      <c r="T48" s="324"/>
      <c r="U48" s="165">
        <f>D48*20</f>
        <v>58</v>
      </c>
      <c r="V48" s="321"/>
      <c r="W48" s="327"/>
    </row>
    <row r="49" spans="1:23" s="140" customFormat="1" ht="11.25" customHeight="1">
      <c r="B49" s="146"/>
      <c r="C49" s="147"/>
      <c r="D49" s="148"/>
      <c r="E49" s="164"/>
      <c r="F49" s="165"/>
      <c r="G49" s="165"/>
      <c r="H49" s="165"/>
      <c r="I49" s="165"/>
      <c r="J49" s="165"/>
      <c r="K49" s="165"/>
      <c r="L49" s="165"/>
      <c r="M49" s="165"/>
      <c r="N49" s="165"/>
      <c r="O49" s="249"/>
      <c r="P49" s="165"/>
      <c r="Q49" s="321"/>
      <c r="R49" s="165"/>
      <c r="S49" s="166"/>
      <c r="T49" s="324"/>
      <c r="U49" s="165"/>
      <c r="V49" s="321"/>
      <c r="W49" s="327"/>
    </row>
    <row r="50" spans="1:23" s="140" customFormat="1" ht="11.25" customHeight="1">
      <c r="A50" s="127" t="s">
        <v>4378</v>
      </c>
      <c r="B50" s="146"/>
      <c r="C50" s="147"/>
      <c r="D50" s="148"/>
      <c r="E50" s="164"/>
      <c r="F50" s="165"/>
      <c r="G50" s="165"/>
      <c r="H50" s="165"/>
      <c r="I50" s="165"/>
      <c r="J50" s="165"/>
      <c r="K50" s="165"/>
      <c r="L50" s="165"/>
      <c r="M50" s="165"/>
      <c r="N50" s="165"/>
      <c r="O50" s="249"/>
      <c r="P50" s="165"/>
      <c r="Q50" s="321"/>
      <c r="R50" s="165"/>
      <c r="S50" s="166"/>
      <c r="T50" s="324"/>
      <c r="U50" s="165">
        <f>$D50*O50</f>
        <v>0</v>
      </c>
      <c r="V50" s="321">
        <f>$D50*P50</f>
        <v>0</v>
      </c>
      <c r="W50" s="329"/>
    </row>
    <row r="51" spans="1:23">
      <c r="A51" s="80"/>
      <c r="B51" s="144"/>
      <c r="C51" s="145"/>
      <c r="D51" s="151"/>
      <c r="E51" s="167"/>
      <c r="F51" s="168"/>
      <c r="G51" s="168"/>
      <c r="H51" s="250"/>
      <c r="I51" s="250"/>
      <c r="J51" s="250"/>
      <c r="K51" s="250"/>
      <c r="L51" s="250"/>
      <c r="M51" s="250"/>
      <c r="N51" s="250"/>
      <c r="O51" s="250"/>
      <c r="P51" s="250"/>
      <c r="Q51" s="322"/>
      <c r="R51" s="168"/>
      <c r="S51" s="169"/>
      <c r="T51" s="325"/>
      <c r="U51" s="168">
        <f>$D51*O51</f>
        <v>0</v>
      </c>
      <c r="V51" s="326">
        <f>$D51*P51</f>
        <v>0</v>
      </c>
      <c r="W51" s="328"/>
    </row>
    <row r="52" spans="1:23">
      <c r="E52" s="80"/>
    </row>
  </sheetData>
  <mergeCells count="15">
    <mergeCell ref="G2:J2"/>
    <mergeCell ref="O2:R2"/>
    <mergeCell ref="G3:J3"/>
    <mergeCell ref="O3:R3"/>
    <mergeCell ref="G4:J4"/>
    <mergeCell ref="O4:R4"/>
    <mergeCell ref="X7:AA7"/>
    <mergeCell ref="E36:S36"/>
    <mergeCell ref="T36:W36"/>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FFFF99"/>
    <pageSetUpPr fitToPage="1"/>
  </sheetPr>
  <dimension ref="A1:AI186"/>
  <sheetViews>
    <sheetView zoomScale="75" zoomScaleNormal="75" workbookViewId="0">
      <pane xSplit="13" topLeftCell="N1" activePane="topRight" state="frozen"/>
      <selection activeCell="C3" sqref="C3:L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4909</v>
      </c>
      <c r="E2" s="34" t="s">
        <v>153</v>
      </c>
      <c r="F2" s="37">
        <f>工事6!J2</f>
        <v>56</v>
      </c>
      <c r="G2" s="1" t="s">
        <v>154</v>
      </c>
      <c r="H2" s="4">
        <f>表紙!H25</f>
        <v>69</v>
      </c>
      <c r="I2" s="4" t="s">
        <v>155</v>
      </c>
      <c r="J2" s="37">
        <f>VLOOKUP("EOL",$M$25:$N$65628,2,FALSE)</f>
        <v>63</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イ)6号線堺筋本町駅の部-隙間解消工事</v>
      </c>
      <c r="D5" s="2348"/>
      <c r="E5" s="632"/>
      <c r="F5" s="1889"/>
      <c r="G5" s="2349"/>
      <c r="H5" s="2061" t="s">
        <v>117</v>
      </c>
      <c r="I5" s="2061" t="s">
        <v>117</v>
      </c>
      <c r="J5" s="2759"/>
      <c r="K5" s="2788"/>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1984"/>
      <c r="E6" s="639"/>
      <c r="F6" s="640"/>
      <c r="G6" s="641"/>
      <c r="H6" s="1883"/>
      <c r="I6" s="1883"/>
      <c r="J6" s="1984"/>
      <c r="K6" s="1984"/>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1984" t="s">
        <v>4120</v>
      </c>
      <c r="E7" s="639"/>
      <c r="F7" s="640">
        <v>1</v>
      </c>
      <c r="G7" s="641" t="s">
        <v>119</v>
      </c>
      <c r="H7" s="1883"/>
      <c r="I7" s="1883">
        <f>I70</f>
        <v>109959</v>
      </c>
      <c r="J7" s="1984"/>
      <c r="K7" s="1984"/>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1984" t="s">
        <v>4121</v>
      </c>
      <c r="E8" s="639"/>
      <c r="F8" s="640">
        <v>1</v>
      </c>
      <c r="G8" s="641" t="s">
        <v>119</v>
      </c>
      <c r="H8" s="1883"/>
      <c r="I8" s="1883">
        <f>I93</f>
        <v>1740780</v>
      </c>
      <c r="J8" s="1984"/>
      <c r="K8" s="1984"/>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1984" t="s">
        <v>4122</v>
      </c>
      <c r="E9" s="639"/>
      <c r="F9" s="640">
        <v>1</v>
      </c>
      <c r="G9" s="641" t="s">
        <v>119</v>
      </c>
      <c r="H9" s="1883"/>
      <c r="I9" s="1883">
        <f>I116</f>
        <v>12316800</v>
      </c>
      <c r="J9" s="1984"/>
      <c r="K9" s="1984"/>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1984" t="s">
        <v>4125</v>
      </c>
      <c r="E10" s="639"/>
      <c r="F10" s="640">
        <v>1</v>
      </c>
      <c r="G10" s="641" t="s">
        <v>119</v>
      </c>
      <c r="H10" s="1883"/>
      <c r="I10" s="1883">
        <f>I139</f>
        <v>11596800</v>
      </c>
      <c r="J10" s="1984"/>
      <c r="K10" s="1984"/>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1984" t="s">
        <v>4126</v>
      </c>
      <c r="E11" s="639"/>
      <c r="F11" s="640">
        <v>1</v>
      </c>
      <c r="G11" s="641" t="s">
        <v>119</v>
      </c>
      <c r="H11" s="1883"/>
      <c r="I11" s="1883">
        <f>I162</f>
        <v>1662219</v>
      </c>
      <c r="J11" s="1984"/>
      <c r="K11" s="1984"/>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1984"/>
      <c r="E12" s="639"/>
      <c r="F12" s="640"/>
      <c r="G12" s="641"/>
      <c r="H12" s="1883"/>
      <c r="I12" s="1883"/>
      <c r="J12" s="1984"/>
      <c r="K12" s="1984"/>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1984"/>
      <c r="E13" s="639"/>
      <c r="F13" s="640"/>
      <c r="G13" s="641"/>
      <c r="H13" s="1883"/>
      <c r="I13" s="1883"/>
      <c r="J13" s="1984"/>
      <c r="K13" s="1984"/>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1984"/>
      <c r="E14" s="639"/>
      <c r="F14" s="640"/>
      <c r="G14" s="641"/>
      <c r="H14" s="1883"/>
      <c r="I14" s="1883"/>
      <c r="J14" s="1984"/>
      <c r="K14" s="1984"/>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1984"/>
      <c r="E15" s="639"/>
      <c r="F15" s="640"/>
      <c r="G15" s="641"/>
      <c r="H15" s="1883"/>
      <c r="I15" s="1883"/>
      <c r="J15" s="1984"/>
      <c r="K15" s="1984"/>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1984" t="s">
        <v>126</v>
      </c>
      <c r="E16" s="639"/>
      <c r="F16" s="640"/>
      <c r="G16" s="641"/>
      <c r="H16" s="1883"/>
      <c r="I16" s="1883">
        <f>SUM(I7:I15)</f>
        <v>27426558</v>
      </c>
      <c r="J16" s="2449" t="str">
        <f>IF(COUNTIF(N:N,"費用")=0,"","うち費用")</f>
        <v>うち費用</v>
      </c>
      <c r="K16" s="2450">
        <f>IF(COUNTIF(N:N,"費用")=0,"",SUMIF(N:N,"費用",I:I))</f>
        <v>1662219</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451"/>
      <c r="E17" s="639"/>
      <c r="F17" s="640"/>
      <c r="G17" s="641"/>
      <c r="H17" s="1883"/>
      <c r="I17" s="1883"/>
      <c r="J17" s="1984"/>
      <c r="K17" s="1984"/>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1984"/>
      <c r="E18" s="639"/>
      <c r="F18" s="640"/>
      <c r="G18" s="641"/>
      <c r="H18" s="1883"/>
      <c r="I18" s="1883"/>
      <c r="J18" s="1984"/>
      <c r="K18" s="1984"/>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1984" t="s">
        <v>4128</v>
      </c>
      <c r="E19" s="639"/>
      <c r="F19" s="640">
        <v>1</v>
      </c>
      <c r="G19" s="641" t="s">
        <v>119</v>
      </c>
      <c r="H19" s="1883"/>
      <c r="I19" s="1883">
        <f>+I47</f>
        <v>1487376</v>
      </c>
      <c r="J19" s="1984"/>
      <c r="K19" s="1984"/>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1984" t="s">
        <v>4129</v>
      </c>
      <c r="E20" s="639"/>
      <c r="F20" s="640">
        <v>1</v>
      </c>
      <c r="G20" s="641" t="s">
        <v>119</v>
      </c>
      <c r="H20" s="1883"/>
      <c r="I20" s="1883">
        <f>+諸経費表!M21</f>
        <v>6433066</v>
      </c>
      <c r="J20" s="2452"/>
      <c r="K20" s="1984"/>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1984"/>
      <c r="E21" s="639"/>
      <c r="F21" s="640"/>
      <c r="G21" s="641"/>
      <c r="H21" s="1883"/>
      <c r="I21" s="1883"/>
      <c r="J21" s="1984"/>
      <c r="K21" s="1984"/>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1984" t="s">
        <v>126</v>
      </c>
      <c r="E22" s="639"/>
      <c r="F22" s="640"/>
      <c r="G22" s="641"/>
      <c r="H22" s="1883"/>
      <c r="I22" s="1883">
        <f>+I19+I20</f>
        <v>7920442</v>
      </c>
      <c r="J22" s="1984"/>
      <c r="K22" s="1984"/>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1984"/>
      <c r="E23" s="639"/>
      <c r="F23" s="640"/>
      <c r="G23" s="641"/>
      <c r="H23" s="1883"/>
      <c r="I23" s="1883"/>
      <c r="J23" s="1984"/>
      <c r="K23" s="1984"/>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070"/>
      <c r="D24" s="2075" t="s">
        <v>4130</v>
      </c>
      <c r="E24" s="2071"/>
      <c r="F24" s="2072"/>
      <c r="G24" s="2453"/>
      <c r="H24" s="2454" t="s">
        <v>4131</v>
      </c>
      <c r="I24" s="2074">
        <f>+I22+I16</f>
        <v>35347000</v>
      </c>
      <c r="J24" s="2075" t="s">
        <v>4132</v>
      </c>
      <c r="K24" s="2075"/>
      <c r="L24" s="2455"/>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57</v>
      </c>
      <c r="G25" s="103" t="s">
        <v>131</v>
      </c>
      <c r="H25" s="104">
        <f>H2</f>
        <v>69</v>
      </c>
      <c r="M25" s="38" t="str">
        <f>IF(A27="","EOL","")</f>
        <v/>
      </c>
      <c r="N25" s="6">
        <f>+F25</f>
        <v>57</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1984" t="s">
        <v>4134</v>
      </c>
      <c r="E29" s="639"/>
      <c r="F29" s="640"/>
      <c r="G29" s="641"/>
      <c r="H29" s="642"/>
      <c r="I29" s="1883" t="str">
        <f t="shared" ref="I29:I44" si="0">IF(F29="","",INT(F29*H29))</f>
        <v/>
      </c>
      <c r="J29" s="1984"/>
      <c r="K29" s="1984"/>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1984" t="s">
        <v>4135</v>
      </c>
      <c r="E30" s="639"/>
      <c r="F30" s="640">
        <v>1</v>
      </c>
      <c r="G30" s="641" t="s">
        <v>122</v>
      </c>
      <c r="H30" s="642">
        <f>+'堺筋本町　諸'!H16</f>
        <v>764819</v>
      </c>
      <c r="I30" s="1883">
        <f t="shared" si="0"/>
        <v>764819</v>
      </c>
      <c r="J30" s="1984"/>
      <c r="K30" s="1984"/>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1984"/>
      <c r="E31" s="639"/>
      <c r="F31" s="640"/>
      <c r="G31" s="641"/>
      <c r="H31" s="642"/>
      <c r="I31" s="1883" t="str">
        <f t="shared" si="0"/>
        <v/>
      </c>
      <c r="J31" s="1984"/>
      <c r="K31" s="1984"/>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456"/>
      <c r="D32" s="2457" t="s">
        <v>4136</v>
      </c>
      <c r="E32" s="2458"/>
      <c r="F32" s="2459"/>
      <c r="G32" s="2460"/>
      <c r="H32" s="2461"/>
      <c r="I32" s="2462">
        <f>SUM(I30:I31)</f>
        <v>764819</v>
      </c>
      <c r="J32" s="2457"/>
      <c r="K32" s="2457"/>
      <c r="L32" s="2463"/>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1984" t="s">
        <v>4137</v>
      </c>
      <c r="E34" s="639"/>
      <c r="F34" s="640"/>
      <c r="G34" s="641"/>
      <c r="H34" s="642"/>
      <c r="I34" s="1883" t="str">
        <f t="shared" si="0"/>
        <v/>
      </c>
      <c r="J34" s="1984"/>
      <c r="K34" s="1984"/>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1984"/>
      <c r="E35" s="639"/>
      <c r="F35" s="640"/>
      <c r="G35" s="641"/>
      <c r="H35" s="642"/>
      <c r="I35" s="1883" t="str">
        <f t="shared" si="0"/>
        <v/>
      </c>
      <c r="J35" s="1984"/>
      <c r="K35" s="1984"/>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1984" t="s">
        <v>4138</v>
      </c>
      <c r="E36" s="639"/>
      <c r="F36" s="640">
        <v>1</v>
      </c>
      <c r="G36" s="641" t="s">
        <v>119</v>
      </c>
      <c r="H36" s="642">
        <f>+[5]集計!$E$20</f>
        <v>98162</v>
      </c>
      <c r="I36" s="1883">
        <f t="shared" si="0"/>
        <v>98162</v>
      </c>
      <c r="J36" s="1984"/>
      <c r="K36" s="1984"/>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1984" t="s">
        <v>4139</v>
      </c>
      <c r="E37" s="639"/>
      <c r="F37" s="640">
        <v>1</v>
      </c>
      <c r="G37" s="641" t="s">
        <v>119</v>
      </c>
      <c r="H37" s="642">
        <f>+[5]集計!$E$21</f>
        <v>198121</v>
      </c>
      <c r="I37" s="1883">
        <f t="shared" si="0"/>
        <v>198121</v>
      </c>
      <c r="J37" s="1984"/>
      <c r="K37" s="1984"/>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1984" t="s">
        <v>4140</v>
      </c>
      <c r="E38" s="639"/>
      <c r="F38" s="640">
        <v>1</v>
      </c>
      <c r="G38" s="641" t="s">
        <v>119</v>
      </c>
      <c r="H38" s="642">
        <f>+[5]集計!$E$22</f>
        <v>381643.00043706683</v>
      </c>
      <c r="I38" s="1883">
        <f t="shared" si="0"/>
        <v>381643</v>
      </c>
      <c r="J38" s="1984"/>
      <c r="K38" s="1984"/>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1984" t="s">
        <v>4141</v>
      </c>
      <c r="E39" s="639"/>
      <c r="F39" s="640">
        <v>1</v>
      </c>
      <c r="G39" s="641" t="s">
        <v>119</v>
      </c>
      <c r="H39" s="642">
        <f>+[5]集計!$E$24</f>
        <v>9240</v>
      </c>
      <c r="I39" s="1883">
        <f t="shared" si="0"/>
        <v>9240</v>
      </c>
      <c r="J39" s="1984"/>
      <c r="K39" s="1984"/>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1984" t="s">
        <v>4142</v>
      </c>
      <c r="E40" s="639"/>
      <c r="F40" s="640">
        <v>1</v>
      </c>
      <c r="G40" s="641" t="s">
        <v>119</v>
      </c>
      <c r="H40" s="642">
        <f>+[5]集計!$E$25</f>
        <v>35391</v>
      </c>
      <c r="I40" s="1883">
        <f t="shared" si="0"/>
        <v>35391</v>
      </c>
      <c r="J40" s="1984"/>
      <c r="K40" s="1984"/>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1984"/>
      <c r="E41" s="639"/>
      <c r="F41" s="640"/>
      <c r="G41" s="641"/>
      <c r="H41" s="642"/>
      <c r="I41" s="1883" t="str">
        <f t="shared" si="0"/>
        <v/>
      </c>
      <c r="J41" s="1984"/>
      <c r="K41" s="1984"/>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1984"/>
      <c r="E42" s="639"/>
      <c r="F42" s="640"/>
      <c r="G42" s="641"/>
      <c r="H42" s="642"/>
      <c r="I42" s="1883" t="str">
        <f t="shared" si="0"/>
        <v/>
      </c>
      <c r="J42" s="1984"/>
      <c r="K42" s="1984"/>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1984"/>
      <c r="E43" s="639"/>
      <c r="F43" s="640"/>
      <c r="G43" s="641"/>
      <c r="H43" s="642"/>
      <c r="I43" s="1883" t="str">
        <f t="shared" si="0"/>
        <v/>
      </c>
      <c r="J43" s="1984"/>
      <c r="K43" s="1984"/>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1984"/>
      <c r="E44" s="639"/>
      <c r="F44" s="640"/>
      <c r="G44" s="641"/>
      <c r="H44" s="642"/>
      <c r="I44" s="1883" t="str">
        <f t="shared" si="0"/>
        <v/>
      </c>
      <c r="J44" s="1984"/>
      <c r="K44" s="1984"/>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464"/>
      <c r="D45" s="2457" t="s">
        <v>4143</v>
      </c>
      <c r="E45" s="2458"/>
      <c r="F45" s="2459"/>
      <c r="G45" s="2460"/>
      <c r="H45" s="2461"/>
      <c r="I45" s="2462">
        <f>SUM(I35:I44)</f>
        <v>722557</v>
      </c>
      <c r="J45" s="2457"/>
      <c r="K45" s="2457"/>
      <c r="L45" s="2463"/>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1984"/>
      <c r="E46" s="639"/>
      <c r="F46" s="640"/>
      <c r="G46" s="641"/>
      <c r="H46" s="642"/>
      <c r="I46" s="1883" t="str">
        <f t="shared" ref="I46" si="1">IF(F46="","",INT(F46*H46))</f>
        <v/>
      </c>
      <c r="J46" s="1984"/>
      <c r="K46" s="1984"/>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070"/>
      <c r="D47" s="2075" t="s">
        <v>4144</v>
      </c>
      <c r="E47" s="2071"/>
      <c r="F47" s="2072"/>
      <c r="G47" s="2453"/>
      <c r="H47" s="2465" t="s">
        <v>4131</v>
      </c>
      <c r="I47" s="2074">
        <f>I32+I45</f>
        <v>1487376</v>
      </c>
      <c r="J47" s="2075" t="s">
        <v>4132</v>
      </c>
      <c r="K47" s="2075"/>
      <c r="L47" s="2455"/>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58</v>
      </c>
      <c r="G48" s="103" t="s">
        <v>131</v>
      </c>
      <c r="H48" s="104">
        <f>+$H$25</f>
        <v>69</v>
      </c>
      <c r="I48" s="104"/>
      <c r="M48" s="38" t="str">
        <f>IF(A50="","EOL","")</f>
        <v/>
      </c>
      <c r="N48" s="6">
        <f>+F48</f>
        <v>58</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88"/>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1984"/>
      <c r="K52" s="1984"/>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+[6]集計!$E$17</f>
        <v>10704</v>
      </c>
      <c r="I53" s="1883">
        <f t="shared" ref="I53:I69" si="2">IF(F53="","",INT(F53*H53))</f>
        <v>10704</v>
      </c>
      <c r="J53" s="1984"/>
      <c r="K53" s="1984"/>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+[6]集計!$E$18</f>
        <v>21378</v>
      </c>
      <c r="I54" s="1883">
        <f t="shared" si="2"/>
        <v>21378</v>
      </c>
      <c r="J54" s="1984"/>
      <c r="K54" s="1984"/>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+[6]集計!$E$19</f>
        <v>77877</v>
      </c>
      <c r="I55" s="1883">
        <f t="shared" si="2"/>
        <v>77877</v>
      </c>
      <c r="J55" s="1984"/>
      <c r="K55" s="1984"/>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+[6]集計!$E$20</f>
        <v>0</v>
      </c>
      <c r="I56" s="1883">
        <f t="shared" si="2"/>
        <v>0</v>
      </c>
      <c r="J56" s="1984"/>
      <c r="K56" s="1984"/>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+[6]集計!$E$21</f>
        <v>0</v>
      </c>
      <c r="I57" s="1883">
        <f t="shared" si="2"/>
        <v>0</v>
      </c>
      <c r="J57" s="1984"/>
      <c r="K57" s="1984"/>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+[6]集計!$E$22</f>
        <v>0</v>
      </c>
      <c r="I58" s="1883">
        <f t="shared" si="2"/>
        <v>0</v>
      </c>
      <c r="J58" s="1984"/>
      <c r="K58" s="1984"/>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1984"/>
      <c r="K59" s="1984"/>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1984"/>
      <c r="K60" s="1984"/>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1984"/>
      <c r="K61" s="1984"/>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1984"/>
      <c r="K62" s="1984"/>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1984"/>
      <c r="K63" s="1984"/>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1984"/>
      <c r="K64" s="1984"/>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1984"/>
      <c r="K65" s="1984"/>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1984"/>
      <c r="K66" s="1984"/>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1984"/>
      <c r="K67" s="1984"/>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1984"/>
      <c r="K68" s="1984"/>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1984"/>
      <c r="K69" s="1984"/>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070"/>
      <c r="D70" s="2075" t="s">
        <v>4144</v>
      </c>
      <c r="E70" s="2071"/>
      <c r="F70" s="2072"/>
      <c r="G70" s="2453"/>
      <c r="H70" s="2465" t="s">
        <v>4131</v>
      </c>
      <c r="I70" s="2074">
        <f>SUM(I52:I69)</f>
        <v>109959</v>
      </c>
      <c r="J70" s="2075" t="s">
        <v>4132</v>
      </c>
      <c r="K70" s="2075"/>
      <c r="L70" s="2455"/>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59</v>
      </c>
      <c r="G71" s="103" t="s">
        <v>131</v>
      </c>
      <c r="H71" s="104">
        <f>+H48</f>
        <v>69</v>
      </c>
      <c r="I71" s="104"/>
      <c r="M71" s="598" t="str">
        <f>IF(A73="","EOL","")</f>
        <v/>
      </c>
      <c r="N71" s="1">
        <f>+F71</f>
        <v>59</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88"/>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466"/>
      <c r="E75" s="621"/>
      <c r="F75" s="640"/>
      <c r="G75" s="641"/>
      <c r="H75" s="1882"/>
      <c r="I75" s="1883" t="str">
        <f t="shared" ref="I75:I92" si="3">IF(F75="","",INT(F75*H75))</f>
        <v/>
      </c>
      <c r="J75" s="1983"/>
      <c r="K75" s="1984"/>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911">
        <v>311</v>
      </c>
      <c r="D76" s="1980" t="s">
        <v>4380</v>
      </c>
      <c r="E76" s="621" t="s">
        <v>4156</v>
      </c>
      <c r="F76" s="640">
        <v>50.9</v>
      </c>
      <c r="G76" s="641" t="s">
        <v>4157</v>
      </c>
      <c r="H76" s="1882">
        <f>見積比較!O$37</f>
        <v>34200</v>
      </c>
      <c r="I76" s="1883">
        <f>IF(F76="","",INT(F76*H76))</f>
        <v>1740780</v>
      </c>
      <c r="J76" s="1983" t="s">
        <v>4158</v>
      </c>
      <c r="K76" s="1984"/>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466"/>
      <c r="E77" s="621"/>
      <c r="F77" s="640"/>
      <c r="G77" s="641"/>
      <c r="H77" s="1882"/>
      <c r="I77" s="1883" t="str">
        <f t="shared" ref="I77:I79" si="4">IF(F77="","",INT(F77*H77))</f>
        <v/>
      </c>
      <c r="J77" s="1983"/>
      <c r="K77" s="1984"/>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c r="B78" s="36"/>
      <c r="C78" s="1881"/>
      <c r="D78" s="2466"/>
      <c r="E78" s="621"/>
      <c r="F78" s="640"/>
      <c r="G78" s="641"/>
      <c r="H78" s="1882"/>
      <c r="I78" s="1883" t="str">
        <f t="shared" si="4"/>
        <v/>
      </c>
      <c r="J78" s="1983"/>
      <c r="K78" s="1984"/>
      <c r="L78" s="2356"/>
      <c r="M78" s="602"/>
      <c r="N78" s="603"/>
      <c r="O78" s="597"/>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c r="B79" s="36"/>
      <c r="C79" s="1881"/>
      <c r="D79" s="2466"/>
      <c r="E79" s="621"/>
      <c r="F79" s="640"/>
      <c r="G79" s="641"/>
      <c r="H79" s="1882"/>
      <c r="I79" s="1883" t="str">
        <f t="shared" si="4"/>
        <v/>
      </c>
      <c r="J79" s="1983"/>
      <c r="K79" s="1984"/>
      <c r="L79" s="2356"/>
      <c r="M79" s="602"/>
      <c r="N79" s="603"/>
      <c r="O79" s="597"/>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466"/>
      <c r="E80" s="621"/>
      <c r="F80" s="640"/>
      <c r="G80" s="641"/>
      <c r="H80" s="1882"/>
      <c r="I80" s="1883" t="str">
        <f t="shared" si="3"/>
        <v/>
      </c>
      <c r="J80" s="1983"/>
      <c r="K80" s="1984"/>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466"/>
      <c r="E81" s="621"/>
      <c r="F81" s="640"/>
      <c r="G81" s="641"/>
      <c r="H81" s="1882"/>
      <c r="I81" s="1883" t="str">
        <f t="shared" si="3"/>
        <v/>
      </c>
      <c r="J81" s="1983"/>
      <c r="K81" s="1984"/>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466"/>
      <c r="E82" s="621"/>
      <c r="F82" s="640"/>
      <c r="G82" s="641"/>
      <c r="H82" s="1882"/>
      <c r="I82" s="1883" t="str">
        <f t="shared" si="3"/>
        <v/>
      </c>
      <c r="J82" s="1983"/>
      <c r="K82" s="1984"/>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466"/>
      <c r="E83" s="621"/>
      <c r="F83" s="640"/>
      <c r="G83" s="641"/>
      <c r="H83" s="1882"/>
      <c r="I83" s="1883" t="str">
        <f t="shared" si="3"/>
        <v/>
      </c>
      <c r="J83" s="1983"/>
      <c r="K83" s="1984"/>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466"/>
      <c r="E84" s="621"/>
      <c r="F84" s="640"/>
      <c r="G84" s="641"/>
      <c r="H84" s="1882"/>
      <c r="I84" s="1883" t="str">
        <f t="shared" si="3"/>
        <v/>
      </c>
      <c r="J84" s="1983"/>
      <c r="K84" s="1984"/>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466"/>
      <c r="E85" s="621"/>
      <c r="F85" s="640"/>
      <c r="G85" s="641"/>
      <c r="H85" s="1882"/>
      <c r="I85" s="1883" t="str">
        <f t="shared" si="3"/>
        <v/>
      </c>
      <c r="J85" s="1983"/>
      <c r="K85" s="1984"/>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466"/>
      <c r="E86" s="621"/>
      <c r="F86" s="640"/>
      <c r="G86" s="641"/>
      <c r="H86" s="1882"/>
      <c r="I86" s="1883" t="str">
        <f t="shared" si="3"/>
        <v/>
      </c>
      <c r="J86" s="1983"/>
      <c r="K86" s="1984"/>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466"/>
      <c r="E87" s="621"/>
      <c r="F87" s="640"/>
      <c r="G87" s="641"/>
      <c r="H87" s="1882"/>
      <c r="I87" s="1883" t="str">
        <f t="shared" si="3"/>
        <v/>
      </c>
      <c r="J87" s="1983"/>
      <c r="K87" s="1984"/>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466"/>
      <c r="E88" s="621"/>
      <c r="F88" s="640"/>
      <c r="G88" s="641"/>
      <c r="H88" s="1882"/>
      <c r="I88" s="1883" t="str">
        <f t="shared" si="3"/>
        <v/>
      </c>
      <c r="J88" s="1983"/>
      <c r="K88" s="1984"/>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466"/>
      <c r="E89" s="621"/>
      <c r="F89" s="640"/>
      <c r="G89" s="641"/>
      <c r="H89" s="1882"/>
      <c r="I89" s="1883" t="str">
        <f t="shared" si="3"/>
        <v/>
      </c>
      <c r="J89" s="1983"/>
      <c r="K89" s="1984"/>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466"/>
      <c r="E90" s="621"/>
      <c r="F90" s="640"/>
      <c r="G90" s="641"/>
      <c r="H90" s="1882"/>
      <c r="I90" s="1883" t="str">
        <f t="shared" si="3"/>
        <v/>
      </c>
      <c r="J90" s="1983"/>
      <c r="K90" s="1984"/>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466"/>
      <c r="E91" s="621"/>
      <c r="F91" s="640"/>
      <c r="G91" s="641"/>
      <c r="H91" s="1882"/>
      <c r="I91" s="1883" t="str">
        <f t="shared" si="3"/>
        <v/>
      </c>
      <c r="J91" s="1983"/>
      <c r="K91" s="1984"/>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466"/>
      <c r="E92" s="621"/>
      <c r="F92" s="640"/>
      <c r="G92" s="641"/>
      <c r="H92" s="1882"/>
      <c r="I92" s="1883" t="str">
        <f t="shared" si="3"/>
        <v/>
      </c>
      <c r="J92" s="1983"/>
      <c r="K92" s="1984"/>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070"/>
      <c r="D93" s="2075" t="s">
        <v>4144</v>
      </c>
      <c r="E93" s="2071"/>
      <c r="F93" s="2072"/>
      <c r="G93" s="2453"/>
      <c r="H93" s="2465" t="s">
        <v>4131</v>
      </c>
      <c r="I93" s="2074">
        <f>SUM(I75:I92)</f>
        <v>1740780</v>
      </c>
      <c r="J93" s="2467" t="str">
        <f>IF(C74="部分撤去工事","）うち費用",")")</f>
        <v>)</v>
      </c>
      <c r="K93" s="2468">
        <f>IF(C74="部分撤去工事",(K70+L93),0)</f>
        <v>0</v>
      </c>
      <c r="L93" s="2469">
        <f>IF(C74="部分撤去工事",SUMIF(N75:N92,"費用",I75:I92),0)</f>
        <v>0</v>
      </c>
      <c r="M93" s="2470"/>
      <c r="N93" s="2471"/>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60</v>
      </c>
      <c r="G94" s="103" t="s">
        <v>131</v>
      </c>
      <c r="H94" s="104">
        <f>+H71</f>
        <v>69</v>
      </c>
      <c r="I94" s="104"/>
      <c r="M94" s="598" t="str">
        <f>IF(A96="","EOL","")</f>
        <v/>
      </c>
      <c r="N94" s="1">
        <f>+F94</f>
        <v>60</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4122</v>
      </c>
      <c r="D97" s="2385"/>
      <c r="E97" s="623"/>
      <c r="F97" s="1889"/>
      <c r="G97" s="1890"/>
      <c r="H97" s="2386" t="s">
        <v>117</v>
      </c>
      <c r="I97" s="2386" t="s">
        <v>117</v>
      </c>
      <c r="J97" s="2759"/>
      <c r="K97" s="2788"/>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466"/>
      <c r="E98" s="621"/>
      <c r="F98" s="640"/>
      <c r="G98" s="641"/>
      <c r="H98" s="1882"/>
      <c r="I98" s="1883" t="str">
        <f t="shared" ref="I98:I115" si="5">IF(F98="","",INT(F98*H98))</f>
        <v/>
      </c>
      <c r="J98" s="1983"/>
      <c r="K98" s="1984"/>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911">
        <v>409</v>
      </c>
      <c r="D99" s="1980" t="s">
        <v>4381</v>
      </c>
      <c r="E99" s="621" t="s">
        <v>4382</v>
      </c>
      <c r="F99" s="640">
        <v>48</v>
      </c>
      <c r="G99" s="641" t="s">
        <v>4168</v>
      </c>
      <c r="H99" s="1882">
        <f>見積比較!O$126</f>
        <v>256600</v>
      </c>
      <c r="I99" s="1883">
        <f>IF(F99="","",INT(F99*H99))</f>
        <v>12316800</v>
      </c>
      <c r="J99" s="1983" t="s">
        <v>4169</v>
      </c>
      <c r="K99" s="1984"/>
      <c r="L99" s="2356"/>
      <c r="M99" s="602"/>
      <c r="N99" s="603"/>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881"/>
      <c r="D100" s="2466"/>
      <c r="E100" s="621" t="s">
        <v>4461</v>
      </c>
      <c r="F100" s="640"/>
      <c r="G100" s="641"/>
      <c r="H100" s="1882"/>
      <c r="I100" s="1883" t="str">
        <f t="shared" ref="I100:I101" si="6">IF(F100="","",INT(F100*H100))</f>
        <v/>
      </c>
      <c r="J100" s="1983"/>
      <c r="K100" s="1984"/>
      <c r="L100" s="2356"/>
      <c r="M100" s="602"/>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c r="B101" s="36"/>
      <c r="C101" s="1881"/>
      <c r="D101" s="2466"/>
      <c r="E101" s="621"/>
      <c r="F101" s="640"/>
      <c r="G101" s="641"/>
      <c r="H101" s="1882"/>
      <c r="I101" s="1883" t="str">
        <f t="shared" si="6"/>
        <v/>
      </c>
      <c r="J101" s="1983"/>
      <c r="K101" s="1984"/>
      <c r="L101" s="2356"/>
      <c r="M101" s="602"/>
      <c r="N101" s="603"/>
      <c r="O101" s="597"/>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881"/>
      <c r="D102" s="2466"/>
      <c r="E102" s="621"/>
      <c r="F102" s="640"/>
      <c r="G102" s="641"/>
      <c r="H102" s="1882"/>
      <c r="I102" s="1883" t="str">
        <f t="shared" si="5"/>
        <v/>
      </c>
      <c r="J102" s="1983"/>
      <c r="K102" s="1984"/>
      <c r="L102" s="2356"/>
      <c r="M102" s="602"/>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c r="B103" s="36"/>
      <c r="C103" s="1881"/>
      <c r="D103" s="2466"/>
      <c r="E103" s="621"/>
      <c r="F103" s="640"/>
      <c r="G103" s="641"/>
      <c r="H103" s="1882"/>
      <c r="I103" s="1883" t="str">
        <f t="shared" si="5"/>
        <v/>
      </c>
      <c r="J103" s="1983"/>
      <c r="K103" s="1984"/>
      <c r="L103" s="2356"/>
      <c r="M103" s="602"/>
      <c r="N103" s="603"/>
      <c r="O103" s="597"/>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881"/>
      <c r="D104" s="2466"/>
      <c r="E104" s="621"/>
      <c r="F104" s="640"/>
      <c r="G104" s="641"/>
      <c r="H104" s="1882"/>
      <c r="I104" s="1883" t="str">
        <f t="shared" si="5"/>
        <v/>
      </c>
      <c r="J104" s="1983"/>
      <c r="K104" s="1984"/>
      <c r="L104" s="2356"/>
      <c r="M104" s="602"/>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c r="B105" s="36"/>
      <c r="C105" s="1881"/>
      <c r="D105" s="2466"/>
      <c r="E105" s="621"/>
      <c r="F105" s="640"/>
      <c r="G105" s="641"/>
      <c r="H105" s="1882"/>
      <c r="I105" s="1883" t="str">
        <f t="shared" si="5"/>
        <v/>
      </c>
      <c r="J105" s="1983"/>
      <c r="K105" s="1984"/>
      <c r="L105" s="2356"/>
      <c r="M105" s="602"/>
      <c r="N105" s="603"/>
      <c r="O105" s="597"/>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881"/>
      <c r="D106" s="2466"/>
      <c r="E106" s="621"/>
      <c r="F106" s="640"/>
      <c r="G106" s="641"/>
      <c r="H106" s="1882"/>
      <c r="I106" s="1883" t="str">
        <f t="shared" si="5"/>
        <v/>
      </c>
      <c r="J106" s="1983"/>
      <c r="K106" s="1984"/>
      <c r="L106" s="2356"/>
      <c r="M106" s="602"/>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c r="B107" s="36"/>
      <c r="C107" s="1881"/>
      <c r="D107" s="2466"/>
      <c r="E107" s="621"/>
      <c r="F107" s="640"/>
      <c r="G107" s="641"/>
      <c r="H107" s="1882"/>
      <c r="I107" s="1883" t="str">
        <f t="shared" si="5"/>
        <v/>
      </c>
      <c r="J107" s="1983"/>
      <c r="K107" s="1984"/>
      <c r="L107" s="2356"/>
      <c r="M107" s="602"/>
      <c r="N107" s="603"/>
      <c r="O107" s="597"/>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c r="B108" s="36"/>
      <c r="C108" s="1881"/>
      <c r="D108" s="2466"/>
      <c r="E108" s="621"/>
      <c r="F108" s="640"/>
      <c r="G108" s="641"/>
      <c r="H108" s="1882"/>
      <c r="I108" s="1883" t="str">
        <f t="shared" si="5"/>
        <v/>
      </c>
      <c r="J108" s="1983"/>
      <c r="K108" s="1984"/>
      <c r="L108" s="2356"/>
      <c r="M108" s="602"/>
      <c r="N108" s="603"/>
      <c r="O108" s="597"/>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c r="B109" s="36"/>
      <c r="C109" s="1881"/>
      <c r="D109" s="2466"/>
      <c r="E109" s="621"/>
      <c r="F109" s="640"/>
      <c r="G109" s="641"/>
      <c r="H109" s="1882"/>
      <c r="I109" s="1883" t="str">
        <f t="shared" si="5"/>
        <v/>
      </c>
      <c r="J109" s="1983"/>
      <c r="K109" s="1984"/>
      <c r="L109" s="2356"/>
      <c r="M109" s="602"/>
      <c r="N109" s="603"/>
      <c r="O109" s="597"/>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881"/>
      <c r="D110" s="2466"/>
      <c r="E110" s="621"/>
      <c r="F110" s="640"/>
      <c r="G110" s="641"/>
      <c r="H110" s="1882"/>
      <c r="I110" s="1883" t="str">
        <f t="shared" si="5"/>
        <v/>
      </c>
      <c r="J110" s="1983"/>
      <c r="K110" s="1984"/>
      <c r="L110" s="2356"/>
      <c r="M110" s="602"/>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881"/>
      <c r="D111" s="2466"/>
      <c r="E111" s="621"/>
      <c r="F111" s="640"/>
      <c r="G111" s="641"/>
      <c r="H111" s="1882"/>
      <c r="I111" s="1883" t="str">
        <f t="shared" si="5"/>
        <v/>
      </c>
      <c r="J111" s="1983"/>
      <c r="K111" s="1984"/>
      <c r="L111" s="2356"/>
      <c r="M111" s="602"/>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881"/>
      <c r="D112" s="2466"/>
      <c r="E112" s="621"/>
      <c r="F112" s="640"/>
      <c r="G112" s="641"/>
      <c r="H112" s="1882"/>
      <c r="I112" s="1883" t="str">
        <f t="shared" si="5"/>
        <v/>
      </c>
      <c r="J112" s="1983"/>
      <c r="K112" s="1984"/>
      <c r="L112" s="2356"/>
      <c r="M112" s="602"/>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881"/>
      <c r="D113" s="2466"/>
      <c r="E113" s="621"/>
      <c r="F113" s="640"/>
      <c r="G113" s="641"/>
      <c r="H113" s="1882"/>
      <c r="I113" s="1883" t="str">
        <f t="shared" si="5"/>
        <v/>
      </c>
      <c r="J113" s="1983"/>
      <c r="K113" s="1984"/>
      <c r="L113" s="2356"/>
      <c r="M113" s="602"/>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466"/>
      <c r="E114" s="621"/>
      <c r="F114" s="640"/>
      <c r="G114" s="641"/>
      <c r="H114" s="1882"/>
      <c r="I114" s="1883" t="str">
        <f t="shared" si="5"/>
        <v/>
      </c>
      <c r="J114" s="1983"/>
      <c r="K114" s="1984"/>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466"/>
      <c r="E115" s="621"/>
      <c r="F115" s="640"/>
      <c r="G115" s="641"/>
      <c r="H115" s="1882"/>
      <c r="I115" s="1883" t="str">
        <f t="shared" si="5"/>
        <v/>
      </c>
      <c r="J115" s="1983"/>
      <c r="K115" s="1984"/>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070"/>
      <c r="D116" s="2075" t="s">
        <v>4144</v>
      </c>
      <c r="E116" s="2071"/>
      <c r="F116" s="2072"/>
      <c r="G116" s="2453"/>
      <c r="H116" s="2465" t="s">
        <v>4131</v>
      </c>
      <c r="I116" s="2074">
        <f>SUM(I98:I115)</f>
        <v>12316800</v>
      </c>
      <c r="J116" s="2467" t="str">
        <f>IF(C97="部分撤去工事","）うち費用",")")</f>
        <v>)</v>
      </c>
      <c r="K116" s="2468">
        <f>IF(C97="部分撤去工事",(K93+L116),0)</f>
        <v>0</v>
      </c>
      <c r="L116" s="2469">
        <f>IF(C97="部分撤去工事",SUMIF(N98:N115,"費用",I98:I115),0)</f>
        <v>0</v>
      </c>
      <c r="M116" s="2470"/>
      <c r="N116" s="2471"/>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61</v>
      </c>
      <c r="G117" s="103" t="s">
        <v>131</v>
      </c>
      <c r="H117" s="104">
        <f>+H94</f>
        <v>69</v>
      </c>
      <c r="I117" s="104"/>
      <c r="M117" s="598" t="str">
        <f>IF(A119="","EOL","")</f>
        <v/>
      </c>
      <c r="N117" s="1">
        <f>+F117</f>
        <v>61</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4125</v>
      </c>
      <c r="D120" s="2385"/>
      <c r="E120" s="623"/>
      <c r="F120" s="1889"/>
      <c r="G120" s="1890"/>
      <c r="H120" s="2386" t="s">
        <v>117</v>
      </c>
      <c r="I120" s="2386" t="s">
        <v>117</v>
      </c>
      <c r="J120" s="2759"/>
      <c r="K120" s="2788"/>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466"/>
      <c r="E121" s="621"/>
      <c r="F121" s="640"/>
      <c r="G121" s="641"/>
      <c r="H121" s="1882"/>
      <c r="I121" s="1883" t="str">
        <f t="shared" ref="I121:I138" si="7">IF(F121="","",INT(F121*H121))</f>
        <v/>
      </c>
      <c r="J121" s="1983"/>
      <c r="K121" s="1984"/>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911">
        <v>701</v>
      </c>
      <c r="D122" s="1980" t="s">
        <v>4384</v>
      </c>
      <c r="E122" s="621" t="s">
        <v>4385</v>
      </c>
      <c r="F122" s="640">
        <v>48</v>
      </c>
      <c r="G122" s="641" t="s">
        <v>4168</v>
      </c>
      <c r="H122" s="1882">
        <f>見積比較!O$150</f>
        <v>241600</v>
      </c>
      <c r="I122" s="1883">
        <f>IF(F122="","",INT(F122*H122))</f>
        <v>11596800</v>
      </c>
      <c r="J122" s="1983" t="s">
        <v>4386</v>
      </c>
      <c r="K122" s="1984"/>
      <c r="L122" s="2356"/>
      <c r="M122" s="602"/>
      <c r="N122" s="603"/>
      <c r="O122" s="597">
        <v>0</v>
      </c>
      <c r="P122" s="187"/>
      <c r="Q122" s="188"/>
      <c r="R122" s="188"/>
      <c r="S122" s="188"/>
      <c r="T122" s="188"/>
      <c r="U122" s="188"/>
      <c r="V122" s="188"/>
      <c r="W122" s="188"/>
      <c r="X122" s="189"/>
      <c r="Y122" s="189"/>
      <c r="Z122" s="189"/>
      <c r="AA122" s="189"/>
      <c r="AB122" s="189"/>
      <c r="AC122" s="188"/>
      <c r="AD122" s="309"/>
      <c r="AE122" s="310"/>
      <c r="AF122" s="188"/>
      <c r="AG122" s="188"/>
      <c r="AH122" s="519"/>
      <c r="AI122" s="557"/>
    </row>
    <row r="123" spans="1:35" s="37" customFormat="1" ht="24" customHeight="1">
      <c r="A123" s="36"/>
      <c r="B123" s="36"/>
      <c r="C123" s="1881"/>
      <c r="D123" s="2466"/>
      <c r="E123" s="621" t="s">
        <v>4461</v>
      </c>
      <c r="F123" s="640"/>
      <c r="G123" s="641"/>
      <c r="H123" s="1882"/>
      <c r="I123" s="1883" t="str">
        <f t="shared" ref="I123:I124" si="8">IF(F123="","",INT(F123*H123))</f>
        <v/>
      </c>
      <c r="J123" s="1983"/>
      <c r="K123" s="1984"/>
      <c r="L123" s="2356"/>
      <c r="M123" s="602"/>
      <c r="N123" s="603"/>
      <c r="O123" s="597"/>
      <c r="P123" s="187"/>
      <c r="Q123" s="188"/>
      <c r="R123" s="188"/>
      <c r="S123" s="188"/>
      <c r="T123" s="188"/>
      <c r="U123" s="188"/>
      <c r="V123" s="188"/>
      <c r="W123" s="188"/>
      <c r="X123" s="189"/>
      <c r="Y123" s="189"/>
      <c r="Z123" s="189"/>
      <c r="AA123" s="189"/>
      <c r="AB123" s="189"/>
      <c r="AC123" s="188"/>
      <c r="AD123" s="309"/>
      <c r="AE123" s="310"/>
      <c r="AF123" s="188"/>
      <c r="AG123" s="188"/>
      <c r="AH123" s="519"/>
      <c r="AI123" s="557"/>
    </row>
    <row r="124" spans="1:35" s="37" customFormat="1" ht="24" customHeight="1">
      <c r="A124" s="36"/>
      <c r="B124" s="36"/>
      <c r="C124" s="1881"/>
      <c r="D124" s="2466"/>
      <c r="E124" s="621"/>
      <c r="F124" s="640"/>
      <c r="G124" s="641"/>
      <c r="H124" s="1882"/>
      <c r="I124" s="1883" t="str">
        <f t="shared" si="8"/>
        <v/>
      </c>
      <c r="J124" s="1983"/>
      <c r="K124" s="1984"/>
      <c r="L124" s="2356"/>
      <c r="M124" s="602"/>
      <c r="N124" s="603"/>
      <c r="O124" s="597"/>
      <c r="P124" s="187"/>
      <c r="Q124" s="188"/>
      <c r="R124" s="188"/>
      <c r="S124" s="188"/>
      <c r="T124" s="188"/>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1881"/>
      <c r="D125" s="2466"/>
      <c r="E125" s="621"/>
      <c r="F125" s="640"/>
      <c r="G125" s="641"/>
      <c r="H125" s="1882"/>
      <c r="I125" s="1883" t="str">
        <f t="shared" si="7"/>
        <v/>
      </c>
      <c r="J125" s="1983"/>
      <c r="K125" s="1984"/>
      <c r="L125" s="2356"/>
      <c r="M125" s="602"/>
      <c r="N125" s="603"/>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c r="B126" s="36"/>
      <c r="C126" s="1881"/>
      <c r="D126" s="2466"/>
      <c r="E126" s="621"/>
      <c r="F126" s="640"/>
      <c r="G126" s="641"/>
      <c r="H126" s="1882"/>
      <c r="I126" s="1883" t="str">
        <f t="shared" si="7"/>
        <v/>
      </c>
      <c r="J126" s="1983"/>
      <c r="K126" s="1984"/>
      <c r="L126" s="2356"/>
      <c r="M126" s="602"/>
      <c r="N126" s="603"/>
      <c r="O126" s="597"/>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1881"/>
      <c r="D127" s="2466"/>
      <c r="E127" s="621"/>
      <c r="F127" s="640"/>
      <c r="G127" s="641"/>
      <c r="H127" s="1882"/>
      <c r="I127" s="1883" t="str">
        <f t="shared" si="7"/>
        <v/>
      </c>
      <c r="J127" s="1983"/>
      <c r="K127" s="1984"/>
      <c r="L127" s="2356"/>
      <c r="M127" s="602"/>
      <c r="N127" s="603"/>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c r="B128" s="36"/>
      <c r="C128" s="1881"/>
      <c r="D128" s="2466"/>
      <c r="E128" s="621"/>
      <c r="F128" s="640"/>
      <c r="G128" s="641"/>
      <c r="H128" s="1882"/>
      <c r="I128" s="1883" t="str">
        <f t="shared" si="7"/>
        <v/>
      </c>
      <c r="J128" s="1983"/>
      <c r="K128" s="1984"/>
      <c r="L128" s="2356"/>
      <c r="M128" s="602"/>
      <c r="N128" s="603"/>
      <c r="O128" s="597"/>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466"/>
      <c r="E129" s="621"/>
      <c r="F129" s="640"/>
      <c r="G129" s="641"/>
      <c r="H129" s="1882"/>
      <c r="I129" s="1883" t="str">
        <f t="shared" si="7"/>
        <v/>
      </c>
      <c r="J129" s="1983"/>
      <c r="K129" s="1984"/>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c r="B130" s="36"/>
      <c r="C130" s="1881"/>
      <c r="D130" s="2466"/>
      <c r="E130" s="621"/>
      <c r="F130" s="640"/>
      <c r="G130" s="641"/>
      <c r="H130" s="1882"/>
      <c r="I130" s="1883" t="str">
        <f t="shared" si="7"/>
        <v/>
      </c>
      <c r="J130" s="1983"/>
      <c r="K130" s="1984"/>
      <c r="L130" s="2356"/>
      <c r="M130" s="602"/>
      <c r="N130" s="603"/>
      <c r="O130" s="597"/>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466"/>
      <c r="E131" s="621"/>
      <c r="F131" s="640"/>
      <c r="G131" s="641"/>
      <c r="H131" s="1882"/>
      <c r="I131" s="1883" t="str">
        <f t="shared" si="7"/>
        <v/>
      </c>
      <c r="J131" s="1983"/>
      <c r="K131" s="1984"/>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c r="B132" s="36"/>
      <c r="C132" s="1881"/>
      <c r="D132" s="2466"/>
      <c r="E132" s="621"/>
      <c r="F132" s="640"/>
      <c r="G132" s="641"/>
      <c r="H132" s="1882"/>
      <c r="I132" s="1883" t="str">
        <f t="shared" si="7"/>
        <v/>
      </c>
      <c r="J132" s="1983"/>
      <c r="K132" s="1984"/>
      <c r="L132" s="2356"/>
      <c r="M132" s="602"/>
      <c r="N132" s="603"/>
      <c r="O132" s="597"/>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2466"/>
      <c r="E133" s="621"/>
      <c r="F133" s="640"/>
      <c r="G133" s="641"/>
      <c r="H133" s="1882"/>
      <c r="I133" s="1883" t="str">
        <f t="shared" si="7"/>
        <v/>
      </c>
      <c r="J133" s="1983"/>
      <c r="K133" s="1984"/>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c r="B134" s="36"/>
      <c r="C134" s="1881"/>
      <c r="D134" s="2466"/>
      <c r="E134" s="621"/>
      <c r="F134" s="640"/>
      <c r="G134" s="641"/>
      <c r="H134" s="1882"/>
      <c r="I134" s="1883" t="str">
        <f t="shared" si="7"/>
        <v/>
      </c>
      <c r="J134" s="1983"/>
      <c r="K134" s="1984"/>
      <c r="L134" s="2356"/>
      <c r="M134" s="602"/>
      <c r="N134" s="603"/>
      <c r="O134" s="597"/>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c r="B135" s="36"/>
      <c r="C135" s="1881"/>
      <c r="D135" s="2466"/>
      <c r="E135" s="621"/>
      <c r="F135" s="640"/>
      <c r="G135" s="641"/>
      <c r="H135" s="1882"/>
      <c r="I135" s="1883" t="str">
        <f t="shared" si="7"/>
        <v/>
      </c>
      <c r="J135" s="1983"/>
      <c r="K135" s="1984"/>
      <c r="L135" s="2356"/>
      <c r="M135" s="602"/>
      <c r="N135" s="603"/>
      <c r="O135" s="597"/>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c r="B136" s="36"/>
      <c r="C136" s="1881"/>
      <c r="D136" s="2466"/>
      <c r="E136" s="621"/>
      <c r="F136" s="640"/>
      <c r="G136" s="641"/>
      <c r="H136" s="1882"/>
      <c r="I136" s="1883" t="str">
        <f t="shared" si="7"/>
        <v/>
      </c>
      <c r="J136" s="1983"/>
      <c r="K136" s="1984"/>
      <c r="L136" s="2356"/>
      <c r="M136" s="602"/>
      <c r="N136" s="603"/>
      <c r="O136" s="597"/>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2466"/>
      <c r="E137" s="621"/>
      <c r="F137" s="640"/>
      <c r="G137" s="641"/>
      <c r="H137" s="1882"/>
      <c r="I137" s="1883" t="str">
        <f t="shared" si="7"/>
        <v/>
      </c>
      <c r="J137" s="1983"/>
      <c r="K137" s="1984"/>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466"/>
      <c r="E138" s="621"/>
      <c r="F138" s="640"/>
      <c r="G138" s="641"/>
      <c r="H138" s="1882"/>
      <c r="I138" s="1883" t="str">
        <f t="shared" si="7"/>
        <v/>
      </c>
      <c r="J138" s="1983"/>
      <c r="K138" s="1984"/>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070"/>
      <c r="D139" s="2075" t="s">
        <v>4144</v>
      </c>
      <c r="E139" s="2071"/>
      <c r="F139" s="2072"/>
      <c r="G139" s="2453"/>
      <c r="H139" s="2465" t="s">
        <v>4131</v>
      </c>
      <c r="I139" s="2074">
        <f>SUM(I121:I138)</f>
        <v>11596800</v>
      </c>
      <c r="J139" s="2467" t="str">
        <f>IF(C120="部分撤去工事","）うち費用",")")</f>
        <v>)</v>
      </c>
      <c r="K139" s="2468">
        <f>IF(C120="部分撤去工事",(#REF!+L139),0)</f>
        <v>0</v>
      </c>
      <c r="L139" s="2469">
        <f>IF(C120="部分撤去工事",SUMIF(N121:N138,"費用",I121:I138),0)</f>
        <v>0</v>
      </c>
      <c r="M139" s="2470"/>
      <c r="N139" s="2471"/>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62</v>
      </c>
      <c r="G140" s="103" t="s">
        <v>131</v>
      </c>
      <c r="H140" s="104">
        <f>+H117</f>
        <v>69</v>
      </c>
      <c r="I140" s="104"/>
      <c r="M140" s="598" t="str">
        <f>IF(A142="","EOL","")</f>
        <v/>
      </c>
      <c r="N140" s="1">
        <f>+F140</f>
        <v>62</v>
      </c>
      <c r="Q140" s="37"/>
      <c r="R140" s="37"/>
      <c r="S140" s="37"/>
      <c r="T140" s="37"/>
      <c r="U140" s="37"/>
      <c r="V140" s="37"/>
      <c r="W140" s="37"/>
      <c r="X140" s="37"/>
      <c r="Y140" s="37"/>
      <c r="Z140" s="37"/>
    </row>
    <row r="141" spans="1:35" ht="26.1" customHeight="1" thickBot="1">
      <c r="C141" s="2517" t="s">
        <v>107</v>
      </c>
      <c r="D141" s="2517"/>
      <c r="E141" s="2517"/>
      <c r="F141" s="2517"/>
      <c r="G141" s="2517"/>
      <c r="H141" s="2517"/>
      <c r="I141" s="2517"/>
      <c r="J141" s="2517"/>
      <c r="K141" s="2517"/>
      <c r="L141" s="2517"/>
      <c r="N141" s="1"/>
      <c r="O141" s="2730" t="s">
        <v>4098</v>
      </c>
      <c r="P141" s="2730"/>
      <c r="Q141" s="2730"/>
      <c r="R141" s="2730"/>
      <c r="S141" s="2730"/>
      <c r="T141" s="2730"/>
      <c r="U141" s="2730"/>
      <c r="V141" s="2730"/>
      <c r="W141" s="2730"/>
      <c r="X141" s="2730"/>
      <c r="Y141" s="2730"/>
      <c r="Z141" s="2730"/>
      <c r="AA141" s="2730"/>
      <c r="AB141" s="2730"/>
      <c r="AC141" s="2730"/>
      <c r="AD141" s="2730"/>
      <c r="AE141" s="2730"/>
      <c r="AF141" s="2730"/>
      <c r="AG141" s="2730"/>
      <c r="AH141" s="2731"/>
      <c r="AI141" s="555"/>
    </row>
    <row r="142" spans="1:35" ht="41.25" customHeight="1">
      <c r="A142" s="5" t="s">
        <v>108</v>
      </c>
      <c r="B142" s="5" t="s">
        <v>4145</v>
      </c>
      <c r="C142" s="99" t="s">
        <v>110</v>
      </c>
      <c r="D142" s="95"/>
      <c r="E142" s="96" t="s">
        <v>111</v>
      </c>
      <c r="F142" s="97" t="s">
        <v>112</v>
      </c>
      <c r="G142" s="97" t="s">
        <v>113</v>
      </c>
      <c r="H142" s="98" t="s">
        <v>114</v>
      </c>
      <c r="I142" s="98" t="s">
        <v>115</v>
      </c>
      <c r="J142" s="2552" t="s">
        <v>116</v>
      </c>
      <c r="K142" s="2553"/>
      <c r="L142" s="2554"/>
      <c r="M142" s="599"/>
      <c r="N142" s="604" t="s">
        <v>4154</v>
      </c>
      <c r="O142" s="596" t="s">
        <v>4099</v>
      </c>
      <c r="P142" s="303" t="s">
        <v>4100</v>
      </c>
      <c r="Q142" s="241" t="s">
        <v>4101</v>
      </c>
      <c r="R142" s="241" t="s">
        <v>4102</v>
      </c>
      <c r="S142" s="241" t="s">
        <v>4103</v>
      </c>
      <c r="T142" s="241" t="s">
        <v>4104</v>
      </c>
      <c r="U142" s="241" t="s">
        <v>4105</v>
      </c>
      <c r="V142" s="125" t="s">
        <v>4106</v>
      </c>
      <c r="W142" s="241" t="s">
        <v>4107</v>
      </c>
      <c r="X142" s="180" t="s">
        <v>4108</v>
      </c>
      <c r="Y142" s="180" t="s">
        <v>4109</v>
      </c>
      <c r="Z142" s="180" t="s">
        <v>4110</v>
      </c>
      <c r="AA142" s="180" t="s">
        <v>4111</v>
      </c>
      <c r="AB142" s="180" t="s">
        <v>4112</v>
      </c>
      <c r="AC142" s="306" t="s">
        <v>4113</v>
      </c>
      <c r="AD142" s="307" t="s">
        <v>4114</v>
      </c>
      <c r="AE142" s="308" t="s">
        <v>4115</v>
      </c>
      <c r="AF142" s="124" t="s">
        <v>4116</v>
      </c>
      <c r="AG142" s="124" t="s">
        <v>4117</v>
      </c>
      <c r="AH142" s="124" t="s">
        <v>4118</v>
      </c>
      <c r="AI142" s="556"/>
    </row>
    <row r="143" spans="1:35" ht="24" customHeight="1">
      <c r="A143" s="36"/>
      <c r="B143" s="36"/>
      <c r="C143" s="2370" t="s">
        <v>4126</v>
      </c>
      <c r="D143" s="2385"/>
      <c r="E143" s="623"/>
      <c r="F143" s="1889"/>
      <c r="G143" s="1890"/>
      <c r="H143" s="2386" t="s">
        <v>117</v>
      </c>
      <c r="I143" s="2386" t="s">
        <v>117</v>
      </c>
      <c r="J143" s="2759"/>
      <c r="K143" s="2788"/>
      <c r="L143" s="2734"/>
      <c r="M143" s="600"/>
      <c r="N143" s="601"/>
      <c r="O143" s="597"/>
      <c r="P143" s="187"/>
      <c r="Q143" s="188"/>
      <c r="R143" s="188"/>
      <c r="S143" s="188"/>
      <c r="T143" s="188"/>
      <c r="U143" s="188"/>
      <c r="V143" s="188"/>
      <c r="W143" s="188"/>
      <c r="X143" s="189"/>
      <c r="Y143" s="189"/>
      <c r="Z143" s="189"/>
      <c r="AA143" s="189"/>
      <c r="AB143" s="189"/>
      <c r="AC143" s="188"/>
      <c r="AD143" s="309"/>
      <c r="AE143" s="310"/>
      <c r="AF143" s="188"/>
      <c r="AG143" s="188"/>
      <c r="AH143" s="188"/>
      <c r="AI143" s="557"/>
    </row>
    <row r="144" spans="1:35" s="37" customFormat="1" ht="24" customHeight="1">
      <c r="A144" s="36"/>
      <c r="B144" s="36"/>
      <c r="C144" s="1881"/>
      <c r="D144" s="2466"/>
      <c r="E144" s="621"/>
      <c r="F144" s="640"/>
      <c r="G144" s="641"/>
      <c r="H144" s="1882"/>
      <c r="I144" s="1883" t="str">
        <f t="shared" ref="I144:I161" si="9">IF(F144="","",INT(F144*H144))</f>
        <v/>
      </c>
      <c r="J144" s="1983"/>
      <c r="K144" s="1984"/>
      <c r="L144" s="2356"/>
      <c r="M144" s="602"/>
      <c r="N144" s="603"/>
      <c r="O144" s="597"/>
      <c r="P144" s="187"/>
      <c r="Q144" s="188"/>
      <c r="R144" s="188"/>
      <c r="S144" s="188"/>
      <c r="T144" s="188"/>
      <c r="U144" s="188"/>
      <c r="V144" s="188"/>
      <c r="W144" s="188"/>
      <c r="X144" s="189"/>
      <c r="Y144" s="189"/>
      <c r="Z144" s="189"/>
      <c r="AA144" s="189"/>
      <c r="AB144" s="189"/>
      <c r="AC144" s="188"/>
      <c r="AD144" s="309"/>
      <c r="AE144" s="310"/>
      <c r="AF144" s="188"/>
      <c r="AG144" s="188"/>
      <c r="AH144" s="519"/>
      <c r="AI144" s="557"/>
    </row>
    <row r="145" spans="1:35" s="37" customFormat="1" ht="24" customHeight="1">
      <c r="A145" s="36">
        <v>4</v>
      </c>
      <c r="B145" s="36">
        <v>4</v>
      </c>
      <c r="C145" s="1911">
        <v>25012</v>
      </c>
      <c r="D145" s="1980" t="s">
        <v>4219</v>
      </c>
      <c r="E145" s="621" t="s">
        <v>4220</v>
      </c>
      <c r="F145" s="640">
        <v>50.9</v>
      </c>
      <c r="G145" s="641" t="s">
        <v>4193</v>
      </c>
      <c r="H145" s="1882">
        <v>29100</v>
      </c>
      <c r="I145" s="1883">
        <f>IF(F145="","",INT(F145*H145))</f>
        <v>1481190</v>
      </c>
      <c r="J145" s="1983" t="s">
        <v>4221</v>
      </c>
      <c r="K145" s="1984"/>
      <c r="L145" s="2356"/>
      <c r="M145" s="602"/>
      <c r="N145" s="603" t="s">
        <v>4223</v>
      </c>
      <c r="O145" s="597"/>
      <c r="P145" s="187">
        <v>60</v>
      </c>
      <c r="Q145" s="188"/>
      <c r="R145" s="188"/>
      <c r="S145" s="188"/>
      <c r="T145" s="188"/>
      <c r="U145" s="188">
        <v>20</v>
      </c>
      <c r="V145" s="188"/>
      <c r="W145" s="188"/>
      <c r="X145" s="189"/>
      <c r="Y145" s="189"/>
      <c r="Z145" s="189"/>
      <c r="AA145" s="189"/>
      <c r="AB145" s="189"/>
      <c r="AC145" s="188"/>
      <c r="AD145" s="309"/>
      <c r="AE145" s="310"/>
      <c r="AF145" s="188"/>
      <c r="AG145" s="188"/>
      <c r="AH145" s="519"/>
      <c r="AI145" s="557"/>
    </row>
    <row r="146" spans="1:35" s="37" customFormat="1" ht="24" customHeight="1">
      <c r="A146" s="36"/>
      <c r="B146" s="36"/>
      <c r="C146" s="1881"/>
      <c r="D146" s="2466"/>
      <c r="E146" s="621"/>
      <c r="F146" s="640"/>
      <c r="G146" s="641"/>
      <c r="H146" s="1882"/>
      <c r="I146" s="1883" t="str">
        <f t="shared" ref="I146" si="10">IF(F146="","",INT(F146*H146))</f>
        <v/>
      </c>
      <c r="J146" s="1983"/>
      <c r="K146" s="1984"/>
      <c r="L146" s="2356"/>
      <c r="M146" s="602"/>
      <c r="N146" s="603"/>
      <c r="O146" s="597"/>
      <c r="P146" s="187"/>
      <c r="Q146" s="188"/>
      <c r="R146" s="188"/>
      <c r="S146" s="188"/>
      <c r="T146" s="188"/>
      <c r="U146" s="188"/>
      <c r="V146" s="188"/>
      <c r="W146" s="188"/>
      <c r="X146" s="189"/>
      <c r="Y146" s="189"/>
      <c r="Z146" s="189"/>
      <c r="AA146" s="189"/>
      <c r="AB146" s="189"/>
      <c r="AC146" s="188"/>
      <c r="AD146" s="309"/>
      <c r="AE146" s="310"/>
      <c r="AF146" s="188"/>
      <c r="AG146" s="188"/>
      <c r="AH146" s="519"/>
      <c r="AI146" s="557"/>
    </row>
    <row r="147" spans="1:35" s="37" customFormat="1" ht="24" customHeight="1">
      <c r="A147" s="36"/>
      <c r="B147" s="36"/>
      <c r="C147" s="1881"/>
      <c r="D147" s="1980"/>
      <c r="E147" s="621"/>
      <c r="F147" s="640"/>
      <c r="G147" s="641"/>
      <c r="H147" s="1882"/>
      <c r="I147" s="1883"/>
      <c r="J147" s="1983"/>
      <c r="K147" s="1984"/>
      <c r="L147" s="2356"/>
      <c r="M147" s="602"/>
      <c r="N147" s="603"/>
      <c r="O147" s="597"/>
      <c r="P147" s="187"/>
      <c r="Q147" s="188"/>
      <c r="R147" s="188"/>
      <c r="S147" s="188"/>
      <c r="T147" s="188"/>
      <c r="U147" s="188"/>
      <c r="V147" s="188"/>
      <c r="W147" s="188"/>
      <c r="X147" s="189"/>
      <c r="Y147" s="189"/>
      <c r="Z147" s="189"/>
      <c r="AA147" s="189"/>
      <c r="AB147" s="189"/>
      <c r="AC147" s="188"/>
      <c r="AD147" s="309"/>
      <c r="AE147" s="310"/>
      <c r="AF147" s="188"/>
      <c r="AG147" s="188"/>
      <c r="AH147" s="519"/>
      <c r="AI147" s="557"/>
    </row>
    <row r="148" spans="1:35" s="37" customFormat="1" ht="24" customHeight="1">
      <c r="A148" s="36">
        <v>4</v>
      </c>
      <c r="B148" s="36">
        <v>4</v>
      </c>
      <c r="C148" s="1881">
        <v>20061</v>
      </c>
      <c r="D148" s="1980" t="s">
        <v>4248</v>
      </c>
      <c r="E148" s="621" t="s">
        <v>4249</v>
      </c>
      <c r="F148" s="640">
        <f>ROUND('7'!N2*0.001,1)</f>
        <v>4.0999999999999996</v>
      </c>
      <c r="G148" s="641" t="s">
        <v>4250</v>
      </c>
      <c r="H148" s="1882">
        <f>10900*L148</f>
        <v>25069.999999999996</v>
      </c>
      <c r="I148" s="1883">
        <f>IF(F148="","",INT(F148*H148))</f>
        <v>102787</v>
      </c>
      <c r="J148" s="1983" t="s">
        <v>4251</v>
      </c>
      <c r="K148" s="1984"/>
      <c r="L148" s="2356">
        <v>2.2999999999999998</v>
      </c>
      <c r="M148" s="602"/>
      <c r="N148" s="603" t="s">
        <v>4223</v>
      </c>
      <c r="O148" s="597">
        <v>0</v>
      </c>
      <c r="P148" s="187"/>
      <c r="Q148" s="188"/>
      <c r="R148" s="188"/>
      <c r="S148" s="188"/>
      <c r="T148" s="188"/>
      <c r="U148" s="188"/>
      <c r="V148" s="188"/>
      <c r="W148" s="188"/>
      <c r="X148" s="189"/>
      <c r="Y148" s="189"/>
      <c r="Z148" s="189"/>
      <c r="AA148" s="189"/>
      <c r="AB148" s="189"/>
      <c r="AC148" s="188"/>
      <c r="AD148" s="309"/>
      <c r="AE148" s="310"/>
      <c r="AF148" s="188"/>
      <c r="AG148" s="188"/>
      <c r="AH148" s="519"/>
      <c r="AI148" s="557"/>
    </row>
    <row r="149" spans="1:35" s="37" customFormat="1" ht="24" customHeight="1">
      <c r="A149" s="36"/>
      <c r="B149" s="36"/>
      <c r="C149" s="1881"/>
      <c r="D149" s="2474"/>
      <c r="E149" s="621"/>
      <c r="F149" s="640"/>
      <c r="G149" s="641"/>
      <c r="H149" s="1882"/>
      <c r="I149" s="1883" t="str">
        <f t="shared" ref="I149:I151" si="11">IF(F149="","",INT(F149*H149))</f>
        <v/>
      </c>
      <c r="J149" s="1983"/>
      <c r="K149" s="1984"/>
      <c r="L149" s="2356"/>
      <c r="M149" s="602"/>
      <c r="N149" s="603"/>
      <c r="O149" s="597"/>
      <c r="P149" s="187"/>
      <c r="Q149" s="188"/>
      <c r="R149" s="188"/>
      <c r="S149" s="188"/>
      <c r="T149" s="188"/>
      <c r="U149" s="188"/>
      <c r="V149" s="188"/>
      <c r="W149" s="188"/>
      <c r="X149" s="189"/>
      <c r="Y149" s="189"/>
      <c r="Z149" s="189"/>
      <c r="AA149" s="189"/>
      <c r="AB149" s="189"/>
      <c r="AC149" s="188"/>
      <c r="AD149" s="309"/>
      <c r="AE149" s="310"/>
      <c r="AF149" s="188"/>
      <c r="AG149" s="188"/>
      <c r="AH149" s="519"/>
      <c r="AI149" s="557"/>
    </row>
    <row r="150" spans="1:35" s="37" customFormat="1" ht="24" customHeight="1">
      <c r="A150" s="36">
        <v>4</v>
      </c>
      <c r="B150" s="36">
        <v>4</v>
      </c>
      <c r="C150" s="1881">
        <v>24020</v>
      </c>
      <c r="D150" s="1980" t="s">
        <v>4254</v>
      </c>
      <c r="E150" s="621" t="s">
        <v>4255</v>
      </c>
      <c r="F150" s="640">
        <f>ROUND('7'!V2*0.001,1)</f>
        <v>4.0999999999999996</v>
      </c>
      <c r="G150" s="641" t="s">
        <v>4250</v>
      </c>
      <c r="H150" s="1882">
        <v>4410</v>
      </c>
      <c r="I150" s="1883">
        <f>IF(F150="","",INT(F150*H150))</f>
        <v>18081</v>
      </c>
      <c r="J150" s="1983"/>
      <c r="K150" s="1984"/>
      <c r="L150" s="2356"/>
      <c r="M150" s="602"/>
      <c r="N150" s="603" t="s">
        <v>4223</v>
      </c>
      <c r="O150" s="597">
        <v>0</v>
      </c>
      <c r="P150" s="187"/>
      <c r="Q150" s="188"/>
      <c r="R150" s="188"/>
      <c r="S150" s="188"/>
      <c r="T150" s="188"/>
      <c r="U150" s="188"/>
      <c r="V150" s="188"/>
      <c r="W150" s="188"/>
      <c r="X150" s="189"/>
      <c r="Y150" s="189"/>
      <c r="Z150" s="189"/>
      <c r="AA150" s="189"/>
      <c r="AB150" s="189"/>
      <c r="AC150" s="188"/>
      <c r="AD150" s="309"/>
      <c r="AE150" s="310"/>
      <c r="AF150" s="188"/>
      <c r="AG150" s="188"/>
      <c r="AH150" s="519"/>
      <c r="AI150" s="557"/>
    </row>
    <row r="151" spans="1:35" s="37" customFormat="1" ht="24" customHeight="1">
      <c r="A151" s="36"/>
      <c r="B151" s="36"/>
      <c r="C151" s="1881"/>
      <c r="D151" s="2474"/>
      <c r="E151" s="621"/>
      <c r="F151" s="640"/>
      <c r="G151" s="641"/>
      <c r="H151" s="1882"/>
      <c r="I151" s="1883" t="str">
        <f t="shared" si="11"/>
        <v/>
      </c>
      <c r="J151" s="1983"/>
      <c r="K151" s="1984"/>
      <c r="L151" s="2356"/>
      <c r="M151" s="602"/>
      <c r="N151" s="603"/>
      <c r="O151" s="597"/>
      <c r="P151" s="187"/>
      <c r="Q151" s="188"/>
      <c r="R151" s="188"/>
      <c r="S151" s="188"/>
      <c r="T151" s="188"/>
      <c r="U151" s="188"/>
      <c r="V151" s="188"/>
      <c r="W151" s="188"/>
      <c r="X151" s="189"/>
      <c r="Y151" s="189"/>
      <c r="Z151" s="189"/>
      <c r="AA151" s="189"/>
      <c r="AB151" s="189"/>
      <c r="AC151" s="188"/>
      <c r="AD151" s="309"/>
      <c r="AE151" s="310"/>
      <c r="AF151" s="188"/>
      <c r="AG151" s="188"/>
      <c r="AH151" s="519"/>
      <c r="AI151" s="557"/>
    </row>
    <row r="152" spans="1:35" s="37" customFormat="1" ht="24" customHeight="1">
      <c r="A152" s="36">
        <v>4</v>
      </c>
      <c r="B152" s="36">
        <v>4</v>
      </c>
      <c r="C152" s="1881"/>
      <c r="D152" s="1980" t="s">
        <v>4256</v>
      </c>
      <c r="E152" s="621" t="s">
        <v>4257</v>
      </c>
      <c r="F152" s="640">
        <v>1</v>
      </c>
      <c r="G152" s="641" t="s">
        <v>122</v>
      </c>
      <c r="H152" s="1882"/>
      <c r="I152" s="1883">
        <f>+[7]残材運搬費按分表!$T$92</f>
        <v>46503</v>
      </c>
      <c r="J152" s="1983" t="s">
        <v>4147</v>
      </c>
      <c r="K152" s="1984"/>
      <c r="L152" s="2356"/>
      <c r="M152" s="602"/>
      <c r="N152" s="603" t="s">
        <v>4223</v>
      </c>
      <c r="O152" s="597">
        <v>0</v>
      </c>
      <c r="P152" s="187"/>
      <c r="Q152" s="188"/>
      <c r="R152" s="188"/>
      <c r="S152" s="188"/>
      <c r="T152" s="188"/>
      <c r="U152" s="188"/>
      <c r="V152" s="188"/>
      <c r="W152" s="188"/>
      <c r="X152" s="189"/>
      <c r="Y152" s="189"/>
      <c r="Z152" s="189"/>
      <c r="AA152" s="189"/>
      <c r="AB152" s="189"/>
      <c r="AC152" s="188"/>
      <c r="AD152" s="309"/>
      <c r="AE152" s="310"/>
      <c r="AF152" s="188"/>
      <c r="AG152" s="188"/>
      <c r="AH152" s="519"/>
      <c r="AI152" s="557"/>
    </row>
    <row r="153" spans="1:35" s="37" customFormat="1" ht="24" customHeight="1">
      <c r="A153" s="36"/>
      <c r="B153" s="36"/>
      <c r="C153" s="1881"/>
      <c r="D153" s="2466"/>
      <c r="E153" s="621"/>
      <c r="F153" s="640"/>
      <c r="G153" s="641"/>
      <c r="H153" s="1882"/>
      <c r="I153" s="1883" t="str">
        <f t="shared" ref="I153" si="12">IF(F153="","",INT(F153*H153))</f>
        <v/>
      </c>
      <c r="J153" s="1983"/>
      <c r="K153" s="1984"/>
      <c r="L153" s="2356"/>
      <c r="M153" s="602"/>
      <c r="N153" s="603"/>
      <c r="O153" s="597"/>
      <c r="P153" s="187"/>
      <c r="Q153" s="188"/>
      <c r="R153" s="188"/>
      <c r="S153" s="188"/>
      <c r="T153" s="188"/>
      <c r="U153" s="188"/>
      <c r="V153" s="188"/>
      <c r="W153" s="188"/>
      <c r="X153" s="189"/>
      <c r="Y153" s="189"/>
      <c r="Z153" s="189"/>
      <c r="AA153" s="189"/>
      <c r="AB153" s="189"/>
      <c r="AC153" s="188"/>
      <c r="AD153" s="309"/>
      <c r="AE153" s="310"/>
      <c r="AF153" s="188"/>
      <c r="AG153" s="188"/>
      <c r="AH153" s="519"/>
      <c r="AI153" s="557"/>
    </row>
    <row r="154" spans="1:35" s="37" customFormat="1" ht="24" customHeight="1">
      <c r="A154" s="36">
        <v>4</v>
      </c>
      <c r="B154" s="36">
        <v>4</v>
      </c>
      <c r="C154" s="1881">
        <v>24063</v>
      </c>
      <c r="D154" s="1980" t="s">
        <v>4260</v>
      </c>
      <c r="E154" s="621" t="s">
        <v>4261</v>
      </c>
      <c r="F154" s="640">
        <f>ROUND('7'!E19*0.001,1)</f>
        <v>3.1</v>
      </c>
      <c r="G154" s="641" t="s">
        <v>4262</v>
      </c>
      <c r="H154" s="1882">
        <v>1180</v>
      </c>
      <c r="I154" s="1883">
        <f>IF(F154="","",INT(F154*H154))</f>
        <v>3658</v>
      </c>
      <c r="J154" s="1983"/>
      <c r="K154" s="1984"/>
      <c r="L154" s="2356"/>
      <c r="M154" s="602"/>
      <c r="N154" s="603" t="s">
        <v>4223</v>
      </c>
      <c r="O154" s="597">
        <v>0</v>
      </c>
      <c r="P154" s="187"/>
      <c r="Q154" s="188"/>
      <c r="R154" s="188"/>
      <c r="S154" s="188"/>
      <c r="T154" s="188"/>
      <c r="U154" s="188"/>
      <c r="V154" s="188"/>
      <c r="W154" s="188"/>
      <c r="X154" s="189"/>
      <c r="Y154" s="189"/>
      <c r="Z154" s="189"/>
      <c r="AA154" s="189"/>
      <c r="AB154" s="189"/>
      <c r="AC154" s="188"/>
      <c r="AD154" s="309"/>
      <c r="AE154" s="310"/>
      <c r="AF154" s="188"/>
      <c r="AG154" s="188"/>
      <c r="AH154" s="519"/>
      <c r="AI154" s="557"/>
    </row>
    <row r="155" spans="1:35" s="37" customFormat="1" ht="24" customHeight="1">
      <c r="A155" s="36">
        <v>4</v>
      </c>
      <c r="B155" s="36">
        <v>4</v>
      </c>
      <c r="C155" s="1881">
        <v>24006</v>
      </c>
      <c r="D155" s="1980" t="s">
        <v>4260</v>
      </c>
      <c r="E155" s="621" t="s">
        <v>4264</v>
      </c>
      <c r="F155" s="640">
        <f>ROUND('7'!J19*0.001,1)</f>
        <v>1</v>
      </c>
      <c r="G155" s="641" t="s">
        <v>4250</v>
      </c>
      <c r="H155" s="1882">
        <v>10000</v>
      </c>
      <c r="I155" s="1883">
        <f>IF(F155="","",INT(F155*H155))</f>
        <v>10000</v>
      </c>
      <c r="J155" s="1983"/>
      <c r="K155" s="1984"/>
      <c r="L155" s="2356"/>
      <c r="M155" s="602"/>
      <c r="N155" s="603" t="s">
        <v>4223</v>
      </c>
      <c r="O155" s="597">
        <v>0</v>
      </c>
      <c r="P155" s="187"/>
      <c r="Q155" s="188"/>
      <c r="R155" s="188"/>
      <c r="S155" s="188"/>
      <c r="T155" s="188"/>
      <c r="U155" s="188"/>
      <c r="V155" s="188"/>
      <c r="W155" s="188"/>
      <c r="X155" s="189"/>
      <c r="Y155" s="189"/>
      <c r="Z155" s="189"/>
      <c r="AA155" s="189"/>
      <c r="AB155" s="189"/>
      <c r="AC155" s="188"/>
      <c r="AD155" s="309"/>
      <c r="AE155" s="310"/>
      <c r="AF155" s="188"/>
      <c r="AG155" s="188"/>
      <c r="AH155" s="519"/>
      <c r="AI155" s="557"/>
    </row>
    <row r="156" spans="1:35" s="37" customFormat="1" ht="24" customHeight="1">
      <c r="A156" s="36"/>
      <c r="B156" s="36"/>
      <c r="C156" s="1881"/>
      <c r="D156" s="1980"/>
      <c r="E156" s="621"/>
      <c r="F156" s="640"/>
      <c r="G156" s="641"/>
      <c r="H156" s="1882"/>
      <c r="I156" s="1883"/>
      <c r="J156" s="1983"/>
      <c r="K156" s="1984"/>
      <c r="L156" s="2356"/>
      <c r="M156" s="602"/>
      <c r="N156" s="603"/>
      <c r="O156" s="597"/>
      <c r="P156" s="187"/>
      <c r="Q156" s="188"/>
      <c r="R156" s="188"/>
      <c r="S156" s="188"/>
      <c r="T156" s="188"/>
      <c r="U156" s="188"/>
      <c r="V156" s="188"/>
      <c r="W156" s="188"/>
      <c r="X156" s="189"/>
      <c r="Y156" s="189"/>
      <c r="Z156" s="189"/>
      <c r="AA156" s="189"/>
      <c r="AB156" s="189"/>
      <c r="AC156" s="188"/>
      <c r="AD156" s="309"/>
      <c r="AE156" s="310"/>
      <c r="AF156" s="188"/>
      <c r="AG156" s="188"/>
      <c r="AH156" s="519"/>
      <c r="AI156" s="557"/>
    </row>
    <row r="157" spans="1:35" s="37" customFormat="1" ht="24" customHeight="1">
      <c r="A157" s="36"/>
      <c r="B157" s="36"/>
      <c r="C157" s="1881"/>
      <c r="D157" s="2466"/>
      <c r="E157" s="621"/>
      <c r="F157" s="640"/>
      <c r="G157" s="641"/>
      <c r="H157" s="1882"/>
      <c r="I157" s="1883" t="str">
        <f t="shared" si="9"/>
        <v/>
      </c>
      <c r="J157" s="1983"/>
      <c r="K157" s="1984"/>
      <c r="L157" s="2356"/>
      <c r="M157" s="602"/>
      <c r="N157" s="603"/>
      <c r="O157" s="597"/>
      <c r="P157" s="187"/>
      <c r="Q157" s="188"/>
      <c r="R157" s="188"/>
      <c r="S157" s="188"/>
      <c r="T157" s="188"/>
      <c r="U157" s="188"/>
      <c r="V157" s="188"/>
      <c r="W157" s="188"/>
      <c r="X157" s="189"/>
      <c r="Y157" s="189"/>
      <c r="Z157" s="189"/>
      <c r="AA157" s="189"/>
      <c r="AB157" s="189"/>
      <c r="AC157" s="188"/>
      <c r="AD157" s="309"/>
      <c r="AE157" s="310"/>
      <c r="AF157" s="188"/>
      <c r="AG157" s="188"/>
      <c r="AH157" s="519"/>
      <c r="AI157" s="557"/>
    </row>
    <row r="158" spans="1:35" s="37" customFormat="1" ht="24" customHeight="1">
      <c r="A158" s="36"/>
      <c r="B158" s="36"/>
      <c r="C158" s="1881"/>
      <c r="D158" s="2466"/>
      <c r="E158" s="621"/>
      <c r="F158" s="640"/>
      <c r="G158" s="641"/>
      <c r="H158" s="1882"/>
      <c r="I158" s="1883" t="str">
        <f t="shared" si="9"/>
        <v/>
      </c>
      <c r="J158" s="1983"/>
      <c r="K158" s="1984"/>
      <c r="L158" s="2356"/>
      <c r="M158" s="602"/>
      <c r="N158" s="603"/>
      <c r="O158" s="597"/>
      <c r="P158" s="187"/>
      <c r="Q158" s="188"/>
      <c r="R158" s="188"/>
      <c r="S158" s="188"/>
      <c r="T158" s="188"/>
      <c r="U158" s="188"/>
      <c r="V158" s="188"/>
      <c r="W158" s="188"/>
      <c r="X158" s="189"/>
      <c r="Y158" s="189"/>
      <c r="Z158" s="189"/>
      <c r="AA158" s="189"/>
      <c r="AB158" s="189"/>
      <c r="AC158" s="188"/>
      <c r="AD158" s="309"/>
      <c r="AE158" s="310"/>
      <c r="AF158" s="188"/>
      <c r="AG158" s="188"/>
      <c r="AH158" s="519"/>
      <c r="AI158" s="557"/>
    </row>
    <row r="159" spans="1:35" s="37" customFormat="1" ht="24" customHeight="1">
      <c r="A159" s="36"/>
      <c r="B159" s="36"/>
      <c r="C159" s="1881"/>
      <c r="D159" s="2466"/>
      <c r="E159" s="621"/>
      <c r="F159" s="640"/>
      <c r="G159" s="641"/>
      <c r="H159" s="1882"/>
      <c r="I159" s="1883" t="str">
        <f t="shared" si="9"/>
        <v/>
      </c>
      <c r="J159" s="1983"/>
      <c r="K159" s="1984"/>
      <c r="L159" s="2356"/>
      <c r="M159" s="602"/>
      <c r="N159" s="603"/>
      <c r="O159" s="597"/>
      <c r="P159" s="187"/>
      <c r="Q159" s="188"/>
      <c r="R159" s="188"/>
      <c r="S159" s="188"/>
      <c r="T159" s="188"/>
      <c r="U159" s="188"/>
      <c r="V159" s="188"/>
      <c r="W159" s="188"/>
      <c r="X159" s="189"/>
      <c r="Y159" s="189"/>
      <c r="Z159" s="189"/>
      <c r="AA159" s="189"/>
      <c r="AB159" s="189"/>
      <c r="AC159" s="188"/>
      <c r="AD159" s="309"/>
      <c r="AE159" s="310"/>
      <c r="AF159" s="188"/>
      <c r="AG159" s="188"/>
      <c r="AH159" s="519"/>
      <c r="AI159" s="557"/>
    </row>
    <row r="160" spans="1:35" s="37" customFormat="1" ht="24" customHeight="1">
      <c r="A160" s="36"/>
      <c r="B160" s="36"/>
      <c r="C160" s="1881"/>
      <c r="D160" s="2466"/>
      <c r="E160" s="621"/>
      <c r="F160" s="640"/>
      <c r="G160" s="641"/>
      <c r="H160" s="1882"/>
      <c r="I160" s="1883" t="str">
        <f t="shared" si="9"/>
        <v/>
      </c>
      <c r="J160" s="1983"/>
      <c r="K160" s="1984"/>
      <c r="L160" s="2356"/>
      <c r="M160" s="602"/>
      <c r="N160" s="603"/>
      <c r="O160" s="597"/>
      <c r="P160" s="187"/>
      <c r="Q160" s="188"/>
      <c r="R160" s="188"/>
      <c r="S160" s="188"/>
      <c r="T160" s="188"/>
      <c r="U160" s="188"/>
      <c r="V160" s="188"/>
      <c r="W160" s="188"/>
      <c r="X160" s="189"/>
      <c r="Y160" s="189"/>
      <c r="Z160" s="189"/>
      <c r="AA160" s="189"/>
      <c r="AB160" s="189"/>
      <c r="AC160" s="188"/>
      <c r="AD160" s="309"/>
      <c r="AE160" s="310"/>
      <c r="AF160" s="188"/>
      <c r="AG160" s="188"/>
      <c r="AH160" s="519"/>
      <c r="AI160" s="557"/>
    </row>
    <row r="161" spans="1:35" s="37" customFormat="1" ht="24" customHeight="1">
      <c r="A161" s="36"/>
      <c r="B161" s="36"/>
      <c r="C161" s="1881"/>
      <c r="D161" s="2466"/>
      <c r="E161" s="621"/>
      <c r="F161" s="640"/>
      <c r="G161" s="641"/>
      <c r="H161" s="1882"/>
      <c r="I161" s="1883" t="str">
        <f t="shared" si="9"/>
        <v/>
      </c>
      <c r="J161" s="1983"/>
      <c r="K161" s="1984"/>
      <c r="L161" s="2356"/>
      <c r="M161" s="602"/>
      <c r="N161" s="603"/>
      <c r="O161" s="597"/>
      <c r="P161" s="187"/>
      <c r="Q161" s="188"/>
      <c r="R161" s="188"/>
      <c r="S161" s="188"/>
      <c r="T161" s="188"/>
      <c r="U161" s="188"/>
      <c r="V161" s="188"/>
      <c r="W161" s="188"/>
      <c r="X161" s="189"/>
      <c r="Y161" s="189"/>
      <c r="Z161" s="189"/>
      <c r="AA161" s="189"/>
      <c r="AB161" s="189"/>
      <c r="AC161" s="188"/>
      <c r="AD161" s="309"/>
      <c r="AE161" s="310"/>
      <c r="AF161" s="188"/>
      <c r="AG161" s="188"/>
      <c r="AH161" s="519"/>
      <c r="AI161" s="557"/>
    </row>
    <row r="162" spans="1:35" ht="24" customHeight="1" thickBot="1">
      <c r="A162" s="36"/>
      <c r="B162" s="36"/>
      <c r="C162" s="2070"/>
      <c r="D162" s="2075" t="s">
        <v>4144</v>
      </c>
      <c r="E162" s="2071"/>
      <c r="F162" s="2072"/>
      <c r="G162" s="2453"/>
      <c r="H162" s="2465" t="s">
        <v>4131</v>
      </c>
      <c r="I162" s="2074">
        <f>SUM(I144:I161)</f>
        <v>1662219</v>
      </c>
      <c r="J162" s="2478" t="str">
        <f>IF(C143="部分撤去工事","）うち費用",")")</f>
        <v>）うち費用</v>
      </c>
      <c r="K162" s="2477">
        <f>IF(C143="部分撤去工事",(K139+L162),0)</f>
        <v>1662219</v>
      </c>
      <c r="L162" s="2469">
        <f>IF(C143="部分撤去工事",SUMIF(N144:N161,"費用",I144:I161),0)</f>
        <v>1662219</v>
      </c>
      <c r="M162" s="2470"/>
      <c r="N162" s="2471"/>
      <c r="O162" s="597"/>
      <c r="P162" s="187"/>
      <c r="Q162" s="188"/>
      <c r="R162" s="188"/>
      <c r="S162" s="188"/>
      <c r="T162" s="188"/>
      <c r="U162" s="188"/>
      <c r="V162" s="188"/>
      <c r="W162" s="188"/>
      <c r="X162" s="189"/>
      <c r="Y162" s="189"/>
      <c r="Z162" s="189"/>
      <c r="AA162" s="189"/>
      <c r="AB162" s="189"/>
      <c r="AC162" s="188"/>
      <c r="AD162" s="309"/>
      <c r="AE162" s="310"/>
      <c r="AF162" s="188"/>
      <c r="AG162" s="188"/>
      <c r="AH162" s="188"/>
      <c r="AI162" s="557"/>
    </row>
    <row r="163" spans="1:35" ht="14.25" customHeight="1">
      <c r="E163" s="101" t="s">
        <v>130</v>
      </c>
      <c r="F163" s="102">
        <f>+F140+1</f>
        <v>63</v>
      </c>
      <c r="G163" s="103" t="s">
        <v>131</v>
      </c>
      <c r="H163" s="104">
        <f>+H140</f>
        <v>69</v>
      </c>
      <c r="I163" s="104"/>
      <c r="M163" s="598" t="str">
        <f>IF(A165="","EOL","")</f>
        <v>EOL</v>
      </c>
      <c r="N163" s="1">
        <f>+F163</f>
        <v>63</v>
      </c>
      <c r="Q163" s="37"/>
      <c r="R163" s="37"/>
      <c r="S163" s="37"/>
      <c r="T163" s="37"/>
      <c r="U163" s="37"/>
      <c r="V163" s="37"/>
      <c r="W163" s="37"/>
      <c r="X163" s="37"/>
      <c r="Y163" s="37"/>
      <c r="Z163" s="37"/>
    </row>
    <row r="164" spans="1:35" ht="26.1" customHeight="1">
      <c r="O164" s="185"/>
      <c r="P164" s="185"/>
      <c r="Q164" s="185"/>
      <c r="R164" s="185"/>
      <c r="S164" s="185"/>
      <c r="T164" s="185"/>
      <c r="U164" s="185"/>
      <c r="V164" s="185"/>
      <c r="W164" s="185"/>
      <c r="X164" s="185"/>
      <c r="Y164" s="185"/>
      <c r="Z164" s="185"/>
      <c r="AA164" s="185"/>
    </row>
    <row r="165" spans="1:35" ht="26.1" customHeight="1">
      <c r="O165" s="1990"/>
      <c r="P165" s="1990"/>
      <c r="Q165" s="181"/>
      <c r="R165" s="182"/>
      <c r="S165" s="183"/>
      <c r="T165" s="183"/>
      <c r="U165" s="181"/>
      <c r="V165" s="181"/>
      <c r="W165" s="183"/>
      <c r="X165" s="1990"/>
      <c r="Y165" s="1990"/>
      <c r="Z165" s="1990"/>
      <c r="AA165" s="1990"/>
    </row>
    <row r="166" spans="1:35" ht="26.1" customHeight="1">
      <c r="O166" s="184"/>
      <c r="P166" s="184"/>
      <c r="Q166" s="181"/>
      <c r="R166" s="181"/>
      <c r="S166" s="181"/>
      <c r="T166" s="181"/>
      <c r="U166" s="181"/>
      <c r="V166" s="181"/>
      <c r="W166" s="181"/>
      <c r="X166" s="181"/>
      <c r="Y166" s="181"/>
      <c r="Z166" s="181"/>
      <c r="AA166" s="181"/>
    </row>
    <row r="167" spans="1:35" ht="26.1" customHeight="1">
      <c r="O167" s="184"/>
      <c r="P167" s="184"/>
      <c r="Q167" s="181"/>
      <c r="R167" s="181"/>
      <c r="S167" s="181"/>
      <c r="T167" s="181"/>
      <c r="U167" s="181"/>
      <c r="V167" s="181"/>
      <c r="W167" s="181"/>
      <c r="X167" s="181"/>
      <c r="Y167" s="181"/>
      <c r="Z167" s="181"/>
      <c r="AA167" s="181"/>
    </row>
    <row r="168" spans="1:35" ht="26.1" customHeight="1">
      <c r="O168" s="184"/>
      <c r="P168" s="184"/>
      <c r="Q168" s="181"/>
      <c r="R168" s="181"/>
      <c r="S168" s="181"/>
      <c r="T168" s="181"/>
      <c r="U168" s="181"/>
      <c r="V168" s="181"/>
      <c r="W168" s="181"/>
      <c r="X168" s="181"/>
      <c r="Y168" s="181"/>
      <c r="Z168" s="181"/>
      <c r="AA168" s="181"/>
    </row>
    <row r="169" spans="1:35" ht="26.1" customHeight="1">
      <c r="O169" s="184"/>
      <c r="P169" s="184"/>
      <c r="Q169" s="181"/>
      <c r="R169" s="181"/>
      <c r="S169" s="181"/>
      <c r="T169" s="181"/>
      <c r="U169" s="181"/>
      <c r="V169" s="181"/>
      <c r="W169" s="181"/>
      <c r="X169" s="181"/>
      <c r="Y169" s="181"/>
      <c r="Z169" s="181"/>
      <c r="AA169" s="181"/>
    </row>
    <row r="170" spans="1:35" ht="26.1" customHeight="1">
      <c r="O170" s="184"/>
      <c r="P170" s="184"/>
      <c r="Q170" s="181"/>
      <c r="R170" s="181"/>
      <c r="S170" s="181"/>
      <c r="T170" s="181"/>
      <c r="U170" s="181"/>
      <c r="V170" s="181"/>
      <c r="W170" s="181"/>
      <c r="X170" s="181"/>
      <c r="Y170" s="181"/>
      <c r="Z170" s="181"/>
      <c r="AA170" s="181"/>
    </row>
    <row r="171" spans="1:35" ht="26.1" customHeight="1">
      <c r="O171" s="184"/>
      <c r="P171" s="184"/>
      <c r="Q171" s="181"/>
      <c r="R171" s="181"/>
      <c r="S171" s="181"/>
      <c r="T171" s="181"/>
      <c r="U171" s="181"/>
      <c r="V171" s="181"/>
      <c r="W171" s="181"/>
      <c r="X171" s="181"/>
      <c r="Y171" s="181"/>
      <c r="Z171" s="181"/>
      <c r="AA171" s="181"/>
    </row>
    <row r="172" spans="1:35" ht="26.1" customHeight="1">
      <c r="O172" s="184"/>
      <c r="P172" s="184"/>
      <c r="Q172" s="181"/>
      <c r="R172" s="181"/>
      <c r="S172" s="181"/>
      <c r="T172" s="181"/>
      <c r="U172" s="181"/>
      <c r="V172" s="181"/>
      <c r="W172" s="181"/>
      <c r="X172" s="181"/>
      <c r="Y172" s="181"/>
      <c r="Z172" s="181"/>
      <c r="AA172" s="181"/>
    </row>
    <row r="173" spans="1:35" ht="26.1" customHeight="1">
      <c r="O173" s="184"/>
      <c r="P173" s="184"/>
      <c r="Q173" s="181"/>
      <c r="R173" s="181"/>
      <c r="S173" s="181"/>
      <c r="T173" s="181"/>
      <c r="U173" s="181"/>
      <c r="V173" s="181"/>
      <c r="W173" s="181"/>
      <c r="X173" s="181"/>
      <c r="Y173" s="181"/>
      <c r="Z173" s="181"/>
      <c r="AA173" s="181"/>
    </row>
    <row r="174" spans="1:35" ht="26.1" customHeight="1">
      <c r="O174" s="184"/>
      <c r="P174" s="184"/>
      <c r="Q174" s="181"/>
      <c r="R174" s="181"/>
      <c r="S174" s="181"/>
      <c r="T174" s="181"/>
      <c r="U174" s="181"/>
      <c r="V174" s="181"/>
      <c r="W174" s="181"/>
      <c r="X174" s="181"/>
      <c r="Y174" s="181"/>
      <c r="Z174" s="181"/>
      <c r="AA174" s="181"/>
    </row>
    <row r="175" spans="1:35" ht="26.1" customHeight="1">
      <c r="O175" s="184"/>
      <c r="P175" s="184"/>
      <c r="Q175" s="181"/>
      <c r="R175" s="181"/>
      <c r="S175" s="181"/>
      <c r="T175" s="181"/>
      <c r="U175" s="181"/>
      <c r="V175" s="181"/>
      <c r="W175" s="181"/>
      <c r="X175" s="181"/>
      <c r="Y175" s="181"/>
      <c r="Z175" s="181"/>
      <c r="AA175" s="181"/>
    </row>
    <row r="176" spans="1:35" ht="26.1" customHeight="1">
      <c r="O176" s="184"/>
      <c r="P176" s="184"/>
      <c r="Q176" s="181"/>
      <c r="R176" s="181"/>
      <c r="S176" s="181"/>
      <c r="T176" s="181"/>
      <c r="U176" s="181"/>
      <c r="V176" s="181"/>
      <c r="W176" s="181"/>
      <c r="X176" s="181"/>
      <c r="Y176" s="181"/>
      <c r="Z176" s="181"/>
      <c r="AA176" s="181"/>
    </row>
    <row r="177" spans="15:27" ht="26.1" customHeight="1">
      <c r="O177" s="184"/>
      <c r="P177" s="184"/>
      <c r="Q177" s="181"/>
      <c r="R177" s="181"/>
      <c r="S177" s="181"/>
      <c r="T177" s="181"/>
      <c r="U177" s="181"/>
      <c r="V177" s="181"/>
      <c r="W177" s="181"/>
      <c r="X177" s="181"/>
      <c r="Y177" s="181"/>
      <c r="Z177" s="181"/>
      <c r="AA177" s="181"/>
    </row>
    <row r="178" spans="15:27" ht="26.1" customHeight="1">
      <c r="O178" s="184"/>
      <c r="P178" s="184"/>
      <c r="Q178" s="181"/>
      <c r="R178" s="181"/>
      <c r="S178" s="181"/>
      <c r="T178" s="181"/>
      <c r="U178" s="181"/>
      <c r="V178" s="181"/>
      <c r="W178" s="181"/>
      <c r="X178" s="181"/>
      <c r="Y178" s="181"/>
      <c r="Z178" s="181"/>
      <c r="AA178" s="181"/>
    </row>
    <row r="179" spans="15:27" ht="26.1" customHeight="1">
      <c r="O179" s="184"/>
      <c r="P179" s="184"/>
      <c r="Q179" s="181"/>
      <c r="R179" s="181"/>
      <c r="S179" s="181"/>
      <c r="T179" s="181"/>
      <c r="U179" s="181"/>
      <c r="V179" s="181"/>
      <c r="W179" s="181"/>
      <c r="X179" s="181"/>
      <c r="Y179" s="181"/>
      <c r="Z179" s="181"/>
      <c r="AA179" s="181"/>
    </row>
    <row r="180" spans="15:27" ht="26.1" customHeight="1">
      <c r="O180" s="184"/>
      <c r="P180" s="184"/>
      <c r="Q180" s="181"/>
      <c r="R180" s="181"/>
      <c r="S180" s="181"/>
      <c r="T180" s="181"/>
      <c r="U180" s="181"/>
      <c r="V180" s="181"/>
      <c r="W180" s="181"/>
      <c r="X180" s="181"/>
      <c r="Y180" s="181"/>
      <c r="Z180" s="181"/>
      <c r="AA180" s="181"/>
    </row>
    <row r="181" spans="15:27" ht="26.1" customHeight="1">
      <c r="O181" s="184"/>
      <c r="P181" s="184"/>
      <c r="Q181" s="181"/>
      <c r="R181" s="181"/>
      <c r="S181" s="181"/>
      <c r="T181" s="181"/>
      <c r="U181" s="181"/>
      <c r="V181" s="181"/>
      <c r="W181" s="181"/>
      <c r="X181" s="181"/>
      <c r="Y181" s="181"/>
      <c r="Z181" s="181"/>
      <c r="AA181" s="181"/>
    </row>
    <row r="182" spans="15:27" ht="26.1" customHeight="1">
      <c r="O182" s="184"/>
      <c r="P182" s="184"/>
      <c r="Q182" s="181"/>
      <c r="R182" s="181"/>
      <c r="S182" s="181"/>
      <c r="T182" s="181"/>
      <c r="U182" s="181"/>
      <c r="V182" s="181"/>
      <c r="W182" s="181"/>
      <c r="X182" s="181"/>
      <c r="Y182" s="181"/>
      <c r="Z182" s="181"/>
      <c r="AA182" s="181"/>
    </row>
    <row r="183" spans="15:27" ht="26.1" customHeight="1">
      <c r="O183" s="184"/>
      <c r="P183" s="184"/>
      <c r="Q183" s="181"/>
      <c r="R183" s="181"/>
      <c r="S183" s="181"/>
      <c r="T183" s="181"/>
      <c r="U183" s="181"/>
      <c r="V183" s="181"/>
      <c r="W183" s="181"/>
      <c r="X183" s="181"/>
      <c r="Y183" s="181"/>
      <c r="Z183" s="181"/>
      <c r="AA183" s="181"/>
    </row>
    <row r="184" spans="15:27" ht="26.1" customHeight="1">
      <c r="O184" s="184"/>
      <c r="P184" s="184"/>
      <c r="Q184" s="181"/>
      <c r="R184" s="181"/>
      <c r="S184" s="181"/>
      <c r="T184" s="181"/>
      <c r="U184" s="181"/>
      <c r="V184" s="181"/>
      <c r="W184" s="181"/>
      <c r="X184" s="181"/>
      <c r="Y184" s="181"/>
      <c r="Z184" s="181"/>
      <c r="AA184" s="181"/>
    </row>
    <row r="185" spans="15:27" ht="26.1" customHeight="1">
      <c r="O185" s="184"/>
      <c r="P185" s="184"/>
      <c r="Q185" s="181"/>
      <c r="R185" s="181"/>
      <c r="S185" s="181"/>
      <c r="T185" s="181"/>
      <c r="U185" s="181"/>
      <c r="V185" s="181"/>
      <c r="W185" s="181"/>
      <c r="X185" s="181"/>
      <c r="Y185" s="181"/>
      <c r="Z185" s="181"/>
      <c r="AA185" s="181"/>
    </row>
    <row r="186" spans="15:27" ht="26.1" customHeight="1">
      <c r="O186" s="1"/>
      <c r="P186" s="1"/>
    </row>
  </sheetData>
  <mergeCells count="27">
    <mergeCell ref="C3:L3"/>
    <mergeCell ref="O3:AH3"/>
    <mergeCell ref="J4:L4"/>
    <mergeCell ref="J5:L5"/>
    <mergeCell ref="C26:L26"/>
    <mergeCell ref="O26:AH26"/>
    <mergeCell ref="J97:L97"/>
    <mergeCell ref="J27:L27"/>
    <mergeCell ref="C49:L49"/>
    <mergeCell ref="O49:AH49"/>
    <mergeCell ref="J50:L50"/>
    <mergeCell ref="J51:L51"/>
    <mergeCell ref="C72:L72"/>
    <mergeCell ref="O72:AH72"/>
    <mergeCell ref="J73:L73"/>
    <mergeCell ref="J74:L74"/>
    <mergeCell ref="C95:L95"/>
    <mergeCell ref="O95:AH95"/>
    <mergeCell ref="J96:L96"/>
    <mergeCell ref="J143:L143"/>
    <mergeCell ref="C118:L118"/>
    <mergeCell ref="O118:AH118"/>
    <mergeCell ref="J119:L119"/>
    <mergeCell ref="J120:L120"/>
    <mergeCell ref="C141:L141"/>
    <mergeCell ref="O141:AH141"/>
    <mergeCell ref="J142:L142"/>
  </mergeCells>
  <phoneticPr fontId="2"/>
  <dataValidations count="1">
    <dataValidation type="list" allowBlank="1" showInputMessage="1" showErrorMessage="1" prompt="費用/建物附属設備/工具・器具・備品の場合、選択してください。" sqref="N121:N138 N75:N92 N98:N115 N144:N161" xr:uid="{00000000-0002-0000-13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19" orientation="portrait" r:id="rId1"/>
  <headerFooter alignWithMargins="0"/>
  <rowBreaks count="1" manualBreakCount="1">
    <brk id="2"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AE25"/>
  <sheetViews>
    <sheetView view="pageBreakPreview" topLeftCell="B1" zoomScaleNormal="100" zoomScaleSheetLayoutView="100" workbookViewId="0">
      <selection activeCell="B1" sqref="B1"/>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工事7!C2</f>
        <v>イ)6号線堺筋本町駅の部-隙間解消工事</v>
      </c>
      <c r="F1" s="127"/>
      <c r="G1" s="285"/>
      <c r="H1" s="286"/>
      <c r="I1" s="286"/>
      <c r="J1" s="287"/>
      <c r="K1" s="2514">
        <v>44197</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4072</v>
      </c>
      <c r="O2" s="2750" t="s">
        <v>4315</v>
      </c>
      <c r="P2" s="2751"/>
      <c r="Q2" s="2751"/>
      <c r="R2" s="2752"/>
      <c r="S2" s="294">
        <f>+P9+T9+X9</f>
        <v>0</v>
      </c>
      <c r="T2" s="295">
        <f>+Q9+U9+Y9</f>
        <v>0</v>
      </c>
      <c r="U2" s="295">
        <f>+R9+V9+Z9</f>
        <v>0</v>
      </c>
      <c r="V2" s="296">
        <f>+S9+W9+AA9</f>
        <v>4072</v>
      </c>
      <c r="W2" s="277"/>
    </row>
    <row r="3" spans="1:31" ht="15" customHeight="1">
      <c r="B3" s="142"/>
      <c r="E3" s="278"/>
      <c r="G3" s="2753" t="s">
        <v>4316</v>
      </c>
      <c r="H3" s="2754"/>
      <c r="I3" s="2754"/>
      <c r="J3" s="2755"/>
      <c r="K3" s="297">
        <f>+H9</f>
        <v>0</v>
      </c>
      <c r="L3" s="298">
        <f>+I9</f>
        <v>0</v>
      </c>
      <c r="M3" s="298">
        <f>+J9</f>
        <v>0</v>
      </c>
      <c r="N3" s="299">
        <f>+K9</f>
        <v>0</v>
      </c>
      <c r="O3" s="2756" t="s">
        <v>4317</v>
      </c>
      <c r="P3" s="2757"/>
      <c r="Q3" s="2757"/>
      <c r="R3" s="2758"/>
      <c r="S3" s="297">
        <f>+P9</f>
        <v>0</v>
      </c>
      <c r="T3" s="298">
        <f>+Q9</f>
        <v>0</v>
      </c>
      <c r="U3" s="298">
        <f>+R9</f>
        <v>0</v>
      </c>
      <c r="V3" s="299">
        <f>+S9</f>
        <v>4072</v>
      </c>
      <c r="W3" s="277"/>
    </row>
    <row r="4" spans="1:31" ht="15" customHeight="1">
      <c r="B4" s="142"/>
      <c r="E4" s="278"/>
      <c r="G4" s="2753" t="s">
        <v>4318</v>
      </c>
      <c r="H4" s="2754"/>
      <c r="I4" s="2754"/>
      <c r="J4" s="2755"/>
      <c r="K4" s="297">
        <f>+L9</f>
        <v>0</v>
      </c>
      <c r="L4" s="298">
        <f>+M9</f>
        <v>0</v>
      </c>
      <c r="M4" s="298">
        <f>+N9</f>
        <v>0</v>
      </c>
      <c r="N4" s="299">
        <f>+O9</f>
        <v>4072</v>
      </c>
      <c r="O4" s="2756" t="s">
        <v>4319</v>
      </c>
      <c r="P4" s="2757"/>
      <c r="Q4" s="2757"/>
      <c r="R4" s="2758"/>
      <c r="S4" s="297">
        <f>+T9</f>
        <v>0</v>
      </c>
      <c r="T4" s="298">
        <f>+U9</f>
        <v>0</v>
      </c>
      <c r="U4" s="298">
        <f>+V9</f>
        <v>0</v>
      </c>
      <c r="V4" s="299">
        <f>+W9</f>
        <v>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SUM(H10:H14)</f>
        <v>0</v>
      </c>
      <c r="I9" s="159">
        <f t="shared" si="0"/>
        <v>0</v>
      </c>
      <c r="J9" s="159">
        <f t="shared" si="0"/>
        <v>0</v>
      </c>
      <c r="K9" s="160">
        <f t="shared" si="0"/>
        <v>0</v>
      </c>
      <c r="L9" s="158">
        <f t="shared" si="0"/>
        <v>0</v>
      </c>
      <c r="M9" s="159">
        <f t="shared" si="0"/>
        <v>0</v>
      </c>
      <c r="N9" s="159">
        <f t="shared" si="0"/>
        <v>0</v>
      </c>
      <c r="O9" s="160">
        <f t="shared" si="0"/>
        <v>4072</v>
      </c>
      <c r="P9" s="158">
        <f t="shared" si="0"/>
        <v>0</v>
      </c>
      <c r="Q9" s="159">
        <f t="shared" si="0"/>
        <v>0</v>
      </c>
      <c r="R9" s="159">
        <f t="shared" si="0"/>
        <v>0</v>
      </c>
      <c r="S9" s="160">
        <f t="shared" si="0"/>
        <v>4072</v>
      </c>
      <c r="T9" s="159">
        <f t="shared" si="0"/>
        <v>0</v>
      </c>
      <c r="U9" s="159">
        <f t="shared" si="0"/>
        <v>0</v>
      </c>
      <c r="V9" s="159">
        <f t="shared" si="0"/>
        <v>0</v>
      </c>
      <c r="W9" s="160">
        <f t="shared" si="0"/>
        <v>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4346</v>
      </c>
      <c r="C11" s="153" t="s">
        <v>4347</v>
      </c>
      <c r="D11" s="154">
        <v>50.9</v>
      </c>
      <c r="E11" s="155">
        <v>80</v>
      </c>
      <c r="F11" s="1916">
        <v>0</v>
      </c>
      <c r="G11" s="336">
        <v>0</v>
      </c>
      <c r="H11" s="161"/>
      <c r="I11" s="162"/>
      <c r="J11" s="162"/>
      <c r="K11" s="163"/>
      <c r="L11" s="161"/>
      <c r="M11" s="162"/>
      <c r="N11" s="162"/>
      <c r="O11" s="163">
        <f>D11*(E11+F11+G11)</f>
        <v>4072</v>
      </c>
      <c r="P11" s="161"/>
      <c r="Q11" s="162"/>
      <c r="R11" s="162"/>
      <c r="S11" s="163">
        <f>D11*E11</f>
        <v>4072</v>
      </c>
      <c r="T11" s="161"/>
      <c r="U11" s="162"/>
      <c r="V11" s="162"/>
      <c r="W11" s="163">
        <f>D11*F11</f>
        <v>0</v>
      </c>
      <c r="X11" s="161"/>
      <c r="Y11" s="162"/>
      <c r="Z11" s="162"/>
      <c r="AA11" s="163">
        <f>D11*G11</f>
        <v>0</v>
      </c>
    </row>
    <row r="12" spans="1:31" s="140" customFormat="1" ht="11.25" customHeight="1">
      <c r="B12" s="152"/>
      <c r="C12" s="153"/>
      <c r="D12" s="154"/>
      <c r="E12" s="155"/>
      <c r="F12" s="1916"/>
      <c r="G12" s="336"/>
      <c r="H12" s="161"/>
      <c r="I12" s="162"/>
      <c r="J12" s="162"/>
      <c r="K12" s="163"/>
      <c r="L12" s="161"/>
      <c r="M12" s="162"/>
      <c r="N12" s="162"/>
      <c r="O12" s="163"/>
      <c r="P12" s="161"/>
      <c r="Q12" s="162"/>
      <c r="R12" s="162"/>
      <c r="S12" s="163"/>
      <c r="T12" s="161"/>
      <c r="U12" s="162"/>
      <c r="V12" s="162"/>
      <c r="W12" s="163"/>
      <c r="X12" s="161"/>
      <c r="Y12" s="162"/>
      <c r="Z12" s="162"/>
      <c r="AA12" s="163"/>
    </row>
    <row r="13" spans="1:31" s="140" customFormat="1" ht="11.25" customHeight="1">
      <c r="A13" s="127" t="s">
        <v>4354</v>
      </c>
      <c r="B13" s="146"/>
      <c r="C13" s="147"/>
      <c r="D13" s="148"/>
      <c r="E13" s="156"/>
      <c r="F13" s="2434"/>
      <c r="G13" s="337"/>
      <c r="H13" s="164">
        <f>D13*E13</f>
        <v>0</v>
      </c>
      <c r="I13" s="165"/>
      <c r="J13" s="165"/>
      <c r="K13" s="166"/>
      <c r="L13" s="164"/>
      <c r="M13" s="165"/>
      <c r="N13" s="165"/>
      <c r="O13" s="166"/>
      <c r="P13" s="164"/>
      <c r="Q13" s="165"/>
      <c r="R13" s="165"/>
      <c r="S13" s="166"/>
      <c r="T13" s="164"/>
      <c r="U13" s="165"/>
      <c r="V13" s="165"/>
      <c r="W13" s="166"/>
      <c r="X13" s="164"/>
      <c r="Y13" s="165"/>
      <c r="Z13" s="165"/>
      <c r="AA13" s="166"/>
    </row>
    <row r="14" spans="1:31">
      <c r="A14" s="80"/>
      <c r="B14" s="144"/>
      <c r="C14" s="145"/>
      <c r="D14" s="151"/>
      <c r="E14" s="157"/>
      <c r="F14" s="332"/>
      <c r="G14" s="338"/>
      <c r="H14" s="167"/>
      <c r="I14" s="168"/>
      <c r="J14" s="168"/>
      <c r="K14" s="169"/>
      <c r="L14" s="167"/>
      <c r="M14" s="168"/>
      <c r="N14" s="168"/>
      <c r="O14" s="169"/>
      <c r="P14" s="167"/>
      <c r="Q14" s="168"/>
      <c r="R14" s="168"/>
      <c r="S14" s="169"/>
      <c r="T14" s="167"/>
      <c r="U14" s="168"/>
      <c r="V14" s="168"/>
      <c r="W14" s="169"/>
      <c r="X14" s="167"/>
      <c r="Y14" s="168"/>
      <c r="Z14" s="168"/>
      <c r="AA14" s="169"/>
    </row>
    <row r="15" spans="1:31" ht="15" customHeight="1">
      <c r="B15" s="143" t="s">
        <v>4355</v>
      </c>
      <c r="C15"/>
      <c r="D15"/>
      <c r="E15"/>
      <c r="F15"/>
      <c r="G15"/>
      <c r="H15"/>
      <c r="I15"/>
      <c r="J15"/>
      <c r="K15"/>
      <c r="L15"/>
      <c r="M15"/>
      <c r="N15"/>
      <c r="O15"/>
    </row>
    <row r="16" spans="1:31" ht="13.5" customHeight="1">
      <c r="B16" s="134" t="s">
        <v>4356</v>
      </c>
      <c r="C16" s="135"/>
      <c r="D16" s="136"/>
      <c r="E16" s="2738" t="s">
        <v>4357</v>
      </c>
      <c r="F16" s="2739"/>
      <c r="G16" s="2739"/>
      <c r="H16" s="2739"/>
      <c r="I16" s="2739"/>
      <c r="J16" s="2739"/>
      <c r="K16" s="2739"/>
      <c r="L16" s="2739"/>
      <c r="M16" s="2739"/>
      <c r="N16" s="2739"/>
      <c r="O16" s="2739"/>
      <c r="P16" s="2739"/>
      <c r="Q16" s="2739"/>
      <c r="R16" s="2740"/>
      <c r="S16" s="2741"/>
      <c r="T16" s="2735" t="s">
        <v>4358</v>
      </c>
      <c r="U16" s="2742"/>
      <c r="V16" s="2742"/>
      <c r="W16" s="2743"/>
    </row>
    <row r="17" spans="1:23" ht="12.75" customHeight="1">
      <c r="B17" s="192"/>
      <c r="C17" s="193"/>
      <c r="D17" s="194"/>
      <c r="E17" s="242" t="s">
        <v>4100</v>
      </c>
      <c r="F17" s="243" t="s">
        <v>4101</v>
      </c>
      <c r="G17" s="243" t="s">
        <v>4359</v>
      </c>
      <c r="H17" s="243" t="s">
        <v>4359</v>
      </c>
      <c r="I17" s="243" t="s">
        <v>4104</v>
      </c>
      <c r="J17" s="244" t="s">
        <v>4360</v>
      </c>
      <c r="K17" s="246" t="s">
        <v>4361</v>
      </c>
      <c r="L17" s="243" t="s">
        <v>4362</v>
      </c>
      <c r="M17" s="243" t="s">
        <v>4363</v>
      </c>
      <c r="N17" s="243" t="s">
        <v>4364</v>
      </c>
      <c r="O17" s="247" t="s">
        <v>4365</v>
      </c>
      <c r="P17" s="248" t="s">
        <v>4366</v>
      </c>
      <c r="Q17" s="312" t="s">
        <v>4367</v>
      </c>
      <c r="R17" s="313" t="s">
        <v>4108</v>
      </c>
      <c r="S17" s="314" t="s">
        <v>4109</v>
      </c>
      <c r="T17" s="315" t="s">
        <v>4115</v>
      </c>
      <c r="U17" s="243" t="s">
        <v>4116</v>
      </c>
      <c r="V17" s="313" t="s">
        <v>4368</v>
      </c>
      <c r="W17" s="314" t="s">
        <v>4118</v>
      </c>
    </row>
    <row r="18" spans="1:23">
      <c r="B18" s="133" t="s">
        <v>4099</v>
      </c>
      <c r="C18" s="117" t="s">
        <v>4326</v>
      </c>
      <c r="D18" s="129" t="s">
        <v>4327</v>
      </c>
      <c r="E18" s="275"/>
      <c r="F18" s="245"/>
      <c r="G18" s="245" t="s">
        <v>4369</v>
      </c>
      <c r="H18" s="245" t="s">
        <v>4370</v>
      </c>
      <c r="I18" s="245"/>
      <c r="J18" s="245" t="s">
        <v>4371</v>
      </c>
      <c r="K18" s="245" t="s">
        <v>4372</v>
      </c>
      <c r="L18" s="245"/>
      <c r="M18" s="245" t="s">
        <v>4373</v>
      </c>
      <c r="N18" s="245" t="s">
        <v>4374</v>
      </c>
      <c r="O18" s="245" t="s">
        <v>1439</v>
      </c>
      <c r="P18" s="245" t="s">
        <v>4375</v>
      </c>
      <c r="Q18" s="316" t="s">
        <v>4376</v>
      </c>
      <c r="R18" s="194" t="s">
        <v>4377</v>
      </c>
      <c r="S18" s="317" t="s">
        <v>4377</v>
      </c>
      <c r="T18" s="318"/>
      <c r="U18" s="193"/>
      <c r="V18" s="319"/>
      <c r="W18" s="317"/>
    </row>
    <row r="19" spans="1:23" s="140" customFormat="1" ht="15.75" customHeight="1">
      <c r="A19" s="137"/>
      <c r="B19" s="138"/>
      <c r="C19" s="139"/>
      <c r="D19" s="141"/>
      <c r="E19" s="158">
        <f t="shared" ref="E19:W19" si="1">SUM(E20:E28)</f>
        <v>3054</v>
      </c>
      <c r="F19" s="159">
        <f t="shared" si="1"/>
        <v>0</v>
      </c>
      <c r="G19" s="159">
        <f t="shared" si="1"/>
        <v>0</v>
      </c>
      <c r="H19" s="159">
        <f t="shared" si="1"/>
        <v>0</v>
      </c>
      <c r="I19" s="159">
        <f t="shared" si="1"/>
        <v>0</v>
      </c>
      <c r="J19" s="159">
        <f t="shared" si="1"/>
        <v>1018</v>
      </c>
      <c r="K19" s="159">
        <f t="shared" si="1"/>
        <v>0</v>
      </c>
      <c r="L19" s="159">
        <f t="shared" si="1"/>
        <v>0</v>
      </c>
      <c r="M19" s="159">
        <f t="shared" si="1"/>
        <v>0</v>
      </c>
      <c r="N19" s="159">
        <f t="shared" si="1"/>
        <v>0</v>
      </c>
      <c r="O19" s="276">
        <f t="shared" si="1"/>
        <v>0</v>
      </c>
      <c r="P19" s="159">
        <f t="shared" si="1"/>
        <v>0</v>
      </c>
      <c r="Q19" s="320">
        <f t="shared" si="1"/>
        <v>0</v>
      </c>
      <c r="R19" s="159">
        <f t="shared" si="1"/>
        <v>0</v>
      </c>
      <c r="S19" s="160">
        <f t="shared" si="1"/>
        <v>0</v>
      </c>
      <c r="T19" s="323">
        <f t="shared" si="1"/>
        <v>0</v>
      </c>
      <c r="U19" s="159">
        <f t="shared" si="1"/>
        <v>0</v>
      </c>
      <c r="V19" s="320">
        <f t="shared" si="1"/>
        <v>0</v>
      </c>
      <c r="W19" s="160">
        <f t="shared" si="1"/>
        <v>0</v>
      </c>
    </row>
    <row r="20" spans="1:23" s="140" customFormat="1" ht="11.25" customHeight="1">
      <c r="B20" s="146"/>
      <c r="C20" s="147"/>
      <c r="D20" s="148"/>
      <c r="E20" s="164"/>
      <c r="F20" s="165"/>
      <c r="G20" s="165"/>
      <c r="H20" s="165"/>
      <c r="I20" s="165"/>
      <c r="J20" s="165"/>
      <c r="K20" s="165"/>
      <c r="L20" s="165"/>
      <c r="M20" s="165"/>
      <c r="N20" s="165"/>
      <c r="O20" s="249"/>
      <c r="P20" s="165"/>
      <c r="Q20" s="321"/>
      <c r="R20" s="165"/>
      <c r="S20" s="166"/>
      <c r="T20" s="324"/>
      <c r="U20" s="165"/>
      <c r="V20" s="321"/>
      <c r="W20" s="327"/>
    </row>
    <row r="21" spans="1:23" s="140" customFormat="1" ht="11.25" customHeight="1">
      <c r="B21" s="146" t="s">
        <v>4346</v>
      </c>
      <c r="C21" s="147" t="s">
        <v>4347</v>
      </c>
      <c r="D21" s="148">
        <v>50.9</v>
      </c>
      <c r="E21" s="164">
        <f>D21*60</f>
        <v>3054</v>
      </c>
      <c r="F21" s="165"/>
      <c r="G21" s="165"/>
      <c r="H21" s="165"/>
      <c r="I21" s="165"/>
      <c r="J21" s="165">
        <f>D21*20</f>
        <v>1018</v>
      </c>
      <c r="K21" s="165"/>
      <c r="L21" s="165"/>
      <c r="M21" s="165"/>
      <c r="N21" s="165"/>
      <c r="O21" s="249"/>
      <c r="P21" s="165"/>
      <c r="Q21" s="321"/>
      <c r="R21" s="165"/>
      <c r="S21" s="166"/>
      <c r="T21" s="324"/>
      <c r="U21" s="165"/>
      <c r="V21" s="321"/>
      <c r="W21" s="327"/>
    </row>
    <row r="22" spans="1:23" s="140" customFormat="1" ht="11.25" customHeight="1">
      <c r="B22" s="146"/>
      <c r="C22" s="147"/>
      <c r="D22" s="148"/>
      <c r="E22" s="164"/>
      <c r="F22" s="165"/>
      <c r="G22" s="165"/>
      <c r="H22" s="165"/>
      <c r="I22" s="165"/>
      <c r="J22" s="165"/>
      <c r="K22" s="165"/>
      <c r="L22" s="165"/>
      <c r="M22" s="165"/>
      <c r="N22" s="165"/>
      <c r="O22" s="249"/>
      <c r="P22" s="165"/>
      <c r="Q22" s="321"/>
      <c r="R22" s="165"/>
      <c r="S22" s="166"/>
      <c r="T22" s="324"/>
      <c r="U22" s="165"/>
      <c r="V22" s="321"/>
      <c r="W22" s="327"/>
    </row>
    <row r="23" spans="1:23" s="140" customFormat="1" ht="11.25" customHeight="1">
      <c r="A23" s="127" t="s">
        <v>4378</v>
      </c>
      <c r="B23" s="146"/>
      <c r="C23" s="147"/>
      <c r="D23" s="148"/>
      <c r="E23" s="164"/>
      <c r="F23" s="165"/>
      <c r="G23" s="165"/>
      <c r="H23" s="165"/>
      <c r="I23" s="165"/>
      <c r="J23" s="165"/>
      <c r="K23" s="165"/>
      <c r="L23" s="165"/>
      <c r="M23" s="165"/>
      <c r="N23" s="165"/>
      <c r="O23" s="249"/>
      <c r="P23" s="165"/>
      <c r="Q23" s="321"/>
      <c r="R23" s="165"/>
      <c r="S23" s="166"/>
      <c r="T23" s="324"/>
      <c r="U23" s="165">
        <f>$D23*O23</f>
        <v>0</v>
      </c>
      <c r="V23" s="321">
        <f>$D23*P23</f>
        <v>0</v>
      </c>
      <c r="W23" s="329"/>
    </row>
    <row r="24" spans="1:23">
      <c r="A24" s="80"/>
      <c r="B24" s="144"/>
      <c r="C24" s="145"/>
      <c r="D24" s="151"/>
      <c r="E24" s="167"/>
      <c r="F24" s="168"/>
      <c r="G24" s="168"/>
      <c r="H24" s="250"/>
      <c r="I24" s="250"/>
      <c r="J24" s="250"/>
      <c r="K24" s="250"/>
      <c r="L24" s="250"/>
      <c r="M24" s="250"/>
      <c r="N24" s="250"/>
      <c r="O24" s="250"/>
      <c r="P24" s="250"/>
      <c r="Q24" s="322"/>
      <c r="R24" s="168"/>
      <c r="S24" s="169"/>
      <c r="T24" s="325"/>
      <c r="U24" s="168">
        <f>$D24*O24</f>
        <v>0</v>
      </c>
      <c r="V24" s="326">
        <f>$D24*P24</f>
        <v>0</v>
      </c>
      <c r="W24" s="328"/>
    </row>
    <row r="25" spans="1:23">
      <c r="E25" s="80"/>
    </row>
  </sheetData>
  <mergeCells count="15">
    <mergeCell ref="G2:J2"/>
    <mergeCell ref="O2:R2"/>
    <mergeCell ref="G3:J3"/>
    <mergeCell ref="O3:R3"/>
    <mergeCell ref="G4:J4"/>
    <mergeCell ref="O4:R4"/>
    <mergeCell ref="X7:AA7"/>
    <mergeCell ref="E16:S16"/>
    <mergeCell ref="T16:W16"/>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FFFF99"/>
    <pageSetUpPr fitToPage="1"/>
  </sheetPr>
  <dimension ref="A1:AI163"/>
  <sheetViews>
    <sheetView zoomScale="75" zoomScaleNormal="75" workbookViewId="0">
      <pane xSplit="13" topLeftCell="N1" activePane="topRight" state="frozen"/>
      <selection activeCell="C3" sqref="C3:L3"/>
      <selection pane="topRight"/>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1" spans="1:35" ht="26.1" customHeight="1">
      <c r="K1" s="2514">
        <v>44197</v>
      </c>
    </row>
    <row r="2" spans="1:35" ht="26.1" customHeight="1">
      <c r="C2" s="35" t="s">
        <v>4910</v>
      </c>
      <c r="E2" s="34" t="s">
        <v>153</v>
      </c>
      <c r="F2" s="37">
        <f>工事7!J2</f>
        <v>63</v>
      </c>
      <c r="G2" s="1" t="s">
        <v>154</v>
      </c>
      <c r="H2" s="4">
        <f>表紙!H25</f>
        <v>69</v>
      </c>
      <c r="I2" s="4" t="s">
        <v>155</v>
      </c>
      <c r="J2" s="37">
        <f>VLOOKUP("EOL",$M$25:$N$65605,2,FALSE)</f>
        <v>69</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イ)6号線堺筋本町駅の部-床仕上改造その他工事</v>
      </c>
      <c r="D5" s="2348"/>
      <c r="E5" s="632"/>
      <c r="F5" s="1889"/>
      <c r="G5" s="2349"/>
      <c r="H5" s="2061" t="s">
        <v>117</v>
      </c>
      <c r="I5" s="2061" t="s">
        <v>117</v>
      </c>
      <c r="J5" s="2759"/>
      <c r="K5" s="2788"/>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1984"/>
      <c r="E6" s="639"/>
      <c r="F6" s="640"/>
      <c r="G6" s="641"/>
      <c r="H6" s="1883"/>
      <c r="I6" s="1883"/>
      <c r="J6" s="1984"/>
      <c r="K6" s="1984"/>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1984" t="s">
        <v>4120</v>
      </c>
      <c r="E7" s="639"/>
      <c r="F7" s="640">
        <v>1</v>
      </c>
      <c r="G7" s="641" t="s">
        <v>119</v>
      </c>
      <c r="H7" s="1883"/>
      <c r="I7" s="1883">
        <f>I70</f>
        <v>3523650</v>
      </c>
      <c r="J7" s="1984"/>
      <c r="K7" s="1984"/>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1984" t="s">
        <v>4121</v>
      </c>
      <c r="E8" s="639"/>
      <c r="F8" s="640">
        <v>1</v>
      </c>
      <c r="G8" s="641" t="s">
        <v>119</v>
      </c>
      <c r="H8" s="1883"/>
      <c r="I8" s="1883">
        <f>I93</f>
        <v>63957690</v>
      </c>
      <c r="J8" s="1984"/>
      <c r="K8" s="1984"/>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1984" t="s">
        <v>4125</v>
      </c>
      <c r="E9" s="639"/>
      <c r="F9" s="640">
        <v>1</v>
      </c>
      <c r="G9" s="641" t="s">
        <v>119</v>
      </c>
      <c r="H9" s="1883"/>
      <c r="I9" s="1883">
        <f>I116</f>
        <v>2001700</v>
      </c>
      <c r="J9" s="1984"/>
      <c r="K9" s="1984"/>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1984" t="s">
        <v>4126</v>
      </c>
      <c r="E10" s="639"/>
      <c r="F10" s="640">
        <v>1</v>
      </c>
      <c r="G10" s="641" t="s">
        <v>119</v>
      </c>
      <c r="H10" s="1883"/>
      <c r="I10" s="1883">
        <f>I139</f>
        <v>61158735</v>
      </c>
      <c r="J10" s="1984"/>
      <c r="K10" s="1984"/>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1984"/>
      <c r="E11" s="639"/>
      <c r="F11" s="640"/>
      <c r="G11" s="641"/>
      <c r="H11" s="1883"/>
      <c r="I11" s="1883"/>
      <c r="J11" s="1984"/>
      <c r="K11" s="1984"/>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1984"/>
      <c r="E12" s="639"/>
      <c r="F12" s="640"/>
      <c r="G12" s="641"/>
      <c r="H12" s="1883"/>
      <c r="I12" s="1883"/>
      <c r="J12" s="1984"/>
      <c r="K12" s="1984"/>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1984"/>
      <c r="E13" s="639"/>
      <c r="F13" s="640"/>
      <c r="G13" s="641"/>
      <c r="H13" s="1883"/>
      <c r="I13" s="1883"/>
      <c r="J13" s="1984"/>
      <c r="K13" s="1984"/>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1984"/>
      <c r="E14" s="639"/>
      <c r="F14" s="640"/>
      <c r="G14" s="641"/>
      <c r="H14" s="1883"/>
      <c r="I14" s="1883"/>
      <c r="J14" s="1984"/>
      <c r="K14" s="1984"/>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1984"/>
      <c r="E15" s="639"/>
      <c r="F15" s="640"/>
      <c r="G15" s="641"/>
      <c r="H15" s="1883"/>
      <c r="I15" s="1883"/>
      <c r="J15" s="1984"/>
      <c r="K15" s="1984"/>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1984" t="s">
        <v>126</v>
      </c>
      <c r="E16" s="639"/>
      <c r="F16" s="640"/>
      <c r="G16" s="641"/>
      <c r="H16" s="1883"/>
      <c r="I16" s="1883">
        <f>SUM(I7:I15)</f>
        <v>130641775</v>
      </c>
      <c r="J16" s="2449" t="str">
        <f>IF(COUNTIF(N:N,"費用")=0,"","うち費用")</f>
        <v>うち費用</v>
      </c>
      <c r="K16" s="2450">
        <f>IF(COUNTIF(N:N,"費用")=0,"",SUMIF(N:N,"費用",I:I))</f>
        <v>61158735</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451"/>
      <c r="E17" s="639"/>
      <c r="F17" s="640"/>
      <c r="G17" s="641"/>
      <c r="H17" s="1883"/>
      <c r="I17" s="1883"/>
      <c r="J17" s="1984"/>
      <c r="K17" s="1984"/>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1984"/>
      <c r="E18" s="639"/>
      <c r="F18" s="640"/>
      <c r="G18" s="641"/>
      <c r="H18" s="1883"/>
      <c r="I18" s="1883"/>
      <c r="J18" s="1984"/>
      <c r="K18" s="1984"/>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1984" t="s">
        <v>4128</v>
      </c>
      <c r="E19" s="639"/>
      <c r="F19" s="640">
        <v>1</v>
      </c>
      <c r="G19" s="641" t="s">
        <v>119</v>
      </c>
      <c r="H19" s="1883"/>
      <c r="I19" s="1883">
        <f>+I47</f>
        <v>8425414</v>
      </c>
      <c r="J19" s="1984"/>
      <c r="K19" s="1984"/>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1984" t="s">
        <v>4129</v>
      </c>
      <c r="E20" s="639"/>
      <c r="F20" s="640">
        <v>1</v>
      </c>
      <c r="G20" s="641" t="s">
        <v>119</v>
      </c>
      <c r="H20" s="1883"/>
      <c r="I20" s="1883">
        <f>+諸経費表!N21</f>
        <v>33822811</v>
      </c>
      <c r="J20" s="2452"/>
      <c r="K20" s="1984"/>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1984"/>
      <c r="E21" s="639"/>
      <c r="F21" s="640"/>
      <c r="G21" s="641"/>
      <c r="H21" s="1883"/>
      <c r="I21" s="1883"/>
      <c r="J21" s="1984"/>
      <c r="K21" s="1984"/>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1984" t="s">
        <v>126</v>
      </c>
      <c r="E22" s="639"/>
      <c r="F22" s="640"/>
      <c r="G22" s="641"/>
      <c r="H22" s="1883"/>
      <c r="I22" s="1883">
        <f>+I19+I20</f>
        <v>42248225</v>
      </c>
      <c r="J22" s="1984"/>
      <c r="K22" s="1984"/>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1984"/>
      <c r="E23" s="639"/>
      <c r="F23" s="640"/>
      <c r="G23" s="641"/>
      <c r="H23" s="1883"/>
      <c r="I23" s="1883"/>
      <c r="J23" s="1984"/>
      <c r="K23" s="1984"/>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070"/>
      <c r="D24" s="2075" t="s">
        <v>4130</v>
      </c>
      <c r="E24" s="2071"/>
      <c r="F24" s="2072"/>
      <c r="G24" s="2453"/>
      <c r="H24" s="2454" t="s">
        <v>4131</v>
      </c>
      <c r="I24" s="2074">
        <f>+I22+I16</f>
        <v>172890000</v>
      </c>
      <c r="J24" s="2075" t="s">
        <v>4132</v>
      </c>
      <c r="K24" s="2075"/>
      <c r="L24" s="2455"/>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64</v>
      </c>
      <c r="G25" s="103" t="s">
        <v>131</v>
      </c>
      <c r="H25" s="104">
        <f>H2</f>
        <v>69</v>
      </c>
      <c r="M25" s="38" t="str">
        <f>IF(A27="","EOL","")</f>
        <v/>
      </c>
      <c r="N25" s="6">
        <f>+F25</f>
        <v>64</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1984" t="s">
        <v>4134</v>
      </c>
      <c r="E29" s="639"/>
      <c r="F29" s="640"/>
      <c r="G29" s="641"/>
      <c r="H29" s="642"/>
      <c r="I29" s="1883" t="str">
        <f t="shared" ref="I29:I44" si="0">IF(F29="","",INT(F29*H29))</f>
        <v/>
      </c>
      <c r="J29" s="1984"/>
      <c r="K29" s="1984"/>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1984" t="s">
        <v>4135</v>
      </c>
      <c r="E30" s="639"/>
      <c r="F30" s="640">
        <v>1</v>
      </c>
      <c r="G30" s="641" t="s">
        <v>122</v>
      </c>
      <c r="H30" s="642">
        <f>+'堺筋本町　諸'!I16</f>
        <v>4120716</v>
      </c>
      <c r="I30" s="1883">
        <f t="shared" si="0"/>
        <v>4120716</v>
      </c>
      <c r="J30" s="1984"/>
      <c r="K30" s="1984"/>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1984"/>
      <c r="E31" s="639"/>
      <c r="F31" s="640"/>
      <c r="G31" s="641"/>
      <c r="H31" s="642"/>
      <c r="I31" s="1883" t="str">
        <f t="shared" si="0"/>
        <v/>
      </c>
      <c r="J31" s="1984"/>
      <c r="K31" s="1984"/>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456"/>
      <c r="D32" s="2457" t="s">
        <v>4136</v>
      </c>
      <c r="E32" s="2458"/>
      <c r="F32" s="2459"/>
      <c r="G32" s="2460"/>
      <c r="H32" s="2461"/>
      <c r="I32" s="2462">
        <f>SUM(I30:I31)</f>
        <v>4120716</v>
      </c>
      <c r="J32" s="2457"/>
      <c r="K32" s="2457"/>
      <c r="L32" s="2463"/>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1984" t="s">
        <v>4137</v>
      </c>
      <c r="E34" s="639"/>
      <c r="F34" s="640"/>
      <c r="G34" s="641"/>
      <c r="H34" s="642"/>
      <c r="I34" s="1883" t="str">
        <f t="shared" si="0"/>
        <v/>
      </c>
      <c r="J34" s="1984"/>
      <c r="K34" s="1984"/>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1984"/>
      <c r="E35" s="639"/>
      <c r="F35" s="640"/>
      <c r="G35" s="641"/>
      <c r="H35" s="642"/>
      <c r="I35" s="1883" t="str">
        <f t="shared" si="0"/>
        <v/>
      </c>
      <c r="J35" s="1984"/>
      <c r="K35" s="1984"/>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1984" t="s">
        <v>4138</v>
      </c>
      <c r="E36" s="639"/>
      <c r="F36" s="640">
        <v>1</v>
      </c>
      <c r="G36" s="641" t="s">
        <v>119</v>
      </c>
      <c r="H36" s="642">
        <f>+[5]集計!$F$20</f>
        <v>435344</v>
      </c>
      <c r="I36" s="1883">
        <f t="shared" si="0"/>
        <v>435344</v>
      </c>
      <c r="J36" s="1984"/>
      <c r="K36" s="1984"/>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1984" t="s">
        <v>4139</v>
      </c>
      <c r="E37" s="639"/>
      <c r="F37" s="640">
        <v>1</v>
      </c>
      <c r="G37" s="641" t="s">
        <v>119</v>
      </c>
      <c r="H37" s="642">
        <f>+[5]集計!$F$21</f>
        <v>878659</v>
      </c>
      <c r="I37" s="1883">
        <f t="shared" si="0"/>
        <v>878659</v>
      </c>
      <c r="J37" s="1984"/>
      <c r="K37" s="1984"/>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1984" t="s">
        <v>4140</v>
      </c>
      <c r="E38" s="639"/>
      <c r="F38" s="640">
        <v>1</v>
      </c>
      <c r="G38" s="641" t="s">
        <v>119</v>
      </c>
      <c r="H38" s="642">
        <f>+[5]集計!$F$22</f>
        <v>1692569.7339199279</v>
      </c>
      <c r="I38" s="1883">
        <f t="shared" si="0"/>
        <v>1692569</v>
      </c>
      <c r="J38" s="1984"/>
      <c r="K38" s="1984"/>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1984" t="s">
        <v>4141</v>
      </c>
      <c r="E39" s="639"/>
      <c r="F39" s="640">
        <v>1</v>
      </c>
      <c r="G39" s="641" t="s">
        <v>119</v>
      </c>
      <c r="H39" s="642">
        <f>+[5]集計!$F$24</f>
        <v>40981</v>
      </c>
      <c r="I39" s="1883">
        <f t="shared" si="0"/>
        <v>40981</v>
      </c>
      <c r="J39" s="1984"/>
      <c r="K39" s="1984"/>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1984" t="s">
        <v>4142</v>
      </c>
      <c r="E40" s="639"/>
      <c r="F40" s="640">
        <v>1</v>
      </c>
      <c r="G40" s="641" t="s">
        <v>119</v>
      </c>
      <c r="H40" s="642">
        <f>+[5]集計!$F$25</f>
        <v>1257145</v>
      </c>
      <c r="I40" s="1883">
        <f t="shared" si="0"/>
        <v>1257145</v>
      </c>
      <c r="J40" s="1984"/>
      <c r="K40" s="1984"/>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1984"/>
      <c r="E41" s="639"/>
      <c r="F41" s="640"/>
      <c r="G41" s="641"/>
      <c r="H41" s="642"/>
      <c r="I41" s="1883" t="str">
        <f t="shared" si="0"/>
        <v/>
      </c>
      <c r="J41" s="1984"/>
      <c r="K41" s="1984"/>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1984"/>
      <c r="E42" s="639"/>
      <c r="F42" s="640"/>
      <c r="G42" s="641"/>
      <c r="H42" s="642"/>
      <c r="I42" s="1883" t="str">
        <f t="shared" si="0"/>
        <v/>
      </c>
      <c r="J42" s="1984"/>
      <c r="K42" s="1984"/>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1984"/>
      <c r="E43" s="639"/>
      <c r="F43" s="640"/>
      <c r="G43" s="641"/>
      <c r="H43" s="642"/>
      <c r="I43" s="1883" t="str">
        <f t="shared" si="0"/>
        <v/>
      </c>
      <c r="J43" s="1984"/>
      <c r="K43" s="1984"/>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1984"/>
      <c r="E44" s="639"/>
      <c r="F44" s="640"/>
      <c r="G44" s="641"/>
      <c r="H44" s="642"/>
      <c r="I44" s="1883" t="str">
        <f t="shared" si="0"/>
        <v/>
      </c>
      <c r="J44" s="1984"/>
      <c r="K44" s="1984"/>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464"/>
      <c r="D45" s="2457" t="s">
        <v>4143</v>
      </c>
      <c r="E45" s="2458"/>
      <c r="F45" s="2459"/>
      <c r="G45" s="2460"/>
      <c r="H45" s="2461"/>
      <c r="I45" s="2462">
        <f>SUM(I35:I44)</f>
        <v>4304698</v>
      </c>
      <c r="J45" s="2457"/>
      <c r="K45" s="2457"/>
      <c r="L45" s="2463"/>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1984"/>
      <c r="E46" s="639"/>
      <c r="F46" s="640"/>
      <c r="G46" s="641"/>
      <c r="H46" s="642"/>
      <c r="I46" s="1883" t="str">
        <f t="shared" ref="I46" si="1">IF(F46="","",INT(F46*H46))</f>
        <v/>
      </c>
      <c r="J46" s="1984"/>
      <c r="K46" s="1984"/>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070"/>
      <c r="D47" s="2075" t="s">
        <v>4144</v>
      </c>
      <c r="E47" s="2071"/>
      <c r="F47" s="2072"/>
      <c r="G47" s="2453"/>
      <c r="H47" s="2465" t="s">
        <v>4131</v>
      </c>
      <c r="I47" s="2074">
        <f>I32+I45</f>
        <v>8425414</v>
      </c>
      <c r="J47" s="2075" t="s">
        <v>4132</v>
      </c>
      <c r="K47" s="2075"/>
      <c r="L47" s="2455"/>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65</v>
      </c>
      <c r="G48" s="103" t="s">
        <v>131</v>
      </c>
      <c r="H48" s="104">
        <f>+$H$25</f>
        <v>69</v>
      </c>
      <c r="I48" s="104"/>
      <c r="M48" s="38" t="str">
        <f>IF(A50="","EOL","")</f>
        <v/>
      </c>
      <c r="N48" s="6">
        <f>+F48</f>
        <v>65</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88"/>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1984"/>
      <c r="K52" s="1984"/>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f>+[6]集計!$F$17</f>
        <v>0</v>
      </c>
      <c r="I53" s="1883">
        <f t="shared" ref="I53:I69" si="2">IF(F53="","",INT(F53*H53))</f>
        <v>0</v>
      </c>
      <c r="J53" s="1984"/>
      <c r="K53" s="1984"/>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f>+[6]集計!$F$18</f>
        <v>758940</v>
      </c>
      <c r="I54" s="1883">
        <f t="shared" si="2"/>
        <v>758940</v>
      </c>
      <c r="J54" s="1984"/>
      <c r="K54" s="1984"/>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f>+[6]集計!$F$19</f>
        <v>2764710</v>
      </c>
      <c r="I55" s="1883">
        <f t="shared" si="2"/>
        <v>2764710</v>
      </c>
      <c r="J55" s="1984"/>
      <c r="K55" s="1984"/>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f>+[6]集計!$F$20</f>
        <v>0</v>
      </c>
      <c r="I56" s="1883">
        <f t="shared" si="2"/>
        <v>0</v>
      </c>
      <c r="J56" s="1984"/>
      <c r="K56" s="1984"/>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f>+[6]集計!$F$21</f>
        <v>0</v>
      </c>
      <c r="I57" s="1883">
        <f t="shared" si="2"/>
        <v>0</v>
      </c>
      <c r="J57" s="1984"/>
      <c r="K57" s="1984"/>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f>+[6]集計!$F$22</f>
        <v>0</v>
      </c>
      <c r="I58" s="1883">
        <f t="shared" si="2"/>
        <v>0</v>
      </c>
      <c r="J58" s="1984"/>
      <c r="K58" s="1984"/>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1984"/>
      <c r="K59" s="1984"/>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1984"/>
      <c r="K60" s="1984"/>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1984"/>
      <c r="K61" s="1984"/>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1984"/>
      <c r="K62" s="1984"/>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1984"/>
      <c r="K63" s="1984"/>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1984"/>
      <c r="K64" s="1984"/>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1984"/>
      <c r="K65" s="1984"/>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1984"/>
      <c r="K66" s="1984"/>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1984"/>
      <c r="K67" s="1984"/>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1984"/>
      <c r="K68" s="1984"/>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1984"/>
      <c r="K69" s="1984"/>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070"/>
      <c r="D70" s="2075" t="s">
        <v>4144</v>
      </c>
      <c r="E70" s="2071"/>
      <c r="F70" s="2072"/>
      <c r="G70" s="2453"/>
      <c r="H70" s="2465" t="s">
        <v>4131</v>
      </c>
      <c r="I70" s="2074">
        <f>SUM(I52:I69)</f>
        <v>3523650</v>
      </c>
      <c r="J70" s="2075" t="s">
        <v>4132</v>
      </c>
      <c r="K70" s="2075"/>
      <c r="L70" s="2455"/>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66</v>
      </c>
      <c r="G71" s="103" t="s">
        <v>131</v>
      </c>
      <c r="H71" s="104">
        <f>+H48</f>
        <v>69</v>
      </c>
      <c r="I71" s="104"/>
      <c r="M71" s="598" t="str">
        <f>IF(A73="","EOL","")</f>
        <v/>
      </c>
      <c r="N71" s="1">
        <f>+F71</f>
        <v>66</v>
      </c>
      <c r="O71" s="1"/>
      <c r="P71" s="1"/>
    </row>
    <row r="72" spans="1:35" ht="26.1" customHeight="1" thickBot="1">
      <c r="C72" s="2517" t="s">
        <v>107</v>
      </c>
      <c r="D72" s="2517"/>
      <c r="E72" s="2517"/>
      <c r="F72" s="2517"/>
      <c r="G72" s="2517"/>
      <c r="H72" s="2517"/>
      <c r="I72" s="2517"/>
      <c r="J72" s="2517"/>
      <c r="K72" s="2517"/>
      <c r="L72" s="2517"/>
      <c r="N72" s="1"/>
      <c r="O72" s="2730" t="s">
        <v>4098</v>
      </c>
      <c r="P72" s="2730"/>
      <c r="Q72" s="2730"/>
      <c r="R72" s="2730"/>
      <c r="S72" s="2730"/>
      <c r="T72" s="2730"/>
      <c r="U72" s="2730"/>
      <c r="V72" s="2730"/>
      <c r="W72" s="2730"/>
      <c r="X72" s="2730"/>
      <c r="Y72" s="2730"/>
      <c r="Z72" s="2730"/>
      <c r="AA72" s="2730"/>
      <c r="AB72" s="2730"/>
      <c r="AC72" s="2730"/>
      <c r="AD72" s="2730"/>
      <c r="AE72" s="2730"/>
      <c r="AF72" s="2730"/>
      <c r="AG72" s="2730"/>
      <c r="AH72" s="2731"/>
      <c r="AI72" s="555"/>
    </row>
    <row r="73" spans="1:35" ht="41.25" customHeight="1">
      <c r="A73" s="5" t="s">
        <v>108</v>
      </c>
      <c r="B73" s="5" t="s">
        <v>4145</v>
      </c>
      <c r="C73" s="99" t="s">
        <v>110</v>
      </c>
      <c r="D73" s="95"/>
      <c r="E73" s="96" t="s">
        <v>111</v>
      </c>
      <c r="F73" s="97" t="s">
        <v>112</v>
      </c>
      <c r="G73" s="97" t="s">
        <v>113</v>
      </c>
      <c r="H73" s="98" t="s">
        <v>114</v>
      </c>
      <c r="I73" s="98" t="s">
        <v>115</v>
      </c>
      <c r="J73" s="2552" t="s">
        <v>116</v>
      </c>
      <c r="K73" s="2553"/>
      <c r="L73" s="2554"/>
      <c r="M73" s="599"/>
      <c r="N73" s="604" t="s">
        <v>4154</v>
      </c>
      <c r="O73" s="596" t="s">
        <v>4099</v>
      </c>
      <c r="P73" s="303" t="s">
        <v>4100</v>
      </c>
      <c r="Q73" s="241" t="s">
        <v>4101</v>
      </c>
      <c r="R73" s="241" t="s">
        <v>4102</v>
      </c>
      <c r="S73" s="241" t="s">
        <v>4103</v>
      </c>
      <c r="T73" s="241" t="s">
        <v>4104</v>
      </c>
      <c r="U73" s="241" t="s">
        <v>4105</v>
      </c>
      <c r="V73" s="125" t="s">
        <v>4106</v>
      </c>
      <c r="W73" s="241" t="s">
        <v>4107</v>
      </c>
      <c r="X73" s="180" t="s">
        <v>4108</v>
      </c>
      <c r="Y73" s="180" t="s">
        <v>4109</v>
      </c>
      <c r="Z73" s="180" t="s">
        <v>4110</v>
      </c>
      <c r="AA73" s="180" t="s">
        <v>4111</v>
      </c>
      <c r="AB73" s="180" t="s">
        <v>4112</v>
      </c>
      <c r="AC73" s="306" t="s">
        <v>4113</v>
      </c>
      <c r="AD73" s="307" t="s">
        <v>4114</v>
      </c>
      <c r="AE73" s="308" t="s">
        <v>4115</v>
      </c>
      <c r="AF73" s="124" t="s">
        <v>4116</v>
      </c>
      <c r="AG73" s="124" t="s">
        <v>4117</v>
      </c>
      <c r="AH73" s="124" t="s">
        <v>4118</v>
      </c>
      <c r="AI73" s="556"/>
    </row>
    <row r="74" spans="1:35" ht="24" customHeight="1">
      <c r="A74" s="36"/>
      <c r="B74" s="36"/>
      <c r="C74" s="2370" t="s">
        <v>4121</v>
      </c>
      <c r="D74" s="2385"/>
      <c r="E74" s="623"/>
      <c r="F74" s="1889"/>
      <c r="G74" s="1890"/>
      <c r="H74" s="2386" t="s">
        <v>117</v>
      </c>
      <c r="I74" s="2386" t="s">
        <v>117</v>
      </c>
      <c r="J74" s="2759"/>
      <c r="K74" s="2788"/>
      <c r="L74" s="2734"/>
      <c r="M74" s="600"/>
      <c r="N74" s="601"/>
      <c r="O74" s="597"/>
      <c r="P74" s="187"/>
      <c r="Q74" s="188"/>
      <c r="R74" s="188"/>
      <c r="S74" s="188"/>
      <c r="T74" s="188"/>
      <c r="U74" s="188"/>
      <c r="V74" s="188"/>
      <c r="W74" s="188"/>
      <c r="X74" s="189"/>
      <c r="Y74" s="189"/>
      <c r="Z74" s="189"/>
      <c r="AA74" s="189"/>
      <c r="AB74" s="189"/>
      <c r="AC74" s="188"/>
      <c r="AD74" s="309"/>
      <c r="AE74" s="310"/>
      <c r="AF74" s="188"/>
      <c r="AG74" s="188"/>
      <c r="AH74" s="188"/>
      <c r="AI74" s="557"/>
    </row>
    <row r="75" spans="1:35" s="37" customFormat="1" ht="24" customHeight="1">
      <c r="A75" s="36"/>
      <c r="B75" s="36"/>
      <c r="C75" s="1881"/>
      <c r="D75" s="2466"/>
      <c r="E75" s="621"/>
      <c r="F75" s="640"/>
      <c r="G75" s="641"/>
      <c r="H75" s="1882"/>
      <c r="I75" s="1883" t="str">
        <f t="shared" ref="I75:I92" si="3">IF(F75="","",INT(F75*H75))</f>
        <v/>
      </c>
      <c r="J75" s="1983"/>
      <c r="K75" s="1984"/>
      <c r="L75" s="2356"/>
      <c r="M75" s="602"/>
      <c r="N75" s="603"/>
      <c r="O75" s="597"/>
      <c r="P75" s="187"/>
      <c r="Q75" s="188"/>
      <c r="R75" s="188"/>
      <c r="S75" s="188"/>
      <c r="T75" s="188"/>
      <c r="U75" s="188"/>
      <c r="V75" s="188"/>
      <c r="W75" s="188"/>
      <c r="X75" s="189"/>
      <c r="Y75" s="189"/>
      <c r="Z75" s="189"/>
      <c r="AA75" s="189"/>
      <c r="AB75" s="189"/>
      <c r="AC75" s="188"/>
      <c r="AD75" s="309"/>
      <c r="AE75" s="310"/>
      <c r="AF75" s="188"/>
      <c r="AG75" s="188"/>
      <c r="AH75" s="519"/>
      <c r="AI75" s="557"/>
    </row>
    <row r="76" spans="1:35" s="37" customFormat="1" ht="24" customHeight="1">
      <c r="A76" s="36">
        <v>4</v>
      </c>
      <c r="B76" s="36">
        <v>4</v>
      </c>
      <c r="C76" s="1881">
        <v>312</v>
      </c>
      <c r="D76" s="1980" t="s">
        <v>4155</v>
      </c>
      <c r="E76" s="621" t="s">
        <v>4156</v>
      </c>
      <c r="F76" s="640">
        <v>1725</v>
      </c>
      <c r="G76" s="641" t="s">
        <v>4157</v>
      </c>
      <c r="H76" s="1882">
        <f>見積比較!O$39</f>
        <v>34200</v>
      </c>
      <c r="I76" s="1883">
        <f>IF(F76="","",INT(F76*H76))</f>
        <v>58995000</v>
      </c>
      <c r="J76" s="1983" t="s">
        <v>4158</v>
      </c>
      <c r="K76" s="1984"/>
      <c r="L76" s="2356"/>
      <c r="M76" s="602"/>
      <c r="N76" s="603"/>
      <c r="O76" s="597">
        <v>0</v>
      </c>
      <c r="P76" s="187"/>
      <c r="Q76" s="188"/>
      <c r="R76" s="188"/>
      <c r="S76" s="188"/>
      <c r="T76" s="188"/>
      <c r="U76" s="188"/>
      <c r="V76" s="188"/>
      <c r="W76" s="188"/>
      <c r="X76" s="189"/>
      <c r="Y76" s="189"/>
      <c r="Z76" s="189"/>
      <c r="AA76" s="189"/>
      <c r="AB76" s="189"/>
      <c r="AC76" s="188"/>
      <c r="AD76" s="309"/>
      <c r="AE76" s="310"/>
      <c r="AF76" s="188"/>
      <c r="AG76" s="188"/>
      <c r="AH76" s="519"/>
      <c r="AI76" s="557"/>
    </row>
    <row r="77" spans="1:35" s="37" customFormat="1" ht="24" customHeight="1">
      <c r="A77" s="36"/>
      <c r="B77" s="36"/>
      <c r="C77" s="1881"/>
      <c r="D77" s="2466"/>
      <c r="E77" s="621"/>
      <c r="F77" s="640"/>
      <c r="G77" s="641"/>
      <c r="H77" s="1882"/>
      <c r="I77" s="1883" t="str">
        <f t="shared" ref="I77:I81" si="4">IF(F77="","",INT(F77*H77))</f>
        <v/>
      </c>
      <c r="J77" s="1983"/>
      <c r="K77" s="1984"/>
      <c r="L77" s="2356"/>
      <c r="M77" s="602"/>
      <c r="N77" s="603"/>
      <c r="O77" s="597"/>
      <c r="P77" s="187"/>
      <c r="Q77" s="188"/>
      <c r="R77" s="188"/>
      <c r="S77" s="188"/>
      <c r="T77" s="188"/>
      <c r="U77" s="188"/>
      <c r="V77" s="188"/>
      <c r="W77" s="188"/>
      <c r="X77" s="189"/>
      <c r="Y77" s="189"/>
      <c r="Z77" s="189"/>
      <c r="AA77" s="189"/>
      <c r="AB77" s="189"/>
      <c r="AC77" s="188"/>
      <c r="AD77" s="309"/>
      <c r="AE77" s="310"/>
      <c r="AF77" s="188"/>
      <c r="AG77" s="188"/>
      <c r="AH77" s="519"/>
      <c r="AI77" s="557"/>
    </row>
    <row r="78" spans="1:35" s="37" customFormat="1" ht="24" customHeight="1">
      <c r="A78" s="36">
        <v>4</v>
      </c>
      <c r="B78" s="36">
        <v>4</v>
      </c>
      <c r="C78" s="1881">
        <v>313</v>
      </c>
      <c r="D78" s="1980" t="s">
        <v>4159</v>
      </c>
      <c r="E78" s="621" t="s">
        <v>4160</v>
      </c>
      <c r="F78" s="640">
        <v>82.3</v>
      </c>
      <c r="G78" s="641" t="s">
        <v>4157</v>
      </c>
      <c r="H78" s="1882">
        <f>見積比較!O$74</f>
        <v>21900</v>
      </c>
      <c r="I78" s="1883">
        <f>IF(F78="","",INT(F78*H78))</f>
        <v>1802370</v>
      </c>
      <c r="J78" s="1983" t="s">
        <v>4161</v>
      </c>
      <c r="K78" s="1984"/>
      <c r="L78" s="2356"/>
      <c r="M78" s="602"/>
      <c r="N78" s="603"/>
      <c r="O78" s="597">
        <v>0</v>
      </c>
      <c r="P78" s="187"/>
      <c r="Q78" s="188"/>
      <c r="R78" s="188"/>
      <c r="S78" s="188"/>
      <c r="T78" s="188"/>
      <c r="U78" s="188"/>
      <c r="V78" s="188"/>
      <c r="W78" s="188"/>
      <c r="X78" s="189"/>
      <c r="Y78" s="189"/>
      <c r="Z78" s="189"/>
      <c r="AA78" s="189"/>
      <c r="AB78" s="189"/>
      <c r="AC78" s="188"/>
      <c r="AD78" s="309"/>
      <c r="AE78" s="310"/>
      <c r="AF78" s="188"/>
      <c r="AG78" s="188"/>
      <c r="AH78" s="519"/>
      <c r="AI78" s="557"/>
    </row>
    <row r="79" spans="1:35" s="37" customFormat="1" ht="24" customHeight="1">
      <c r="A79" s="36">
        <v>4</v>
      </c>
      <c r="B79" s="36">
        <v>4</v>
      </c>
      <c r="C79" s="1881">
        <v>25011</v>
      </c>
      <c r="D79" s="1980" t="s">
        <v>4400</v>
      </c>
      <c r="E79" s="621" t="s">
        <v>4401</v>
      </c>
      <c r="F79" s="640">
        <v>82.3</v>
      </c>
      <c r="G79" s="641" t="s">
        <v>4193</v>
      </c>
      <c r="H79" s="1882">
        <v>38400</v>
      </c>
      <c r="I79" s="1883">
        <f>IF(F79="","",INT(F79*H79))</f>
        <v>3160320</v>
      </c>
      <c r="J79" s="1983" t="s">
        <v>4402</v>
      </c>
      <c r="K79" s="1984"/>
      <c r="L79" s="2356"/>
      <c r="M79" s="602"/>
      <c r="N79" s="603"/>
      <c r="O79" s="597">
        <v>0</v>
      </c>
      <c r="P79" s="187"/>
      <c r="Q79" s="188"/>
      <c r="R79" s="188"/>
      <c r="S79" s="188"/>
      <c r="T79" s="188"/>
      <c r="U79" s="188"/>
      <c r="V79" s="188"/>
      <c r="W79" s="188"/>
      <c r="X79" s="189"/>
      <c r="Y79" s="189"/>
      <c r="Z79" s="189"/>
      <c r="AA79" s="189"/>
      <c r="AB79" s="189"/>
      <c r="AC79" s="188"/>
      <c r="AD79" s="309"/>
      <c r="AE79" s="310"/>
      <c r="AF79" s="188"/>
      <c r="AG79" s="188"/>
      <c r="AH79" s="519"/>
      <c r="AI79" s="557"/>
    </row>
    <row r="80" spans="1:35" s="37" customFormat="1" ht="24" customHeight="1">
      <c r="A80" s="36"/>
      <c r="B80" s="36"/>
      <c r="C80" s="1881"/>
      <c r="D80" s="2466"/>
      <c r="E80" s="621"/>
      <c r="F80" s="640"/>
      <c r="G80" s="641"/>
      <c r="H80" s="1882"/>
      <c r="I80" s="1883" t="str">
        <f t="shared" si="4"/>
        <v/>
      </c>
      <c r="J80" s="1983"/>
      <c r="K80" s="1984"/>
      <c r="L80" s="2356"/>
      <c r="M80" s="602"/>
      <c r="N80" s="603"/>
      <c r="O80" s="597"/>
      <c r="P80" s="187"/>
      <c r="Q80" s="188"/>
      <c r="R80" s="188"/>
      <c r="S80" s="188"/>
      <c r="T80" s="188"/>
      <c r="U80" s="188"/>
      <c r="V80" s="188"/>
      <c r="W80" s="188"/>
      <c r="X80" s="189"/>
      <c r="Y80" s="189"/>
      <c r="Z80" s="189"/>
      <c r="AA80" s="189"/>
      <c r="AB80" s="189"/>
      <c r="AC80" s="188"/>
      <c r="AD80" s="309"/>
      <c r="AE80" s="310"/>
      <c r="AF80" s="188"/>
      <c r="AG80" s="188"/>
      <c r="AH80" s="519"/>
      <c r="AI80" s="557"/>
    </row>
    <row r="81" spans="1:35" s="37" customFormat="1" ht="24" customHeight="1">
      <c r="A81" s="36"/>
      <c r="B81" s="36"/>
      <c r="C81" s="1881"/>
      <c r="D81" s="2466"/>
      <c r="E81" s="621"/>
      <c r="F81" s="640"/>
      <c r="G81" s="641"/>
      <c r="H81" s="1882"/>
      <c r="I81" s="1883" t="str">
        <f t="shared" si="4"/>
        <v/>
      </c>
      <c r="J81" s="1983"/>
      <c r="K81" s="1984"/>
      <c r="L81" s="2356"/>
      <c r="M81" s="602"/>
      <c r="N81" s="603"/>
      <c r="O81" s="597"/>
      <c r="P81" s="187"/>
      <c r="Q81" s="188"/>
      <c r="R81" s="188"/>
      <c r="S81" s="188"/>
      <c r="T81" s="188"/>
      <c r="U81" s="188"/>
      <c r="V81" s="188"/>
      <c r="W81" s="188"/>
      <c r="X81" s="189"/>
      <c r="Y81" s="189"/>
      <c r="Z81" s="189"/>
      <c r="AA81" s="189"/>
      <c r="AB81" s="189"/>
      <c r="AC81" s="188"/>
      <c r="AD81" s="309"/>
      <c r="AE81" s="310"/>
      <c r="AF81" s="188"/>
      <c r="AG81" s="188"/>
      <c r="AH81" s="519"/>
      <c r="AI81" s="557"/>
    </row>
    <row r="82" spans="1:35" s="37" customFormat="1" ht="24" customHeight="1">
      <c r="A82" s="36"/>
      <c r="B82" s="36"/>
      <c r="C82" s="1881"/>
      <c r="D82" s="2466"/>
      <c r="E82" s="621"/>
      <c r="F82" s="640"/>
      <c r="G82" s="641"/>
      <c r="H82" s="1882"/>
      <c r="I82" s="1883" t="str">
        <f t="shared" si="3"/>
        <v/>
      </c>
      <c r="J82" s="1983"/>
      <c r="K82" s="1984"/>
      <c r="L82" s="2356"/>
      <c r="M82" s="602"/>
      <c r="N82" s="603"/>
      <c r="O82" s="597"/>
      <c r="P82" s="187"/>
      <c r="Q82" s="188"/>
      <c r="R82" s="188"/>
      <c r="S82" s="188"/>
      <c r="T82" s="188"/>
      <c r="U82" s="188"/>
      <c r="V82" s="188"/>
      <c r="W82" s="188"/>
      <c r="X82" s="189"/>
      <c r="Y82" s="189"/>
      <c r="Z82" s="189"/>
      <c r="AA82" s="189"/>
      <c r="AB82" s="189"/>
      <c r="AC82" s="188"/>
      <c r="AD82" s="309"/>
      <c r="AE82" s="310"/>
      <c r="AF82" s="188"/>
      <c r="AG82" s="188"/>
      <c r="AH82" s="519"/>
      <c r="AI82" s="557"/>
    </row>
    <row r="83" spans="1:35" s="37" customFormat="1" ht="24" customHeight="1">
      <c r="A83" s="36"/>
      <c r="B83" s="36"/>
      <c r="C83" s="1881"/>
      <c r="D83" s="2466"/>
      <c r="E83" s="621"/>
      <c r="F83" s="640"/>
      <c r="G83" s="641"/>
      <c r="H83" s="1882"/>
      <c r="I83" s="1883" t="str">
        <f t="shared" si="3"/>
        <v/>
      </c>
      <c r="J83" s="1983"/>
      <c r="K83" s="1984"/>
      <c r="L83" s="2356"/>
      <c r="M83" s="602"/>
      <c r="N83" s="603"/>
      <c r="O83" s="597"/>
      <c r="P83" s="187"/>
      <c r="Q83" s="188"/>
      <c r="R83" s="188"/>
      <c r="S83" s="188"/>
      <c r="T83" s="188"/>
      <c r="U83" s="188"/>
      <c r="V83" s="188"/>
      <c r="W83" s="188"/>
      <c r="X83" s="189"/>
      <c r="Y83" s="189"/>
      <c r="Z83" s="189"/>
      <c r="AA83" s="189"/>
      <c r="AB83" s="189"/>
      <c r="AC83" s="188"/>
      <c r="AD83" s="309"/>
      <c r="AE83" s="310"/>
      <c r="AF83" s="188"/>
      <c r="AG83" s="188"/>
      <c r="AH83" s="519"/>
      <c r="AI83" s="557"/>
    </row>
    <row r="84" spans="1:35" s="37" customFormat="1" ht="24" customHeight="1">
      <c r="A84" s="36"/>
      <c r="B84" s="36"/>
      <c r="C84" s="1881"/>
      <c r="D84" s="2466"/>
      <c r="E84" s="621"/>
      <c r="F84" s="640"/>
      <c r="G84" s="641"/>
      <c r="H84" s="1882"/>
      <c r="I84" s="1883" t="str">
        <f t="shared" si="3"/>
        <v/>
      </c>
      <c r="J84" s="1983"/>
      <c r="K84" s="1984"/>
      <c r="L84" s="2356"/>
      <c r="M84" s="602"/>
      <c r="N84" s="603"/>
      <c r="O84" s="597"/>
      <c r="P84" s="187"/>
      <c r="Q84" s="188"/>
      <c r="R84" s="188"/>
      <c r="S84" s="188"/>
      <c r="T84" s="188"/>
      <c r="U84" s="188"/>
      <c r="V84" s="188"/>
      <c r="W84" s="188"/>
      <c r="X84" s="189"/>
      <c r="Y84" s="189"/>
      <c r="Z84" s="189"/>
      <c r="AA84" s="189"/>
      <c r="AB84" s="189"/>
      <c r="AC84" s="188"/>
      <c r="AD84" s="309"/>
      <c r="AE84" s="310"/>
      <c r="AF84" s="188"/>
      <c r="AG84" s="188"/>
      <c r="AH84" s="519"/>
      <c r="AI84" s="557"/>
    </row>
    <row r="85" spans="1:35" s="37" customFormat="1" ht="24" customHeight="1">
      <c r="A85" s="36"/>
      <c r="B85" s="36"/>
      <c r="C85" s="1881"/>
      <c r="D85" s="2466"/>
      <c r="E85" s="621"/>
      <c r="F85" s="640"/>
      <c r="G85" s="641"/>
      <c r="H85" s="1882"/>
      <c r="I85" s="1883" t="str">
        <f t="shared" si="3"/>
        <v/>
      </c>
      <c r="J85" s="1983"/>
      <c r="K85" s="1984"/>
      <c r="L85" s="2356"/>
      <c r="M85" s="602"/>
      <c r="N85" s="603"/>
      <c r="O85" s="597"/>
      <c r="P85" s="187"/>
      <c r="Q85" s="188"/>
      <c r="R85" s="188"/>
      <c r="S85" s="188"/>
      <c r="T85" s="188"/>
      <c r="U85" s="188"/>
      <c r="V85" s="188"/>
      <c r="W85" s="188"/>
      <c r="X85" s="189"/>
      <c r="Y85" s="189"/>
      <c r="Z85" s="189"/>
      <c r="AA85" s="189"/>
      <c r="AB85" s="189"/>
      <c r="AC85" s="188"/>
      <c r="AD85" s="309"/>
      <c r="AE85" s="310"/>
      <c r="AF85" s="188"/>
      <c r="AG85" s="188"/>
      <c r="AH85" s="519"/>
      <c r="AI85" s="557"/>
    </row>
    <row r="86" spans="1:35" s="37" customFormat="1" ht="24" customHeight="1">
      <c r="A86" s="36"/>
      <c r="B86" s="36"/>
      <c r="C86" s="1881"/>
      <c r="D86" s="2466"/>
      <c r="E86" s="621"/>
      <c r="F86" s="640"/>
      <c r="G86" s="641"/>
      <c r="H86" s="1882"/>
      <c r="I86" s="1883" t="str">
        <f t="shared" si="3"/>
        <v/>
      </c>
      <c r="J86" s="1983"/>
      <c r="K86" s="1984"/>
      <c r="L86" s="2356"/>
      <c r="M86" s="602"/>
      <c r="N86" s="603"/>
      <c r="O86" s="597"/>
      <c r="P86" s="187"/>
      <c r="Q86" s="188"/>
      <c r="R86" s="188"/>
      <c r="S86" s="188"/>
      <c r="T86" s="188"/>
      <c r="U86" s="188"/>
      <c r="V86" s="188"/>
      <c r="W86" s="188"/>
      <c r="X86" s="189"/>
      <c r="Y86" s="189"/>
      <c r="Z86" s="189"/>
      <c r="AA86" s="189"/>
      <c r="AB86" s="189"/>
      <c r="AC86" s="188"/>
      <c r="AD86" s="309"/>
      <c r="AE86" s="310"/>
      <c r="AF86" s="188"/>
      <c r="AG86" s="188"/>
      <c r="AH86" s="519"/>
      <c r="AI86" s="557"/>
    </row>
    <row r="87" spans="1:35" s="37" customFormat="1" ht="24" customHeight="1">
      <c r="A87" s="36"/>
      <c r="B87" s="36"/>
      <c r="C87" s="1881"/>
      <c r="D87" s="2466"/>
      <c r="E87" s="621"/>
      <c r="F87" s="640"/>
      <c r="G87" s="641"/>
      <c r="H87" s="1882"/>
      <c r="I87" s="1883" t="str">
        <f t="shared" si="3"/>
        <v/>
      </c>
      <c r="J87" s="1983"/>
      <c r="K87" s="1984"/>
      <c r="L87" s="2356"/>
      <c r="M87" s="602"/>
      <c r="N87" s="603"/>
      <c r="O87" s="597"/>
      <c r="P87" s="187"/>
      <c r="Q87" s="188"/>
      <c r="R87" s="188"/>
      <c r="S87" s="188"/>
      <c r="T87" s="188"/>
      <c r="U87" s="188"/>
      <c r="V87" s="188"/>
      <c r="W87" s="188"/>
      <c r="X87" s="189"/>
      <c r="Y87" s="189"/>
      <c r="Z87" s="189"/>
      <c r="AA87" s="189"/>
      <c r="AB87" s="189"/>
      <c r="AC87" s="188"/>
      <c r="AD87" s="309"/>
      <c r="AE87" s="310"/>
      <c r="AF87" s="188"/>
      <c r="AG87" s="188"/>
      <c r="AH87" s="519"/>
      <c r="AI87" s="557"/>
    </row>
    <row r="88" spans="1:35" s="37" customFormat="1" ht="24" customHeight="1">
      <c r="A88" s="36"/>
      <c r="B88" s="36"/>
      <c r="C88" s="1881"/>
      <c r="D88" s="2466"/>
      <c r="E88" s="621"/>
      <c r="F88" s="640"/>
      <c r="G88" s="641"/>
      <c r="H88" s="1882"/>
      <c r="I88" s="1883" t="str">
        <f t="shared" si="3"/>
        <v/>
      </c>
      <c r="J88" s="1983"/>
      <c r="K88" s="1984"/>
      <c r="L88" s="2356"/>
      <c r="M88" s="602"/>
      <c r="N88" s="603"/>
      <c r="O88" s="597"/>
      <c r="P88" s="187"/>
      <c r="Q88" s="188"/>
      <c r="R88" s="188"/>
      <c r="S88" s="188"/>
      <c r="T88" s="188"/>
      <c r="U88" s="188"/>
      <c r="V88" s="188"/>
      <c r="W88" s="188"/>
      <c r="X88" s="189"/>
      <c r="Y88" s="189"/>
      <c r="Z88" s="189"/>
      <c r="AA88" s="189"/>
      <c r="AB88" s="189"/>
      <c r="AC88" s="188"/>
      <c r="AD88" s="309"/>
      <c r="AE88" s="310"/>
      <c r="AF88" s="188"/>
      <c r="AG88" s="188"/>
      <c r="AH88" s="519"/>
      <c r="AI88" s="557"/>
    </row>
    <row r="89" spans="1:35" s="37" customFormat="1" ht="24" customHeight="1">
      <c r="A89" s="36"/>
      <c r="B89" s="36"/>
      <c r="C89" s="1881"/>
      <c r="D89" s="2466"/>
      <c r="E89" s="621"/>
      <c r="F89" s="640"/>
      <c r="G89" s="641"/>
      <c r="H89" s="1882"/>
      <c r="I89" s="1883" t="str">
        <f t="shared" si="3"/>
        <v/>
      </c>
      <c r="J89" s="1983"/>
      <c r="K89" s="1984"/>
      <c r="L89" s="2356"/>
      <c r="M89" s="602"/>
      <c r="N89" s="603"/>
      <c r="O89" s="597"/>
      <c r="P89" s="187"/>
      <c r="Q89" s="188"/>
      <c r="R89" s="188"/>
      <c r="S89" s="188"/>
      <c r="T89" s="188"/>
      <c r="U89" s="188"/>
      <c r="V89" s="188"/>
      <c r="W89" s="188"/>
      <c r="X89" s="189"/>
      <c r="Y89" s="189"/>
      <c r="Z89" s="189"/>
      <c r="AA89" s="189"/>
      <c r="AB89" s="189"/>
      <c r="AC89" s="188"/>
      <c r="AD89" s="309"/>
      <c r="AE89" s="310"/>
      <c r="AF89" s="188"/>
      <c r="AG89" s="188"/>
      <c r="AH89" s="519"/>
      <c r="AI89" s="557"/>
    </row>
    <row r="90" spans="1:35" s="37" customFormat="1" ht="24" customHeight="1">
      <c r="A90" s="36"/>
      <c r="B90" s="36"/>
      <c r="C90" s="1881"/>
      <c r="D90" s="2466"/>
      <c r="E90" s="621"/>
      <c r="F90" s="640"/>
      <c r="G90" s="641"/>
      <c r="H90" s="1882"/>
      <c r="I90" s="1883" t="str">
        <f t="shared" si="3"/>
        <v/>
      </c>
      <c r="J90" s="1983"/>
      <c r="K90" s="1984"/>
      <c r="L90" s="2356"/>
      <c r="M90" s="602"/>
      <c r="N90" s="603"/>
      <c r="O90" s="597"/>
      <c r="P90" s="187"/>
      <c r="Q90" s="188"/>
      <c r="R90" s="188"/>
      <c r="S90" s="188"/>
      <c r="T90" s="188"/>
      <c r="U90" s="188"/>
      <c r="V90" s="188"/>
      <c r="W90" s="188"/>
      <c r="X90" s="189"/>
      <c r="Y90" s="189"/>
      <c r="Z90" s="189"/>
      <c r="AA90" s="189"/>
      <c r="AB90" s="189"/>
      <c r="AC90" s="188"/>
      <c r="AD90" s="309"/>
      <c r="AE90" s="310"/>
      <c r="AF90" s="188"/>
      <c r="AG90" s="188"/>
      <c r="AH90" s="519"/>
      <c r="AI90" s="557"/>
    </row>
    <row r="91" spans="1:35" s="37" customFormat="1" ht="24" customHeight="1">
      <c r="A91" s="36"/>
      <c r="B91" s="36"/>
      <c r="C91" s="1881"/>
      <c r="D91" s="2466"/>
      <c r="E91" s="621"/>
      <c r="F91" s="640"/>
      <c r="G91" s="641"/>
      <c r="H91" s="1882"/>
      <c r="I91" s="1883" t="str">
        <f t="shared" si="3"/>
        <v/>
      </c>
      <c r="J91" s="1983"/>
      <c r="K91" s="1984"/>
      <c r="L91" s="2356"/>
      <c r="M91" s="602"/>
      <c r="N91" s="603"/>
      <c r="O91" s="597"/>
      <c r="P91" s="187"/>
      <c r="Q91" s="188"/>
      <c r="R91" s="188"/>
      <c r="S91" s="188"/>
      <c r="T91" s="188"/>
      <c r="U91" s="188"/>
      <c r="V91" s="188"/>
      <c r="W91" s="188"/>
      <c r="X91" s="189"/>
      <c r="Y91" s="189"/>
      <c r="Z91" s="189"/>
      <c r="AA91" s="189"/>
      <c r="AB91" s="189"/>
      <c r="AC91" s="188"/>
      <c r="AD91" s="309"/>
      <c r="AE91" s="310"/>
      <c r="AF91" s="188"/>
      <c r="AG91" s="188"/>
      <c r="AH91" s="519"/>
      <c r="AI91" s="557"/>
    </row>
    <row r="92" spans="1:35" s="37" customFormat="1" ht="24" customHeight="1">
      <c r="A92" s="36"/>
      <c r="B92" s="36"/>
      <c r="C92" s="1881"/>
      <c r="D92" s="2466"/>
      <c r="E92" s="621"/>
      <c r="F92" s="640"/>
      <c r="G92" s="641"/>
      <c r="H92" s="1882"/>
      <c r="I92" s="1883" t="str">
        <f t="shared" si="3"/>
        <v/>
      </c>
      <c r="J92" s="1983"/>
      <c r="K92" s="1984"/>
      <c r="L92" s="2356"/>
      <c r="M92" s="602"/>
      <c r="N92" s="603"/>
      <c r="O92" s="597"/>
      <c r="P92" s="187"/>
      <c r="Q92" s="188"/>
      <c r="R92" s="188"/>
      <c r="S92" s="188"/>
      <c r="T92" s="188"/>
      <c r="U92" s="188"/>
      <c r="V92" s="188"/>
      <c r="W92" s="188"/>
      <c r="X92" s="189"/>
      <c r="Y92" s="189"/>
      <c r="Z92" s="189"/>
      <c r="AA92" s="189"/>
      <c r="AB92" s="189"/>
      <c r="AC92" s="188"/>
      <c r="AD92" s="309"/>
      <c r="AE92" s="310"/>
      <c r="AF92" s="188"/>
      <c r="AG92" s="188"/>
      <c r="AH92" s="519"/>
      <c r="AI92" s="557"/>
    </row>
    <row r="93" spans="1:35" ht="24" customHeight="1" thickBot="1">
      <c r="A93" s="36"/>
      <c r="B93" s="36"/>
      <c r="C93" s="2070"/>
      <c r="D93" s="2075" t="s">
        <v>4144</v>
      </c>
      <c r="E93" s="2071"/>
      <c r="F93" s="2072"/>
      <c r="G93" s="2453"/>
      <c r="H93" s="2465" t="s">
        <v>4131</v>
      </c>
      <c r="I93" s="2074">
        <f>SUM(I75:I92)</f>
        <v>63957690</v>
      </c>
      <c r="J93" s="2467" t="str">
        <f>IF(C74="部分撤去工事","）うち費用",")")</f>
        <v>)</v>
      </c>
      <c r="K93" s="2468">
        <f>IF(C74="部分撤去工事",(K70+L93),0)</f>
        <v>0</v>
      </c>
      <c r="L93" s="2469">
        <f>IF(C74="部分撤去工事",SUMIF(N75:N92,"費用",I75:I92),0)</f>
        <v>0</v>
      </c>
      <c r="M93" s="2470"/>
      <c r="N93" s="2471"/>
      <c r="O93" s="597"/>
      <c r="P93" s="187"/>
      <c r="Q93" s="188"/>
      <c r="R93" s="188"/>
      <c r="S93" s="188"/>
      <c r="T93" s="188"/>
      <c r="U93" s="188"/>
      <c r="V93" s="188"/>
      <c r="W93" s="188"/>
      <c r="X93" s="189"/>
      <c r="Y93" s="189"/>
      <c r="Z93" s="189"/>
      <c r="AA93" s="189"/>
      <c r="AB93" s="189"/>
      <c r="AC93" s="188"/>
      <c r="AD93" s="309"/>
      <c r="AE93" s="310"/>
      <c r="AF93" s="188"/>
      <c r="AG93" s="188"/>
      <c r="AH93" s="188"/>
      <c r="AI93" s="557"/>
    </row>
    <row r="94" spans="1:35" ht="14.25" customHeight="1">
      <c r="E94" s="101" t="s">
        <v>130</v>
      </c>
      <c r="F94" s="102">
        <f>+F71+1</f>
        <v>67</v>
      </c>
      <c r="G94" s="103" t="s">
        <v>131</v>
      </c>
      <c r="H94" s="104">
        <f>+H71</f>
        <v>69</v>
      </c>
      <c r="I94" s="104"/>
      <c r="M94" s="598" t="str">
        <f>IF(A96="","EOL","")</f>
        <v/>
      </c>
      <c r="N94" s="1">
        <f>+F94</f>
        <v>67</v>
      </c>
      <c r="Q94" s="37"/>
      <c r="R94" s="37"/>
      <c r="S94" s="37"/>
      <c r="T94" s="37"/>
      <c r="U94" s="37"/>
      <c r="V94" s="37"/>
      <c r="W94" s="37"/>
      <c r="X94" s="37"/>
      <c r="Y94" s="37"/>
      <c r="Z94" s="37"/>
    </row>
    <row r="95" spans="1:35" ht="26.1" customHeight="1" thickBot="1">
      <c r="C95" s="2517" t="s">
        <v>107</v>
      </c>
      <c r="D95" s="2517"/>
      <c r="E95" s="2517"/>
      <c r="F95" s="2517"/>
      <c r="G95" s="2517"/>
      <c r="H95" s="2517"/>
      <c r="I95" s="2517"/>
      <c r="J95" s="2517"/>
      <c r="K95" s="2517"/>
      <c r="L95" s="2517"/>
      <c r="N95" s="1"/>
      <c r="O95" s="2730" t="s">
        <v>4098</v>
      </c>
      <c r="P95" s="2730"/>
      <c r="Q95" s="2730"/>
      <c r="R95" s="2730"/>
      <c r="S95" s="2730"/>
      <c r="T95" s="2730"/>
      <c r="U95" s="2730"/>
      <c r="V95" s="2730"/>
      <c r="W95" s="2730"/>
      <c r="X95" s="2730"/>
      <c r="Y95" s="2730"/>
      <c r="Z95" s="2730"/>
      <c r="AA95" s="2730"/>
      <c r="AB95" s="2730"/>
      <c r="AC95" s="2730"/>
      <c r="AD95" s="2730"/>
      <c r="AE95" s="2730"/>
      <c r="AF95" s="2730"/>
      <c r="AG95" s="2730"/>
      <c r="AH95" s="2731"/>
      <c r="AI95" s="555"/>
    </row>
    <row r="96" spans="1:35" ht="41.25" customHeight="1">
      <c r="A96" s="5" t="s">
        <v>108</v>
      </c>
      <c r="B96" s="5" t="s">
        <v>4145</v>
      </c>
      <c r="C96" s="99" t="s">
        <v>110</v>
      </c>
      <c r="D96" s="95"/>
      <c r="E96" s="96" t="s">
        <v>111</v>
      </c>
      <c r="F96" s="97" t="s">
        <v>112</v>
      </c>
      <c r="G96" s="97" t="s">
        <v>113</v>
      </c>
      <c r="H96" s="98" t="s">
        <v>114</v>
      </c>
      <c r="I96" s="98" t="s">
        <v>115</v>
      </c>
      <c r="J96" s="2552" t="s">
        <v>116</v>
      </c>
      <c r="K96" s="2553"/>
      <c r="L96" s="2554"/>
      <c r="M96" s="599"/>
      <c r="N96" s="604" t="s">
        <v>4154</v>
      </c>
      <c r="O96" s="596" t="s">
        <v>4099</v>
      </c>
      <c r="P96" s="303" t="s">
        <v>4100</v>
      </c>
      <c r="Q96" s="241" t="s">
        <v>4101</v>
      </c>
      <c r="R96" s="241" t="s">
        <v>4102</v>
      </c>
      <c r="S96" s="241" t="s">
        <v>4103</v>
      </c>
      <c r="T96" s="241" t="s">
        <v>4104</v>
      </c>
      <c r="U96" s="241" t="s">
        <v>4105</v>
      </c>
      <c r="V96" s="125" t="s">
        <v>4106</v>
      </c>
      <c r="W96" s="241" t="s">
        <v>4107</v>
      </c>
      <c r="X96" s="180" t="s">
        <v>4108</v>
      </c>
      <c r="Y96" s="180" t="s">
        <v>4109</v>
      </c>
      <c r="Z96" s="180" t="s">
        <v>4110</v>
      </c>
      <c r="AA96" s="180" t="s">
        <v>4111</v>
      </c>
      <c r="AB96" s="180" t="s">
        <v>4112</v>
      </c>
      <c r="AC96" s="306" t="s">
        <v>4113</v>
      </c>
      <c r="AD96" s="307" t="s">
        <v>4114</v>
      </c>
      <c r="AE96" s="308" t="s">
        <v>4115</v>
      </c>
      <c r="AF96" s="124" t="s">
        <v>4116</v>
      </c>
      <c r="AG96" s="124" t="s">
        <v>4117</v>
      </c>
      <c r="AH96" s="124" t="s">
        <v>4118</v>
      </c>
      <c r="AI96" s="556"/>
    </row>
    <row r="97" spans="1:35" ht="24" customHeight="1">
      <c r="A97" s="36"/>
      <c r="B97" s="36"/>
      <c r="C97" s="2370" t="s">
        <v>4125</v>
      </c>
      <c r="D97" s="2385"/>
      <c r="E97" s="623"/>
      <c r="F97" s="1889"/>
      <c r="G97" s="1890"/>
      <c r="H97" s="2386" t="s">
        <v>117</v>
      </c>
      <c r="I97" s="2386" t="s">
        <v>117</v>
      </c>
      <c r="J97" s="2759"/>
      <c r="K97" s="2788"/>
      <c r="L97" s="2734"/>
      <c r="M97" s="600"/>
      <c r="N97" s="601"/>
      <c r="O97" s="597"/>
      <c r="P97" s="187"/>
      <c r="Q97" s="188"/>
      <c r="R97" s="188"/>
      <c r="S97" s="188"/>
      <c r="T97" s="188"/>
      <c r="U97" s="188"/>
      <c r="V97" s="188"/>
      <c r="W97" s="188"/>
      <c r="X97" s="189"/>
      <c r="Y97" s="189"/>
      <c r="Z97" s="189"/>
      <c r="AA97" s="189"/>
      <c r="AB97" s="189"/>
      <c r="AC97" s="188"/>
      <c r="AD97" s="309"/>
      <c r="AE97" s="310"/>
      <c r="AF97" s="188"/>
      <c r="AG97" s="188"/>
      <c r="AH97" s="188"/>
      <c r="AI97" s="557"/>
    </row>
    <row r="98" spans="1:35" s="37" customFormat="1" ht="24" customHeight="1">
      <c r="A98" s="36"/>
      <c r="B98" s="36"/>
      <c r="C98" s="1881"/>
      <c r="D98" s="2466"/>
      <c r="E98" s="621"/>
      <c r="F98" s="640"/>
      <c r="G98" s="641"/>
      <c r="H98" s="1882"/>
      <c r="I98" s="1883" t="str">
        <f t="shared" ref="I98:I115" si="5">IF(F98="","",INT(F98*H98))</f>
        <v/>
      </c>
      <c r="J98" s="1983"/>
      <c r="K98" s="1984"/>
      <c r="L98" s="2356"/>
      <c r="M98" s="602"/>
      <c r="N98" s="603"/>
      <c r="O98" s="597"/>
      <c r="P98" s="187"/>
      <c r="Q98" s="188"/>
      <c r="R98" s="188"/>
      <c r="S98" s="188"/>
      <c r="T98" s="188"/>
      <c r="U98" s="188"/>
      <c r="V98" s="188"/>
      <c r="W98" s="188"/>
      <c r="X98" s="189"/>
      <c r="Y98" s="189"/>
      <c r="Z98" s="189"/>
      <c r="AA98" s="189"/>
      <c r="AB98" s="189"/>
      <c r="AC98" s="188"/>
      <c r="AD98" s="309"/>
      <c r="AE98" s="310"/>
      <c r="AF98" s="188"/>
      <c r="AG98" s="188"/>
      <c r="AH98" s="519"/>
      <c r="AI98" s="557"/>
    </row>
    <row r="99" spans="1:35" s="37" customFormat="1" ht="24" customHeight="1">
      <c r="A99" s="36">
        <v>4</v>
      </c>
      <c r="B99" s="36">
        <v>4</v>
      </c>
      <c r="C99" s="1910">
        <v>815</v>
      </c>
      <c r="D99" s="1980" t="s">
        <v>4462</v>
      </c>
      <c r="E99" s="621" t="s">
        <v>4463</v>
      </c>
      <c r="F99" s="640">
        <v>1</v>
      </c>
      <c r="G99" s="641" t="s">
        <v>4174</v>
      </c>
      <c r="H99" s="1882">
        <f>見積比較!O$242</f>
        <v>78000</v>
      </c>
      <c r="I99" s="1883">
        <f>IF(F99="","",INT(F99*H99))</f>
        <v>78000</v>
      </c>
      <c r="J99" s="1983" t="s">
        <v>4206</v>
      </c>
      <c r="K99" s="1984"/>
      <c r="L99" s="2356"/>
      <c r="M99" s="1917" t="s">
        <v>4207</v>
      </c>
      <c r="N99" s="603" t="s">
        <v>4208</v>
      </c>
      <c r="O99" s="597">
        <v>0</v>
      </c>
      <c r="P99" s="187"/>
      <c r="Q99" s="188"/>
      <c r="R99" s="188"/>
      <c r="S99" s="188"/>
      <c r="T99" s="188"/>
      <c r="U99" s="188"/>
      <c r="V99" s="188"/>
      <c r="W99" s="188"/>
      <c r="X99" s="189"/>
      <c r="Y99" s="189"/>
      <c r="Z99" s="189"/>
      <c r="AA99" s="189"/>
      <c r="AB99" s="189"/>
      <c r="AC99" s="188"/>
      <c r="AD99" s="309"/>
      <c r="AE99" s="310"/>
      <c r="AF99" s="188"/>
      <c r="AG99" s="188"/>
      <c r="AH99" s="519"/>
      <c r="AI99" s="557"/>
    </row>
    <row r="100" spans="1:35" s="37" customFormat="1" ht="24" customHeight="1">
      <c r="A100" s="36"/>
      <c r="B100" s="36"/>
      <c r="C100" s="1910"/>
      <c r="D100" s="2466"/>
      <c r="E100" s="621"/>
      <c r="F100" s="640"/>
      <c r="G100" s="641"/>
      <c r="H100" s="1882"/>
      <c r="I100" s="1883" t="str">
        <f t="shared" ref="I100:I113" si="6">IF(F100="","",INT(F100*H100))</f>
        <v/>
      </c>
      <c r="J100" s="1983"/>
      <c r="K100" s="1984"/>
      <c r="L100" s="2356"/>
      <c r="M100" s="1917"/>
      <c r="N100" s="603"/>
      <c r="O100" s="597"/>
      <c r="P100" s="187"/>
      <c r="Q100" s="188"/>
      <c r="R100" s="188"/>
      <c r="S100" s="188"/>
      <c r="T100" s="188"/>
      <c r="U100" s="188"/>
      <c r="V100" s="188"/>
      <c r="W100" s="188"/>
      <c r="X100" s="189"/>
      <c r="Y100" s="189"/>
      <c r="Z100" s="189"/>
      <c r="AA100" s="189"/>
      <c r="AB100" s="189"/>
      <c r="AC100" s="188"/>
      <c r="AD100" s="309"/>
      <c r="AE100" s="310"/>
      <c r="AF100" s="188"/>
      <c r="AG100" s="188"/>
      <c r="AH100" s="519"/>
      <c r="AI100" s="557"/>
    </row>
    <row r="101" spans="1:35" s="37" customFormat="1" ht="24" customHeight="1">
      <c r="A101" s="36">
        <v>4</v>
      </c>
      <c r="B101" s="36">
        <v>4</v>
      </c>
      <c r="C101" s="1910">
        <v>816</v>
      </c>
      <c r="D101" s="1980" t="s">
        <v>4404</v>
      </c>
      <c r="E101" s="621" t="s">
        <v>4405</v>
      </c>
      <c r="F101" s="640">
        <v>2</v>
      </c>
      <c r="G101" s="641" t="s">
        <v>4174</v>
      </c>
      <c r="H101" s="1882">
        <f>見積比較!O$244</f>
        <v>221000</v>
      </c>
      <c r="I101" s="1883">
        <f>IF(F101="","",INT(F101*H101))</f>
        <v>442000</v>
      </c>
      <c r="J101" s="1983" t="s">
        <v>4206</v>
      </c>
      <c r="K101" s="1984"/>
      <c r="L101" s="2356"/>
      <c r="M101" s="1917" t="s">
        <v>4207</v>
      </c>
      <c r="N101" s="603" t="s">
        <v>4208</v>
      </c>
      <c r="O101" s="597">
        <v>0</v>
      </c>
      <c r="P101" s="187"/>
      <c r="Q101" s="188"/>
      <c r="R101" s="188"/>
      <c r="S101" s="188"/>
      <c r="T101" s="188"/>
      <c r="U101" s="188"/>
      <c r="V101" s="188"/>
      <c r="W101" s="188"/>
      <c r="X101" s="189"/>
      <c r="Y101" s="189"/>
      <c r="Z101" s="189"/>
      <c r="AA101" s="189"/>
      <c r="AB101" s="189"/>
      <c r="AC101" s="188"/>
      <c r="AD101" s="309"/>
      <c r="AE101" s="310"/>
      <c r="AF101" s="188"/>
      <c r="AG101" s="188"/>
      <c r="AH101" s="519"/>
      <c r="AI101" s="557"/>
    </row>
    <row r="102" spans="1:35" s="37" customFormat="1" ht="24" customHeight="1">
      <c r="A102" s="36"/>
      <c r="B102" s="36"/>
      <c r="C102" s="1910"/>
      <c r="D102" s="2466"/>
      <c r="E102" s="621"/>
      <c r="F102" s="640"/>
      <c r="G102" s="641"/>
      <c r="H102" s="1882"/>
      <c r="I102" s="1883" t="str">
        <f t="shared" si="6"/>
        <v/>
      </c>
      <c r="J102" s="1983"/>
      <c r="K102" s="1984"/>
      <c r="L102" s="2356"/>
      <c r="M102" s="1917"/>
      <c r="N102" s="603"/>
      <c r="O102" s="597"/>
      <c r="P102" s="187"/>
      <c r="Q102" s="188"/>
      <c r="R102" s="188"/>
      <c r="S102" s="188"/>
      <c r="T102" s="188"/>
      <c r="U102" s="188"/>
      <c r="V102" s="188"/>
      <c r="W102" s="188"/>
      <c r="X102" s="189"/>
      <c r="Y102" s="189"/>
      <c r="Z102" s="189"/>
      <c r="AA102" s="189"/>
      <c r="AB102" s="189"/>
      <c r="AC102" s="188"/>
      <c r="AD102" s="309"/>
      <c r="AE102" s="310"/>
      <c r="AF102" s="188"/>
      <c r="AG102" s="188"/>
      <c r="AH102" s="519"/>
      <c r="AI102" s="557"/>
    </row>
    <row r="103" spans="1:35" s="37" customFormat="1" ht="24" customHeight="1">
      <c r="A103" s="36">
        <v>4</v>
      </c>
      <c r="B103" s="36">
        <v>4</v>
      </c>
      <c r="C103" s="1910">
        <v>817</v>
      </c>
      <c r="D103" s="1980" t="s">
        <v>4404</v>
      </c>
      <c r="E103" s="621" t="s">
        <v>4464</v>
      </c>
      <c r="F103" s="640">
        <v>6</v>
      </c>
      <c r="G103" s="641" t="s">
        <v>4174</v>
      </c>
      <c r="H103" s="1882">
        <f>見積比較!O$246</f>
        <v>110500</v>
      </c>
      <c r="I103" s="1883">
        <f>IF(F103="","",INT(F103*H103))</f>
        <v>663000</v>
      </c>
      <c r="J103" s="1983" t="s">
        <v>4206</v>
      </c>
      <c r="K103" s="1984"/>
      <c r="L103" s="2356"/>
      <c r="M103" s="1917" t="s">
        <v>4207</v>
      </c>
      <c r="N103" s="603" t="s">
        <v>4208</v>
      </c>
      <c r="O103" s="597">
        <v>0</v>
      </c>
      <c r="P103" s="187"/>
      <c r="Q103" s="188"/>
      <c r="R103" s="188"/>
      <c r="S103" s="188"/>
      <c r="T103" s="188"/>
      <c r="U103" s="188"/>
      <c r="V103" s="188"/>
      <c r="W103" s="188"/>
      <c r="X103" s="189"/>
      <c r="Y103" s="189"/>
      <c r="Z103" s="189"/>
      <c r="AA103" s="189"/>
      <c r="AB103" s="189"/>
      <c r="AC103" s="188"/>
      <c r="AD103" s="309"/>
      <c r="AE103" s="310"/>
      <c r="AF103" s="188"/>
      <c r="AG103" s="188"/>
      <c r="AH103" s="519"/>
      <c r="AI103" s="557"/>
    </row>
    <row r="104" spans="1:35" s="37" customFormat="1" ht="24" customHeight="1">
      <c r="A104" s="36"/>
      <c r="B104" s="36"/>
      <c r="C104" s="1910"/>
      <c r="D104" s="2466"/>
      <c r="E104" s="621"/>
      <c r="F104" s="640"/>
      <c r="G104" s="641"/>
      <c r="H104" s="1882"/>
      <c r="I104" s="1883" t="str">
        <f t="shared" si="6"/>
        <v/>
      </c>
      <c r="J104" s="1983"/>
      <c r="K104" s="1984"/>
      <c r="L104" s="2356"/>
      <c r="M104" s="1917"/>
      <c r="N104" s="603"/>
      <c r="O104" s="597"/>
      <c r="P104" s="187"/>
      <c r="Q104" s="188"/>
      <c r="R104" s="188"/>
      <c r="S104" s="188"/>
      <c r="T104" s="188"/>
      <c r="U104" s="188"/>
      <c r="V104" s="188"/>
      <c r="W104" s="188"/>
      <c r="X104" s="189"/>
      <c r="Y104" s="189"/>
      <c r="Z104" s="189"/>
      <c r="AA104" s="189"/>
      <c r="AB104" s="189"/>
      <c r="AC104" s="188"/>
      <c r="AD104" s="309"/>
      <c r="AE104" s="310"/>
      <c r="AF104" s="188"/>
      <c r="AG104" s="188"/>
      <c r="AH104" s="519"/>
      <c r="AI104" s="557"/>
    </row>
    <row r="105" spans="1:35" s="37" customFormat="1" ht="24" customHeight="1">
      <c r="A105" s="36">
        <v>4</v>
      </c>
      <c r="B105" s="36">
        <v>4</v>
      </c>
      <c r="C105" s="1910">
        <v>818</v>
      </c>
      <c r="D105" s="1980" t="s">
        <v>4404</v>
      </c>
      <c r="E105" s="621" t="s">
        <v>4465</v>
      </c>
      <c r="F105" s="640">
        <v>4</v>
      </c>
      <c r="G105" s="641" t="s">
        <v>4174</v>
      </c>
      <c r="H105" s="1882">
        <f>見積比較!O$248</f>
        <v>100700</v>
      </c>
      <c r="I105" s="1883">
        <f>IF(F105="","",INT(F105*H105))</f>
        <v>402800</v>
      </c>
      <c r="J105" s="1983" t="s">
        <v>4206</v>
      </c>
      <c r="K105" s="1984"/>
      <c r="L105" s="2356"/>
      <c r="M105" s="1917" t="s">
        <v>4207</v>
      </c>
      <c r="N105" s="603" t="s">
        <v>4208</v>
      </c>
      <c r="O105" s="597">
        <v>0</v>
      </c>
      <c r="P105" s="187"/>
      <c r="Q105" s="188"/>
      <c r="R105" s="188"/>
      <c r="S105" s="188"/>
      <c r="T105" s="188"/>
      <c r="U105" s="188"/>
      <c r="V105" s="188"/>
      <c r="W105" s="188"/>
      <c r="X105" s="189"/>
      <c r="Y105" s="189"/>
      <c r="Z105" s="189"/>
      <c r="AA105" s="189"/>
      <c r="AB105" s="189"/>
      <c r="AC105" s="188"/>
      <c r="AD105" s="309"/>
      <c r="AE105" s="310"/>
      <c r="AF105" s="188"/>
      <c r="AG105" s="188"/>
      <c r="AH105" s="519"/>
      <c r="AI105" s="557"/>
    </row>
    <row r="106" spans="1:35" s="37" customFormat="1" ht="24" customHeight="1">
      <c r="A106" s="36"/>
      <c r="B106" s="36"/>
      <c r="C106" s="1910"/>
      <c r="D106" s="2466"/>
      <c r="E106" s="621"/>
      <c r="F106" s="640"/>
      <c r="G106" s="641"/>
      <c r="H106" s="1882"/>
      <c r="I106" s="1883" t="str">
        <f t="shared" si="6"/>
        <v/>
      </c>
      <c r="J106" s="1983"/>
      <c r="K106" s="1984"/>
      <c r="L106" s="2356"/>
      <c r="M106" s="1917"/>
      <c r="N106" s="603"/>
      <c r="O106" s="597"/>
      <c r="P106" s="187"/>
      <c r="Q106" s="188"/>
      <c r="R106" s="188"/>
      <c r="S106" s="188"/>
      <c r="T106" s="188"/>
      <c r="U106" s="188"/>
      <c r="V106" s="188"/>
      <c r="W106" s="188"/>
      <c r="X106" s="189"/>
      <c r="Y106" s="189"/>
      <c r="Z106" s="189"/>
      <c r="AA106" s="189"/>
      <c r="AB106" s="189"/>
      <c r="AC106" s="188"/>
      <c r="AD106" s="309"/>
      <c r="AE106" s="310"/>
      <c r="AF106" s="188"/>
      <c r="AG106" s="188"/>
      <c r="AH106" s="519"/>
      <c r="AI106" s="557"/>
    </row>
    <row r="107" spans="1:35" s="37" customFormat="1" ht="24" customHeight="1">
      <c r="A107" s="36">
        <v>4</v>
      </c>
      <c r="B107" s="36">
        <v>4</v>
      </c>
      <c r="C107" s="1910">
        <v>819</v>
      </c>
      <c r="D107" s="1980" t="s">
        <v>4404</v>
      </c>
      <c r="E107" s="621" t="s">
        <v>4466</v>
      </c>
      <c r="F107" s="640">
        <v>3</v>
      </c>
      <c r="G107" s="641" t="s">
        <v>4174</v>
      </c>
      <c r="H107" s="1882">
        <f>見積比較!O$250</f>
        <v>84500</v>
      </c>
      <c r="I107" s="1883">
        <f>IF(F107="","",INT(F107*H107))</f>
        <v>253500</v>
      </c>
      <c r="J107" s="1983" t="s">
        <v>4206</v>
      </c>
      <c r="K107" s="1984"/>
      <c r="L107" s="2356"/>
      <c r="M107" s="1917" t="s">
        <v>4207</v>
      </c>
      <c r="N107" s="603" t="s">
        <v>4208</v>
      </c>
      <c r="O107" s="597">
        <v>0</v>
      </c>
      <c r="P107" s="187"/>
      <c r="Q107" s="188"/>
      <c r="R107" s="188"/>
      <c r="S107" s="188"/>
      <c r="T107" s="188"/>
      <c r="U107" s="188"/>
      <c r="V107" s="188"/>
      <c r="W107" s="188"/>
      <c r="X107" s="189"/>
      <c r="Y107" s="189"/>
      <c r="Z107" s="189"/>
      <c r="AA107" s="189"/>
      <c r="AB107" s="189"/>
      <c r="AC107" s="188"/>
      <c r="AD107" s="309"/>
      <c r="AE107" s="310"/>
      <c r="AF107" s="188"/>
      <c r="AG107" s="188"/>
      <c r="AH107" s="519"/>
      <c r="AI107" s="557"/>
    </row>
    <row r="108" spans="1:35" s="37" customFormat="1" ht="24" customHeight="1">
      <c r="A108" s="36"/>
      <c r="B108" s="36"/>
      <c r="C108" s="1910"/>
      <c r="D108" s="2466"/>
      <c r="E108" s="621"/>
      <c r="F108" s="640"/>
      <c r="G108" s="641"/>
      <c r="H108" s="1882"/>
      <c r="I108" s="1883" t="str">
        <f t="shared" si="6"/>
        <v/>
      </c>
      <c r="J108" s="1983"/>
      <c r="K108" s="1984"/>
      <c r="L108" s="2356"/>
      <c r="M108" s="1917"/>
      <c r="N108" s="603"/>
      <c r="O108" s="597"/>
      <c r="P108" s="187"/>
      <c r="Q108" s="188"/>
      <c r="R108" s="188"/>
      <c r="S108" s="188"/>
      <c r="T108" s="188"/>
      <c r="U108" s="188"/>
      <c r="V108" s="188"/>
      <c r="W108" s="188"/>
      <c r="X108" s="189"/>
      <c r="Y108" s="189"/>
      <c r="Z108" s="189"/>
      <c r="AA108" s="189"/>
      <c r="AB108" s="189"/>
      <c r="AC108" s="188"/>
      <c r="AD108" s="309"/>
      <c r="AE108" s="310"/>
      <c r="AF108" s="188"/>
      <c r="AG108" s="188"/>
      <c r="AH108" s="519"/>
      <c r="AI108" s="557"/>
    </row>
    <row r="109" spans="1:35" s="37" customFormat="1" ht="24" customHeight="1">
      <c r="A109" s="36">
        <v>4</v>
      </c>
      <c r="B109" s="36">
        <v>4</v>
      </c>
      <c r="C109" s="1910">
        <v>820</v>
      </c>
      <c r="D109" s="1980" t="s">
        <v>4404</v>
      </c>
      <c r="E109" s="621" t="s">
        <v>4467</v>
      </c>
      <c r="F109" s="640">
        <v>2</v>
      </c>
      <c r="G109" s="641" t="s">
        <v>4174</v>
      </c>
      <c r="H109" s="1882">
        <f>見積比較!O$257</f>
        <v>81200</v>
      </c>
      <c r="I109" s="1883">
        <f>IF(F109="","",INT(F109*H109))</f>
        <v>162400</v>
      </c>
      <c r="J109" s="1983" t="s">
        <v>4206</v>
      </c>
      <c r="K109" s="1984"/>
      <c r="L109" s="2356"/>
      <c r="M109" s="1917" t="s">
        <v>4207</v>
      </c>
      <c r="N109" s="603" t="s">
        <v>4208</v>
      </c>
      <c r="O109" s="597">
        <v>0</v>
      </c>
      <c r="P109" s="187"/>
      <c r="Q109" s="188"/>
      <c r="R109" s="188"/>
      <c r="S109" s="188"/>
      <c r="T109" s="188"/>
      <c r="U109" s="188"/>
      <c r="V109" s="188"/>
      <c r="W109" s="188"/>
      <c r="X109" s="189"/>
      <c r="Y109" s="189"/>
      <c r="Z109" s="189"/>
      <c r="AA109" s="189"/>
      <c r="AB109" s="189"/>
      <c r="AC109" s="188"/>
      <c r="AD109" s="309"/>
      <c r="AE109" s="310"/>
      <c r="AF109" s="188"/>
      <c r="AG109" s="188"/>
      <c r="AH109" s="519"/>
      <c r="AI109" s="557"/>
    </row>
    <row r="110" spans="1:35" s="37" customFormat="1" ht="24" customHeight="1">
      <c r="A110" s="36"/>
      <c r="B110" s="36"/>
      <c r="C110" s="1881"/>
      <c r="D110" s="2466"/>
      <c r="E110" s="621"/>
      <c r="F110" s="640"/>
      <c r="G110" s="641"/>
      <c r="H110" s="1882"/>
      <c r="I110" s="1883" t="str">
        <f t="shared" si="6"/>
        <v/>
      </c>
      <c r="J110" s="1983"/>
      <c r="K110" s="1984"/>
      <c r="L110" s="2356"/>
      <c r="M110" s="602"/>
      <c r="N110" s="603"/>
      <c r="O110" s="597"/>
      <c r="P110" s="187"/>
      <c r="Q110" s="188"/>
      <c r="R110" s="188"/>
      <c r="S110" s="188"/>
      <c r="T110" s="188"/>
      <c r="U110" s="188"/>
      <c r="V110" s="188"/>
      <c r="W110" s="188"/>
      <c r="X110" s="189"/>
      <c r="Y110" s="189"/>
      <c r="Z110" s="189"/>
      <c r="AA110" s="189"/>
      <c r="AB110" s="189"/>
      <c r="AC110" s="188"/>
      <c r="AD110" s="309"/>
      <c r="AE110" s="310"/>
      <c r="AF110" s="188"/>
      <c r="AG110" s="188"/>
      <c r="AH110" s="519"/>
      <c r="AI110" s="557"/>
    </row>
    <row r="111" spans="1:35" s="37" customFormat="1" ht="24" customHeight="1">
      <c r="A111" s="36"/>
      <c r="B111" s="36"/>
      <c r="C111" s="1881"/>
      <c r="D111" s="2466"/>
      <c r="E111" s="621"/>
      <c r="F111" s="640"/>
      <c r="G111" s="641"/>
      <c r="H111" s="1882"/>
      <c r="I111" s="1883" t="str">
        <f t="shared" si="6"/>
        <v/>
      </c>
      <c r="J111" s="1983"/>
      <c r="K111" s="1984"/>
      <c r="L111" s="2356"/>
      <c r="M111" s="602"/>
      <c r="N111" s="603"/>
      <c r="O111" s="597"/>
      <c r="P111" s="187"/>
      <c r="Q111" s="188"/>
      <c r="R111" s="188"/>
      <c r="S111" s="188"/>
      <c r="T111" s="188"/>
      <c r="U111" s="188"/>
      <c r="V111" s="188"/>
      <c r="W111" s="188"/>
      <c r="X111" s="189"/>
      <c r="Y111" s="189"/>
      <c r="Z111" s="189"/>
      <c r="AA111" s="189"/>
      <c r="AB111" s="189"/>
      <c r="AC111" s="188"/>
      <c r="AD111" s="309"/>
      <c r="AE111" s="310"/>
      <c r="AF111" s="188"/>
      <c r="AG111" s="188"/>
      <c r="AH111" s="519"/>
      <c r="AI111" s="557"/>
    </row>
    <row r="112" spans="1:35" s="37" customFormat="1" ht="24" customHeight="1">
      <c r="A112" s="36"/>
      <c r="B112" s="36"/>
      <c r="C112" s="1881"/>
      <c r="D112" s="2466"/>
      <c r="E112" s="621"/>
      <c r="F112" s="640"/>
      <c r="G112" s="641"/>
      <c r="H112" s="1882"/>
      <c r="I112" s="1883" t="str">
        <f t="shared" si="6"/>
        <v/>
      </c>
      <c r="J112" s="1983"/>
      <c r="K112" s="1984"/>
      <c r="L112" s="2356"/>
      <c r="M112" s="602"/>
      <c r="N112" s="603"/>
      <c r="O112" s="597"/>
      <c r="P112" s="187"/>
      <c r="Q112" s="188"/>
      <c r="R112" s="188"/>
      <c r="S112" s="188"/>
      <c r="T112" s="188"/>
      <c r="U112" s="188"/>
      <c r="V112" s="188"/>
      <c r="W112" s="188"/>
      <c r="X112" s="189"/>
      <c r="Y112" s="189"/>
      <c r="Z112" s="189"/>
      <c r="AA112" s="189"/>
      <c r="AB112" s="189"/>
      <c r="AC112" s="188"/>
      <c r="AD112" s="309"/>
      <c r="AE112" s="310"/>
      <c r="AF112" s="188"/>
      <c r="AG112" s="188"/>
      <c r="AH112" s="519"/>
      <c r="AI112" s="557"/>
    </row>
    <row r="113" spans="1:35" s="37" customFormat="1" ht="24" customHeight="1">
      <c r="A113" s="36"/>
      <c r="B113" s="36"/>
      <c r="C113" s="1881"/>
      <c r="D113" s="2466"/>
      <c r="E113" s="621"/>
      <c r="F113" s="640"/>
      <c r="G113" s="641"/>
      <c r="H113" s="1882"/>
      <c r="I113" s="1883" t="str">
        <f t="shared" si="6"/>
        <v/>
      </c>
      <c r="J113" s="1983"/>
      <c r="K113" s="1984"/>
      <c r="L113" s="2356"/>
      <c r="M113" s="602"/>
      <c r="N113" s="603"/>
      <c r="O113" s="597"/>
      <c r="P113" s="187"/>
      <c r="Q113" s="188"/>
      <c r="R113" s="188"/>
      <c r="S113" s="188"/>
      <c r="T113" s="188"/>
      <c r="U113" s="188"/>
      <c r="V113" s="188"/>
      <c r="W113" s="188"/>
      <c r="X113" s="189"/>
      <c r="Y113" s="189"/>
      <c r="Z113" s="189"/>
      <c r="AA113" s="189"/>
      <c r="AB113" s="189"/>
      <c r="AC113" s="188"/>
      <c r="AD113" s="309"/>
      <c r="AE113" s="310"/>
      <c r="AF113" s="188"/>
      <c r="AG113" s="188"/>
      <c r="AH113" s="519"/>
      <c r="AI113" s="557"/>
    </row>
    <row r="114" spans="1:35" s="37" customFormat="1" ht="24" customHeight="1">
      <c r="A114" s="36"/>
      <c r="B114" s="36"/>
      <c r="C114" s="1881"/>
      <c r="D114" s="2466"/>
      <c r="E114" s="621"/>
      <c r="F114" s="640"/>
      <c r="G114" s="641"/>
      <c r="H114" s="1882"/>
      <c r="I114" s="1883" t="str">
        <f t="shared" si="5"/>
        <v/>
      </c>
      <c r="J114" s="1983"/>
      <c r="K114" s="1984"/>
      <c r="L114" s="2356"/>
      <c r="M114" s="602"/>
      <c r="N114" s="603"/>
      <c r="O114" s="597"/>
      <c r="P114" s="187"/>
      <c r="Q114" s="188"/>
      <c r="R114" s="188"/>
      <c r="S114" s="188"/>
      <c r="T114" s="188"/>
      <c r="U114" s="188"/>
      <c r="V114" s="188"/>
      <c r="W114" s="188"/>
      <c r="X114" s="189"/>
      <c r="Y114" s="189"/>
      <c r="Z114" s="189"/>
      <c r="AA114" s="189"/>
      <c r="AB114" s="189"/>
      <c r="AC114" s="188"/>
      <c r="AD114" s="309"/>
      <c r="AE114" s="310"/>
      <c r="AF114" s="188"/>
      <c r="AG114" s="188"/>
      <c r="AH114" s="519"/>
      <c r="AI114" s="557"/>
    </row>
    <row r="115" spans="1:35" s="37" customFormat="1" ht="24" customHeight="1">
      <c r="A115" s="36"/>
      <c r="B115" s="36"/>
      <c r="C115" s="1881"/>
      <c r="D115" s="2466"/>
      <c r="E115" s="621"/>
      <c r="F115" s="640"/>
      <c r="G115" s="641"/>
      <c r="H115" s="1882"/>
      <c r="I115" s="1883" t="str">
        <f t="shared" si="5"/>
        <v/>
      </c>
      <c r="J115" s="1983"/>
      <c r="K115" s="1984"/>
      <c r="L115" s="2356"/>
      <c r="M115" s="602"/>
      <c r="N115" s="603"/>
      <c r="O115" s="597"/>
      <c r="P115" s="187"/>
      <c r="Q115" s="188"/>
      <c r="R115" s="188"/>
      <c r="S115" s="188"/>
      <c r="T115" s="188"/>
      <c r="U115" s="188"/>
      <c r="V115" s="188"/>
      <c r="W115" s="188"/>
      <c r="X115" s="189"/>
      <c r="Y115" s="189"/>
      <c r="Z115" s="189"/>
      <c r="AA115" s="189"/>
      <c r="AB115" s="189"/>
      <c r="AC115" s="188"/>
      <c r="AD115" s="309"/>
      <c r="AE115" s="310"/>
      <c r="AF115" s="188"/>
      <c r="AG115" s="188"/>
      <c r="AH115" s="519"/>
      <c r="AI115" s="557"/>
    </row>
    <row r="116" spans="1:35" ht="24" customHeight="1" thickBot="1">
      <c r="A116" s="36"/>
      <c r="B116" s="36"/>
      <c r="C116" s="2070"/>
      <c r="D116" s="2075" t="s">
        <v>4144</v>
      </c>
      <c r="E116" s="2071"/>
      <c r="F116" s="2072"/>
      <c r="G116" s="2453"/>
      <c r="H116" s="2465" t="s">
        <v>4131</v>
      </c>
      <c r="I116" s="2074">
        <f>SUM(I98:I115)</f>
        <v>2001700</v>
      </c>
      <c r="J116" s="2467" t="str">
        <f>IF(C97="部分撤去工事","）うち費用",")")</f>
        <v>)</v>
      </c>
      <c r="K116" s="2468">
        <f>IF(C97="部分撤去工事",(#REF!+L116),0)</f>
        <v>0</v>
      </c>
      <c r="L116" s="2469">
        <f>IF(C97="部分撤去工事",SUMIF(N98:N115,"費用",I98:I115),0)</f>
        <v>0</v>
      </c>
      <c r="M116" s="2470"/>
      <c r="N116" s="2471"/>
      <c r="O116" s="597"/>
      <c r="P116" s="187"/>
      <c r="Q116" s="188"/>
      <c r="R116" s="188"/>
      <c r="S116" s="188"/>
      <c r="T116" s="188"/>
      <c r="U116" s="188"/>
      <c r="V116" s="188"/>
      <c r="W116" s="188"/>
      <c r="X116" s="189"/>
      <c r="Y116" s="189"/>
      <c r="Z116" s="189"/>
      <c r="AA116" s="189"/>
      <c r="AB116" s="189"/>
      <c r="AC116" s="188"/>
      <c r="AD116" s="309"/>
      <c r="AE116" s="310"/>
      <c r="AF116" s="188"/>
      <c r="AG116" s="188"/>
      <c r="AH116" s="188"/>
      <c r="AI116" s="557"/>
    </row>
    <row r="117" spans="1:35" ht="14.25" customHeight="1">
      <c r="E117" s="101" t="s">
        <v>130</v>
      </c>
      <c r="F117" s="102">
        <f>+F94+1</f>
        <v>68</v>
      </c>
      <c r="G117" s="103" t="s">
        <v>131</v>
      </c>
      <c r="H117" s="104">
        <f>+H94</f>
        <v>69</v>
      </c>
      <c r="I117" s="104"/>
      <c r="M117" s="598" t="str">
        <f>IF(A119="","EOL","")</f>
        <v/>
      </c>
      <c r="N117" s="1">
        <f>+F117</f>
        <v>68</v>
      </c>
      <c r="Q117" s="37"/>
      <c r="R117" s="37"/>
      <c r="S117" s="37"/>
      <c r="T117" s="37"/>
      <c r="U117" s="37"/>
      <c r="V117" s="37"/>
      <c r="W117" s="37"/>
      <c r="X117" s="37"/>
      <c r="Y117" s="37"/>
      <c r="Z117" s="37"/>
    </row>
    <row r="118" spans="1:35" ht="26.1" customHeight="1" thickBot="1">
      <c r="C118" s="2517" t="s">
        <v>107</v>
      </c>
      <c r="D118" s="2517"/>
      <c r="E118" s="2517"/>
      <c r="F118" s="2517"/>
      <c r="G118" s="2517"/>
      <c r="H118" s="2517"/>
      <c r="I118" s="2517"/>
      <c r="J118" s="2517"/>
      <c r="K118" s="2517"/>
      <c r="L118" s="2517"/>
      <c r="N118" s="1"/>
      <c r="O118" s="2730" t="s">
        <v>4098</v>
      </c>
      <c r="P118" s="2730"/>
      <c r="Q118" s="2730"/>
      <c r="R118" s="2730"/>
      <c r="S118" s="2730"/>
      <c r="T118" s="2730"/>
      <c r="U118" s="2730"/>
      <c r="V118" s="2730"/>
      <c r="W118" s="2730"/>
      <c r="X118" s="2730"/>
      <c r="Y118" s="2730"/>
      <c r="Z118" s="2730"/>
      <c r="AA118" s="2730"/>
      <c r="AB118" s="2730"/>
      <c r="AC118" s="2730"/>
      <c r="AD118" s="2730"/>
      <c r="AE118" s="2730"/>
      <c r="AF118" s="2730"/>
      <c r="AG118" s="2730"/>
      <c r="AH118" s="2731"/>
      <c r="AI118" s="555"/>
    </row>
    <row r="119" spans="1:35" ht="41.25" customHeight="1">
      <c r="A119" s="5" t="s">
        <v>108</v>
      </c>
      <c r="B119" s="5" t="s">
        <v>4145</v>
      </c>
      <c r="C119" s="99" t="s">
        <v>110</v>
      </c>
      <c r="D119" s="95"/>
      <c r="E119" s="96" t="s">
        <v>111</v>
      </c>
      <c r="F119" s="97" t="s">
        <v>112</v>
      </c>
      <c r="G119" s="97" t="s">
        <v>113</v>
      </c>
      <c r="H119" s="98" t="s">
        <v>114</v>
      </c>
      <c r="I119" s="98" t="s">
        <v>115</v>
      </c>
      <c r="J119" s="2552" t="s">
        <v>116</v>
      </c>
      <c r="K119" s="2553"/>
      <c r="L119" s="2554"/>
      <c r="M119" s="599"/>
      <c r="N119" s="604" t="s">
        <v>4154</v>
      </c>
      <c r="O119" s="596" t="s">
        <v>4099</v>
      </c>
      <c r="P119" s="303" t="s">
        <v>4100</v>
      </c>
      <c r="Q119" s="241" t="s">
        <v>4101</v>
      </c>
      <c r="R119" s="241" t="s">
        <v>4102</v>
      </c>
      <c r="S119" s="241" t="s">
        <v>4103</v>
      </c>
      <c r="T119" s="241" t="s">
        <v>4104</v>
      </c>
      <c r="U119" s="241" t="s">
        <v>4105</v>
      </c>
      <c r="V119" s="125" t="s">
        <v>4106</v>
      </c>
      <c r="W119" s="241" t="s">
        <v>4107</v>
      </c>
      <c r="X119" s="180" t="s">
        <v>4108</v>
      </c>
      <c r="Y119" s="180" t="s">
        <v>4109</v>
      </c>
      <c r="Z119" s="180" t="s">
        <v>4110</v>
      </c>
      <c r="AA119" s="180" t="s">
        <v>4111</v>
      </c>
      <c r="AB119" s="180" t="s">
        <v>4112</v>
      </c>
      <c r="AC119" s="306" t="s">
        <v>4113</v>
      </c>
      <c r="AD119" s="307" t="s">
        <v>4114</v>
      </c>
      <c r="AE119" s="308" t="s">
        <v>4115</v>
      </c>
      <c r="AF119" s="124" t="s">
        <v>4116</v>
      </c>
      <c r="AG119" s="124" t="s">
        <v>4117</v>
      </c>
      <c r="AH119" s="124" t="s">
        <v>4118</v>
      </c>
      <c r="AI119" s="556"/>
    </row>
    <row r="120" spans="1:35" ht="24" customHeight="1">
      <c r="A120" s="36"/>
      <c r="B120" s="36"/>
      <c r="C120" s="2370" t="s">
        <v>4126</v>
      </c>
      <c r="D120" s="2385"/>
      <c r="E120" s="623"/>
      <c r="F120" s="1889"/>
      <c r="G120" s="1890"/>
      <c r="H120" s="2386" t="s">
        <v>117</v>
      </c>
      <c r="I120" s="2386" t="s">
        <v>117</v>
      </c>
      <c r="J120" s="2759"/>
      <c r="K120" s="2788"/>
      <c r="L120" s="2734"/>
      <c r="M120" s="600"/>
      <c r="N120" s="601"/>
      <c r="O120" s="597"/>
      <c r="P120" s="187"/>
      <c r="Q120" s="188"/>
      <c r="R120" s="188"/>
      <c r="S120" s="188"/>
      <c r="T120" s="188"/>
      <c r="U120" s="188"/>
      <c r="V120" s="188"/>
      <c r="W120" s="188"/>
      <c r="X120" s="189"/>
      <c r="Y120" s="189"/>
      <c r="Z120" s="189"/>
      <c r="AA120" s="189"/>
      <c r="AB120" s="189"/>
      <c r="AC120" s="188"/>
      <c r="AD120" s="309"/>
      <c r="AE120" s="310"/>
      <c r="AF120" s="188"/>
      <c r="AG120" s="188"/>
      <c r="AH120" s="188"/>
      <c r="AI120" s="557"/>
    </row>
    <row r="121" spans="1:35" s="37" customFormat="1" ht="24" customHeight="1">
      <c r="A121" s="36"/>
      <c r="B121" s="36"/>
      <c r="C121" s="1881"/>
      <c r="D121" s="2466"/>
      <c r="E121" s="621"/>
      <c r="F121" s="640"/>
      <c r="G121" s="641"/>
      <c r="H121" s="1882"/>
      <c r="I121" s="1883" t="str">
        <f t="shared" ref="I121:I131" si="7">IF(F121="","",INT(F121*H121))</f>
        <v/>
      </c>
      <c r="J121" s="1983"/>
      <c r="K121" s="1984"/>
      <c r="L121" s="2356"/>
      <c r="M121" s="602"/>
      <c r="N121" s="603"/>
      <c r="O121" s="597"/>
      <c r="P121" s="187"/>
      <c r="Q121" s="188"/>
      <c r="R121" s="188"/>
      <c r="S121" s="188"/>
      <c r="T121" s="188"/>
      <c r="U121" s="188"/>
      <c r="V121" s="188"/>
      <c r="W121" s="188"/>
      <c r="X121" s="189"/>
      <c r="Y121" s="189"/>
      <c r="Z121" s="189"/>
      <c r="AA121" s="189"/>
      <c r="AB121" s="189"/>
      <c r="AC121" s="188"/>
      <c r="AD121" s="309"/>
      <c r="AE121" s="310"/>
      <c r="AF121" s="188"/>
      <c r="AG121" s="188"/>
      <c r="AH121" s="519"/>
      <c r="AI121" s="557"/>
    </row>
    <row r="122" spans="1:35" s="37" customFormat="1" ht="24" customHeight="1">
      <c r="A122" s="36">
        <v>4</v>
      </c>
      <c r="B122" s="36">
        <v>4</v>
      </c>
      <c r="C122" s="1881">
        <v>25012</v>
      </c>
      <c r="D122" s="1980" t="s">
        <v>4219</v>
      </c>
      <c r="E122" s="621" t="s">
        <v>4220</v>
      </c>
      <c r="F122" s="640">
        <v>1725</v>
      </c>
      <c r="G122" s="641" t="s">
        <v>4193</v>
      </c>
      <c r="H122" s="1882">
        <v>29100</v>
      </c>
      <c r="I122" s="1883">
        <f>IF(F122="","",INT(F122*H122))</f>
        <v>50197500</v>
      </c>
      <c r="J122" s="1983" t="s">
        <v>4221</v>
      </c>
      <c r="K122" s="1984"/>
      <c r="L122" s="2356"/>
      <c r="M122" s="602"/>
      <c r="N122" s="603" t="s">
        <v>4223</v>
      </c>
      <c r="O122" s="597"/>
      <c r="P122" s="187">
        <v>60</v>
      </c>
      <c r="Q122" s="188"/>
      <c r="R122" s="188"/>
      <c r="S122" s="188"/>
      <c r="T122" s="188"/>
      <c r="U122" s="188">
        <v>20</v>
      </c>
      <c r="V122" s="188"/>
      <c r="W122" s="188"/>
      <c r="X122" s="189"/>
      <c r="Y122" s="189"/>
      <c r="Z122" s="189"/>
      <c r="AA122" s="189"/>
      <c r="AB122" s="189"/>
      <c r="AC122" s="188"/>
      <c r="AD122" s="309"/>
      <c r="AE122" s="310"/>
      <c r="AF122" s="188"/>
      <c r="AG122" s="188"/>
      <c r="AH122" s="519"/>
      <c r="AI122" s="557"/>
    </row>
    <row r="123" spans="1:35" s="37" customFormat="1" ht="24" customHeight="1">
      <c r="A123" s="36">
        <v>4</v>
      </c>
      <c r="B123" s="36">
        <v>4</v>
      </c>
      <c r="C123" s="1881">
        <v>25012</v>
      </c>
      <c r="D123" s="1980" t="s">
        <v>4219</v>
      </c>
      <c r="E123" s="621" t="s">
        <v>4220</v>
      </c>
      <c r="F123" s="640">
        <v>82.3</v>
      </c>
      <c r="G123" s="641" t="s">
        <v>4193</v>
      </c>
      <c r="H123" s="1882">
        <v>29100</v>
      </c>
      <c r="I123" s="1883">
        <f>IF(F123="","",INT(F123*H123))</f>
        <v>2394930</v>
      </c>
      <c r="J123" s="1983" t="s">
        <v>4221</v>
      </c>
      <c r="K123" s="1984" t="s">
        <v>4222</v>
      </c>
      <c r="L123" s="2356"/>
      <c r="M123" s="602"/>
      <c r="N123" s="603" t="s">
        <v>4223</v>
      </c>
      <c r="O123" s="597"/>
      <c r="P123" s="187">
        <v>60</v>
      </c>
      <c r="Q123" s="188"/>
      <c r="R123" s="188"/>
      <c r="S123" s="188"/>
      <c r="T123" s="188"/>
      <c r="U123" s="188">
        <v>20</v>
      </c>
      <c r="V123" s="188"/>
      <c r="W123" s="188"/>
      <c r="X123" s="189"/>
      <c r="Y123" s="189"/>
      <c r="Z123" s="189"/>
      <c r="AA123" s="189"/>
      <c r="AB123" s="189"/>
      <c r="AC123" s="188"/>
      <c r="AD123" s="309"/>
      <c r="AE123" s="310"/>
      <c r="AF123" s="188"/>
      <c r="AG123" s="188"/>
      <c r="AH123" s="519"/>
      <c r="AI123" s="557"/>
    </row>
    <row r="124" spans="1:35" s="37" customFormat="1" ht="24" customHeight="1">
      <c r="A124" s="36">
        <v>4</v>
      </c>
      <c r="B124" s="36">
        <v>4</v>
      </c>
      <c r="C124" s="1881">
        <v>20020</v>
      </c>
      <c r="D124" s="1980" t="s">
        <v>4224</v>
      </c>
      <c r="E124" s="621" t="s">
        <v>4231</v>
      </c>
      <c r="F124" s="640">
        <v>283</v>
      </c>
      <c r="G124" s="641" t="s">
        <v>4202</v>
      </c>
      <c r="H124" s="1882">
        <v>330</v>
      </c>
      <c r="I124" s="1883">
        <f>IF(F124="","",INT(F124*H124))</f>
        <v>93390</v>
      </c>
      <c r="J124" s="1983"/>
      <c r="K124" s="1984"/>
      <c r="L124" s="2356"/>
      <c r="M124" s="602"/>
      <c r="N124" s="603" t="s">
        <v>4223</v>
      </c>
      <c r="O124" s="597"/>
      <c r="P124" s="187"/>
      <c r="Q124" s="188"/>
      <c r="R124" s="188"/>
      <c r="S124" s="188"/>
      <c r="T124" s="188">
        <v>1.3</v>
      </c>
      <c r="U124" s="188"/>
      <c r="V124" s="188"/>
      <c r="W124" s="188"/>
      <c r="X124" s="189"/>
      <c r="Y124" s="189"/>
      <c r="Z124" s="189"/>
      <c r="AA124" s="189"/>
      <c r="AB124" s="189"/>
      <c r="AC124" s="188"/>
      <c r="AD124" s="309"/>
      <c r="AE124" s="310"/>
      <c r="AF124" s="188"/>
      <c r="AG124" s="188"/>
      <c r="AH124" s="519"/>
      <c r="AI124" s="557"/>
    </row>
    <row r="125" spans="1:35" s="37" customFormat="1" ht="24" customHeight="1">
      <c r="A125" s="36"/>
      <c r="B125" s="36"/>
      <c r="C125" s="1881"/>
      <c r="D125" s="2466"/>
      <c r="E125" s="621"/>
      <c r="F125" s="640"/>
      <c r="G125" s="641"/>
      <c r="H125" s="1882"/>
      <c r="I125" s="1883" t="str">
        <f t="shared" si="7"/>
        <v/>
      </c>
      <c r="J125" s="1983"/>
      <c r="K125" s="1984"/>
      <c r="L125" s="2356"/>
      <c r="M125" s="602"/>
      <c r="N125" s="603"/>
      <c r="O125" s="597"/>
      <c r="P125" s="187"/>
      <c r="Q125" s="188"/>
      <c r="R125" s="188"/>
      <c r="S125" s="188"/>
      <c r="T125" s="188"/>
      <c r="U125" s="188"/>
      <c r="V125" s="188"/>
      <c r="W125" s="188"/>
      <c r="X125" s="189"/>
      <c r="Y125" s="189"/>
      <c r="Z125" s="189"/>
      <c r="AA125" s="189"/>
      <c r="AB125" s="189"/>
      <c r="AC125" s="188"/>
      <c r="AD125" s="309"/>
      <c r="AE125" s="310"/>
      <c r="AF125" s="188"/>
      <c r="AG125" s="188"/>
      <c r="AH125" s="519"/>
      <c r="AI125" s="557"/>
    </row>
    <row r="126" spans="1:35" s="37" customFormat="1" ht="24" customHeight="1">
      <c r="A126" s="36">
        <v>4</v>
      </c>
      <c r="B126" s="36">
        <v>4</v>
      </c>
      <c r="C126" s="1881">
        <v>23090</v>
      </c>
      <c r="D126" s="1980" t="s">
        <v>4238</v>
      </c>
      <c r="E126" s="621" t="s">
        <v>4239</v>
      </c>
      <c r="F126" s="640">
        <v>899</v>
      </c>
      <c r="G126" s="641" t="s">
        <v>4237</v>
      </c>
      <c r="H126" s="1882">
        <v>2280</v>
      </c>
      <c r="I126" s="1883">
        <f>IF(F126="","",INT(F126*H126))</f>
        <v>2049720</v>
      </c>
      <c r="J126" s="1983" t="s">
        <v>4240</v>
      </c>
      <c r="K126" s="1984"/>
      <c r="L126" s="2356"/>
      <c r="M126" s="602"/>
      <c r="N126" s="603" t="s">
        <v>4223</v>
      </c>
      <c r="O126" s="597">
        <v>0</v>
      </c>
      <c r="P126" s="187"/>
      <c r="Q126" s="188"/>
      <c r="R126" s="188"/>
      <c r="S126" s="188"/>
      <c r="T126" s="188"/>
      <c r="U126" s="188"/>
      <c r="V126" s="188"/>
      <c r="W126" s="188"/>
      <c r="X126" s="189"/>
      <c r="Y126" s="189"/>
      <c r="Z126" s="189"/>
      <c r="AA126" s="189"/>
      <c r="AB126" s="189"/>
      <c r="AC126" s="188"/>
      <c r="AD126" s="309"/>
      <c r="AE126" s="310"/>
      <c r="AF126" s="188"/>
      <c r="AG126" s="188"/>
      <c r="AH126" s="519"/>
      <c r="AI126" s="557"/>
    </row>
    <row r="127" spans="1:35" s="37" customFormat="1" ht="24" customHeight="1">
      <c r="A127" s="36"/>
      <c r="B127" s="36"/>
      <c r="C127" s="1881"/>
      <c r="D127" s="2466"/>
      <c r="E127" s="621"/>
      <c r="F127" s="640"/>
      <c r="G127" s="641"/>
      <c r="H127" s="1882"/>
      <c r="I127" s="1883" t="str">
        <f t="shared" si="7"/>
        <v/>
      </c>
      <c r="J127" s="1983"/>
      <c r="K127" s="1984"/>
      <c r="L127" s="2356"/>
      <c r="M127" s="602"/>
      <c r="N127" s="603"/>
      <c r="O127" s="597"/>
      <c r="P127" s="187"/>
      <c r="Q127" s="188"/>
      <c r="R127" s="188"/>
      <c r="S127" s="188"/>
      <c r="T127" s="188"/>
      <c r="U127" s="188"/>
      <c r="V127" s="188"/>
      <c r="W127" s="188"/>
      <c r="X127" s="189"/>
      <c r="Y127" s="189"/>
      <c r="Z127" s="189"/>
      <c r="AA127" s="189"/>
      <c r="AB127" s="189"/>
      <c r="AC127" s="188"/>
      <c r="AD127" s="309"/>
      <c r="AE127" s="310"/>
      <c r="AF127" s="188"/>
      <c r="AG127" s="188"/>
      <c r="AH127" s="519"/>
      <c r="AI127" s="557"/>
    </row>
    <row r="128" spans="1:35" s="37" customFormat="1" ht="24" customHeight="1">
      <c r="A128" s="36">
        <v>4</v>
      </c>
      <c r="B128" s="36">
        <v>4</v>
      </c>
      <c r="C128" s="1881">
        <v>20061</v>
      </c>
      <c r="D128" s="1980" t="s">
        <v>4248</v>
      </c>
      <c r="E128" s="621" t="s">
        <v>4249</v>
      </c>
      <c r="F128" s="640">
        <f>ROUND('8'!N2*0.001,0)</f>
        <v>145</v>
      </c>
      <c r="G128" s="641" t="s">
        <v>4250</v>
      </c>
      <c r="H128" s="1882">
        <f>10900*L128</f>
        <v>25069.999999999996</v>
      </c>
      <c r="I128" s="1883">
        <f>IF(F128="","",INT(F128*H128))</f>
        <v>3635150</v>
      </c>
      <c r="J128" s="1983" t="s">
        <v>4251</v>
      </c>
      <c r="K128" s="1984"/>
      <c r="L128" s="2356">
        <v>2.2999999999999998</v>
      </c>
      <c r="M128" s="602"/>
      <c r="N128" s="603" t="s">
        <v>4223</v>
      </c>
      <c r="O128" s="597">
        <v>0</v>
      </c>
      <c r="P128" s="187"/>
      <c r="Q128" s="188"/>
      <c r="R128" s="188"/>
      <c r="S128" s="188"/>
      <c r="T128" s="188"/>
      <c r="U128" s="188"/>
      <c r="V128" s="188"/>
      <c r="W128" s="188"/>
      <c r="X128" s="189"/>
      <c r="Y128" s="189"/>
      <c r="Z128" s="189"/>
      <c r="AA128" s="189"/>
      <c r="AB128" s="189"/>
      <c r="AC128" s="188"/>
      <c r="AD128" s="309"/>
      <c r="AE128" s="310"/>
      <c r="AF128" s="188"/>
      <c r="AG128" s="188"/>
      <c r="AH128" s="519"/>
      <c r="AI128" s="557"/>
    </row>
    <row r="129" spans="1:35" s="37" customFormat="1" ht="24" customHeight="1">
      <c r="A129" s="36"/>
      <c r="B129" s="36"/>
      <c r="C129" s="1881"/>
      <c r="D129" s="2466"/>
      <c r="E129" s="621"/>
      <c r="F129" s="640"/>
      <c r="G129" s="641"/>
      <c r="H129" s="1882"/>
      <c r="I129" s="1883" t="str">
        <f t="shared" si="7"/>
        <v/>
      </c>
      <c r="J129" s="1983"/>
      <c r="K129" s="1984"/>
      <c r="L129" s="2356"/>
      <c r="M129" s="602"/>
      <c r="N129" s="603"/>
      <c r="O129" s="597"/>
      <c r="P129" s="187"/>
      <c r="Q129" s="188"/>
      <c r="R129" s="188"/>
      <c r="S129" s="188"/>
      <c r="T129" s="188"/>
      <c r="U129" s="188"/>
      <c r="V129" s="188"/>
      <c r="W129" s="188"/>
      <c r="X129" s="189"/>
      <c r="Y129" s="189"/>
      <c r="Z129" s="189"/>
      <c r="AA129" s="189"/>
      <c r="AB129" s="189"/>
      <c r="AC129" s="188"/>
      <c r="AD129" s="309"/>
      <c r="AE129" s="310"/>
      <c r="AF129" s="188"/>
      <c r="AG129" s="188"/>
      <c r="AH129" s="519"/>
      <c r="AI129" s="557"/>
    </row>
    <row r="130" spans="1:35" s="37" customFormat="1" ht="24" customHeight="1">
      <c r="A130" s="36">
        <v>4</v>
      </c>
      <c r="B130" s="36">
        <v>4</v>
      </c>
      <c r="C130" s="1881">
        <v>24020</v>
      </c>
      <c r="D130" s="1980" t="s">
        <v>4254</v>
      </c>
      <c r="E130" s="621" t="s">
        <v>4255</v>
      </c>
      <c r="F130" s="640">
        <f>ROUND('8'!V2*0.001,0)</f>
        <v>145</v>
      </c>
      <c r="G130" s="641" t="s">
        <v>4250</v>
      </c>
      <c r="H130" s="1882">
        <v>4410</v>
      </c>
      <c r="I130" s="1883">
        <f>IF(F130="","",INT(F130*H130))</f>
        <v>639450</v>
      </c>
      <c r="J130" s="1983"/>
      <c r="K130" s="1984"/>
      <c r="L130" s="2356"/>
      <c r="M130" s="602"/>
      <c r="N130" s="603" t="s">
        <v>4223</v>
      </c>
      <c r="O130" s="597">
        <v>0</v>
      </c>
      <c r="P130" s="187"/>
      <c r="Q130" s="188"/>
      <c r="R130" s="188"/>
      <c r="S130" s="188"/>
      <c r="T130" s="188"/>
      <c r="U130" s="188"/>
      <c r="V130" s="188"/>
      <c r="W130" s="188"/>
      <c r="X130" s="189"/>
      <c r="Y130" s="189"/>
      <c r="Z130" s="189"/>
      <c r="AA130" s="189"/>
      <c r="AB130" s="189"/>
      <c r="AC130" s="188"/>
      <c r="AD130" s="309"/>
      <c r="AE130" s="310"/>
      <c r="AF130" s="188"/>
      <c r="AG130" s="188"/>
      <c r="AH130" s="519"/>
      <c r="AI130" s="557"/>
    </row>
    <row r="131" spans="1:35" s="37" customFormat="1" ht="24" customHeight="1">
      <c r="A131" s="36"/>
      <c r="B131" s="36"/>
      <c r="C131" s="1881"/>
      <c r="D131" s="2466"/>
      <c r="E131" s="621"/>
      <c r="F131" s="640"/>
      <c r="G131" s="641"/>
      <c r="H131" s="1882"/>
      <c r="I131" s="1883" t="str">
        <f t="shared" si="7"/>
        <v/>
      </c>
      <c r="J131" s="1983"/>
      <c r="K131" s="1984"/>
      <c r="L131" s="2356"/>
      <c r="M131" s="602"/>
      <c r="N131" s="603"/>
      <c r="O131" s="597"/>
      <c r="P131" s="187"/>
      <c r="Q131" s="188"/>
      <c r="R131" s="188"/>
      <c r="S131" s="188"/>
      <c r="T131" s="188"/>
      <c r="U131" s="188"/>
      <c r="V131" s="188"/>
      <c r="W131" s="188"/>
      <c r="X131" s="189"/>
      <c r="Y131" s="189"/>
      <c r="Z131" s="189"/>
      <c r="AA131" s="189"/>
      <c r="AB131" s="189"/>
      <c r="AC131" s="188"/>
      <c r="AD131" s="309"/>
      <c r="AE131" s="310"/>
      <c r="AF131" s="188"/>
      <c r="AG131" s="188"/>
      <c r="AH131" s="519"/>
      <c r="AI131" s="557"/>
    </row>
    <row r="132" spans="1:35" s="37" customFormat="1" ht="24" customHeight="1">
      <c r="A132" s="36">
        <v>4</v>
      </c>
      <c r="B132" s="36">
        <v>4</v>
      </c>
      <c r="C132" s="1881"/>
      <c r="D132" s="1980" t="s">
        <v>4256</v>
      </c>
      <c r="E132" s="621" t="s">
        <v>4257</v>
      </c>
      <c r="F132" s="640">
        <v>1</v>
      </c>
      <c r="G132" s="641" t="s">
        <v>122</v>
      </c>
      <c r="H132" s="1882"/>
      <c r="I132" s="1883">
        <f>+[7]残材運搬費按分表!$T$93</f>
        <v>1655382</v>
      </c>
      <c r="J132" s="1983" t="s">
        <v>4147</v>
      </c>
      <c r="K132" s="1984"/>
      <c r="L132" s="2356"/>
      <c r="M132" s="602"/>
      <c r="N132" s="603" t="s">
        <v>4223</v>
      </c>
      <c r="O132" s="597">
        <v>0</v>
      </c>
      <c r="P132" s="187"/>
      <c r="Q132" s="188"/>
      <c r="R132" s="188"/>
      <c r="S132" s="188"/>
      <c r="T132" s="188"/>
      <c r="U132" s="188"/>
      <c r="V132" s="188"/>
      <c r="W132" s="188"/>
      <c r="X132" s="189"/>
      <c r="Y132" s="189"/>
      <c r="Z132" s="189"/>
      <c r="AA132" s="189"/>
      <c r="AB132" s="189"/>
      <c r="AC132" s="188"/>
      <c r="AD132" s="309"/>
      <c r="AE132" s="310"/>
      <c r="AF132" s="188"/>
      <c r="AG132" s="188"/>
      <c r="AH132" s="519"/>
      <c r="AI132" s="557"/>
    </row>
    <row r="133" spans="1:35" s="37" customFormat="1" ht="24" customHeight="1">
      <c r="A133" s="36"/>
      <c r="B133" s="36"/>
      <c r="C133" s="1881"/>
      <c r="D133" s="1980"/>
      <c r="E133" s="621"/>
      <c r="F133" s="640"/>
      <c r="G133" s="641"/>
      <c r="H133" s="1882"/>
      <c r="I133" s="1883"/>
      <c r="J133" s="1983"/>
      <c r="K133" s="1984"/>
      <c r="L133" s="2356"/>
      <c r="M133" s="602"/>
      <c r="N133" s="603"/>
      <c r="O133" s="597"/>
      <c r="P133" s="187"/>
      <c r="Q133" s="188"/>
      <c r="R133" s="188"/>
      <c r="S133" s="188"/>
      <c r="T133" s="188"/>
      <c r="U133" s="188"/>
      <c r="V133" s="188"/>
      <c r="W133" s="188"/>
      <c r="X133" s="189"/>
      <c r="Y133" s="189"/>
      <c r="Z133" s="189"/>
      <c r="AA133" s="189"/>
      <c r="AB133" s="189"/>
      <c r="AC133" s="188"/>
      <c r="AD133" s="309"/>
      <c r="AE133" s="310"/>
      <c r="AF133" s="188"/>
      <c r="AG133" s="188"/>
      <c r="AH133" s="519"/>
      <c r="AI133" s="557"/>
    </row>
    <row r="134" spans="1:35" s="37" customFormat="1" ht="24" customHeight="1">
      <c r="A134" s="36">
        <v>4</v>
      </c>
      <c r="B134" s="36">
        <v>4</v>
      </c>
      <c r="C134" s="1881">
        <v>24063</v>
      </c>
      <c r="D134" s="1980" t="s">
        <v>4260</v>
      </c>
      <c r="E134" s="621" t="s">
        <v>4261</v>
      </c>
      <c r="F134" s="640">
        <f>ROUND('8'!E21*0.001,0)</f>
        <v>108</v>
      </c>
      <c r="G134" s="641" t="s">
        <v>4262</v>
      </c>
      <c r="H134" s="1882">
        <v>1180</v>
      </c>
      <c r="I134" s="1883">
        <f>IF(F134="","",INT(F134*H134))</f>
        <v>127440</v>
      </c>
      <c r="J134" s="1983"/>
      <c r="K134" s="1984"/>
      <c r="L134" s="2356"/>
      <c r="M134" s="602"/>
      <c r="N134" s="603" t="s">
        <v>4223</v>
      </c>
      <c r="O134" s="597">
        <v>0</v>
      </c>
      <c r="P134" s="187"/>
      <c r="Q134" s="188"/>
      <c r="R134" s="188"/>
      <c r="S134" s="188"/>
      <c r="T134" s="188"/>
      <c r="U134" s="188"/>
      <c r="V134" s="188"/>
      <c r="W134" s="188"/>
      <c r="X134" s="189"/>
      <c r="Y134" s="189"/>
      <c r="Z134" s="189"/>
      <c r="AA134" s="189"/>
      <c r="AB134" s="189"/>
      <c r="AC134" s="188"/>
      <c r="AD134" s="309"/>
      <c r="AE134" s="310"/>
      <c r="AF134" s="188"/>
      <c r="AG134" s="188"/>
      <c r="AH134" s="519"/>
      <c r="AI134" s="557"/>
    </row>
    <row r="135" spans="1:35" s="37" customFormat="1" ht="24" customHeight="1">
      <c r="A135" s="36">
        <v>4</v>
      </c>
      <c r="B135" s="36">
        <v>4</v>
      </c>
      <c r="C135" s="1881">
        <v>24008</v>
      </c>
      <c r="D135" s="1980" t="s">
        <v>4260</v>
      </c>
      <c r="E135" s="621" t="s">
        <v>4263</v>
      </c>
      <c r="F135" s="640">
        <f>ROUND('8'!I21*0.001,2)</f>
        <v>0.37</v>
      </c>
      <c r="G135" s="641" t="s">
        <v>4262</v>
      </c>
      <c r="H135" s="1882">
        <v>12900</v>
      </c>
      <c r="I135" s="1883">
        <f>IF(F135="","",INT(F135*H135))</f>
        <v>4773</v>
      </c>
      <c r="J135" s="1983"/>
      <c r="K135" s="1984"/>
      <c r="L135" s="2356"/>
      <c r="M135" s="602"/>
      <c r="N135" s="603" t="s">
        <v>4223</v>
      </c>
      <c r="O135" s="597">
        <v>0</v>
      </c>
      <c r="P135" s="187"/>
      <c r="Q135" s="188"/>
      <c r="R135" s="188"/>
      <c r="S135" s="188"/>
      <c r="T135" s="188"/>
      <c r="U135" s="188"/>
      <c r="V135" s="188"/>
      <c r="W135" s="188"/>
      <c r="X135" s="189"/>
      <c r="Y135" s="189"/>
      <c r="Z135" s="189"/>
      <c r="AA135" s="189"/>
      <c r="AB135" s="189"/>
      <c r="AC135" s="188"/>
      <c r="AD135" s="309"/>
      <c r="AE135" s="310"/>
      <c r="AF135" s="188"/>
      <c r="AG135" s="188"/>
      <c r="AH135" s="519"/>
      <c r="AI135" s="557"/>
    </row>
    <row r="136" spans="1:35" s="37" customFormat="1" ht="24" customHeight="1">
      <c r="A136" s="36">
        <v>4</v>
      </c>
      <c r="B136" s="36">
        <v>4</v>
      </c>
      <c r="C136" s="1881">
        <v>24006</v>
      </c>
      <c r="D136" s="1980" t="s">
        <v>4260</v>
      </c>
      <c r="E136" s="621" t="s">
        <v>4264</v>
      </c>
      <c r="F136" s="640">
        <f>ROUND('8'!J21*0.001,1)</f>
        <v>36.1</v>
      </c>
      <c r="G136" s="641" t="s">
        <v>4250</v>
      </c>
      <c r="H136" s="1882">
        <v>10000</v>
      </c>
      <c r="I136" s="1883">
        <f>IF(F136="","",INT(F136*H136))</f>
        <v>361000</v>
      </c>
      <c r="J136" s="1983"/>
      <c r="K136" s="1984"/>
      <c r="L136" s="2356"/>
      <c r="M136" s="602"/>
      <c r="N136" s="603" t="s">
        <v>4223</v>
      </c>
      <c r="O136" s="597">
        <v>0</v>
      </c>
      <c r="P136" s="187"/>
      <c r="Q136" s="188"/>
      <c r="R136" s="188"/>
      <c r="S136" s="188"/>
      <c r="T136" s="188"/>
      <c r="U136" s="188"/>
      <c r="V136" s="188"/>
      <c r="W136" s="188"/>
      <c r="X136" s="189"/>
      <c r="Y136" s="189"/>
      <c r="Z136" s="189"/>
      <c r="AA136" s="189"/>
      <c r="AB136" s="189"/>
      <c r="AC136" s="188"/>
      <c r="AD136" s="309"/>
      <c r="AE136" s="310"/>
      <c r="AF136" s="188"/>
      <c r="AG136" s="188"/>
      <c r="AH136" s="519"/>
      <c r="AI136" s="557"/>
    </row>
    <row r="137" spans="1:35" s="37" customFormat="1" ht="24" customHeight="1">
      <c r="A137" s="36"/>
      <c r="B137" s="36"/>
      <c r="C137" s="1881"/>
      <c r="D137" s="1980"/>
      <c r="E137" s="621"/>
      <c r="F137" s="640"/>
      <c r="G137" s="641"/>
      <c r="H137" s="1882"/>
      <c r="I137" s="1883"/>
      <c r="J137" s="1983"/>
      <c r="K137" s="1984"/>
      <c r="L137" s="2356"/>
      <c r="M137" s="602"/>
      <c r="N137" s="603"/>
      <c r="O137" s="597"/>
      <c r="P137" s="187"/>
      <c r="Q137" s="188"/>
      <c r="R137" s="188"/>
      <c r="S137" s="188"/>
      <c r="T137" s="188"/>
      <c r="U137" s="188"/>
      <c r="V137" s="188"/>
      <c r="W137" s="188"/>
      <c r="X137" s="189"/>
      <c r="Y137" s="189"/>
      <c r="Z137" s="189"/>
      <c r="AA137" s="189"/>
      <c r="AB137" s="189"/>
      <c r="AC137" s="188"/>
      <c r="AD137" s="309"/>
      <c r="AE137" s="310"/>
      <c r="AF137" s="188"/>
      <c r="AG137" s="188"/>
      <c r="AH137" s="519"/>
      <c r="AI137" s="557"/>
    </row>
    <row r="138" spans="1:35" s="37" customFormat="1" ht="24" customHeight="1">
      <c r="A138" s="36"/>
      <c r="B138" s="36"/>
      <c r="C138" s="1881"/>
      <c r="D138" s="2466"/>
      <c r="E138" s="621"/>
      <c r="F138" s="640"/>
      <c r="G138" s="641"/>
      <c r="H138" s="1882"/>
      <c r="I138" s="1883" t="str">
        <f t="shared" ref="I138" si="8">IF(F138="","",INT(F138*H138))</f>
        <v/>
      </c>
      <c r="J138" s="1983"/>
      <c r="K138" s="1984"/>
      <c r="L138" s="2356"/>
      <c r="M138" s="602"/>
      <c r="N138" s="603"/>
      <c r="O138" s="597"/>
      <c r="P138" s="187"/>
      <c r="Q138" s="188"/>
      <c r="R138" s="188"/>
      <c r="S138" s="188"/>
      <c r="T138" s="188"/>
      <c r="U138" s="188"/>
      <c r="V138" s="188"/>
      <c r="W138" s="188"/>
      <c r="X138" s="189"/>
      <c r="Y138" s="189"/>
      <c r="Z138" s="189"/>
      <c r="AA138" s="189"/>
      <c r="AB138" s="189"/>
      <c r="AC138" s="188"/>
      <c r="AD138" s="309"/>
      <c r="AE138" s="310"/>
      <c r="AF138" s="188"/>
      <c r="AG138" s="188"/>
      <c r="AH138" s="519"/>
      <c r="AI138" s="557"/>
    </row>
    <row r="139" spans="1:35" ht="24" customHeight="1" thickBot="1">
      <c r="A139" s="36"/>
      <c r="B139" s="36"/>
      <c r="C139" s="2070"/>
      <c r="D139" s="2075" t="s">
        <v>4144</v>
      </c>
      <c r="E139" s="2071"/>
      <c r="F139" s="2072"/>
      <c r="G139" s="2453"/>
      <c r="H139" s="2465" t="s">
        <v>4131</v>
      </c>
      <c r="I139" s="2074">
        <f>SUM(I121:I138)</f>
        <v>61158735</v>
      </c>
      <c r="J139" s="2478" t="str">
        <f>IF(C120="部分撤去工事","）うち費用",")")</f>
        <v>）うち費用</v>
      </c>
      <c r="K139" s="2477">
        <f>IF(C120="部分撤去工事",(K116+L139),0)</f>
        <v>61158735</v>
      </c>
      <c r="L139" s="2469">
        <f>IF(C120="部分撤去工事",SUMIF(N121:N138,"費用",I121:I138),0)</f>
        <v>61158735</v>
      </c>
      <c r="M139" s="2470"/>
      <c r="N139" s="2471"/>
      <c r="O139" s="597"/>
      <c r="P139" s="187"/>
      <c r="Q139" s="188"/>
      <c r="R139" s="188"/>
      <c r="S139" s="188"/>
      <c r="T139" s="188"/>
      <c r="U139" s="188"/>
      <c r="V139" s="188"/>
      <c r="W139" s="188"/>
      <c r="X139" s="189"/>
      <c r="Y139" s="189"/>
      <c r="Z139" s="189"/>
      <c r="AA139" s="189"/>
      <c r="AB139" s="189"/>
      <c r="AC139" s="188"/>
      <c r="AD139" s="309"/>
      <c r="AE139" s="310"/>
      <c r="AF139" s="188"/>
      <c r="AG139" s="188"/>
      <c r="AH139" s="188"/>
      <c r="AI139" s="557"/>
    </row>
    <row r="140" spans="1:35" ht="14.25" customHeight="1">
      <c r="E140" s="101" t="s">
        <v>130</v>
      </c>
      <c r="F140" s="102">
        <f>+F117+1</f>
        <v>69</v>
      </c>
      <c r="G140" s="103" t="s">
        <v>131</v>
      </c>
      <c r="H140" s="104">
        <f>+H117</f>
        <v>69</v>
      </c>
      <c r="I140" s="104"/>
      <c r="M140" s="598" t="str">
        <f>IF(A142="","EOL","")</f>
        <v>EOL</v>
      </c>
      <c r="N140" s="1">
        <f>+F140</f>
        <v>69</v>
      </c>
      <c r="Q140" s="37"/>
      <c r="R140" s="37"/>
      <c r="S140" s="37"/>
      <c r="T140" s="37"/>
      <c r="U140" s="37"/>
      <c r="V140" s="37"/>
      <c r="W140" s="37"/>
      <c r="X140" s="37"/>
      <c r="Y140" s="37"/>
      <c r="Z140" s="37"/>
    </row>
    <row r="141" spans="1:35" ht="26.1" customHeight="1">
      <c r="O141" s="185"/>
      <c r="P141" s="185"/>
      <c r="Q141" s="185"/>
      <c r="R141" s="185"/>
      <c r="S141" s="185"/>
      <c r="T141" s="185"/>
      <c r="U141" s="185"/>
      <c r="V141" s="185"/>
      <c r="W141" s="185"/>
      <c r="X141" s="185"/>
      <c r="Y141" s="185"/>
      <c r="Z141" s="185"/>
      <c r="AA141" s="185"/>
    </row>
    <row r="142" spans="1:35" ht="26.1" customHeight="1">
      <c r="O142" s="1990"/>
      <c r="P142" s="1990"/>
      <c r="Q142" s="181"/>
      <c r="R142" s="182"/>
      <c r="S142" s="183"/>
      <c r="T142" s="183"/>
      <c r="U142" s="181"/>
      <c r="V142" s="181"/>
      <c r="W142" s="183"/>
      <c r="X142" s="1990"/>
      <c r="Y142" s="1990"/>
      <c r="Z142" s="1990"/>
      <c r="AA142" s="1990"/>
    </row>
    <row r="143" spans="1:35" ht="26.1" customHeight="1">
      <c r="O143" s="184"/>
      <c r="P143" s="184"/>
      <c r="Q143" s="181"/>
      <c r="R143" s="181"/>
      <c r="S143" s="181"/>
      <c r="T143" s="181"/>
      <c r="U143" s="181"/>
      <c r="V143" s="181"/>
      <c r="W143" s="181"/>
      <c r="X143" s="181"/>
      <c r="Y143" s="181"/>
      <c r="Z143" s="181"/>
      <c r="AA143" s="181"/>
    </row>
    <row r="144" spans="1:35" ht="26.1" customHeight="1">
      <c r="O144" s="184"/>
      <c r="P144" s="184"/>
      <c r="Q144" s="181"/>
      <c r="R144" s="181"/>
      <c r="S144" s="181"/>
      <c r="T144" s="181"/>
      <c r="U144" s="181"/>
      <c r="V144" s="181"/>
      <c r="W144" s="181"/>
      <c r="X144" s="181"/>
      <c r="Y144" s="181"/>
      <c r="Z144" s="181"/>
      <c r="AA144" s="181"/>
    </row>
    <row r="145" spans="15:27" ht="26.1" customHeight="1">
      <c r="O145" s="184"/>
      <c r="P145" s="184"/>
      <c r="Q145" s="181"/>
      <c r="R145" s="181"/>
      <c r="S145" s="181"/>
      <c r="T145" s="181"/>
      <c r="U145" s="181"/>
      <c r="V145" s="181"/>
      <c r="W145" s="181"/>
      <c r="X145" s="181"/>
      <c r="Y145" s="181"/>
      <c r="Z145" s="181"/>
      <c r="AA145" s="181"/>
    </row>
    <row r="146" spans="15:27" ht="26.1" customHeight="1">
      <c r="O146" s="184"/>
      <c r="P146" s="184"/>
      <c r="Q146" s="181"/>
      <c r="R146" s="181"/>
      <c r="S146" s="181"/>
      <c r="T146" s="181"/>
      <c r="U146" s="181"/>
      <c r="V146" s="181"/>
      <c r="W146" s="181"/>
      <c r="X146" s="181"/>
      <c r="Y146" s="181"/>
      <c r="Z146" s="181"/>
      <c r="AA146" s="181"/>
    </row>
    <row r="147" spans="15:27" ht="26.1" customHeight="1">
      <c r="O147" s="184"/>
      <c r="P147" s="184"/>
      <c r="Q147" s="181"/>
      <c r="R147" s="181"/>
      <c r="S147" s="181"/>
      <c r="T147" s="181"/>
      <c r="U147" s="181"/>
      <c r="V147" s="181"/>
      <c r="W147" s="181"/>
      <c r="X147" s="181"/>
      <c r="Y147" s="181"/>
      <c r="Z147" s="181"/>
      <c r="AA147" s="181"/>
    </row>
    <row r="148" spans="15:27" ht="26.1" customHeight="1">
      <c r="O148" s="184"/>
      <c r="P148" s="184"/>
      <c r="Q148" s="181"/>
      <c r="R148" s="181"/>
      <c r="S148" s="181"/>
      <c r="T148" s="181"/>
      <c r="U148" s="181"/>
      <c r="V148" s="181"/>
      <c r="W148" s="181"/>
      <c r="X148" s="181"/>
      <c r="Y148" s="181"/>
      <c r="Z148" s="181"/>
      <c r="AA148" s="181"/>
    </row>
    <row r="149" spans="15:27" ht="26.1" customHeight="1">
      <c r="O149" s="184"/>
      <c r="P149" s="184"/>
      <c r="Q149" s="181"/>
      <c r="R149" s="181"/>
      <c r="S149" s="181"/>
      <c r="T149" s="181"/>
      <c r="U149" s="181"/>
      <c r="V149" s="181"/>
      <c r="W149" s="181"/>
      <c r="X149" s="181"/>
      <c r="Y149" s="181"/>
      <c r="Z149" s="181"/>
      <c r="AA149" s="181"/>
    </row>
    <row r="150" spans="15:27" ht="26.1" customHeight="1">
      <c r="O150" s="184"/>
      <c r="P150" s="184"/>
      <c r="Q150" s="181"/>
      <c r="R150" s="181"/>
      <c r="S150" s="181"/>
      <c r="T150" s="181"/>
      <c r="U150" s="181"/>
      <c r="V150" s="181"/>
      <c r="W150" s="181"/>
      <c r="X150" s="181"/>
      <c r="Y150" s="181"/>
      <c r="Z150" s="181"/>
      <c r="AA150" s="181"/>
    </row>
    <row r="151" spans="15:27" ht="26.1" customHeight="1">
      <c r="O151" s="184"/>
      <c r="P151" s="184"/>
      <c r="Q151" s="181"/>
      <c r="R151" s="181"/>
      <c r="S151" s="181"/>
      <c r="T151" s="181"/>
      <c r="U151" s="181"/>
      <c r="V151" s="181"/>
      <c r="W151" s="181"/>
      <c r="X151" s="181"/>
      <c r="Y151" s="181"/>
      <c r="Z151" s="181"/>
      <c r="AA151" s="181"/>
    </row>
    <row r="152" spans="15:27" ht="26.1" customHeight="1">
      <c r="O152" s="184"/>
      <c r="P152" s="184"/>
      <c r="Q152" s="181"/>
      <c r="R152" s="181"/>
      <c r="S152" s="181"/>
      <c r="T152" s="181"/>
      <c r="U152" s="181"/>
      <c r="V152" s="181"/>
      <c r="W152" s="181"/>
      <c r="X152" s="181"/>
      <c r="Y152" s="181"/>
      <c r="Z152" s="181"/>
      <c r="AA152" s="181"/>
    </row>
    <row r="153" spans="15:27" ht="26.1" customHeight="1">
      <c r="O153" s="184"/>
      <c r="P153" s="184"/>
      <c r="Q153" s="181"/>
      <c r="R153" s="181"/>
      <c r="S153" s="181"/>
      <c r="T153" s="181"/>
      <c r="U153" s="181"/>
      <c r="V153" s="181"/>
      <c r="W153" s="181"/>
      <c r="X153" s="181"/>
      <c r="Y153" s="181"/>
      <c r="Z153" s="181"/>
      <c r="AA153" s="181"/>
    </row>
    <row r="154" spans="15:27" ht="26.1" customHeight="1">
      <c r="O154" s="184"/>
      <c r="P154" s="184"/>
      <c r="Q154" s="181"/>
      <c r="R154" s="181"/>
      <c r="S154" s="181"/>
      <c r="T154" s="181"/>
      <c r="U154" s="181"/>
      <c r="V154" s="181"/>
      <c r="W154" s="181"/>
      <c r="X154" s="181"/>
      <c r="Y154" s="181"/>
      <c r="Z154" s="181"/>
      <c r="AA154" s="181"/>
    </row>
    <row r="155" spans="15:27" ht="26.1" customHeight="1">
      <c r="O155" s="184"/>
      <c r="P155" s="184"/>
      <c r="Q155" s="181"/>
      <c r="R155" s="181"/>
      <c r="S155" s="181"/>
      <c r="T155" s="181"/>
      <c r="U155" s="181"/>
      <c r="V155" s="181"/>
      <c r="W155" s="181"/>
      <c r="X155" s="181"/>
      <c r="Y155" s="181"/>
      <c r="Z155" s="181"/>
      <c r="AA155" s="181"/>
    </row>
    <row r="156" spans="15:27" ht="26.1" customHeight="1">
      <c r="O156" s="184"/>
      <c r="P156" s="184"/>
      <c r="Q156" s="181"/>
      <c r="R156" s="181"/>
      <c r="S156" s="181"/>
      <c r="T156" s="181"/>
      <c r="U156" s="181"/>
      <c r="V156" s="181"/>
      <c r="W156" s="181"/>
      <c r="X156" s="181"/>
      <c r="Y156" s="181"/>
      <c r="Z156" s="181"/>
      <c r="AA156" s="181"/>
    </row>
    <row r="157" spans="15:27" ht="26.1" customHeight="1">
      <c r="O157" s="184"/>
      <c r="P157" s="184"/>
      <c r="Q157" s="181"/>
      <c r="R157" s="181"/>
      <c r="S157" s="181"/>
      <c r="T157" s="181"/>
      <c r="U157" s="181"/>
      <c r="V157" s="181"/>
      <c r="W157" s="181"/>
      <c r="X157" s="181"/>
      <c r="Y157" s="181"/>
      <c r="Z157" s="181"/>
      <c r="AA157" s="181"/>
    </row>
    <row r="158" spans="15:27" ht="26.1" customHeight="1">
      <c r="O158" s="184"/>
      <c r="P158" s="184"/>
      <c r="Q158" s="181"/>
      <c r="R158" s="181"/>
      <c r="S158" s="181"/>
      <c r="T158" s="181"/>
      <c r="U158" s="181"/>
      <c r="V158" s="181"/>
      <c r="W158" s="181"/>
      <c r="X158" s="181"/>
      <c r="Y158" s="181"/>
      <c r="Z158" s="181"/>
      <c r="AA158" s="181"/>
    </row>
    <row r="159" spans="15:27" ht="26.1" customHeight="1">
      <c r="O159" s="184"/>
      <c r="P159" s="184"/>
      <c r="Q159" s="181"/>
      <c r="R159" s="181"/>
      <c r="S159" s="181"/>
      <c r="T159" s="181"/>
      <c r="U159" s="181"/>
      <c r="V159" s="181"/>
      <c r="W159" s="181"/>
      <c r="X159" s="181"/>
      <c r="Y159" s="181"/>
      <c r="Z159" s="181"/>
      <c r="AA159" s="181"/>
    </row>
    <row r="160" spans="15:27" ht="26.1" customHeight="1">
      <c r="O160" s="184"/>
      <c r="P160" s="184"/>
      <c r="Q160" s="181"/>
      <c r="R160" s="181"/>
      <c r="S160" s="181"/>
      <c r="T160" s="181"/>
      <c r="U160" s="181"/>
      <c r="V160" s="181"/>
      <c r="W160" s="181"/>
      <c r="X160" s="181"/>
      <c r="Y160" s="181"/>
      <c r="Z160" s="181"/>
      <c r="AA160" s="181"/>
    </row>
    <row r="161" spans="15:27" ht="26.1" customHeight="1">
      <c r="O161" s="184"/>
      <c r="P161" s="184"/>
      <c r="Q161" s="181"/>
      <c r="R161" s="181"/>
      <c r="S161" s="181"/>
      <c r="T161" s="181"/>
      <c r="U161" s="181"/>
      <c r="V161" s="181"/>
      <c r="W161" s="181"/>
      <c r="X161" s="181"/>
      <c r="Y161" s="181"/>
      <c r="Z161" s="181"/>
      <c r="AA161" s="181"/>
    </row>
    <row r="162" spans="15:27" ht="26.1" customHeight="1">
      <c r="O162" s="184"/>
      <c r="P162" s="184"/>
      <c r="Q162" s="181"/>
      <c r="R162" s="181"/>
      <c r="S162" s="181"/>
      <c r="T162" s="181"/>
      <c r="U162" s="181"/>
      <c r="V162" s="181"/>
      <c r="W162" s="181"/>
      <c r="X162" s="181"/>
      <c r="Y162" s="181"/>
      <c r="Z162" s="181"/>
      <c r="AA162" s="181"/>
    </row>
    <row r="163" spans="15:27" ht="26.1" customHeight="1">
      <c r="O163" s="1"/>
      <c r="P163" s="1"/>
    </row>
  </sheetData>
  <mergeCells count="23">
    <mergeCell ref="C72:L72"/>
    <mergeCell ref="O72:AH72"/>
    <mergeCell ref="J73:L73"/>
    <mergeCell ref="J74:L74"/>
    <mergeCell ref="C3:L3"/>
    <mergeCell ref="O3:AH3"/>
    <mergeCell ref="J4:L4"/>
    <mergeCell ref="J5:L5"/>
    <mergeCell ref="C26:L26"/>
    <mergeCell ref="O26:AH26"/>
    <mergeCell ref="J27:L27"/>
    <mergeCell ref="C49:L49"/>
    <mergeCell ref="O49:AH49"/>
    <mergeCell ref="J50:L50"/>
    <mergeCell ref="J51:L51"/>
    <mergeCell ref="J119:L119"/>
    <mergeCell ref="J120:L120"/>
    <mergeCell ref="C95:L95"/>
    <mergeCell ref="O95:AH95"/>
    <mergeCell ref="J96:L96"/>
    <mergeCell ref="J97:L97"/>
    <mergeCell ref="C118:L118"/>
    <mergeCell ref="O118:AH118"/>
  </mergeCells>
  <phoneticPr fontId="2"/>
  <dataValidations count="1">
    <dataValidation type="list" allowBlank="1" showInputMessage="1" showErrorMessage="1" prompt="費用/建物附属設備/工具・器具・備品の場合、選択してください。" sqref="N121:N138 N75:N92 N98:N115" xr:uid="{00000000-0002-0000-15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98425196850393704" right="0.39370078740157499" top="0.78740157480314998" bottom="0.78740157480314998" header="0.51181102362204722" footer="0.51181102362204722"/>
  <pageSetup paperSize="9" scale="22" orientation="portrait" r:id="rId1"/>
  <headerFooter alignWithMargins="0"/>
  <rowBreaks count="1" manualBreakCount="1">
    <brk id="2" max="16383"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E29"/>
  <sheetViews>
    <sheetView view="pageBreakPreview" topLeftCell="B7" zoomScaleNormal="100" zoomScaleSheetLayoutView="100" workbookViewId="0">
      <selection activeCell="B7" sqref="A1:XFD1048576"/>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工事8!C2</f>
        <v>イ)6号線堺筋本町駅の部-床仕上改造その他工事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144951.9</v>
      </c>
      <c r="O2" s="2750" t="s">
        <v>4315</v>
      </c>
      <c r="P2" s="2751"/>
      <c r="Q2" s="2751"/>
      <c r="R2" s="2752"/>
      <c r="S2" s="294">
        <f>+P9+T9+X9</f>
        <v>0</v>
      </c>
      <c r="T2" s="295">
        <f>+Q9+U9+Y9</f>
        <v>0</v>
      </c>
      <c r="U2" s="295">
        <f>+R9+V9+Z9</f>
        <v>0</v>
      </c>
      <c r="V2" s="296">
        <f>+S9+W9+AA9</f>
        <v>144951.9</v>
      </c>
      <c r="W2" s="277"/>
    </row>
    <row r="3" spans="1:31" ht="15" customHeight="1">
      <c r="B3" s="142"/>
      <c r="E3" s="278"/>
      <c r="G3" s="2753" t="s">
        <v>4316</v>
      </c>
      <c r="H3" s="2754"/>
      <c r="I3" s="2754"/>
      <c r="J3" s="2755"/>
      <c r="K3" s="297">
        <f>+H9</f>
        <v>0</v>
      </c>
      <c r="L3" s="298">
        <f>+I9</f>
        <v>0</v>
      </c>
      <c r="M3" s="298">
        <f>+J9</f>
        <v>0</v>
      </c>
      <c r="N3" s="299">
        <f>+K9</f>
        <v>0</v>
      </c>
      <c r="O3" s="2756" t="s">
        <v>4317</v>
      </c>
      <c r="P3" s="2757"/>
      <c r="Q3" s="2757"/>
      <c r="R3" s="2758"/>
      <c r="S3" s="297">
        <f>+P9</f>
        <v>0</v>
      </c>
      <c r="T3" s="298">
        <f>+Q9</f>
        <v>0</v>
      </c>
      <c r="U3" s="298">
        <f>+R9</f>
        <v>0</v>
      </c>
      <c r="V3" s="299">
        <f>+S9</f>
        <v>144951.9</v>
      </c>
      <c r="W3" s="277"/>
    </row>
    <row r="4" spans="1:31" ht="15" customHeight="1">
      <c r="B4" s="142"/>
      <c r="E4" s="278"/>
      <c r="G4" s="2753" t="s">
        <v>4318</v>
      </c>
      <c r="H4" s="2754"/>
      <c r="I4" s="2754"/>
      <c r="J4" s="2755"/>
      <c r="K4" s="297">
        <f>+L9</f>
        <v>0</v>
      </c>
      <c r="L4" s="298">
        <f>+M9</f>
        <v>0</v>
      </c>
      <c r="M4" s="298">
        <f>+N9</f>
        <v>0</v>
      </c>
      <c r="N4" s="299">
        <f>+O9</f>
        <v>144951.9</v>
      </c>
      <c r="O4" s="2756" t="s">
        <v>4319</v>
      </c>
      <c r="P4" s="2757"/>
      <c r="Q4" s="2757"/>
      <c r="R4" s="2758"/>
      <c r="S4" s="297">
        <f>+T9</f>
        <v>0</v>
      </c>
      <c r="T4" s="298">
        <f>+U9</f>
        <v>0</v>
      </c>
      <c r="U4" s="298">
        <f>+V9</f>
        <v>0</v>
      </c>
      <c r="V4" s="299">
        <f>+W9</f>
        <v>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SUM(H10:H16)</f>
        <v>0</v>
      </c>
      <c r="I9" s="159">
        <f t="shared" si="0"/>
        <v>0</v>
      </c>
      <c r="J9" s="159">
        <f t="shared" si="0"/>
        <v>0</v>
      </c>
      <c r="K9" s="160">
        <f t="shared" si="0"/>
        <v>0</v>
      </c>
      <c r="L9" s="158">
        <f t="shared" si="0"/>
        <v>0</v>
      </c>
      <c r="M9" s="159">
        <f t="shared" si="0"/>
        <v>0</v>
      </c>
      <c r="N9" s="159">
        <f t="shared" si="0"/>
        <v>0</v>
      </c>
      <c r="O9" s="160">
        <f t="shared" si="0"/>
        <v>144951.9</v>
      </c>
      <c r="P9" s="158">
        <f t="shared" si="0"/>
        <v>0</v>
      </c>
      <c r="Q9" s="159">
        <f t="shared" si="0"/>
        <v>0</v>
      </c>
      <c r="R9" s="159">
        <f t="shared" si="0"/>
        <v>0</v>
      </c>
      <c r="S9" s="160">
        <f t="shared" si="0"/>
        <v>144951.9</v>
      </c>
      <c r="T9" s="159">
        <f t="shared" si="0"/>
        <v>0</v>
      </c>
      <c r="U9" s="159">
        <f t="shared" si="0"/>
        <v>0</v>
      </c>
      <c r="V9" s="159">
        <f t="shared" si="0"/>
        <v>0</v>
      </c>
      <c r="W9" s="160">
        <f t="shared" si="0"/>
        <v>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4346</v>
      </c>
      <c r="C11" s="153" t="s">
        <v>4347</v>
      </c>
      <c r="D11" s="154">
        <v>1725</v>
      </c>
      <c r="E11" s="155">
        <v>80</v>
      </c>
      <c r="F11" s="1916">
        <v>0</v>
      </c>
      <c r="G11" s="336">
        <v>0</v>
      </c>
      <c r="H11" s="161"/>
      <c r="I11" s="162"/>
      <c r="J11" s="162"/>
      <c r="K11" s="163"/>
      <c r="L11" s="161"/>
      <c r="M11" s="162"/>
      <c r="N11" s="162"/>
      <c r="O11" s="163">
        <f>D11*(E11+F11+G11)</f>
        <v>138000</v>
      </c>
      <c r="P11" s="161"/>
      <c r="Q11" s="162"/>
      <c r="R11" s="162"/>
      <c r="S11" s="163">
        <f>D11*E11</f>
        <v>138000</v>
      </c>
      <c r="T11" s="161"/>
      <c r="U11" s="162"/>
      <c r="V11" s="162"/>
      <c r="W11" s="163">
        <f>D11*F11</f>
        <v>0</v>
      </c>
      <c r="X11" s="161"/>
      <c r="Y11" s="162"/>
      <c r="Z11" s="162"/>
      <c r="AA11" s="163">
        <f>D11*G11</f>
        <v>0</v>
      </c>
    </row>
    <row r="12" spans="1:31" s="140" customFormat="1" ht="11.25" customHeight="1">
      <c r="B12" s="152" t="s">
        <v>4346</v>
      </c>
      <c r="C12" s="153" t="s">
        <v>4347</v>
      </c>
      <c r="D12" s="154">
        <v>82.3</v>
      </c>
      <c r="E12" s="155">
        <v>80</v>
      </c>
      <c r="F12" s="1916">
        <v>0</v>
      </c>
      <c r="G12" s="336">
        <v>0</v>
      </c>
      <c r="H12" s="161"/>
      <c r="I12" s="162"/>
      <c r="J12" s="162"/>
      <c r="K12" s="163"/>
      <c r="L12" s="161"/>
      <c r="M12" s="162"/>
      <c r="N12" s="162"/>
      <c r="O12" s="163">
        <f>D12*(E12+F12+G12)</f>
        <v>6584</v>
      </c>
      <c r="P12" s="161"/>
      <c r="Q12" s="162"/>
      <c r="R12" s="162"/>
      <c r="S12" s="163">
        <f>D12*E12</f>
        <v>6584</v>
      </c>
      <c r="T12" s="161"/>
      <c r="U12" s="162"/>
      <c r="V12" s="162"/>
      <c r="W12" s="163">
        <f>D12*F12</f>
        <v>0</v>
      </c>
      <c r="X12" s="161"/>
      <c r="Y12" s="162"/>
      <c r="Z12" s="162"/>
      <c r="AA12" s="163">
        <f>D12*G12</f>
        <v>0</v>
      </c>
    </row>
    <row r="13" spans="1:31" s="140" customFormat="1" ht="11.25" customHeight="1">
      <c r="B13" s="152" t="s">
        <v>4348</v>
      </c>
      <c r="C13" s="153" t="s">
        <v>4351</v>
      </c>
      <c r="D13" s="154">
        <v>283</v>
      </c>
      <c r="E13" s="155">
        <v>1.3</v>
      </c>
      <c r="F13" s="1916">
        <v>0</v>
      </c>
      <c r="G13" s="336">
        <v>0</v>
      </c>
      <c r="H13" s="161"/>
      <c r="I13" s="162"/>
      <c r="J13" s="162"/>
      <c r="K13" s="163"/>
      <c r="L13" s="161"/>
      <c r="M13" s="162"/>
      <c r="N13" s="162"/>
      <c r="O13" s="163">
        <f>D13*(E13+F13+G13)</f>
        <v>367.90000000000003</v>
      </c>
      <c r="P13" s="161"/>
      <c r="Q13" s="162"/>
      <c r="R13" s="162"/>
      <c r="S13" s="163">
        <f>D13*E13</f>
        <v>367.90000000000003</v>
      </c>
      <c r="T13" s="161"/>
      <c r="U13" s="162"/>
      <c r="V13" s="162"/>
      <c r="W13" s="163">
        <f>D13*F13</f>
        <v>0</v>
      </c>
      <c r="X13" s="161"/>
      <c r="Y13" s="162"/>
      <c r="Z13" s="162"/>
      <c r="AA13" s="163">
        <f>D13*G13</f>
        <v>0</v>
      </c>
    </row>
    <row r="14" spans="1:31" s="140" customFormat="1" ht="11.25" customHeight="1">
      <c r="B14" s="152"/>
      <c r="C14" s="153"/>
      <c r="D14" s="154"/>
      <c r="E14" s="155"/>
      <c r="F14" s="1916"/>
      <c r="G14" s="336"/>
      <c r="H14" s="161"/>
      <c r="I14" s="162"/>
      <c r="J14" s="162"/>
      <c r="K14" s="163"/>
      <c r="L14" s="161"/>
      <c r="M14" s="162"/>
      <c r="N14" s="162"/>
      <c r="O14" s="163"/>
      <c r="P14" s="161"/>
      <c r="Q14" s="162"/>
      <c r="R14" s="162"/>
      <c r="S14" s="163"/>
      <c r="T14" s="161"/>
      <c r="U14" s="162"/>
      <c r="V14" s="162"/>
      <c r="W14" s="163"/>
      <c r="X14" s="161"/>
      <c r="Y14" s="162"/>
      <c r="Z14" s="162"/>
      <c r="AA14" s="163"/>
    </row>
    <row r="15" spans="1:31" s="140" customFormat="1" ht="11.25" customHeight="1">
      <c r="A15" s="127" t="s">
        <v>4354</v>
      </c>
      <c r="B15" s="146"/>
      <c r="C15" s="147"/>
      <c r="D15" s="148"/>
      <c r="E15" s="156"/>
      <c r="F15" s="2434"/>
      <c r="G15" s="337"/>
      <c r="H15" s="164">
        <f>D15*E15</f>
        <v>0</v>
      </c>
      <c r="I15" s="165"/>
      <c r="J15" s="165"/>
      <c r="K15" s="166"/>
      <c r="L15" s="164"/>
      <c r="M15" s="165"/>
      <c r="N15" s="165"/>
      <c r="O15" s="166"/>
      <c r="P15" s="164"/>
      <c r="Q15" s="165"/>
      <c r="R15" s="165"/>
      <c r="S15" s="166"/>
      <c r="T15" s="164"/>
      <c r="U15" s="165"/>
      <c r="V15" s="165"/>
      <c r="W15" s="166"/>
      <c r="X15" s="164"/>
      <c r="Y15" s="165"/>
      <c r="Z15" s="165"/>
      <c r="AA15" s="166"/>
    </row>
    <row r="16" spans="1:31">
      <c r="A16" s="80"/>
      <c r="B16" s="144"/>
      <c r="C16" s="145"/>
      <c r="D16" s="151"/>
      <c r="E16" s="157"/>
      <c r="F16" s="332"/>
      <c r="G16" s="338"/>
      <c r="H16" s="167"/>
      <c r="I16" s="168"/>
      <c r="J16" s="168"/>
      <c r="K16" s="169"/>
      <c r="L16" s="167"/>
      <c r="M16" s="168"/>
      <c r="N16" s="168"/>
      <c r="O16" s="169"/>
      <c r="P16" s="167"/>
      <c r="Q16" s="168"/>
      <c r="R16" s="168"/>
      <c r="S16" s="169"/>
      <c r="T16" s="167"/>
      <c r="U16" s="168"/>
      <c r="V16" s="168"/>
      <c r="W16" s="169"/>
      <c r="X16" s="167"/>
      <c r="Y16" s="168"/>
      <c r="Z16" s="168"/>
      <c r="AA16" s="169"/>
    </row>
    <row r="17" spans="1:23" ht="15" customHeight="1">
      <c r="B17" s="143" t="s">
        <v>4355</v>
      </c>
      <c r="C17"/>
      <c r="D17"/>
      <c r="E17"/>
      <c r="F17"/>
      <c r="G17"/>
      <c r="H17"/>
      <c r="I17"/>
      <c r="J17"/>
      <c r="K17"/>
      <c r="L17"/>
      <c r="M17"/>
      <c r="N17"/>
      <c r="O17"/>
    </row>
    <row r="18" spans="1:23" ht="13.5" customHeight="1">
      <c r="B18" s="134" t="s">
        <v>4356</v>
      </c>
      <c r="C18" s="135"/>
      <c r="D18" s="136"/>
      <c r="E18" s="2738" t="s">
        <v>4357</v>
      </c>
      <c r="F18" s="2739"/>
      <c r="G18" s="2739"/>
      <c r="H18" s="2739"/>
      <c r="I18" s="2739"/>
      <c r="J18" s="2739"/>
      <c r="K18" s="2739"/>
      <c r="L18" s="2739"/>
      <c r="M18" s="2739"/>
      <c r="N18" s="2739"/>
      <c r="O18" s="2739"/>
      <c r="P18" s="2739"/>
      <c r="Q18" s="2739"/>
      <c r="R18" s="2740"/>
      <c r="S18" s="2741"/>
      <c r="T18" s="2735" t="s">
        <v>4358</v>
      </c>
      <c r="U18" s="2742"/>
      <c r="V18" s="2742"/>
      <c r="W18" s="2743"/>
    </row>
    <row r="19" spans="1:23" ht="12.75" customHeight="1">
      <c r="B19" s="192"/>
      <c r="C19" s="193"/>
      <c r="D19" s="194"/>
      <c r="E19" s="242" t="s">
        <v>4100</v>
      </c>
      <c r="F19" s="243" t="s">
        <v>4101</v>
      </c>
      <c r="G19" s="243" t="s">
        <v>4359</v>
      </c>
      <c r="H19" s="243" t="s">
        <v>4359</v>
      </c>
      <c r="I19" s="243" t="s">
        <v>4104</v>
      </c>
      <c r="J19" s="244" t="s">
        <v>4360</v>
      </c>
      <c r="K19" s="246" t="s">
        <v>4361</v>
      </c>
      <c r="L19" s="243" t="s">
        <v>4362</v>
      </c>
      <c r="M19" s="243" t="s">
        <v>4363</v>
      </c>
      <c r="N19" s="243" t="s">
        <v>4364</v>
      </c>
      <c r="O19" s="247" t="s">
        <v>4365</v>
      </c>
      <c r="P19" s="248" t="s">
        <v>4366</v>
      </c>
      <c r="Q19" s="312" t="s">
        <v>4367</v>
      </c>
      <c r="R19" s="313" t="s">
        <v>4108</v>
      </c>
      <c r="S19" s="314" t="s">
        <v>4109</v>
      </c>
      <c r="T19" s="315" t="s">
        <v>4115</v>
      </c>
      <c r="U19" s="243" t="s">
        <v>4116</v>
      </c>
      <c r="V19" s="313" t="s">
        <v>4368</v>
      </c>
      <c r="W19" s="314" t="s">
        <v>4118</v>
      </c>
    </row>
    <row r="20" spans="1:23">
      <c r="B20" s="133" t="s">
        <v>4099</v>
      </c>
      <c r="C20" s="117" t="s">
        <v>4326</v>
      </c>
      <c r="D20" s="129" t="s">
        <v>4327</v>
      </c>
      <c r="E20" s="275"/>
      <c r="F20" s="245"/>
      <c r="G20" s="245" t="s">
        <v>4369</v>
      </c>
      <c r="H20" s="245" t="s">
        <v>4370</v>
      </c>
      <c r="I20" s="245"/>
      <c r="J20" s="245" t="s">
        <v>4371</v>
      </c>
      <c r="K20" s="245" t="s">
        <v>4372</v>
      </c>
      <c r="L20" s="245"/>
      <c r="M20" s="245" t="s">
        <v>4373</v>
      </c>
      <c r="N20" s="245" t="s">
        <v>4374</v>
      </c>
      <c r="O20" s="245" t="s">
        <v>1439</v>
      </c>
      <c r="P20" s="245" t="s">
        <v>4375</v>
      </c>
      <c r="Q20" s="316" t="s">
        <v>4376</v>
      </c>
      <c r="R20" s="194" t="s">
        <v>4377</v>
      </c>
      <c r="S20" s="317" t="s">
        <v>4377</v>
      </c>
      <c r="T20" s="318"/>
      <c r="U20" s="193"/>
      <c r="V20" s="319"/>
      <c r="W20" s="317"/>
    </row>
    <row r="21" spans="1:23" s="140" customFormat="1" ht="15.75" customHeight="1">
      <c r="A21" s="137"/>
      <c r="B21" s="138"/>
      <c r="C21" s="139"/>
      <c r="D21" s="141"/>
      <c r="E21" s="158">
        <f t="shared" ref="E21:W21" si="1">SUM(E22:E32)</f>
        <v>108438</v>
      </c>
      <c r="F21" s="159">
        <f t="shared" si="1"/>
        <v>0</v>
      </c>
      <c r="G21" s="159">
        <f t="shared" si="1"/>
        <v>0</v>
      </c>
      <c r="H21" s="159">
        <f t="shared" si="1"/>
        <v>0</v>
      </c>
      <c r="I21" s="159">
        <f t="shared" si="1"/>
        <v>367.90000000000003</v>
      </c>
      <c r="J21" s="159">
        <f t="shared" si="1"/>
        <v>36146</v>
      </c>
      <c r="K21" s="159">
        <f t="shared" si="1"/>
        <v>0</v>
      </c>
      <c r="L21" s="159">
        <f t="shared" si="1"/>
        <v>0</v>
      </c>
      <c r="M21" s="159">
        <f t="shared" si="1"/>
        <v>0</v>
      </c>
      <c r="N21" s="159">
        <f t="shared" si="1"/>
        <v>0</v>
      </c>
      <c r="O21" s="276">
        <f t="shared" si="1"/>
        <v>0</v>
      </c>
      <c r="P21" s="159">
        <f t="shared" si="1"/>
        <v>0</v>
      </c>
      <c r="Q21" s="320">
        <f t="shared" si="1"/>
        <v>0</v>
      </c>
      <c r="R21" s="159">
        <f t="shared" si="1"/>
        <v>0</v>
      </c>
      <c r="S21" s="160">
        <f t="shared" si="1"/>
        <v>0</v>
      </c>
      <c r="T21" s="323">
        <f t="shared" si="1"/>
        <v>0</v>
      </c>
      <c r="U21" s="159">
        <f t="shared" si="1"/>
        <v>0</v>
      </c>
      <c r="V21" s="320">
        <f t="shared" si="1"/>
        <v>0</v>
      </c>
      <c r="W21" s="160">
        <f t="shared" si="1"/>
        <v>0</v>
      </c>
    </row>
    <row r="22" spans="1:23" s="140" customFormat="1" ht="11.25" customHeight="1">
      <c r="B22" s="146"/>
      <c r="C22" s="147"/>
      <c r="D22" s="148"/>
      <c r="E22" s="164"/>
      <c r="F22" s="165"/>
      <c r="G22" s="165"/>
      <c r="H22" s="165"/>
      <c r="I22" s="165"/>
      <c r="J22" s="165"/>
      <c r="K22" s="165"/>
      <c r="L22" s="165"/>
      <c r="M22" s="165"/>
      <c r="N22" s="165"/>
      <c r="O22" s="249"/>
      <c r="P22" s="165"/>
      <c r="Q22" s="321"/>
      <c r="R22" s="165"/>
      <c r="S22" s="166"/>
      <c r="T22" s="324"/>
      <c r="U22" s="165"/>
      <c r="V22" s="321"/>
      <c r="W22" s="327"/>
    </row>
    <row r="23" spans="1:23" s="140" customFormat="1" ht="11.25" customHeight="1">
      <c r="B23" s="146" t="s">
        <v>4346</v>
      </c>
      <c r="C23" s="147" t="s">
        <v>4347</v>
      </c>
      <c r="D23" s="148">
        <v>1725</v>
      </c>
      <c r="E23" s="164">
        <f>D23*60</f>
        <v>103500</v>
      </c>
      <c r="F23" s="165"/>
      <c r="G23" s="165"/>
      <c r="H23" s="165"/>
      <c r="I23" s="165"/>
      <c r="J23" s="165">
        <f>D23*20</f>
        <v>34500</v>
      </c>
      <c r="K23" s="165"/>
      <c r="L23" s="165"/>
      <c r="M23" s="165"/>
      <c r="N23" s="165"/>
      <c r="O23" s="249"/>
      <c r="P23" s="165"/>
      <c r="Q23" s="321"/>
      <c r="R23" s="165"/>
      <c r="S23" s="166"/>
      <c r="T23" s="324"/>
      <c r="U23" s="165"/>
      <c r="V23" s="321"/>
      <c r="W23" s="327"/>
    </row>
    <row r="24" spans="1:23" s="140" customFormat="1" ht="11.25" customHeight="1">
      <c r="B24" s="146" t="s">
        <v>4346</v>
      </c>
      <c r="C24" s="147" t="s">
        <v>4347</v>
      </c>
      <c r="D24" s="148">
        <v>82.3</v>
      </c>
      <c r="E24" s="164">
        <f>D24*60</f>
        <v>4938</v>
      </c>
      <c r="F24" s="165"/>
      <c r="G24" s="165"/>
      <c r="H24" s="165"/>
      <c r="I24" s="165"/>
      <c r="J24" s="165">
        <f>D24*20</f>
        <v>1646</v>
      </c>
      <c r="K24" s="165"/>
      <c r="L24" s="165"/>
      <c r="M24" s="165"/>
      <c r="N24" s="165"/>
      <c r="O24" s="249"/>
      <c r="P24" s="165"/>
      <c r="Q24" s="321"/>
      <c r="R24" s="165"/>
      <c r="S24" s="166"/>
      <c r="T24" s="324"/>
      <c r="U24" s="165"/>
      <c r="V24" s="321"/>
      <c r="W24" s="327"/>
    </row>
    <row r="25" spans="1:23" s="140" customFormat="1" ht="11.25" customHeight="1">
      <c r="B25" s="146" t="s">
        <v>4348</v>
      </c>
      <c r="C25" s="147" t="s">
        <v>4351</v>
      </c>
      <c r="D25" s="148">
        <v>283</v>
      </c>
      <c r="E25" s="164"/>
      <c r="F25" s="165"/>
      <c r="G25" s="165"/>
      <c r="H25" s="165"/>
      <c r="I25" s="165">
        <f>D25*1.3</f>
        <v>367.90000000000003</v>
      </c>
      <c r="J25" s="165"/>
      <c r="K25" s="165"/>
      <c r="L25" s="165"/>
      <c r="M25" s="165"/>
      <c r="N25" s="165"/>
      <c r="O25" s="249"/>
      <c r="P25" s="165"/>
      <c r="Q25" s="321"/>
      <c r="R25" s="165"/>
      <c r="S25" s="166"/>
      <c r="T25" s="324"/>
      <c r="U25" s="165"/>
      <c r="V25" s="321"/>
      <c r="W25" s="327"/>
    </row>
    <row r="26" spans="1:23" s="140" customFormat="1" ht="11.25" customHeight="1">
      <c r="B26" s="146"/>
      <c r="C26" s="147"/>
      <c r="D26" s="148"/>
      <c r="E26" s="164"/>
      <c r="F26" s="165"/>
      <c r="G26" s="165"/>
      <c r="H26" s="165"/>
      <c r="I26" s="165"/>
      <c r="J26" s="165"/>
      <c r="K26" s="165"/>
      <c r="L26" s="165"/>
      <c r="M26" s="165"/>
      <c r="N26" s="165"/>
      <c r="O26" s="249"/>
      <c r="P26" s="165"/>
      <c r="Q26" s="321"/>
      <c r="R26" s="165"/>
      <c r="S26" s="166"/>
      <c r="T26" s="324"/>
      <c r="U26" s="165"/>
      <c r="V26" s="321"/>
      <c r="W26" s="327"/>
    </row>
    <row r="27" spans="1:23" s="140" customFormat="1" ht="11.25" customHeight="1">
      <c r="A27" s="127" t="s">
        <v>4378</v>
      </c>
      <c r="B27" s="146"/>
      <c r="C27" s="147"/>
      <c r="D27" s="148"/>
      <c r="E27" s="164"/>
      <c r="F27" s="165"/>
      <c r="G27" s="165"/>
      <c r="H27" s="165"/>
      <c r="I27" s="165"/>
      <c r="J27" s="165"/>
      <c r="K27" s="165"/>
      <c r="L27" s="165"/>
      <c r="M27" s="165"/>
      <c r="N27" s="165"/>
      <c r="O27" s="249"/>
      <c r="P27" s="165"/>
      <c r="Q27" s="321"/>
      <c r="R27" s="165"/>
      <c r="S27" s="166"/>
      <c r="T27" s="324"/>
      <c r="U27" s="165">
        <f>$D27*O27</f>
        <v>0</v>
      </c>
      <c r="V27" s="321">
        <f>$D27*P27</f>
        <v>0</v>
      </c>
      <c r="W27" s="329"/>
    </row>
    <row r="28" spans="1:23">
      <c r="A28" s="80"/>
      <c r="B28" s="144"/>
      <c r="C28" s="145"/>
      <c r="D28" s="151"/>
      <c r="E28" s="167"/>
      <c r="F28" s="168"/>
      <c r="G28" s="168"/>
      <c r="H28" s="250"/>
      <c r="I28" s="250"/>
      <c r="J28" s="250"/>
      <c r="K28" s="250"/>
      <c r="L28" s="250"/>
      <c r="M28" s="250"/>
      <c r="N28" s="250"/>
      <c r="O28" s="250"/>
      <c r="P28" s="250"/>
      <c r="Q28" s="322"/>
      <c r="R28" s="168"/>
      <c r="S28" s="169"/>
      <c r="T28" s="325"/>
      <c r="U28" s="168">
        <f>$D28*O28</f>
        <v>0</v>
      </c>
      <c r="V28" s="326">
        <f>$D28*P28</f>
        <v>0</v>
      </c>
      <c r="W28" s="328"/>
    </row>
    <row r="29" spans="1:23">
      <c r="E29" s="80"/>
    </row>
  </sheetData>
  <mergeCells count="15">
    <mergeCell ref="G2:J2"/>
    <mergeCell ref="O2:R2"/>
    <mergeCell ref="G3:J3"/>
    <mergeCell ref="O3:R3"/>
    <mergeCell ref="G4:J4"/>
    <mergeCell ref="O4:R4"/>
    <mergeCell ref="X7:AA7"/>
    <mergeCell ref="E18:S18"/>
    <mergeCell ref="T18:W18"/>
    <mergeCell ref="G5:J5"/>
    <mergeCell ref="O5:R5"/>
    <mergeCell ref="H7:K7"/>
    <mergeCell ref="L7:O7"/>
    <mergeCell ref="P7:S7"/>
    <mergeCell ref="T7:W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dimension ref="A1:Q279"/>
  <sheetViews>
    <sheetView view="pageBreakPreview" topLeftCell="A269" zoomScale="80" zoomScaleNormal="85" zoomScaleSheetLayoutView="80" workbookViewId="0">
      <selection activeCell="L285" sqref="L285"/>
    </sheetView>
  </sheetViews>
  <sheetFormatPr defaultColWidth="9" defaultRowHeight="20.100000000000001" customHeight="1"/>
  <cols>
    <col min="1" max="1" width="6.125" style="172" customWidth="1"/>
    <col min="2" max="3" width="4.125" style="172" customWidth="1"/>
    <col min="4" max="4" width="24" style="173" customWidth="1"/>
    <col min="5" max="5" width="21.125" style="173" customWidth="1"/>
    <col min="6" max="6" width="4.625" style="173" customWidth="1"/>
    <col min="7" max="7" width="4.375" style="172" customWidth="1"/>
    <col min="8" max="15" width="9.125" style="174" customWidth="1"/>
    <col min="16" max="16" width="9.125" style="173" bestFit="1" customWidth="1"/>
    <col min="17" max="17" width="5.875" style="173" customWidth="1"/>
    <col min="18" max="20" width="10.625" style="173" customWidth="1"/>
    <col min="21" max="16384" width="9" style="173"/>
  </cols>
  <sheetData>
    <row r="1" spans="1:17" s="18" customFormat="1" ht="20.100000000000001" customHeight="1" thickBot="1">
      <c r="A1" s="2791" t="s">
        <v>4468</v>
      </c>
      <c r="B1" s="2791"/>
      <c r="C1" s="2791"/>
      <c r="D1" s="2791"/>
      <c r="E1" s="2791"/>
      <c r="F1" s="2791"/>
      <c r="G1" s="2791"/>
      <c r="H1" s="2791"/>
      <c r="I1" s="2791"/>
      <c r="J1" s="2791"/>
      <c r="K1" s="2791"/>
      <c r="L1" s="2791"/>
      <c r="M1" s="2791"/>
      <c r="N1" s="22" t="s">
        <v>4469</v>
      </c>
      <c r="O1" s="175">
        <v>0.6</v>
      </c>
      <c r="P1" s="18" t="s">
        <v>4470</v>
      </c>
      <c r="Q1" s="1">
        <f>VLOOKUP("EOL",$N$28:$O$65788,2,FALSE)</f>
        <v>10</v>
      </c>
    </row>
    <row r="2" spans="1:17" s="22" customFormat="1" ht="20.100000000000001" customHeight="1">
      <c r="A2" s="19"/>
      <c r="B2" s="20" t="s">
        <v>4471</v>
      </c>
      <c r="C2" s="21" t="s">
        <v>4472</v>
      </c>
      <c r="D2" s="21"/>
      <c r="E2" s="73"/>
      <c r="F2" s="53"/>
      <c r="G2" s="68"/>
      <c r="H2" s="2792" t="s">
        <v>4473</v>
      </c>
      <c r="I2" s="2793"/>
      <c r="J2" s="2793" t="s">
        <v>4474</v>
      </c>
      <c r="K2" s="2794"/>
      <c r="L2" s="2793" t="s">
        <v>4475</v>
      </c>
      <c r="M2" s="2795"/>
      <c r="N2" s="2789" t="str">
        <f>IF(G56="",IF(O27=I27,H2,IF(O27=K27,J2,L2)),N30)</f>
        <v>A:㈱LIXIL</v>
      </c>
      <c r="O2" s="2790"/>
    </row>
    <row r="3" spans="1:17" s="22" customFormat="1" ht="20.100000000000001" customHeight="1" thickBot="1">
      <c r="A3" s="23" t="s">
        <v>4476</v>
      </c>
      <c r="B3" s="24" t="s">
        <v>4477</v>
      </c>
      <c r="C3" s="25" t="s">
        <v>4477</v>
      </c>
      <c r="D3" s="25" t="s">
        <v>4478</v>
      </c>
      <c r="E3" s="74" t="s">
        <v>4479</v>
      </c>
      <c r="F3" s="54" t="s">
        <v>4327</v>
      </c>
      <c r="G3" s="69" t="s">
        <v>4480</v>
      </c>
      <c r="H3" s="59" t="s">
        <v>4481</v>
      </c>
      <c r="I3" s="60" t="s">
        <v>4482</v>
      </c>
      <c r="J3" s="61" t="s">
        <v>4481</v>
      </c>
      <c r="K3" s="60" t="s">
        <v>4482</v>
      </c>
      <c r="L3" s="61" t="s">
        <v>4481</v>
      </c>
      <c r="M3" s="60" t="s">
        <v>4482</v>
      </c>
      <c r="N3" s="59" t="s">
        <v>4483</v>
      </c>
      <c r="O3" s="78" t="s">
        <v>4484</v>
      </c>
    </row>
    <row r="4" spans="1:17" s="18" customFormat="1" ht="20.100000000000001" customHeight="1">
      <c r="A4" s="50"/>
      <c r="B4" s="85"/>
      <c r="C4" s="86"/>
      <c r="D4" s="380" t="s">
        <v>4485</v>
      </c>
      <c r="E4" s="214"/>
      <c r="F4" s="55"/>
      <c r="G4" s="70"/>
      <c r="H4" s="359"/>
      <c r="I4" s="360" t="str">
        <f t="shared" ref="I4:I26" si="0">IF(H4="","",ROUNDDOWN(H4*F4,0))</f>
        <v/>
      </c>
      <c r="J4" s="367"/>
      <c r="K4" s="360" t="str">
        <f t="shared" ref="K4:K26" si="1">IF(J4="","",ROUNDDOWN(J4*$F4,0))</f>
        <v/>
      </c>
      <c r="L4" s="367"/>
      <c r="M4" s="371" t="str">
        <f t="shared" ref="M4:M26" si="2">IF(L4="","",ROUNDDOWN(L4*$F4,0))</f>
        <v/>
      </c>
      <c r="N4" s="359" t="str">
        <f>IF(F4="","",INT(HLOOKUP(N2,H2:M26,3,FALSE)*O1))</f>
        <v/>
      </c>
      <c r="O4" s="375" t="str">
        <f t="shared" ref="O4:O26" si="3">IF(N4="","",IF(N4&lt;10,INT(N4),IF(N4&lt;10000,ROUNDDOWN(N4,-1),ROUNDDOWN(N4,-2))))</f>
        <v/>
      </c>
    </row>
    <row r="5" spans="1:17" s="18" customFormat="1" ht="20.100000000000001" customHeight="1">
      <c r="A5" s="51">
        <v>300</v>
      </c>
      <c r="B5" s="87">
        <v>4</v>
      </c>
      <c r="C5" s="88">
        <v>4</v>
      </c>
      <c r="D5" s="381" t="s">
        <v>4486</v>
      </c>
      <c r="E5" s="224" t="s">
        <v>4487</v>
      </c>
      <c r="F5" s="57">
        <v>39.700000000000003</v>
      </c>
      <c r="G5" s="71" t="s">
        <v>4449</v>
      </c>
      <c r="H5" s="361">
        <f>51800+(8722070/(95192950-8722070))*51800</f>
        <v>57024.917637012601</v>
      </c>
      <c r="I5" s="362">
        <f t="shared" si="0"/>
        <v>2263889</v>
      </c>
      <c r="J5" s="368"/>
      <c r="K5" s="362" t="str">
        <f t="shared" si="1"/>
        <v/>
      </c>
      <c r="L5" s="368"/>
      <c r="M5" s="372" t="str">
        <f t="shared" si="2"/>
        <v/>
      </c>
      <c r="N5" s="361">
        <f>IF(F5="","",INT(HLOOKUP(N2,H2:M26,4,FALSE)*O1))</f>
        <v>34214</v>
      </c>
      <c r="O5" s="376">
        <f t="shared" si="3"/>
        <v>34200</v>
      </c>
    </row>
    <row r="6" spans="1:17" s="18" customFormat="1" ht="20.100000000000001" customHeight="1">
      <c r="A6" s="51"/>
      <c r="B6" s="87"/>
      <c r="C6" s="88"/>
      <c r="D6" s="382"/>
      <c r="E6" s="224"/>
      <c r="F6" s="57"/>
      <c r="G6" s="71"/>
      <c r="H6" s="361"/>
      <c r="I6" s="362" t="str">
        <f t="shared" si="0"/>
        <v/>
      </c>
      <c r="J6" s="368"/>
      <c r="K6" s="362" t="str">
        <f t="shared" si="1"/>
        <v/>
      </c>
      <c r="L6" s="368"/>
      <c r="M6" s="372" t="str">
        <f t="shared" si="2"/>
        <v/>
      </c>
      <c r="N6" s="361" t="str">
        <f>IF(F6="","",INT(HLOOKUP(N2,H2:M26,5,FALSE)*O1))</f>
        <v/>
      </c>
      <c r="O6" s="376" t="str">
        <f t="shared" si="3"/>
        <v/>
      </c>
    </row>
    <row r="7" spans="1:17" s="18" customFormat="1" ht="20.100000000000001" customHeight="1">
      <c r="A7" s="1892"/>
      <c r="B7" s="1893">
        <v>4</v>
      </c>
      <c r="C7" s="1894">
        <v>4</v>
      </c>
      <c r="D7" s="1895" t="s">
        <v>4488</v>
      </c>
      <c r="E7" s="1896" t="s">
        <v>4489</v>
      </c>
      <c r="F7" s="1897">
        <v>105</v>
      </c>
      <c r="G7" s="1898" t="s">
        <v>4449</v>
      </c>
      <c r="H7" s="1899"/>
      <c r="I7" s="1900" t="str">
        <f t="shared" si="0"/>
        <v/>
      </c>
      <c r="J7" s="368"/>
      <c r="K7" s="362" t="str">
        <f t="shared" si="1"/>
        <v/>
      </c>
      <c r="L7" s="368"/>
      <c r="M7" s="372" t="str">
        <f t="shared" si="2"/>
        <v/>
      </c>
      <c r="N7" s="361">
        <f>IF(F7="","",INT(HLOOKUP(N2,H2:M26,6,FALSE)*O1))</f>
        <v>0</v>
      </c>
      <c r="O7" s="376">
        <f t="shared" si="3"/>
        <v>0</v>
      </c>
    </row>
    <row r="8" spans="1:17" s="18" customFormat="1" ht="20.100000000000001" customHeight="1">
      <c r="A8" s="51"/>
      <c r="B8" s="87"/>
      <c r="C8" s="88"/>
      <c r="D8" s="381"/>
      <c r="E8" s="224"/>
      <c r="F8" s="57"/>
      <c r="G8" s="71"/>
      <c r="H8" s="361"/>
      <c r="I8" s="362" t="str">
        <f t="shared" si="0"/>
        <v/>
      </c>
      <c r="J8" s="368"/>
      <c r="K8" s="362" t="str">
        <f t="shared" si="1"/>
        <v/>
      </c>
      <c r="L8" s="368"/>
      <c r="M8" s="372" t="str">
        <f t="shared" si="2"/>
        <v/>
      </c>
      <c r="N8" s="361" t="str">
        <f>IF(F8="","",INT(HLOOKUP(N2,H2:M26,7,FALSE)*O1))</f>
        <v/>
      </c>
      <c r="O8" s="376" t="str">
        <f t="shared" si="3"/>
        <v/>
      </c>
    </row>
    <row r="9" spans="1:17" s="18" customFormat="1" ht="20.100000000000001" customHeight="1">
      <c r="A9" s="51">
        <v>302</v>
      </c>
      <c r="B9" s="87">
        <v>4</v>
      </c>
      <c r="C9" s="88">
        <v>4</v>
      </c>
      <c r="D9" s="381" t="s">
        <v>4490</v>
      </c>
      <c r="E9" s="224" t="s">
        <v>4487</v>
      </c>
      <c r="F9" s="57">
        <v>39.9</v>
      </c>
      <c r="G9" s="71" t="s">
        <v>4449</v>
      </c>
      <c r="H9" s="361">
        <f>51800+(8722070/(95192950-8722070))*51800</f>
        <v>57024.917637012601</v>
      </c>
      <c r="I9" s="362">
        <f t="shared" si="0"/>
        <v>2275294</v>
      </c>
      <c r="J9" s="368"/>
      <c r="K9" s="362" t="str">
        <f t="shared" si="1"/>
        <v/>
      </c>
      <c r="L9" s="368"/>
      <c r="M9" s="372" t="str">
        <f t="shared" si="2"/>
        <v/>
      </c>
      <c r="N9" s="361">
        <f>IF(F9="","",INT(HLOOKUP(N2,H2:M26,8,FALSE)*O1))</f>
        <v>34214</v>
      </c>
      <c r="O9" s="376">
        <f t="shared" si="3"/>
        <v>34200</v>
      </c>
    </row>
    <row r="10" spans="1:17" s="18" customFormat="1" ht="20.100000000000001" customHeight="1">
      <c r="A10" s="51"/>
      <c r="B10" s="87"/>
      <c r="C10" s="88"/>
      <c r="D10" s="381"/>
      <c r="E10" s="224"/>
      <c r="F10" s="57"/>
      <c r="G10" s="71"/>
      <c r="H10" s="361"/>
      <c r="I10" s="362" t="str">
        <f t="shared" si="0"/>
        <v/>
      </c>
      <c r="J10" s="368"/>
      <c r="K10" s="362" t="str">
        <f t="shared" si="1"/>
        <v/>
      </c>
      <c r="L10" s="368"/>
      <c r="M10" s="372" t="str">
        <f t="shared" si="2"/>
        <v/>
      </c>
      <c r="N10" s="361" t="str">
        <f>IF(F10="","",INT(HLOOKUP(N2,H2:M26,9,FALSE)*O1))</f>
        <v/>
      </c>
      <c r="O10" s="376" t="str">
        <f t="shared" si="3"/>
        <v/>
      </c>
    </row>
    <row r="11" spans="1:17" s="18" customFormat="1" ht="20.100000000000001" customHeight="1">
      <c r="A11" s="51">
        <v>303</v>
      </c>
      <c r="B11" s="87">
        <v>4</v>
      </c>
      <c r="C11" s="88">
        <v>4</v>
      </c>
      <c r="D11" s="381" t="s">
        <v>4486</v>
      </c>
      <c r="E11" s="224" t="s">
        <v>4491</v>
      </c>
      <c r="F11" s="57">
        <v>1350</v>
      </c>
      <c r="G11" s="71" t="s">
        <v>4449</v>
      </c>
      <c r="H11" s="361">
        <f>51800+(8722070/(95192950-8722070))*51800</f>
        <v>57024.917637012601</v>
      </c>
      <c r="I11" s="362">
        <f t="shared" si="0"/>
        <v>76983638</v>
      </c>
      <c r="J11" s="368"/>
      <c r="K11" s="362" t="str">
        <f t="shared" si="1"/>
        <v/>
      </c>
      <c r="L11" s="368"/>
      <c r="M11" s="372" t="str">
        <f t="shared" si="2"/>
        <v/>
      </c>
      <c r="N11" s="361">
        <f>IF(F11="","",INT(HLOOKUP(N2,H2:M26,10,FALSE)*O1))</f>
        <v>34214</v>
      </c>
      <c r="O11" s="376">
        <f t="shared" si="3"/>
        <v>34200</v>
      </c>
    </row>
    <row r="12" spans="1:17" s="18" customFormat="1" ht="20.100000000000001" customHeight="1">
      <c r="A12" s="51"/>
      <c r="B12" s="87"/>
      <c r="C12" s="88"/>
      <c r="D12" s="381"/>
      <c r="E12" s="224"/>
      <c r="F12" s="57"/>
      <c r="G12" s="71"/>
      <c r="H12" s="361"/>
      <c r="I12" s="362" t="str">
        <f t="shared" si="0"/>
        <v/>
      </c>
      <c r="J12" s="368"/>
      <c r="K12" s="362" t="str">
        <f t="shared" si="1"/>
        <v/>
      </c>
      <c r="L12" s="368"/>
      <c r="M12" s="372" t="str">
        <f t="shared" si="2"/>
        <v/>
      </c>
      <c r="N12" s="361" t="str">
        <f>IF(F12="","",INT(HLOOKUP(N2,H2:M26,11,FALSE)*O1))</f>
        <v/>
      </c>
      <c r="O12" s="376" t="str">
        <f t="shared" si="3"/>
        <v/>
      </c>
    </row>
    <row r="13" spans="1:17" s="18" customFormat="1" ht="20.100000000000001" customHeight="1">
      <c r="A13" s="1892"/>
      <c r="B13" s="1893">
        <v>4</v>
      </c>
      <c r="C13" s="1894">
        <v>4</v>
      </c>
      <c r="D13" s="1895" t="s">
        <v>4488</v>
      </c>
      <c r="E13" s="1896" t="s">
        <v>4489</v>
      </c>
      <c r="F13" s="1897">
        <v>37.799999999999997</v>
      </c>
      <c r="G13" s="1898" t="s">
        <v>4449</v>
      </c>
      <c r="H13" s="1899"/>
      <c r="I13" s="1900" t="str">
        <f t="shared" si="0"/>
        <v/>
      </c>
      <c r="J13" s="368"/>
      <c r="K13" s="362" t="str">
        <f t="shared" si="1"/>
        <v/>
      </c>
      <c r="L13" s="368"/>
      <c r="M13" s="372" t="str">
        <f t="shared" si="2"/>
        <v/>
      </c>
      <c r="N13" s="361">
        <f>IF(F13="","",INT(HLOOKUP(N2,H2:M26,12,FALSE)*O1))</f>
        <v>0</v>
      </c>
      <c r="O13" s="376">
        <f t="shared" si="3"/>
        <v>0</v>
      </c>
    </row>
    <row r="14" spans="1:17" s="18" customFormat="1" ht="20.100000000000001" customHeight="1">
      <c r="A14" s="51"/>
      <c r="B14" s="87"/>
      <c r="C14" s="88"/>
      <c r="D14" s="381"/>
      <c r="E14" s="224"/>
      <c r="F14" s="57"/>
      <c r="G14" s="71"/>
      <c r="H14" s="361"/>
      <c r="I14" s="362" t="str">
        <f t="shared" si="0"/>
        <v/>
      </c>
      <c r="J14" s="368"/>
      <c r="K14" s="362" t="str">
        <f t="shared" si="1"/>
        <v/>
      </c>
      <c r="L14" s="368"/>
      <c r="M14" s="372" t="str">
        <f t="shared" si="2"/>
        <v/>
      </c>
      <c r="N14" s="361" t="str">
        <f>IF(F14="","",INT(HLOOKUP(N2,H2:M26,13,FALSE)*O1))</f>
        <v/>
      </c>
      <c r="O14" s="376" t="str">
        <f t="shared" si="3"/>
        <v/>
      </c>
    </row>
    <row r="15" spans="1:17" s="18" customFormat="1" ht="20.100000000000001" customHeight="1">
      <c r="A15" s="51">
        <v>305</v>
      </c>
      <c r="B15" s="87">
        <v>4</v>
      </c>
      <c r="C15" s="88">
        <v>4</v>
      </c>
      <c r="D15" s="381" t="s">
        <v>4492</v>
      </c>
      <c r="E15" s="224" t="s">
        <v>4493</v>
      </c>
      <c r="F15" s="57">
        <v>24</v>
      </c>
      <c r="G15" s="71" t="s">
        <v>4276</v>
      </c>
      <c r="H15" s="361">
        <f>62400+(8722070/(95192950-8722070))*62400</f>
        <v>68694.109277019044</v>
      </c>
      <c r="I15" s="362">
        <f t="shared" si="0"/>
        <v>1648658</v>
      </c>
      <c r="J15" s="368"/>
      <c r="K15" s="362" t="str">
        <f t="shared" si="1"/>
        <v/>
      </c>
      <c r="L15" s="368"/>
      <c r="M15" s="372" t="str">
        <f t="shared" si="2"/>
        <v/>
      </c>
      <c r="N15" s="361">
        <f>IF(F15="","",INT(HLOOKUP(N2,H2:M26,14,FALSE)*O1))</f>
        <v>41216</v>
      </c>
      <c r="O15" s="376">
        <f t="shared" si="3"/>
        <v>41200</v>
      </c>
    </row>
    <row r="16" spans="1:17" s="18" customFormat="1" ht="20.100000000000001" customHeight="1">
      <c r="A16" s="51"/>
      <c r="B16" s="87"/>
      <c r="C16" s="88"/>
      <c r="D16" s="381" t="s">
        <v>4408</v>
      </c>
      <c r="E16" s="224" t="s">
        <v>4409</v>
      </c>
      <c r="F16" s="57"/>
      <c r="G16" s="71"/>
      <c r="H16" s="361"/>
      <c r="I16" s="362" t="str">
        <f t="shared" si="0"/>
        <v/>
      </c>
      <c r="J16" s="368"/>
      <c r="K16" s="362" t="str">
        <f t="shared" si="1"/>
        <v/>
      </c>
      <c r="L16" s="368"/>
      <c r="M16" s="372" t="str">
        <f t="shared" si="2"/>
        <v/>
      </c>
      <c r="N16" s="361" t="str">
        <f>IF(F16="","",INT(HLOOKUP(N2,H2:M26,15,FALSE)*O1))</f>
        <v/>
      </c>
      <c r="O16" s="376" t="str">
        <f t="shared" si="3"/>
        <v/>
      </c>
    </row>
    <row r="17" spans="1:15" s="18" customFormat="1" ht="20.100000000000001" customHeight="1">
      <c r="A17" s="51"/>
      <c r="B17" s="87"/>
      <c r="C17" s="88"/>
      <c r="D17" s="381"/>
      <c r="E17" s="224"/>
      <c r="F17" s="57"/>
      <c r="G17" s="71"/>
      <c r="H17" s="361"/>
      <c r="I17" s="362" t="str">
        <f t="shared" si="0"/>
        <v/>
      </c>
      <c r="J17" s="368"/>
      <c r="K17" s="362" t="str">
        <f t="shared" si="1"/>
        <v/>
      </c>
      <c r="L17" s="368"/>
      <c r="M17" s="372" t="str">
        <f t="shared" si="2"/>
        <v/>
      </c>
      <c r="N17" s="361" t="str">
        <f>IF(F17="","",INT(HLOOKUP(N2,H2:M26,16,FALSE)*O1))</f>
        <v/>
      </c>
      <c r="O17" s="376" t="str">
        <f t="shared" si="3"/>
        <v/>
      </c>
    </row>
    <row r="18" spans="1:15" s="18" customFormat="1" ht="20.100000000000001" customHeight="1">
      <c r="A18" s="51">
        <v>306</v>
      </c>
      <c r="B18" s="87">
        <v>4</v>
      </c>
      <c r="C18" s="88">
        <v>4</v>
      </c>
      <c r="D18" s="381" t="s">
        <v>4494</v>
      </c>
      <c r="E18" s="224" t="s">
        <v>4495</v>
      </c>
      <c r="F18" s="57">
        <v>96</v>
      </c>
      <c r="G18" s="71" t="s">
        <v>4276</v>
      </c>
      <c r="H18" s="361">
        <f>93600+(8722070/(95192950-8722070))*93600</f>
        <v>103041.16391552855</v>
      </c>
      <c r="I18" s="362">
        <f t="shared" si="0"/>
        <v>9891951</v>
      </c>
      <c r="J18" s="368"/>
      <c r="K18" s="362" t="str">
        <f t="shared" si="1"/>
        <v/>
      </c>
      <c r="L18" s="368"/>
      <c r="M18" s="372" t="str">
        <f t="shared" si="2"/>
        <v/>
      </c>
      <c r="N18" s="361">
        <f>IF(F18="","",INT(HLOOKUP(N2,H2:M26,17,FALSE)*O1))</f>
        <v>61824</v>
      </c>
      <c r="O18" s="376">
        <f t="shared" si="3"/>
        <v>61800</v>
      </c>
    </row>
    <row r="19" spans="1:15" s="18" customFormat="1" ht="20.100000000000001" customHeight="1">
      <c r="A19" s="51"/>
      <c r="B19" s="87"/>
      <c r="C19" s="88"/>
      <c r="D19" s="381" t="s">
        <v>4408</v>
      </c>
      <c r="E19" s="224" t="s">
        <v>4409</v>
      </c>
      <c r="F19" s="57"/>
      <c r="G19" s="71"/>
      <c r="H19" s="361"/>
      <c r="I19" s="362" t="str">
        <f t="shared" si="0"/>
        <v/>
      </c>
      <c r="J19" s="368"/>
      <c r="K19" s="362" t="str">
        <f t="shared" si="1"/>
        <v/>
      </c>
      <c r="L19" s="368"/>
      <c r="M19" s="372" t="str">
        <f t="shared" si="2"/>
        <v/>
      </c>
      <c r="N19" s="361" t="str">
        <f>IF(F19="","",INT(HLOOKUP(N2,H2:M26,18,FALSE)*O1))</f>
        <v/>
      </c>
      <c r="O19" s="376" t="str">
        <f t="shared" si="3"/>
        <v/>
      </c>
    </row>
    <row r="20" spans="1:15" s="18" customFormat="1" ht="20.100000000000001" customHeight="1">
      <c r="A20" s="51"/>
      <c r="B20" s="87"/>
      <c r="C20" s="88"/>
      <c r="D20" s="381"/>
      <c r="E20" s="224"/>
      <c r="F20" s="57"/>
      <c r="G20" s="71"/>
      <c r="H20" s="361"/>
      <c r="I20" s="362" t="str">
        <f t="shared" si="0"/>
        <v/>
      </c>
      <c r="J20" s="368"/>
      <c r="K20" s="362" t="str">
        <f t="shared" si="1"/>
        <v/>
      </c>
      <c r="L20" s="368"/>
      <c r="M20" s="372" t="str">
        <f t="shared" si="2"/>
        <v/>
      </c>
      <c r="N20" s="361" t="str">
        <f>IF(F20="","",INT(HLOOKUP(N2,H2:M26,19,FALSE)*O1))</f>
        <v/>
      </c>
      <c r="O20" s="376" t="str">
        <f t="shared" si="3"/>
        <v/>
      </c>
    </row>
    <row r="21" spans="1:15" s="18" customFormat="1" ht="20.100000000000001" customHeight="1">
      <c r="A21" s="51">
        <v>307</v>
      </c>
      <c r="B21" s="87">
        <v>4</v>
      </c>
      <c r="C21" s="88">
        <v>4</v>
      </c>
      <c r="D21" s="381" t="s">
        <v>4496</v>
      </c>
      <c r="E21" s="224" t="s">
        <v>4497</v>
      </c>
      <c r="F21" s="57">
        <v>96</v>
      </c>
      <c r="G21" s="71" t="s">
        <v>4276</v>
      </c>
      <c r="H21" s="361">
        <f>11600+(8722070/(95192950-8722070))*11600</f>
        <v>12770.058775856103</v>
      </c>
      <c r="I21" s="362">
        <f t="shared" si="0"/>
        <v>1225925</v>
      </c>
      <c r="J21" s="368"/>
      <c r="K21" s="362" t="str">
        <f t="shared" si="1"/>
        <v/>
      </c>
      <c r="L21" s="368"/>
      <c r="M21" s="372" t="str">
        <f t="shared" si="2"/>
        <v/>
      </c>
      <c r="N21" s="361">
        <f>IF(F21="","",INT(HLOOKUP(N2,H2:M26,20,FALSE)*O1))</f>
        <v>7662</v>
      </c>
      <c r="O21" s="376">
        <f t="shared" si="3"/>
        <v>7660</v>
      </c>
    </row>
    <row r="22" spans="1:15" s="18" customFormat="1" ht="20.100000000000001" customHeight="1">
      <c r="A22" s="51"/>
      <c r="B22" s="87"/>
      <c r="C22" s="88"/>
      <c r="D22" s="381"/>
      <c r="E22" s="224"/>
      <c r="F22" s="57"/>
      <c r="G22" s="71"/>
      <c r="H22" s="361"/>
      <c r="I22" s="362" t="str">
        <f t="shared" si="0"/>
        <v/>
      </c>
      <c r="J22" s="368"/>
      <c r="K22" s="362" t="str">
        <f t="shared" si="1"/>
        <v/>
      </c>
      <c r="L22" s="368"/>
      <c r="M22" s="372" t="str">
        <f t="shared" si="2"/>
        <v/>
      </c>
      <c r="N22" s="361" t="str">
        <f>IF(F22="","",INT(HLOOKUP(N2,H2:M26,21,FALSE)*O1))</f>
        <v/>
      </c>
      <c r="O22" s="376" t="str">
        <f t="shared" si="3"/>
        <v/>
      </c>
    </row>
    <row r="23" spans="1:15" s="18" customFormat="1" ht="20.100000000000001" customHeight="1">
      <c r="A23" s="51">
        <v>308</v>
      </c>
      <c r="B23" s="87">
        <v>4</v>
      </c>
      <c r="C23" s="88">
        <v>4</v>
      </c>
      <c r="D23" s="381" t="s">
        <v>4496</v>
      </c>
      <c r="E23" s="224" t="s">
        <v>4498</v>
      </c>
      <c r="F23" s="57">
        <v>48</v>
      </c>
      <c r="G23" s="71" t="s">
        <v>4276</v>
      </c>
      <c r="H23" s="361">
        <f>17100+(8722070/(95192950-8722070))*17100</f>
        <v>18824.828023029255</v>
      </c>
      <c r="I23" s="362">
        <f t="shared" si="0"/>
        <v>903591</v>
      </c>
      <c r="J23" s="368"/>
      <c r="K23" s="362" t="str">
        <f t="shared" si="1"/>
        <v/>
      </c>
      <c r="L23" s="368"/>
      <c r="M23" s="372" t="str">
        <f t="shared" si="2"/>
        <v/>
      </c>
      <c r="N23" s="361">
        <f>IF(F23="","",INT(HLOOKUP(N2,H2:M26,22,FALSE)*O1))</f>
        <v>11294</v>
      </c>
      <c r="O23" s="376">
        <f t="shared" si="3"/>
        <v>11200</v>
      </c>
    </row>
    <row r="24" spans="1:15" s="18" customFormat="1" ht="20.100000000000001" customHeight="1">
      <c r="A24" s="51"/>
      <c r="B24" s="87"/>
      <c r="C24" s="88"/>
      <c r="D24" s="381"/>
      <c r="E24" s="224"/>
      <c r="F24" s="57"/>
      <c r="G24" s="71"/>
      <c r="H24" s="361"/>
      <c r="I24" s="362"/>
      <c r="J24" s="368"/>
      <c r="K24" s="362"/>
      <c r="L24" s="368"/>
      <c r="M24" s="372"/>
      <c r="N24" s="361"/>
      <c r="O24" s="376"/>
    </row>
    <row r="25" spans="1:15" s="18" customFormat="1" ht="20.100000000000001" customHeight="1">
      <c r="A25" s="51"/>
      <c r="B25" s="87"/>
      <c r="C25" s="88"/>
      <c r="D25" s="381"/>
      <c r="E25" s="224"/>
      <c r="F25" s="57"/>
      <c r="G25" s="71"/>
      <c r="H25" s="361"/>
      <c r="I25" s="362" t="str">
        <f t="shared" si="0"/>
        <v/>
      </c>
      <c r="J25" s="368"/>
      <c r="K25" s="362" t="str">
        <f t="shared" si="1"/>
        <v/>
      </c>
      <c r="L25" s="368"/>
      <c r="M25" s="372" t="str">
        <f t="shared" si="2"/>
        <v/>
      </c>
      <c r="N25" s="361" t="str">
        <f>IF(F25="","",INT(HLOOKUP(N2,H2:M26,23,FALSE)*O1))</f>
        <v/>
      </c>
      <c r="O25" s="376" t="str">
        <f t="shared" si="3"/>
        <v/>
      </c>
    </row>
    <row r="26" spans="1:15" s="18" customFormat="1" ht="20.100000000000001" customHeight="1" thickBot="1">
      <c r="A26" s="52"/>
      <c r="B26" s="89"/>
      <c r="C26" s="90"/>
      <c r="D26" s="383"/>
      <c r="E26" s="384"/>
      <c r="F26" s="58"/>
      <c r="G26" s="72"/>
      <c r="H26" s="363"/>
      <c r="I26" s="364" t="str">
        <f t="shared" si="0"/>
        <v/>
      </c>
      <c r="J26" s="369"/>
      <c r="K26" s="364" t="str">
        <f t="shared" si="1"/>
        <v/>
      </c>
      <c r="L26" s="369"/>
      <c r="M26" s="373" t="str">
        <f t="shared" si="2"/>
        <v/>
      </c>
      <c r="N26" s="363" t="str">
        <f>IF(F26="","",INT(HLOOKUP(N2,H2:M26,24,FALSE)*O1))</f>
        <v/>
      </c>
      <c r="O26" s="377" t="str">
        <f t="shared" si="3"/>
        <v/>
      </c>
    </row>
    <row r="27" spans="1:15" s="18" customFormat="1" ht="20.100000000000001" customHeight="1" thickTop="1" thickBot="1">
      <c r="A27" s="26"/>
      <c r="B27" s="27"/>
      <c r="C27" s="27"/>
      <c r="D27" s="28" t="str">
        <f>IF(G27="","合      計","")</f>
        <v>合      計</v>
      </c>
      <c r="E27" s="29" t="s">
        <v>4499</v>
      </c>
      <c r="F27" s="29"/>
      <c r="G27" s="49"/>
      <c r="H27" s="365"/>
      <c r="I27" s="366">
        <f>IF($G27="",IF(SUM(I4:I26)=0,"",SUM(I4:I26)),IF(#REF!="","",SUM(I4:I26)+#REF!))</f>
        <v>95192946</v>
      </c>
      <c r="J27" s="370"/>
      <c r="K27" s="366" t="str">
        <f>IF(G27="",IF(SUM(K4:K26)=0,"",SUM(K4:K26)),IF(#REF!="","",SUM(K4:K26)+#REF!))</f>
        <v/>
      </c>
      <c r="L27" s="370"/>
      <c r="M27" s="374" t="str">
        <f>IF(G27="",IF(SUM(M4:M26)=0,"",SUM(M4:M26)),IF(#REF!="","",SUM(M4:M26)+#REF!))</f>
        <v/>
      </c>
      <c r="N27" s="378" t="s">
        <v>4500</v>
      </c>
      <c r="O27" s="379" t="str">
        <f>IF(G56="",MIN(I27,K27,M27),"")</f>
        <v/>
      </c>
    </row>
    <row r="28" spans="1:15" s="18" customFormat="1" ht="20.100000000000001" customHeight="1">
      <c r="A28" s="22"/>
      <c r="B28" s="22"/>
      <c r="C28" s="22"/>
      <c r="G28" s="22"/>
      <c r="H28" s="30"/>
      <c r="I28" s="30"/>
      <c r="J28" s="30"/>
      <c r="K28" s="30"/>
      <c r="L28" s="30"/>
      <c r="M28" s="30"/>
      <c r="N28" s="18" t="str">
        <f>IF(B30="","EOL","")</f>
        <v/>
      </c>
      <c r="O28" s="30">
        <v>1</v>
      </c>
    </row>
    <row r="29" spans="1:15" s="18" customFormat="1" ht="20.100000000000001" customHeight="1" thickBot="1">
      <c r="A29" s="2791" t="s">
        <v>4468</v>
      </c>
      <c r="B29" s="2791"/>
      <c r="C29" s="2791"/>
      <c r="D29" s="2791"/>
      <c r="E29" s="2791"/>
      <c r="F29" s="2791"/>
      <c r="G29" s="2791"/>
      <c r="H29" s="2791"/>
      <c r="I29" s="2791"/>
      <c r="J29" s="2791"/>
      <c r="K29" s="2791"/>
      <c r="L29" s="2791"/>
      <c r="M29" s="2791"/>
      <c r="N29" s="22" t="s">
        <v>4469</v>
      </c>
      <c r="O29" s="175">
        <f>+O1</f>
        <v>0.6</v>
      </c>
    </row>
    <row r="30" spans="1:15" s="22" customFormat="1" ht="20.100000000000001" customHeight="1">
      <c r="A30" s="19"/>
      <c r="B30" s="20" t="s">
        <v>4471</v>
      </c>
      <c r="C30" s="21" t="s">
        <v>4472</v>
      </c>
      <c r="D30" s="21"/>
      <c r="E30" s="73"/>
      <c r="F30" s="53"/>
      <c r="G30" s="68"/>
      <c r="H30" s="2792" t="str">
        <f>+H2</f>
        <v>A:㈱LIXIL</v>
      </c>
      <c r="I30" s="2793"/>
      <c r="J30" s="2793" t="s">
        <v>4474</v>
      </c>
      <c r="K30" s="2794"/>
      <c r="L30" s="2793" t="s">
        <v>4475</v>
      </c>
      <c r="M30" s="2795"/>
      <c r="N30" s="2789" t="str">
        <f>IF(G84="",IF(O56=I56,H30,IF(O56=K56,J30,L30)),N59)</f>
        <v>A:㈱LIXIL</v>
      </c>
      <c r="O30" s="2790"/>
    </row>
    <row r="31" spans="1:15" s="22" customFormat="1" ht="20.100000000000001" customHeight="1" thickBot="1">
      <c r="A31" s="23" t="s">
        <v>4476</v>
      </c>
      <c r="B31" s="24" t="s">
        <v>4477</v>
      </c>
      <c r="C31" s="25" t="s">
        <v>4477</v>
      </c>
      <c r="D31" s="25" t="s">
        <v>4478</v>
      </c>
      <c r="E31" s="74" t="s">
        <v>4479</v>
      </c>
      <c r="F31" s="54" t="s">
        <v>4327</v>
      </c>
      <c r="G31" s="69" t="s">
        <v>4480</v>
      </c>
      <c r="H31" s="59" t="s">
        <v>4481</v>
      </c>
      <c r="I31" s="60" t="s">
        <v>4482</v>
      </c>
      <c r="J31" s="61" t="s">
        <v>4481</v>
      </c>
      <c r="K31" s="60" t="s">
        <v>4482</v>
      </c>
      <c r="L31" s="61" t="s">
        <v>4481</v>
      </c>
      <c r="M31" s="60" t="s">
        <v>4482</v>
      </c>
      <c r="N31" s="59" t="s">
        <v>4483</v>
      </c>
      <c r="O31" s="78" t="s">
        <v>4484</v>
      </c>
    </row>
    <row r="32" spans="1:15" s="18" customFormat="1" ht="20.100000000000001" customHeight="1">
      <c r="A32" s="50"/>
      <c r="B32" s="85"/>
      <c r="C32" s="86"/>
      <c r="D32" s="65" t="s">
        <v>4501</v>
      </c>
      <c r="E32" s="75"/>
      <c r="F32" s="55"/>
      <c r="G32" s="70"/>
      <c r="H32" s="359"/>
      <c r="I32" s="360" t="str">
        <f t="shared" ref="I32:I55" si="4">IF(H32="","",ROUNDDOWN(H32*F32,0))</f>
        <v/>
      </c>
      <c r="J32" s="367"/>
      <c r="K32" s="360" t="str">
        <f t="shared" ref="K32:K55" si="5">IF(J32="","",ROUNDDOWN(J32*$F32,0))</f>
        <v/>
      </c>
      <c r="L32" s="367"/>
      <c r="M32" s="371" t="str">
        <f t="shared" ref="M32:M55" si="6">IF(L32="","",ROUNDDOWN(L32*$F32,0))</f>
        <v/>
      </c>
      <c r="N32" s="359" t="str">
        <f>IF(F32="","",INT(HLOOKUP(N30,H30:M55,3,FALSE)*O29))</f>
        <v/>
      </c>
      <c r="O32" s="375" t="str">
        <f t="shared" ref="O32:O55" si="7">IF(N32="","",IF(N32&lt;10,INT(N32),IF(N32&lt;10000,ROUNDDOWN(N32,-1),ROUNDDOWN(N32,-2))))</f>
        <v/>
      </c>
    </row>
    <row r="33" spans="1:15" s="18" customFormat="1" ht="20.100000000000001" customHeight="1">
      <c r="A33" s="51">
        <v>309</v>
      </c>
      <c r="B33" s="87">
        <v>4</v>
      </c>
      <c r="C33" s="88">
        <v>4</v>
      </c>
      <c r="D33" s="66" t="s">
        <v>4486</v>
      </c>
      <c r="E33" s="76" t="s">
        <v>4487</v>
      </c>
      <c r="F33" s="57">
        <v>77</v>
      </c>
      <c r="G33" s="71" t="s">
        <v>4449</v>
      </c>
      <c r="H33" s="361">
        <f>51800+(8722070/(95192950-8722070))*51800</f>
        <v>57024.917637012601</v>
      </c>
      <c r="I33" s="362">
        <f t="shared" si="4"/>
        <v>4390918</v>
      </c>
      <c r="J33" s="368"/>
      <c r="K33" s="362" t="str">
        <f t="shared" si="5"/>
        <v/>
      </c>
      <c r="L33" s="368"/>
      <c r="M33" s="372" t="str">
        <f t="shared" si="6"/>
        <v/>
      </c>
      <c r="N33" s="361">
        <f>IF(F33="","",INT(HLOOKUP(N30,H30:M55,4,FALSE)*O29))</f>
        <v>34214</v>
      </c>
      <c r="O33" s="376">
        <f t="shared" si="7"/>
        <v>34200</v>
      </c>
    </row>
    <row r="34" spans="1:15" s="18" customFormat="1" ht="20.100000000000001" customHeight="1">
      <c r="A34" s="51"/>
      <c r="B34" s="87"/>
      <c r="C34" s="88"/>
      <c r="D34" s="66"/>
      <c r="E34" s="76"/>
      <c r="F34" s="57"/>
      <c r="G34" s="71"/>
      <c r="H34" s="361"/>
      <c r="I34" s="362" t="str">
        <f t="shared" si="4"/>
        <v/>
      </c>
      <c r="J34" s="368"/>
      <c r="K34" s="362" t="str">
        <f t="shared" si="5"/>
        <v/>
      </c>
      <c r="L34" s="368"/>
      <c r="M34" s="372" t="str">
        <f t="shared" si="6"/>
        <v/>
      </c>
      <c r="N34" s="361" t="str">
        <f>IF(F34="","",INT(HLOOKUP(N30,H30:M55,5,FALSE)*O29))</f>
        <v/>
      </c>
      <c r="O34" s="376" t="str">
        <f t="shared" si="7"/>
        <v/>
      </c>
    </row>
    <row r="35" spans="1:15" s="18" customFormat="1" ht="20.100000000000001" customHeight="1">
      <c r="A35" s="1901"/>
      <c r="B35" s="1902">
        <v>4</v>
      </c>
      <c r="C35" s="1903">
        <v>4</v>
      </c>
      <c r="D35" s="1904" t="s">
        <v>4488</v>
      </c>
      <c r="E35" s="1905" t="s">
        <v>4489</v>
      </c>
      <c r="F35" s="1906">
        <v>136</v>
      </c>
      <c r="G35" s="1907" t="s">
        <v>4449</v>
      </c>
      <c r="H35" s="1908"/>
      <c r="I35" s="1909" t="str">
        <f t="shared" si="4"/>
        <v/>
      </c>
      <c r="J35" s="368"/>
      <c r="K35" s="362" t="str">
        <f t="shared" si="5"/>
        <v/>
      </c>
      <c r="L35" s="368"/>
      <c r="M35" s="372" t="str">
        <f t="shared" si="6"/>
        <v/>
      </c>
      <c r="N35" s="361">
        <f>IF(F35="","",INT(HLOOKUP(N30,H30:M55,6,FALSE)*O29))</f>
        <v>0</v>
      </c>
      <c r="O35" s="376">
        <f t="shared" si="7"/>
        <v>0</v>
      </c>
    </row>
    <row r="36" spans="1:15" s="18" customFormat="1" ht="20.100000000000001" customHeight="1">
      <c r="A36" s="51"/>
      <c r="B36" s="87"/>
      <c r="C36" s="88"/>
      <c r="D36" s="66"/>
      <c r="E36" s="76"/>
      <c r="F36" s="57"/>
      <c r="G36" s="71"/>
      <c r="H36" s="361"/>
      <c r="I36" s="362" t="str">
        <f t="shared" si="4"/>
        <v/>
      </c>
      <c r="J36" s="368"/>
      <c r="K36" s="362" t="str">
        <f t="shared" si="5"/>
        <v/>
      </c>
      <c r="L36" s="368"/>
      <c r="M36" s="372" t="str">
        <f t="shared" si="6"/>
        <v/>
      </c>
      <c r="N36" s="361" t="str">
        <f>IF(F36="","",INT(HLOOKUP(N30,H30:M55,7,FALSE)*O29))</f>
        <v/>
      </c>
      <c r="O36" s="376" t="str">
        <f t="shared" si="7"/>
        <v/>
      </c>
    </row>
    <row r="37" spans="1:15" s="18" customFormat="1" ht="20.100000000000001" customHeight="1">
      <c r="A37" s="51">
        <v>311</v>
      </c>
      <c r="B37" s="87">
        <v>4</v>
      </c>
      <c r="C37" s="88">
        <v>4</v>
      </c>
      <c r="D37" s="66" t="s">
        <v>4490</v>
      </c>
      <c r="E37" s="76" t="s">
        <v>4487</v>
      </c>
      <c r="F37" s="57">
        <v>50.9</v>
      </c>
      <c r="G37" s="71" t="s">
        <v>4449</v>
      </c>
      <c r="H37" s="361">
        <f>51800+(8722070/(95192950-8722070))*51800</f>
        <v>57024.917637012601</v>
      </c>
      <c r="I37" s="362">
        <f t="shared" si="4"/>
        <v>2902568</v>
      </c>
      <c r="J37" s="368"/>
      <c r="K37" s="362" t="str">
        <f t="shared" si="5"/>
        <v/>
      </c>
      <c r="L37" s="368"/>
      <c r="M37" s="372" t="str">
        <f t="shared" si="6"/>
        <v/>
      </c>
      <c r="N37" s="361">
        <f>IF(F37="","",INT(HLOOKUP(N30,H30:M55,8,FALSE)*O29))</f>
        <v>34214</v>
      </c>
      <c r="O37" s="376">
        <f t="shared" si="7"/>
        <v>34200</v>
      </c>
    </row>
    <row r="38" spans="1:15" s="18" customFormat="1" ht="20.100000000000001" customHeight="1">
      <c r="A38" s="51"/>
      <c r="B38" s="87"/>
      <c r="C38" s="88"/>
      <c r="D38" s="66"/>
      <c r="E38" s="76"/>
      <c r="F38" s="57"/>
      <c r="G38" s="71"/>
      <c r="H38" s="361"/>
      <c r="I38" s="362" t="str">
        <f t="shared" si="4"/>
        <v/>
      </c>
      <c r="J38" s="368"/>
      <c r="K38" s="362" t="str">
        <f t="shared" si="5"/>
        <v/>
      </c>
      <c r="L38" s="368"/>
      <c r="M38" s="372" t="str">
        <f t="shared" si="6"/>
        <v/>
      </c>
      <c r="N38" s="361" t="str">
        <f>IF(F38="","",INT(HLOOKUP(N30,H30:M55,9,FALSE)*O29))</f>
        <v/>
      </c>
      <c r="O38" s="376" t="str">
        <f t="shared" si="7"/>
        <v/>
      </c>
    </row>
    <row r="39" spans="1:15" s="18" customFormat="1" ht="20.100000000000001" customHeight="1">
      <c r="A39" s="51">
        <v>312</v>
      </c>
      <c r="B39" s="87">
        <v>4</v>
      </c>
      <c r="C39" s="88">
        <v>4</v>
      </c>
      <c r="D39" s="66" t="s">
        <v>4486</v>
      </c>
      <c r="E39" s="76" t="s">
        <v>4491</v>
      </c>
      <c r="F39" s="57">
        <v>1725</v>
      </c>
      <c r="G39" s="71" t="s">
        <v>4449</v>
      </c>
      <c r="H39" s="361">
        <f>51800+(8722070/(95192950-8722070))*51800</f>
        <v>57024.917637012601</v>
      </c>
      <c r="I39" s="362">
        <f t="shared" si="4"/>
        <v>98367982</v>
      </c>
      <c r="J39" s="368"/>
      <c r="K39" s="362" t="str">
        <f t="shared" si="5"/>
        <v/>
      </c>
      <c r="L39" s="368"/>
      <c r="M39" s="372" t="str">
        <f t="shared" si="6"/>
        <v/>
      </c>
      <c r="N39" s="361">
        <f>IF(F39="","",INT(HLOOKUP(N30,H30:M55,10,FALSE)*O29))</f>
        <v>34214</v>
      </c>
      <c r="O39" s="376">
        <f t="shared" si="7"/>
        <v>34200</v>
      </c>
    </row>
    <row r="40" spans="1:15" s="18" customFormat="1" ht="20.100000000000001" customHeight="1">
      <c r="A40" s="51"/>
      <c r="B40" s="87"/>
      <c r="C40" s="88"/>
      <c r="D40" s="66"/>
      <c r="E40" s="76"/>
      <c r="F40" s="57"/>
      <c r="G40" s="71"/>
      <c r="H40" s="361"/>
      <c r="I40" s="362" t="str">
        <f t="shared" si="4"/>
        <v/>
      </c>
      <c r="J40" s="368"/>
      <c r="K40" s="362" t="str">
        <f t="shared" si="5"/>
        <v/>
      </c>
      <c r="L40" s="368"/>
      <c r="M40" s="372" t="str">
        <f t="shared" si="6"/>
        <v/>
      </c>
      <c r="N40" s="361" t="str">
        <f>IF(F40="","",INT(HLOOKUP(N30,H30:M55,11,FALSE)*O29))</f>
        <v/>
      </c>
      <c r="O40" s="376" t="str">
        <f t="shared" si="7"/>
        <v/>
      </c>
    </row>
    <row r="41" spans="1:15" s="18" customFormat="1" ht="20.100000000000001" customHeight="1">
      <c r="A41" s="1901"/>
      <c r="B41" s="1902">
        <v>4</v>
      </c>
      <c r="C41" s="1903">
        <v>4</v>
      </c>
      <c r="D41" s="1904" t="s">
        <v>4488</v>
      </c>
      <c r="E41" s="1905" t="s">
        <v>4489</v>
      </c>
      <c r="F41" s="1906">
        <v>82.3</v>
      </c>
      <c r="G41" s="1907" t="s">
        <v>4449</v>
      </c>
      <c r="H41" s="1908"/>
      <c r="I41" s="1909" t="str">
        <f t="shared" si="4"/>
        <v/>
      </c>
      <c r="J41" s="368"/>
      <c r="K41" s="362" t="str">
        <f t="shared" si="5"/>
        <v/>
      </c>
      <c r="L41" s="368"/>
      <c r="M41" s="372" t="str">
        <f t="shared" si="6"/>
        <v/>
      </c>
      <c r="N41" s="361">
        <f>IF(F41="","",INT(HLOOKUP(N30,H30:M55,12,FALSE)*O29))</f>
        <v>0</v>
      </c>
      <c r="O41" s="376">
        <f t="shared" si="7"/>
        <v>0</v>
      </c>
    </row>
    <row r="42" spans="1:15" s="18" customFormat="1" ht="20.100000000000001" customHeight="1">
      <c r="A42" s="51"/>
      <c r="B42" s="87"/>
      <c r="C42" s="88"/>
      <c r="D42" s="66"/>
      <c r="E42" s="76"/>
      <c r="F42" s="57"/>
      <c r="G42" s="71"/>
      <c r="H42" s="361"/>
      <c r="I42" s="362" t="str">
        <f t="shared" si="4"/>
        <v/>
      </c>
      <c r="J42" s="368"/>
      <c r="K42" s="362" t="str">
        <f t="shared" si="5"/>
        <v/>
      </c>
      <c r="L42" s="368"/>
      <c r="M42" s="372" t="str">
        <f t="shared" si="6"/>
        <v/>
      </c>
      <c r="N42" s="361" t="str">
        <f>IF(F42="","",INT(HLOOKUP(N30,H30:M55,13,FALSE)*O29))</f>
        <v/>
      </c>
      <c r="O42" s="376" t="str">
        <f t="shared" si="7"/>
        <v/>
      </c>
    </row>
    <row r="43" spans="1:15" s="18" customFormat="1" ht="20.100000000000001" customHeight="1">
      <c r="A43" s="51"/>
      <c r="B43" s="87"/>
      <c r="C43" s="88"/>
      <c r="D43" s="66"/>
      <c r="E43" s="76"/>
      <c r="F43" s="57"/>
      <c r="G43" s="71"/>
      <c r="H43" s="361"/>
      <c r="I43" s="362" t="str">
        <f t="shared" si="4"/>
        <v/>
      </c>
      <c r="J43" s="368"/>
      <c r="K43" s="362" t="str">
        <f t="shared" si="5"/>
        <v/>
      </c>
      <c r="L43" s="368"/>
      <c r="M43" s="372" t="str">
        <f t="shared" si="6"/>
        <v/>
      </c>
      <c r="N43" s="361" t="str">
        <f>IF(F43="","",INT(HLOOKUP(N30,H30:M55,14,FALSE)*O29))</f>
        <v/>
      </c>
      <c r="O43" s="376" t="str">
        <f t="shared" si="7"/>
        <v/>
      </c>
    </row>
    <row r="44" spans="1:15" s="18" customFormat="1" ht="20.100000000000001" customHeight="1">
      <c r="A44" s="51"/>
      <c r="B44" s="87"/>
      <c r="C44" s="88"/>
      <c r="D44" s="66"/>
      <c r="E44" s="76"/>
      <c r="F44" s="57"/>
      <c r="G44" s="71"/>
      <c r="H44" s="361"/>
      <c r="I44" s="362" t="str">
        <f t="shared" si="4"/>
        <v/>
      </c>
      <c r="J44" s="368"/>
      <c r="K44" s="362" t="str">
        <f t="shared" si="5"/>
        <v/>
      </c>
      <c r="L44" s="368"/>
      <c r="M44" s="372" t="str">
        <f t="shared" si="6"/>
        <v/>
      </c>
      <c r="N44" s="361" t="str">
        <f>IF(F44="","",INT(HLOOKUP(N30,H30:M55,15,FALSE)*O29))</f>
        <v/>
      </c>
      <c r="O44" s="376" t="str">
        <f t="shared" si="7"/>
        <v/>
      </c>
    </row>
    <row r="45" spans="1:15" s="18" customFormat="1" ht="20.100000000000001" customHeight="1">
      <c r="A45" s="51"/>
      <c r="B45" s="87"/>
      <c r="C45" s="88"/>
      <c r="D45" s="66"/>
      <c r="E45" s="76"/>
      <c r="F45" s="57"/>
      <c r="G45" s="71"/>
      <c r="H45" s="361"/>
      <c r="I45" s="362" t="str">
        <f t="shared" si="4"/>
        <v/>
      </c>
      <c r="J45" s="368"/>
      <c r="K45" s="362" t="str">
        <f t="shared" si="5"/>
        <v/>
      </c>
      <c r="L45" s="368"/>
      <c r="M45" s="372" t="str">
        <f t="shared" si="6"/>
        <v/>
      </c>
      <c r="N45" s="361" t="str">
        <f>IF(F45="","",INT(HLOOKUP(N30,H30:M55,16,FALSE)*O29))</f>
        <v/>
      </c>
      <c r="O45" s="376" t="str">
        <f t="shared" si="7"/>
        <v/>
      </c>
    </row>
    <row r="46" spans="1:15" s="18" customFormat="1" ht="20.100000000000001" customHeight="1">
      <c r="A46" s="51"/>
      <c r="B46" s="87"/>
      <c r="C46" s="88"/>
      <c r="D46" s="66"/>
      <c r="E46" s="76"/>
      <c r="F46" s="57"/>
      <c r="G46" s="71"/>
      <c r="H46" s="361"/>
      <c r="I46" s="362" t="str">
        <f t="shared" si="4"/>
        <v/>
      </c>
      <c r="J46" s="368"/>
      <c r="K46" s="362" t="str">
        <f t="shared" si="5"/>
        <v/>
      </c>
      <c r="L46" s="368"/>
      <c r="M46" s="372" t="str">
        <f t="shared" si="6"/>
        <v/>
      </c>
      <c r="N46" s="361" t="str">
        <f>IF(F46="","",INT(HLOOKUP(N30,H30:M55,17,FALSE)*O29))</f>
        <v/>
      </c>
      <c r="O46" s="376" t="str">
        <f t="shared" si="7"/>
        <v/>
      </c>
    </row>
    <row r="47" spans="1:15" s="18" customFormat="1" ht="20.100000000000001" customHeight="1">
      <c r="A47" s="51"/>
      <c r="B47" s="87"/>
      <c r="C47" s="88"/>
      <c r="D47" s="66"/>
      <c r="E47" s="76"/>
      <c r="F47" s="57"/>
      <c r="G47" s="71"/>
      <c r="H47" s="361"/>
      <c r="I47" s="362" t="str">
        <f t="shared" si="4"/>
        <v/>
      </c>
      <c r="J47" s="368"/>
      <c r="K47" s="362" t="str">
        <f t="shared" si="5"/>
        <v/>
      </c>
      <c r="L47" s="368"/>
      <c r="M47" s="372" t="str">
        <f t="shared" si="6"/>
        <v/>
      </c>
      <c r="N47" s="361" t="str">
        <f>IF(F47="","",INT(HLOOKUP(N30,H30:M55,18,FALSE)*O29))</f>
        <v/>
      </c>
      <c r="O47" s="376" t="str">
        <f t="shared" si="7"/>
        <v/>
      </c>
    </row>
    <row r="48" spans="1:15" s="18" customFormat="1" ht="20.100000000000001" customHeight="1">
      <c r="A48" s="51"/>
      <c r="B48" s="87"/>
      <c r="C48" s="88"/>
      <c r="D48" s="66"/>
      <c r="E48" s="76"/>
      <c r="F48" s="57"/>
      <c r="G48" s="71"/>
      <c r="H48" s="361"/>
      <c r="I48" s="362" t="str">
        <f t="shared" si="4"/>
        <v/>
      </c>
      <c r="J48" s="368"/>
      <c r="K48" s="362" t="str">
        <f t="shared" si="5"/>
        <v/>
      </c>
      <c r="L48" s="368"/>
      <c r="M48" s="372" t="str">
        <f t="shared" si="6"/>
        <v/>
      </c>
      <c r="N48" s="361" t="str">
        <f>IF(F48="","",INT(HLOOKUP(N30,H30:M55,19,FALSE)*O29))</f>
        <v/>
      </c>
      <c r="O48" s="376" t="str">
        <f t="shared" si="7"/>
        <v/>
      </c>
    </row>
    <row r="49" spans="1:15" s="18" customFormat="1" ht="20.100000000000001" customHeight="1">
      <c r="A49" s="51"/>
      <c r="B49" s="87"/>
      <c r="C49" s="88"/>
      <c r="D49" s="66"/>
      <c r="E49" s="76"/>
      <c r="F49" s="57"/>
      <c r="G49" s="71"/>
      <c r="H49" s="361"/>
      <c r="I49" s="362" t="str">
        <f t="shared" si="4"/>
        <v/>
      </c>
      <c r="J49" s="368"/>
      <c r="K49" s="362" t="str">
        <f t="shared" si="5"/>
        <v/>
      </c>
      <c r="L49" s="368"/>
      <c r="M49" s="372" t="str">
        <f t="shared" si="6"/>
        <v/>
      </c>
      <c r="N49" s="361" t="str">
        <f>IF(F49="","",INT(HLOOKUP(N30,H30:M55,20,FALSE)*O29))</f>
        <v/>
      </c>
      <c r="O49" s="376" t="str">
        <f t="shared" si="7"/>
        <v/>
      </c>
    </row>
    <row r="50" spans="1:15" s="18" customFormat="1" ht="20.100000000000001" customHeight="1">
      <c r="A50" s="51"/>
      <c r="B50" s="87"/>
      <c r="C50" s="88"/>
      <c r="D50" s="66"/>
      <c r="E50" s="76"/>
      <c r="F50" s="57"/>
      <c r="G50" s="71"/>
      <c r="H50" s="361"/>
      <c r="I50" s="362"/>
      <c r="J50" s="368"/>
      <c r="K50" s="362"/>
      <c r="L50" s="368"/>
      <c r="M50" s="372"/>
      <c r="N50" s="361"/>
      <c r="O50" s="376"/>
    </row>
    <row r="51" spans="1:15" s="18" customFormat="1" ht="20.100000000000001" customHeight="1">
      <c r="A51" s="51"/>
      <c r="B51" s="87"/>
      <c r="C51" s="88"/>
      <c r="D51" s="66"/>
      <c r="E51" s="76"/>
      <c r="F51" s="57"/>
      <c r="G51" s="71"/>
      <c r="H51" s="361"/>
      <c r="I51" s="362"/>
      <c r="J51" s="368"/>
      <c r="K51" s="362"/>
      <c r="L51" s="368"/>
      <c r="M51" s="372"/>
      <c r="N51" s="361"/>
      <c r="O51" s="376"/>
    </row>
    <row r="52" spans="1:15" s="18" customFormat="1" ht="20.100000000000001" customHeight="1">
      <c r="A52" s="51"/>
      <c r="B52" s="87"/>
      <c r="C52" s="88"/>
      <c r="D52" s="66"/>
      <c r="E52" s="76"/>
      <c r="F52" s="57"/>
      <c r="G52" s="71"/>
      <c r="H52" s="361"/>
      <c r="I52" s="362" t="str">
        <f t="shared" si="4"/>
        <v/>
      </c>
      <c r="J52" s="368"/>
      <c r="K52" s="362" t="str">
        <f t="shared" si="5"/>
        <v/>
      </c>
      <c r="L52" s="368"/>
      <c r="M52" s="372" t="str">
        <f t="shared" si="6"/>
        <v/>
      </c>
      <c r="N52" s="361" t="str">
        <f>IF(F52="","",INT(HLOOKUP(N30,H30:M55,21,FALSE)*O29))</f>
        <v/>
      </c>
      <c r="O52" s="376" t="str">
        <f t="shared" si="7"/>
        <v/>
      </c>
    </row>
    <row r="53" spans="1:15" s="18" customFormat="1" ht="20.100000000000001" customHeight="1">
      <c r="A53" s="51"/>
      <c r="B53" s="87"/>
      <c r="C53" s="88"/>
      <c r="D53" s="66"/>
      <c r="E53" s="76"/>
      <c r="F53" s="57"/>
      <c r="G53" s="71"/>
      <c r="H53" s="361"/>
      <c r="I53" s="362" t="str">
        <f t="shared" si="4"/>
        <v/>
      </c>
      <c r="J53" s="368"/>
      <c r="K53" s="362" t="str">
        <f t="shared" si="5"/>
        <v/>
      </c>
      <c r="L53" s="368"/>
      <c r="M53" s="372" t="str">
        <f t="shared" si="6"/>
        <v/>
      </c>
      <c r="N53" s="361" t="str">
        <f>IF(F53="","",INT(HLOOKUP(N30,H30:M55,22,FALSE)*O29))</f>
        <v/>
      </c>
      <c r="O53" s="376" t="str">
        <f t="shared" si="7"/>
        <v/>
      </c>
    </row>
    <row r="54" spans="1:15" s="18" customFormat="1" ht="20.100000000000001" customHeight="1">
      <c r="A54" s="51"/>
      <c r="B54" s="87"/>
      <c r="C54" s="88"/>
      <c r="D54" s="66"/>
      <c r="E54" s="76"/>
      <c r="F54" s="57"/>
      <c r="G54" s="71"/>
      <c r="H54" s="361"/>
      <c r="I54" s="362" t="str">
        <f t="shared" si="4"/>
        <v/>
      </c>
      <c r="J54" s="368"/>
      <c r="K54" s="362" t="str">
        <f t="shared" si="5"/>
        <v/>
      </c>
      <c r="L54" s="368"/>
      <c r="M54" s="372" t="str">
        <f t="shared" si="6"/>
        <v/>
      </c>
      <c r="N54" s="361" t="str">
        <f>IF(F54="","",INT(HLOOKUP(N30,H30:M55,23,FALSE)*O29))</f>
        <v/>
      </c>
      <c r="O54" s="376" t="str">
        <f t="shared" si="7"/>
        <v/>
      </c>
    </row>
    <row r="55" spans="1:15" s="18" customFormat="1" ht="20.100000000000001" customHeight="1" thickBot="1">
      <c r="A55" s="52"/>
      <c r="B55" s="89"/>
      <c r="C55" s="90"/>
      <c r="D55" s="67"/>
      <c r="E55" s="77"/>
      <c r="F55" s="58"/>
      <c r="G55" s="72"/>
      <c r="H55" s="363"/>
      <c r="I55" s="364" t="str">
        <f t="shared" si="4"/>
        <v/>
      </c>
      <c r="J55" s="369"/>
      <c r="K55" s="364" t="str">
        <f t="shared" si="5"/>
        <v/>
      </c>
      <c r="L55" s="369"/>
      <c r="M55" s="373" t="str">
        <f t="shared" si="6"/>
        <v/>
      </c>
      <c r="N55" s="363" t="str">
        <f>IF(F55="","",INT(HLOOKUP(N30,H30:M55,24,FALSE)*O29))</f>
        <v/>
      </c>
      <c r="O55" s="377" t="str">
        <f t="shared" si="7"/>
        <v/>
      </c>
    </row>
    <row r="56" spans="1:15" s="18" customFormat="1" ht="20.100000000000001" customHeight="1" thickTop="1" thickBot="1">
      <c r="A56" s="26"/>
      <c r="B56" s="27"/>
      <c r="C56" s="27"/>
      <c r="D56" s="28" t="str">
        <f>IF(G56="","合      計","")</f>
        <v/>
      </c>
      <c r="E56" s="29" t="s">
        <v>4499</v>
      </c>
      <c r="F56" s="29"/>
      <c r="G56" s="49">
        <v>1</v>
      </c>
      <c r="H56" s="365"/>
      <c r="I56" s="366">
        <f>IF($G56="",IF(SUM(I32:I55)=0,"",SUM(I32:I55)),IF(I27="","",SUM(I32:I55)+I27))</f>
        <v>200854414</v>
      </c>
      <c r="J56" s="370"/>
      <c r="K56" s="366" t="str">
        <f>IF(G56="",IF(SUM(K32:K55)=0,"",SUM(K32:K55)),IF(K27="","",SUM(K32:K55)+K27))</f>
        <v/>
      </c>
      <c r="L56" s="370"/>
      <c r="M56" s="374" t="str">
        <f>IF(G56="",IF(SUM(M32:M55)=0,"",SUM(M32:M55)),IF(M27="","",SUM(M32:M55)+M27))</f>
        <v/>
      </c>
      <c r="N56" s="378" t="s">
        <v>4500</v>
      </c>
      <c r="O56" s="379">
        <f>IF(G84="",MIN(I56,K56,M56),"")</f>
        <v>200854414</v>
      </c>
    </row>
    <row r="57" spans="1:15" s="18" customFormat="1" ht="20.100000000000001" customHeight="1">
      <c r="A57" s="22"/>
      <c r="B57" s="22"/>
      <c r="C57" s="22"/>
      <c r="G57" s="22"/>
      <c r="H57" s="30"/>
      <c r="I57" s="30"/>
      <c r="J57" s="30"/>
      <c r="K57" s="30"/>
      <c r="L57" s="30"/>
      <c r="M57" s="30"/>
      <c r="N57" s="18" t="str">
        <f>IF(B59="","EOL","")</f>
        <v/>
      </c>
      <c r="O57" s="30">
        <f>+O28+1</f>
        <v>2</v>
      </c>
    </row>
    <row r="58" spans="1:15" s="18" customFormat="1" ht="20.100000000000001" customHeight="1" thickBot="1">
      <c r="A58" s="2791" t="s">
        <v>4502</v>
      </c>
      <c r="B58" s="2791"/>
      <c r="C58" s="2791"/>
      <c r="D58" s="2791"/>
      <c r="E58" s="2791"/>
      <c r="F58" s="2791"/>
      <c r="G58" s="2791"/>
      <c r="H58" s="2791"/>
      <c r="I58" s="2791"/>
      <c r="J58" s="2791"/>
      <c r="K58" s="2791"/>
      <c r="L58" s="2791"/>
      <c r="M58" s="2791"/>
      <c r="N58" s="22" t="s">
        <v>4469</v>
      </c>
      <c r="O58" s="175">
        <f>+O29</f>
        <v>0.6</v>
      </c>
    </row>
    <row r="59" spans="1:15" s="22" customFormat="1" ht="20.100000000000001" customHeight="1">
      <c r="A59" s="19"/>
      <c r="B59" s="20" t="s">
        <v>4471</v>
      </c>
      <c r="C59" s="21" t="s">
        <v>4472</v>
      </c>
      <c r="D59" s="21"/>
      <c r="E59" s="73"/>
      <c r="F59" s="53"/>
      <c r="G59" s="68"/>
      <c r="H59" s="2792" t="s">
        <v>4503</v>
      </c>
      <c r="I59" s="2793"/>
      <c r="J59" s="2793" t="s">
        <v>4474</v>
      </c>
      <c r="K59" s="2794"/>
      <c r="L59" s="2793" t="s">
        <v>4475</v>
      </c>
      <c r="M59" s="2795"/>
      <c r="N59" s="2789" t="str">
        <f>IF(G112="",IF(O84=I84,H59,IF(O84=K84,J59,L59)),N87)</f>
        <v>A:安全交通試験研究センター</v>
      </c>
      <c r="O59" s="2790"/>
    </row>
    <row r="60" spans="1:15" s="22" customFormat="1" ht="20.100000000000001" customHeight="1" thickBot="1">
      <c r="A60" s="23" t="s">
        <v>4476</v>
      </c>
      <c r="B60" s="24" t="s">
        <v>4477</v>
      </c>
      <c r="C60" s="25" t="s">
        <v>4477</v>
      </c>
      <c r="D60" s="25" t="s">
        <v>4478</v>
      </c>
      <c r="E60" s="74" t="s">
        <v>4479</v>
      </c>
      <c r="F60" s="54" t="s">
        <v>4327</v>
      </c>
      <c r="G60" s="69" t="s">
        <v>4480</v>
      </c>
      <c r="H60" s="59" t="s">
        <v>4481</v>
      </c>
      <c r="I60" s="60" t="s">
        <v>4482</v>
      </c>
      <c r="J60" s="61" t="s">
        <v>4481</v>
      </c>
      <c r="K60" s="60" t="s">
        <v>4482</v>
      </c>
      <c r="L60" s="61" t="s">
        <v>4481</v>
      </c>
      <c r="M60" s="60" t="s">
        <v>4482</v>
      </c>
      <c r="N60" s="59" t="s">
        <v>4483</v>
      </c>
      <c r="O60" s="78" t="s">
        <v>4484</v>
      </c>
    </row>
    <row r="61" spans="1:15" s="18" customFormat="1" ht="20.100000000000001" customHeight="1">
      <c r="A61" s="50"/>
      <c r="B61" s="85"/>
      <c r="C61" s="86"/>
      <c r="D61" s="65"/>
      <c r="E61" s="75"/>
      <c r="F61" s="55"/>
      <c r="G61" s="70"/>
      <c r="H61" s="359"/>
      <c r="I61" s="360" t="str">
        <f t="shared" ref="I61:I83" si="8">IF(H61="","",ROUNDDOWN(H61*F61,0))</f>
        <v/>
      </c>
      <c r="J61" s="367"/>
      <c r="K61" s="360" t="str">
        <f t="shared" ref="K61:K83" si="9">IF(J61="","",ROUNDDOWN(J61*$F61,0))</f>
        <v/>
      </c>
      <c r="L61" s="367"/>
      <c r="M61" s="371" t="str">
        <f t="shared" ref="M61:M83" si="10">IF(L61="","",ROUNDDOWN(L61*$F61,0))</f>
        <v/>
      </c>
      <c r="N61" s="359" t="str">
        <f>IF(F61="","",INT(HLOOKUP(N59,H59:M83,3,FALSE)*O58))</f>
        <v/>
      </c>
      <c r="O61" s="375" t="str">
        <f t="shared" ref="O61:O83" si="11">IF(N61="","",IF(N61&lt;10,INT(N61),IF(N61&lt;10000,ROUNDDOWN(N61,-1),ROUNDDOWN(N61,-2))))</f>
        <v/>
      </c>
    </row>
    <row r="62" spans="1:15" s="18" customFormat="1" ht="20.100000000000001" customHeight="1">
      <c r="A62" s="51"/>
      <c r="B62" s="87"/>
      <c r="C62" s="88"/>
      <c r="D62" s="66" t="s">
        <v>4485</v>
      </c>
      <c r="E62" s="76"/>
      <c r="F62" s="57"/>
      <c r="G62" s="71"/>
      <c r="H62" s="361"/>
      <c r="I62" s="362" t="str">
        <f t="shared" si="8"/>
        <v/>
      </c>
      <c r="J62" s="368"/>
      <c r="K62" s="362" t="str">
        <f t="shared" si="9"/>
        <v/>
      </c>
      <c r="L62" s="368"/>
      <c r="M62" s="372" t="str">
        <f t="shared" si="10"/>
        <v/>
      </c>
      <c r="N62" s="361" t="str">
        <f>IF(F62="","",INT(HLOOKUP(N59,H59:M83,4,FALSE)*O58))</f>
        <v/>
      </c>
      <c r="O62" s="376" t="str">
        <f t="shared" si="11"/>
        <v/>
      </c>
    </row>
    <row r="63" spans="1:15" s="18" customFormat="1" ht="20.100000000000001" customHeight="1">
      <c r="A63" s="51"/>
      <c r="B63" s="87"/>
      <c r="C63" s="88"/>
      <c r="D63" s="66"/>
      <c r="E63" s="76"/>
      <c r="F63" s="57"/>
      <c r="G63" s="71"/>
      <c r="H63" s="361"/>
      <c r="I63" s="362" t="str">
        <f t="shared" si="8"/>
        <v/>
      </c>
      <c r="J63" s="368"/>
      <c r="K63" s="362" t="str">
        <f t="shared" si="9"/>
        <v/>
      </c>
      <c r="L63" s="368"/>
      <c r="M63" s="372" t="str">
        <f t="shared" si="10"/>
        <v/>
      </c>
      <c r="N63" s="361" t="str">
        <f>IF(F63="","",INT(HLOOKUP(N59,H59:M83,5,FALSE)*O58))</f>
        <v/>
      </c>
      <c r="O63" s="376" t="str">
        <f t="shared" si="11"/>
        <v/>
      </c>
    </row>
    <row r="64" spans="1:15" s="18" customFormat="1" ht="20.100000000000001" customHeight="1">
      <c r="A64" s="1892">
        <v>301</v>
      </c>
      <c r="B64" s="1893">
        <v>4</v>
      </c>
      <c r="C64" s="1894">
        <v>4</v>
      </c>
      <c r="D64" s="1895" t="s">
        <v>4488</v>
      </c>
      <c r="E64" s="1896" t="s">
        <v>4504</v>
      </c>
      <c r="F64" s="1897">
        <v>105</v>
      </c>
      <c r="G64" s="1898" t="s">
        <v>4449</v>
      </c>
      <c r="H64" s="361">
        <v>36500</v>
      </c>
      <c r="I64" s="362">
        <f t="shared" si="8"/>
        <v>3832500</v>
      </c>
      <c r="J64" s="368"/>
      <c r="K64" s="362" t="str">
        <f t="shared" si="9"/>
        <v/>
      </c>
      <c r="L64" s="368"/>
      <c r="M64" s="372" t="str">
        <f t="shared" si="10"/>
        <v/>
      </c>
      <c r="N64" s="361">
        <f>IF(F64="","",INT(HLOOKUP(N59,H59:M83,6,FALSE)*O58))</f>
        <v>21900</v>
      </c>
      <c r="O64" s="376">
        <f t="shared" si="11"/>
        <v>21900</v>
      </c>
    </row>
    <row r="65" spans="1:15" s="18" customFormat="1" ht="20.100000000000001" customHeight="1">
      <c r="A65" s="51"/>
      <c r="B65" s="87"/>
      <c r="C65" s="88"/>
      <c r="D65" s="66"/>
      <c r="E65" s="76"/>
      <c r="F65" s="57"/>
      <c r="G65" s="71"/>
      <c r="H65" s="361"/>
      <c r="I65" s="362" t="str">
        <f t="shared" si="8"/>
        <v/>
      </c>
      <c r="J65" s="368"/>
      <c r="K65" s="362" t="str">
        <f t="shared" si="9"/>
        <v/>
      </c>
      <c r="L65" s="368"/>
      <c r="M65" s="372" t="str">
        <f t="shared" si="10"/>
        <v/>
      </c>
      <c r="N65" s="361" t="str">
        <f>IF(F65="","",INT(HLOOKUP(N59,H59:M83,7,FALSE)*O58))</f>
        <v/>
      </c>
      <c r="O65" s="376" t="str">
        <f t="shared" si="11"/>
        <v/>
      </c>
    </row>
    <row r="66" spans="1:15" s="18" customFormat="1" ht="20.100000000000001" customHeight="1">
      <c r="A66" s="1892">
        <v>304</v>
      </c>
      <c r="B66" s="1893">
        <v>4</v>
      </c>
      <c r="C66" s="1894">
        <v>4</v>
      </c>
      <c r="D66" s="1895" t="s">
        <v>4488</v>
      </c>
      <c r="E66" s="1896" t="s">
        <v>4504</v>
      </c>
      <c r="F66" s="1897">
        <v>37.799999999999997</v>
      </c>
      <c r="G66" s="1898" t="s">
        <v>4449</v>
      </c>
      <c r="H66" s="361">
        <v>36500</v>
      </c>
      <c r="I66" s="362">
        <f t="shared" si="8"/>
        <v>1379700</v>
      </c>
      <c r="J66" s="368"/>
      <c r="K66" s="362" t="str">
        <f t="shared" si="9"/>
        <v/>
      </c>
      <c r="L66" s="368"/>
      <c r="M66" s="372" t="str">
        <f t="shared" si="10"/>
        <v/>
      </c>
      <c r="N66" s="361">
        <f>IF(F66="","",INT(HLOOKUP(N59,H59:M83,8,FALSE)*O58))</f>
        <v>21900</v>
      </c>
      <c r="O66" s="376">
        <f t="shared" si="11"/>
        <v>21900</v>
      </c>
    </row>
    <row r="67" spans="1:15" s="18" customFormat="1" ht="20.100000000000001" customHeight="1">
      <c r="A67" s="51"/>
      <c r="B67" s="87"/>
      <c r="C67" s="88"/>
      <c r="D67" s="66"/>
      <c r="E67" s="76"/>
      <c r="F67" s="57"/>
      <c r="G67" s="71"/>
      <c r="H67" s="361"/>
      <c r="I67" s="362" t="str">
        <f t="shared" si="8"/>
        <v/>
      </c>
      <c r="J67" s="368"/>
      <c r="K67" s="362" t="str">
        <f t="shared" si="9"/>
        <v/>
      </c>
      <c r="L67" s="368"/>
      <c r="M67" s="372" t="str">
        <f t="shared" si="10"/>
        <v/>
      </c>
      <c r="N67" s="361" t="str">
        <f>IF(F67="","",INT(HLOOKUP(N59,H59:M83,9,FALSE)*O58))</f>
        <v/>
      </c>
      <c r="O67" s="376" t="str">
        <f t="shared" si="11"/>
        <v/>
      </c>
    </row>
    <row r="68" spans="1:15" s="18" customFormat="1" ht="20.100000000000001" customHeight="1">
      <c r="A68" s="51"/>
      <c r="B68" s="87"/>
      <c r="C68" s="88"/>
      <c r="D68" s="66"/>
      <c r="E68" s="76"/>
      <c r="F68" s="57"/>
      <c r="G68" s="71"/>
      <c r="H68" s="361"/>
      <c r="I68" s="362" t="str">
        <f t="shared" si="8"/>
        <v/>
      </c>
      <c r="J68" s="368"/>
      <c r="K68" s="362" t="str">
        <f t="shared" si="9"/>
        <v/>
      </c>
      <c r="L68" s="368"/>
      <c r="M68" s="372" t="str">
        <f t="shared" si="10"/>
        <v/>
      </c>
      <c r="N68" s="361" t="str">
        <f>IF(F68="","",INT(HLOOKUP(N59,H59:M83,10,FALSE)*O58))</f>
        <v/>
      </c>
      <c r="O68" s="376" t="str">
        <f t="shared" si="11"/>
        <v/>
      </c>
    </row>
    <row r="69" spans="1:15" s="18" customFormat="1" ht="20.100000000000001" customHeight="1">
      <c r="A69" s="51"/>
      <c r="B69" s="87"/>
      <c r="C69" s="88"/>
      <c r="D69" s="66"/>
      <c r="E69" s="76"/>
      <c r="F69" s="57"/>
      <c r="G69" s="71"/>
      <c r="H69" s="361"/>
      <c r="I69" s="362" t="str">
        <f t="shared" si="8"/>
        <v/>
      </c>
      <c r="J69" s="368"/>
      <c r="K69" s="362" t="str">
        <f t="shared" si="9"/>
        <v/>
      </c>
      <c r="L69" s="368"/>
      <c r="M69" s="372" t="str">
        <f t="shared" si="10"/>
        <v/>
      </c>
      <c r="N69" s="361" t="str">
        <f>IF(F69="","",INT(HLOOKUP(N59,H59:M83,11,FALSE)*O58))</f>
        <v/>
      </c>
      <c r="O69" s="376" t="str">
        <f t="shared" si="11"/>
        <v/>
      </c>
    </row>
    <row r="70" spans="1:15" s="18" customFormat="1" ht="20.100000000000001" customHeight="1">
      <c r="A70" s="51"/>
      <c r="B70" s="87"/>
      <c r="C70" s="88"/>
      <c r="D70" s="66" t="s">
        <v>4501</v>
      </c>
      <c r="E70" s="76"/>
      <c r="F70" s="57"/>
      <c r="G70" s="71"/>
      <c r="H70" s="361"/>
      <c r="I70" s="362" t="str">
        <f t="shared" si="8"/>
        <v/>
      </c>
      <c r="J70" s="368"/>
      <c r="K70" s="362" t="str">
        <f t="shared" si="9"/>
        <v/>
      </c>
      <c r="L70" s="368"/>
      <c r="M70" s="372" t="str">
        <f t="shared" si="10"/>
        <v/>
      </c>
      <c r="N70" s="361" t="str">
        <f>IF(F70="","",INT(HLOOKUP(N59,H59:M83,12,FALSE)*O58))</f>
        <v/>
      </c>
      <c r="O70" s="376" t="str">
        <f t="shared" si="11"/>
        <v/>
      </c>
    </row>
    <row r="71" spans="1:15" s="18" customFormat="1" ht="20.100000000000001" customHeight="1">
      <c r="A71" s="51"/>
      <c r="B71" s="87"/>
      <c r="C71" s="88"/>
      <c r="D71" s="66"/>
      <c r="E71" s="76"/>
      <c r="F71" s="57"/>
      <c r="G71" s="71"/>
      <c r="H71" s="361"/>
      <c r="I71" s="362" t="str">
        <f t="shared" si="8"/>
        <v/>
      </c>
      <c r="J71" s="368"/>
      <c r="K71" s="362" t="str">
        <f t="shared" si="9"/>
        <v/>
      </c>
      <c r="L71" s="368"/>
      <c r="M71" s="372" t="str">
        <f t="shared" si="10"/>
        <v/>
      </c>
      <c r="N71" s="361" t="str">
        <f>IF(F71="","",INT(HLOOKUP(N59,H59:M83,13,FALSE)*O58))</f>
        <v/>
      </c>
      <c r="O71" s="376" t="str">
        <f t="shared" si="11"/>
        <v/>
      </c>
    </row>
    <row r="72" spans="1:15" s="18" customFormat="1" ht="20.100000000000001" customHeight="1">
      <c r="A72" s="1901">
        <v>310</v>
      </c>
      <c r="B72" s="1902">
        <v>4</v>
      </c>
      <c r="C72" s="1903">
        <v>4</v>
      </c>
      <c r="D72" s="1904" t="s">
        <v>4488</v>
      </c>
      <c r="E72" s="1896" t="s">
        <v>4504</v>
      </c>
      <c r="F72" s="1906">
        <v>136</v>
      </c>
      <c r="G72" s="1907" t="s">
        <v>4449</v>
      </c>
      <c r="H72" s="361">
        <v>36500</v>
      </c>
      <c r="I72" s="362">
        <f t="shared" si="8"/>
        <v>4964000</v>
      </c>
      <c r="J72" s="368"/>
      <c r="K72" s="362" t="str">
        <f t="shared" si="9"/>
        <v/>
      </c>
      <c r="L72" s="368"/>
      <c r="M72" s="372" t="str">
        <f t="shared" si="10"/>
        <v/>
      </c>
      <c r="N72" s="361">
        <f>IF(F72="","",INT(HLOOKUP(N59,H59:M83,14,FALSE)*O58))</f>
        <v>21900</v>
      </c>
      <c r="O72" s="376">
        <f t="shared" si="11"/>
        <v>21900</v>
      </c>
    </row>
    <row r="73" spans="1:15" s="18" customFormat="1" ht="20.100000000000001" customHeight="1">
      <c r="A73" s="51"/>
      <c r="B73" s="87"/>
      <c r="C73" s="88"/>
      <c r="D73" s="66"/>
      <c r="E73" s="76"/>
      <c r="F73" s="57"/>
      <c r="G73" s="71"/>
      <c r="H73" s="361"/>
      <c r="I73" s="362" t="str">
        <f t="shared" si="8"/>
        <v/>
      </c>
      <c r="J73" s="368"/>
      <c r="K73" s="362" t="str">
        <f t="shared" si="9"/>
        <v/>
      </c>
      <c r="L73" s="368"/>
      <c r="M73" s="372" t="str">
        <f t="shared" si="10"/>
        <v/>
      </c>
      <c r="N73" s="361" t="str">
        <f>IF(F73="","",INT(HLOOKUP(N59,H59:M83,15,FALSE)*O58))</f>
        <v/>
      </c>
      <c r="O73" s="376" t="str">
        <f t="shared" si="11"/>
        <v/>
      </c>
    </row>
    <row r="74" spans="1:15" s="18" customFormat="1" ht="20.100000000000001" customHeight="1">
      <c r="A74" s="1901">
        <v>313</v>
      </c>
      <c r="B74" s="1902">
        <v>4</v>
      </c>
      <c r="C74" s="1903">
        <v>4</v>
      </c>
      <c r="D74" s="1904" t="s">
        <v>4488</v>
      </c>
      <c r="E74" s="1896" t="s">
        <v>4504</v>
      </c>
      <c r="F74" s="1906">
        <v>82.3</v>
      </c>
      <c r="G74" s="1907" t="s">
        <v>4449</v>
      </c>
      <c r="H74" s="361">
        <v>36500</v>
      </c>
      <c r="I74" s="362">
        <f t="shared" si="8"/>
        <v>3003950</v>
      </c>
      <c r="J74" s="368"/>
      <c r="K74" s="362" t="str">
        <f t="shared" si="9"/>
        <v/>
      </c>
      <c r="L74" s="368"/>
      <c r="M74" s="372" t="str">
        <f t="shared" si="10"/>
        <v/>
      </c>
      <c r="N74" s="361">
        <f>IF(F74="","",INT(HLOOKUP(N59,H59:M83,16,FALSE)*O58))</f>
        <v>21900</v>
      </c>
      <c r="O74" s="376">
        <f t="shared" si="11"/>
        <v>21900</v>
      </c>
    </row>
    <row r="75" spans="1:15" s="18" customFormat="1" ht="20.100000000000001" customHeight="1">
      <c r="A75" s="51"/>
      <c r="B75" s="87"/>
      <c r="C75" s="88"/>
      <c r="D75" s="66"/>
      <c r="E75" s="76"/>
      <c r="F75" s="57"/>
      <c r="G75" s="71"/>
      <c r="H75" s="361"/>
      <c r="I75" s="362" t="str">
        <f t="shared" si="8"/>
        <v/>
      </c>
      <c r="J75" s="368"/>
      <c r="K75" s="362" t="str">
        <f t="shared" si="9"/>
        <v/>
      </c>
      <c r="L75" s="368"/>
      <c r="M75" s="372" t="str">
        <f t="shared" si="10"/>
        <v/>
      </c>
      <c r="N75" s="361" t="str">
        <f>IF(F75="","",INT(HLOOKUP(N59,H59:M83,17,FALSE)*O58))</f>
        <v/>
      </c>
      <c r="O75" s="376" t="str">
        <f t="shared" si="11"/>
        <v/>
      </c>
    </row>
    <row r="76" spans="1:15" s="18" customFormat="1" ht="20.100000000000001" customHeight="1">
      <c r="A76" s="51"/>
      <c r="B76" s="87"/>
      <c r="C76" s="88"/>
      <c r="D76" s="66"/>
      <c r="E76" s="76"/>
      <c r="F76" s="57"/>
      <c r="G76" s="71"/>
      <c r="H76" s="361"/>
      <c r="I76" s="362" t="str">
        <f t="shared" si="8"/>
        <v/>
      </c>
      <c r="J76" s="368"/>
      <c r="K76" s="362" t="str">
        <f t="shared" si="9"/>
        <v/>
      </c>
      <c r="L76" s="368"/>
      <c r="M76" s="372" t="str">
        <f t="shared" si="10"/>
        <v/>
      </c>
      <c r="N76" s="361" t="str">
        <f>IF(F76="","",INT(HLOOKUP(N59,H59:M83,18,FALSE)*O58))</f>
        <v/>
      </c>
      <c r="O76" s="376" t="str">
        <f t="shared" si="11"/>
        <v/>
      </c>
    </row>
    <row r="77" spans="1:15" s="18" customFormat="1" ht="20.100000000000001" customHeight="1">
      <c r="A77" s="51"/>
      <c r="B77" s="87"/>
      <c r="C77" s="88"/>
      <c r="D77" s="66"/>
      <c r="E77" s="76"/>
      <c r="F77" s="57"/>
      <c r="G77" s="71"/>
      <c r="H77" s="361"/>
      <c r="I77" s="362" t="str">
        <f t="shared" si="8"/>
        <v/>
      </c>
      <c r="J77" s="368"/>
      <c r="K77" s="362" t="str">
        <f t="shared" si="9"/>
        <v/>
      </c>
      <c r="L77" s="368"/>
      <c r="M77" s="372" t="str">
        <f t="shared" si="10"/>
        <v/>
      </c>
      <c r="N77" s="361" t="str">
        <f>IF(F77="","",INT(HLOOKUP(N59,H59:M83,19,FALSE)*O58))</f>
        <v/>
      </c>
      <c r="O77" s="376" t="str">
        <f t="shared" si="11"/>
        <v/>
      </c>
    </row>
    <row r="78" spans="1:15" s="18" customFormat="1" ht="20.100000000000001" customHeight="1">
      <c r="A78" s="51"/>
      <c r="B78" s="87"/>
      <c r="C78" s="88"/>
      <c r="D78" s="66"/>
      <c r="E78" s="76"/>
      <c r="F78" s="57"/>
      <c r="G78" s="71"/>
      <c r="H78" s="361"/>
      <c r="I78" s="362" t="str">
        <f t="shared" si="8"/>
        <v/>
      </c>
      <c r="J78" s="368"/>
      <c r="K78" s="362" t="str">
        <f t="shared" si="9"/>
        <v/>
      </c>
      <c r="L78" s="368"/>
      <c r="M78" s="372" t="str">
        <f t="shared" si="10"/>
        <v/>
      </c>
      <c r="N78" s="361" t="str">
        <f>IF(F78="","",INT(HLOOKUP(N59,H59:M83,20,FALSE)*O58))</f>
        <v/>
      </c>
      <c r="O78" s="376" t="str">
        <f t="shared" si="11"/>
        <v/>
      </c>
    </row>
    <row r="79" spans="1:15" s="18" customFormat="1" ht="20.100000000000001" customHeight="1">
      <c r="A79" s="51"/>
      <c r="B79" s="87"/>
      <c r="C79" s="88"/>
      <c r="D79" s="66"/>
      <c r="E79" s="76"/>
      <c r="F79" s="57"/>
      <c r="G79" s="71"/>
      <c r="H79" s="361"/>
      <c r="I79" s="362"/>
      <c r="J79" s="368"/>
      <c r="K79" s="362"/>
      <c r="L79" s="368"/>
      <c r="M79" s="372"/>
      <c r="N79" s="361"/>
      <c r="O79" s="376"/>
    </row>
    <row r="80" spans="1:15" s="18" customFormat="1" ht="20.100000000000001" customHeight="1">
      <c r="A80" s="51"/>
      <c r="B80" s="87"/>
      <c r="C80" s="88"/>
      <c r="D80" s="66"/>
      <c r="E80" s="76"/>
      <c r="F80" s="57"/>
      <c r="G80" s="71"/>
      <c r="H80" s="361"/>
      <c r="I80" s="362" t="str">
        <f t="shared" si="8"/>
        <v/>
      </c>
      <c r="J80" s="368"/>
      <c r="K80" s="362" t="str">
        <f t="shared" si="9"/>
        <v/>
      </c>
      <c r="L80" s="368"/>
      <c r="M80" s="372" t="str">
        <f t="shared" si="10"/>
        <v/>
      </c>
      <c r="N80" s="361" t="str">
        <f>IF(F80="","",INT(HLOOKUP(N59,H59:M83,21,FALSE)*O58))</f>
        <v/>
      </c>
      <c r="O80" s="376" t="str">
        <f t="shared" si="11"/>
        <v/>
      </c>
    </row>
    <row r="81" spans="1:15" s="18" customFormat="1" ht="20.100000000000001" customHeight="1">
      <c r="A81" s="51"/>
      <c r="B81" s="87"/>
      <c r="C81" s="88"/>
      <c r="D81" s="66"/>
      <c r="E81" s="76"/>
      <c r="F81" s="57"/>
      <c r="G81" s="71"/>
      <c r="H81" s="361"/>
      <c r="I81" s="362" t="str">
        <f t="shared" si="8"/>
        <v/>
      </c>
      <c r="J81" s="368"/>
      <c r="K81" s="362" t="str">
        <f t="shared" si="9"/>
        <v/>
      </c>
      <c r="L81" s="368"/>
      <c r="M81" s="372" t="str">
        <f t="shared" si="10"/>
        <v/>
      </c>
      <c r="N81" s="361" t="str">
        <f>IF(F81="","",INT(HLOOKUP(N59,H59:M83,22,FALSE)*O58))</f>
        <v/>
      </c>
      <c r="O81" s="376" t="str">
        <f t="shared" si="11"/>
        <v/>
      </c>
    </row>
    <row r="82" spans="1:15" s="18" customFormat="1" ht="20.100000000000001" customHeight="1">
      <c r="A82" s="51"/>
      <c r="B82" s="87"/>
      <c r="C82" s="88"/>
      <c r="D82" s="66"/>
      <c r="E82" s="76"/>
      <c r="F82" s="57"/>
      <c r="G82" s="71"/>
      <c r="H82" s="361"/>
      <c r="I82" s="362" t="str">
        <f t="shared" si="8"/>
        <v/>
      </c>
      <c r="J82" s="368"/>
      <c r="K82" s="362" t="str">
        <f t="shared" si="9"/>
        <v/>
      </c>
      <c r="L82" s="368"/>
      <c r="M82" s="372" t="str">
        <f t="shared" si="10"/>
        <v/>
      </c>
      <c r="N82" s="361" t="str">
        <f>IF(F82="","",INT(HLOOKUP(N59,H59:M83,23,FALSE)*O58))</f>
        <v/>
      </c>
      <c r="O82" s="376" t="str">
        <f t="shared" si="11"/>
        <v/>
      </c>
    </row>
    <row r="83" spans="1:15" s="18" customFormat="1" ht="20.100000000000001" customHeight="1" thickBot="1">
      <c r="A83" s="52"/>
      <c r="B83" s="89"/>
      <c r="C83" s="90"/>
      <c r="D83" s="67"/>
      <c r="E83" s="77"/>
      <c r="F83" s="58"/>
      <c r="G83" s="72"/>
      <c r="H83" s="363"/>
      <c r="I83" s="364" t="str">
        <f t="shared" si="8"/>
        <v/>
      </c>
      <c r="J83" s="369"/>
      <c r="K83" s="364" t="str">
        <f t="shared" si="9"/>
        <v/>
      </c>
      <c r="L83" s="369"/>
      <c r="M83" s="373" t="str">
        <f t="shared" si="10"/>
        <v/>
      </c>
      <c r="N83" s="363" t="str">
        <f>IF(F83="","",INT(HLOOKUP(N59,H59:M83,24,FALSE)*O58))</f>
        <v/>
      </c>
      <c r="O83" s="377" t="str">
        <f t="shared" si="11"/>
        <v/>
      </c>
    </row>
    <row r="84" spans="1:15" s="18" customFormat="1" ht="20.100000000000001" customHeight="1" thickTop="1" thickBot="1">
      <c r="A84" s="26"/>
      <c r="B84" s="27"/>
      <c r="C84" s="27"/>
      <c r="D84" s="28" t="str">
        <f>IF(G84="","合      計","")</f>
        <v>合      計</v>
      </c>
      <c r="E84" s="29" t="s">
        <v>4499</v>
      </c>
      <c r="F84" s="29"/>
      <c r="G84" s="49"/>
      <c r="H84" s="365"/>
      <c r="I84" s="366">
        <f>IF($G84="",IF(SUM(I61:I83)=0,"",SUM(I61:I83)),IF(I56="","",SUM(I61:I83)+I56))</f>
        <v>13180150</v>
      </c>
      <c r="J84" s="370"/>
      <c r="K84" s="366" t="str">
        <f>IF(G84="",IF(SUM(K61:K83)=0,"",SUM(K61:K83)),IF(K56="","",SUM(K61:K83)+K56))</f>
        <v/>
      </c>
      <c r="L84" s="370"/>
      <c r="M84" s="374" t="str">
        <f>IF(G84="",IF(SUM(M61:M83)=0,"",SUM(M61:M83)),IF(M56="","",SUM(M61:M83)+M56))</f>
        <v/>
      </c>
      <c r="N84" s="378" t="s">
        <v>4500</v>
      </c>
      <c r="O84" s="379">
        <f>IF(G112="",MIN(I84,K84,M84),"")</f>
        <v>13180150</v>
      </c>
    </row>
    <row r="85" spans="1:15" s="18" customFormat="1" ht="20.100000000000001" customHeight="1">
      <c r="A85" s="22"/>
      <c r="B85" s="22"/>
      <c r="C85" s="22"/>
      <c r="G85" s="22"/>
      <c r="H85" s="30"/>
      <c r="I85" s="30"/>
      <c r="J85" s="30"/>
      <c r="K85" s="30"/>
      <c r="L85" s="30"/>
      <c r="M85" s="30"/>
      <c r="N85" s="18" t="str">
        <f>IF(B87="","EOL","")</f>
        <v/>
      </c>
      <c r="O85" s="30">
        <f>+O57+1</f>
        <v>3</v>
      </c>
    </row>
    <row r="86" spans="1:15" s="18" customFormat="1" ht="20.100000000000001" customHeight="1" thickBot="1">
      <c r="A86" s="2791" t="s">
        <v>4505</v>
      </c>
      <c r="B86" s="2791"/>
      <c r="C86" s="2791"/>
      <c r="D86" s="2791"/>
      <c r="E86" s="2791"/>
      <c r="F86" s="2791"/>
      <c r="G86" s="2791"/>
      <c r="H86" s="2791"/>
      <c r="I86" s="2791"/>
      <c r="J86" s="2791"/>
      <c r="K86" s="2791"/>
      <c r="L86" s="2791"/>
      <c r="M86" s="2791"/>
      <c r="N86" s="22" t="s">
        <v>4469</v>
      </c>
      <c r="O86" s="175">
        <f>+O58</f>
        <v>0.6</v>
      </c>
    </row>
    <row r="87" spans="1:15" s="22" customFormat="1" ht="20.100000000000001" customHeight="1">
      <c r="A87" s="19"/>
      <c r="B87" s="20" t="s">
        <v>4471</v>
      </c>
      <c r="C87" s="21" t="s">
        <v>4472</v>
      </c>
      <c r="D87" s="21"/>
      <c r="E87" s="73"/>
      <c r="F87" s="53"/>
      <c r="G87" s="68"/>
      <c r="H87" s="2792" t="s">
        <v>4506</v>
      </c>
      <c r="I87" s="2793"/>
      <c r="J87" s="2793" t="s">
        <v>4507</v>
      </c>
      <c r="K87" s="2794"/>
      <c r="L87" s="2793" t="s">
        <v>4475</v>
      </c>
      <c r="M87" s="2795"/>
      <c r="N87" s="2789" t="str">
        <f>IF(G140="",IF(O112=I112,H87,IF(O112=K112,J87,L87)),N115)</f>
        <v>A:㈱山本金属製作所</v>
      </c>
      <c r="O87" s="2790"/>
    </row>
    <row r="88" spans="1:15" s="22" customFormat="1" ht="20.100000000000001" customHeight="1" thickBot="1">
      <c r="A88" s="23" t="s">
        <v>4476</v>
      </c>
      <c r="B88" s="24" t="s">
        <v>4477</v>
      </c>
      <c r="C88" s="25" t="s">
        <v>4477</v>
      </c>
      <c r="D88" s="25" t="s">
        <v>4478</v>
      </c>
      <c r="E88" s="74" t="s">
        <v>4479</v>
      </c>
      <c r="F88" s="54" t="s">
        <v>4327</v>
      </c>
      <c r="G88" s="69" t="s">
        <v>4480</v>
      </c>
      <c r="H88" s="59" t="s">
        <v>4481</v>
      </c>
      <c r="I88" s="60" t="s">
        <v>4482</v>
      </c>
      <c r="J88" s="61" t="s">
        <v>4481</v>
      </c>
      <c r="K88" s="60" t="s">
        <v>4482</v>
      </c>
      <c r="L88" s="61" t="s">
        <v>4481</v>
      </c>
      <c r="M88" s="60" t="s">
        <v>4482</v>
      </c>
      <c r="N88" s="59" t="s">
        <v>4483</v>
      </c>
      <c r="O88" s="78" t="s">
        <v>4484</v>
      </c>
    </row>
    <row r="89" spans="1:15" s="18" customFormat="1" ht="20.100000000000001" customHeight="1">
      <c r="A89" s="50"/>
      <c r="B89" s="85"/>
      <c r="C89" s="86"/>
      <c r="D89" s="65" t="s">
        <v>4508</v>
      </c>
      <c r="E89" s="75"/>
      <c r="F89" s="55"/>
      <c r="G89" s="70"/>
      <c r="H89" s="359"/>
      <c r="I89" s="360" t="str">
        <f t="shared" ref="I89:I111" si="12">IF(H89="","",ROUNDDOWN(H89*F89,0))</f>
        <v/>
      </c>
      <c r="J89" s="367"/>
      <c r="K89" s="360" t="str">
        <f t="shared" ref="K89:K111" si="13">IF(J89="","",ROUNDDOWN(J89*$F89,0))</f>
        <v/>
      </c>
      <c r="L89" s="367"/>
      <c r="M89" s="371" t="str">
        <f t="shared" ref="M89:M111" si="14">IF(L89="","",ROUNDDOWN(L89*$F89,0))</f>
        <v/>
      </c>
      <c r="N89" s="359" t="str">
        <f>IF(F89="","",INT(HLOOKUP(N87,H87:M111,3,FALSE)*O86))</f>
        <v/>
      </c>
      <c r="O89" s="375" t="str">
        <f t="shared" ref="O89:O111" si="15">IF(N89="","",IF(N89&lt;10,INT(N89),IF(N89&lt;10000,ROUNDDOWN(N89,-1),ROUNDDOWN(N89,-2))))</f>
        <v/>
      </c>
    </row>
    <row r="90" spans="1:15" s="18" customFormat="1" ht="20.100000000000001" customHeight="1">
      <c r="A90" s="51">
        <v>400</v>
      </c>
      <c r="B90" s="87">
        <v>4</v>
      </c>
      <c r="C90" s="88">
        <v>4</v>
      </c>
      <c r="D90" s="66" t="s">
        <v>4509</v>
      </c>
      <c r="E90" s="76" t="s">
        <v>4510</v>
      </c>
      <c r="F90" s="57">
        <v>1</v>
      </c>
      <c r="G90" s="71" t="s">
        <v>4511</v>
      </c>
      <c r="H90" s="361">
        <v>2987400</v>
      </c>
      <c r="I90" s="362">
        <f t="shared" si="12"/>
        <v>2987400</v>
      </c>
      <c r="J90" s="368">
        <v>3420600</v>
      </c>
      <c r="K90" s="362">
        <f t="shared" si="13"/>
        <v>3420600</v>
      </c>
      <c r="L90" s="368"/>
      <c r="M90" s="372" t="str">
        <f t="shared" si="14"/>
        <v/>
      </c>
      <c r="N90" s="361">
        <f>IF(F90="","",INT(HLOOKUP(N87,H87:M111,4,FALSE)*O86))</f>
        <v>1792440</v>
      </c>
      <c r="O90" s="376">
        <f t="shared" si="15"/>
        <v>1792400</v>
      </c>
    </row>
    <row r="91" spans="1:15" s="18" customFormat="1" ht="20.100000000000001" customHeight="1">
      <c r="A91" s="51"/>
      <c r="B91" s="87"/>
      <c r="C91" s="88"/>
      <c r="D91" s="66"/>
      <c r="E91" s="76"/>
      <c r="F91" s="57"/>
      <c r="G91" s="71"/>
      <c r="H91" s="361"/>
      <c r="I91" s="362" t="str">
        <f t="shared" si="12"/>
        <v/>
      </c>
      <c r="J91" s="368"/>
      <c r="K91" s="362" t="str">
        <f t="shared" si="13"/>
        <v/>
      </c>
      <c r="L91" s="368"/>
      <c r="M91" s="372" t="str">
        <f t="shared" si="14"/>
        <v/>
      </c>
      <c r="N91" s="361" t="str">
        <f>IF(F91="","",INT(HLOOKUP(N87,H87:M111,5,FALSE)*O86))</f>
        <v/>
      </c>
      <c r="O91" s="376" t="str">
        <f t="shared" si="15"/>
        <v/>
      </c>
    </row>
    <row r="92" spans="1:15" s="18" customFormat="1" ht="20.100000000000001" customHeight="1">
      <c r="A92" s="51">
        <v>401</v>
      </c>
      <c r="B92" s="87">
        <v>4</v>
      </c>
      <c r="C92" s="88">
        <v>4</v>
      </c>
      <c r="D92" s="66" t="s">
        <v>4509</v>
      </c>
      <c r="E92" s="76" t="s">
        <v>4512</v>
      </c>
      <c r="F92" s="57">
        <v>1</v>
      </c>
      <c r="G92" s="71" t="s">
        <v>4511</v>
      </c>
      <c r="H92" s="361">
        <v>5601300</v>
      </c>
      <c r="I92" s="362">
        <f t="shared" si="12"/>
        <v>5601300</v>
      </c>
      <c r="J92" s="368">
        <v>6413500</v>
      </c>
      <c r="K92" s="362">
        <f t="shared" si="13"/>
        <v>6413500</v>
      </c>
      <c r="L92" s="368"/>
      <c r="M92" s="372" t="str">
        <f t="shared" si="14"/>
        <v/>
      </c>
      <c r="N92" s="361">
        <f>IF(F92="","",INT(HLOOKUP(N87,H87:M111,6,FALSE)*O86))</f>
        <v>3360780</v>
      </c>
      <c r="O92" s="376">
        <f t="shared" si="15"/>
        <v>3360700</v>
      </c>
    </row>
    <row r="93" spans="1:15" s="18" customFormat="1" ht="20.100000000000001" customHeight="1">
      <c r="A93" s="51"/>
      <c r="B93" s="87"/>
      <c r="C93" s="88"/>
      <c r="D93" s="66"/>
      <c r="E93" s="76"/>
      <c r="F93" s="57"/>
      <c r="G93" s="71"/>
      <c r="H93" s="361"/>
      <c r="I93" s="362" t="str">
        <f t="shared" si="12"/>
        <v/>
      </c>
      <c r="J93" s="368"/>
      <c r="K93" s="362" t="str">
        <f t="shared" si="13"/>
        <v/>
      </c>
      <c r="L93" s="368"/>
      <c r="M93" s="372" t="str">
        <f t="shared" si="14"/>
        <v/>
      </c>
      <c r="N93" s="361" t="str">
        <f>IF(F93="","",INT(HLOOKUP(N87,H87:M111,7,FALSE)*O86))</f>
        <v/>
      </c>
      <c r="O93" s="376" t="str">
        <f t="shared" si="15"/>
        <v/>
      </c>
    </row>
    <row r="94" spans="1:15" s="18" customFormat="1" ht="20.100000000000001" customHeight="1">
      <c r="A94" s="51">
        <v>402</v>
      </c>
      <c r="B94" s="87">
        <v>4</v>
      </c>
      <c r="C94" s="88">
        <v>4</v>
      </c>
      <c r="D94" s="66" t="s">
        <v>4509</v>
      </c>
      <c r="E94" s="76" t="s">
        <v>4513</v>
      </c>
      <c r="F94" s="57">
        <v>1</v>
      </c>
      <c r="G94" s="71" t="s">
        <v>4511</v>
      </c>
      <c r="H94" s="361">
        <v>4437900</v>
      </c>
      <c r="I94" s="362">
        <f t="shared" si="12"/>
        <v>4437900</v>
      </c>
      <c r="J94" s="368">
        <v>5099200</v>
      </c>
      <c r="K94" s="362">
        <f t="shared" si="13"/>
        <v>5099200</v>
      </c>
      <c r="L94" s="368"/>
      <c r="M94" s="372" t="str">
        <f t="shared" si="14"/>
        <v/>
      </c>
      <c r="N94" s="361">
        <f>IF(F94="","",INT(HLOOKUP(N87,H87:M111,8,FALSE)*O86))</f>
        <v>2662740</v>
      </c>
      <c r="O94" s="376">
        <f t="shared" si="15"/>
        <v>2662700</v>
      </c>
    </row>
    <row r="95" spans="1:15" s="18" customFormat="1" ht="20.100000000000001" customHeight="1">
      <c r="A95" s="51"/>
      <c r="B95" s="87"/>
      <c r="C95" s="88"/>
      <c r="D95" s="66"/>
      <c r="E95" s="76"/>
      <c r="F95" s="57"/>
      <c r="G95" s="71"/>
      <c r="H95" s="361"/>
      <c r="I95" s="362" t="str">
        <f t="shared" si="12"/>
        <v/>
      </c>
      <c r="J95" s="368"/>
      <c r="K95" s="362" t="str">
        <f t="shared" si="13"/>
        <v/>
      </c>
      <c r="L95" s="368"/>
      <c r="M95" s="372" t="str">
        <f t="shared" si="14"/>
        <v/>
      </c>
      <c r="N95" s="361" t="str">
        <f>IF(F95="","",INT(HLOOKUP(N87,H87:M111,9,FALSE)*O86))</f>
        <v/>
      </c>
      <c r="O95" s="376" t="str">
        <f t="shared" si="15"/>
        <v/>
      </c>
    </row>
    <row r="96" spans="1:15" s="18" customFormat="1" ht="20.100000000000001" customHeight="1">
      <c r="A96" s="51">
        <v>403</v>
      </c>
      <c r="B96" s="87">
        <v>4</v>
      </c>
      <c r="C96" s="88">
        <v>4</v>
      </c>
      <c r="D96" s="66" t="s">
        <v>4514</v>
      </c>
      <c r="E96" s="76" t="s">
        <v>4515</v>
      </c>
      <c r="F96" s="57">
        <v>48</v>
      </c>
      <c r="G96" s="71" t="s">
        <v>4511</v>
      </c>
      <c r="H96" s="361">
        <v>330700</v>
      </c>
      <c r="I96" s="362">
        <f t="shared" si="12"/>
        <v>15873600</v>
      </c>
      <c r="J96" s="368">
        <v>379000</v>
      </c>
      <c r="K96" s="362">
        <f t="shared" si="13"/>
        <v>18192000</v>
      </c>
      <c r="L96" s="368"/>
      <c r="M96" s="372" t="str">
        <f t="shared" si="14"/>
        <v/>
      </c>
      <c r="N96" s="361">
        <f>IF(F96="","",INT(HLOOKUP(N87,H87:M111,10,FALSE)*O86))</f>
        <v>198420</v>
      </c>
      <c r="O96" s="376">
        <f t="shared" si="15"/>
        <v>198400</v>
      </c>
    </row>
    <row r="97" spans="1:15" s="18" customFormat="1" ht="20.100000000000001" customHeight="1">
      <c r="A97" s="51"/>
      <c r="B97" s="87"/>
      <c r="C97" s="88"/>
      <c r="D97" s="66"/>
      <c r="E97" s="76" t="s">
        <v>4387</v>
      </c>
      <c r="F97" s="57"/>
      <c r="G97" s="71"/>
      <c r="H97" s="361"/>
      <c r="I97" s="362" t="str">
        <f t="shared" si="12"/>
        <v/>
      </c>
      <c r="J97" s="368"/>
      <c r="K97" s="362" t="str">
        <f t="shared" si="13"/>
        <v/>
      </c>
      <c r="L97" s="368"/>
      <c r="M97" s="372" t="str">
        <f t="shared" si="14"/>
        <v/>
      </c>
      <c r="N97" s="361" t="str">
        <f>IF(F97="","",INT(HLOOKUP(N87,H87:M111,11,FALSE)*O86))</f>
        <v/>
      </c>
      <c r="O97" s="376" t="str">
        <f t="shared" si="15"/>
        <v/>
      </c>
    </row>
    <row r="98" spans="1:15" s="18" customFormat="1" ht="20.100000000000001" customHeight="1">
      <c r="A98" s="51"/>
      <c r="B98" s="87"/>
      <c r="C98" s="88"/>
      <c r="D98" s="66"/>
      <c r="E98" s="76"/>
      <c r="F98" s="57"/>
      <c r="G98" s="71"/>
      <c r="H98" s="361"/>
      <c r="I98" s="362" t="str">
        <f t="shared" si="12"/>
        <v/>
      </c>
      <c r="J98" s="368"/>
      <c r="K98" s="362" t="str">
        <f t="shared" si="13"/>
        <v/>
      </c>
      <c r="L98" s="368"/>
      <c r="M98" s="372" t="str">
        <f t="shared" si="14"/>
        <v/>
      </c>
      <c r="N98" s="361" t="str">
        <f>IF(F98="","",INT(HLOOKUP(N87,H87:M111,12,FALSE)*O86))</f>
        <v/>
      </c>
      <c r="O98" s="376" t="str">
        <f t="shared" si="15"/>
        <v/>
      </c>
    </row>
    <row r="99" spans="1:15" s="18" customFormat="1" ht="20.100000000000001" customHeight="1">
      <c r="A99" s="51">
        <v>404</v>
      </c>
      <c r="B99" s="87">
        <v>4</v>
      </c>
      <c r="C99" s="88">
        <v>4</v>
      </c>
      <c r="D99" s="66" t="s">
        <v>4516</v>
      </c>
      <c r="E99" s="76" t="s">
        <v>4517</v>
      </c>
      <c r="F99" s="57">
        <v>1</v>
      </c>
      <c r="G99" s="71" t="s">
        <v>4511</v>
      </c>
      <c r="H99" s="361">
        <v>1895500</v>
      </c>
      <c r="I99" s="362">
        <f t="shared" si="12"/>
        <v>1895500</v>
      </c>
      <c r="J99" s="368">
        <v>2174200</v>
      </c>
      <c r="K99" s="362">
        <f t="shared" si="13"/>
        <v>2174200</v>
      </c>
      <c r="L99" s="368"/>
      <c r="M99" s="372" t="str">
        <f t="shared" si="14"/>
        <v/>
      </c>
      <c r="N99" s="361">
        <f>IF(F99="","",INT(HLOOKUP(N87,H87:M111,13,FALSE)*O86))</f>
        <v>1137300</v>
      </c>
      <c r="O99" s="376">
        <f t="shared" si="15"/>
        <v>1137300</v>
      </c>
    </row>
    <row r="100" spans="1:15" s="18" customFormat="1" ht="20.100000000000001" customHeight="1">
      <c r="A100" s="51"/>
      <c r="B100" s="87"/>
      <c r="C100" s="88"/>
      <c r="D100" s="66"/>
      <c r="E100" s="76"/>
      <c r="F100" s="57"/>
      <c r="G100" s="71"/>
      <c r="H100" s="361"/>
      <c r="I100" s="362" t="str">
        <f t="shared" si="12"/>
        <v/>
      </c>
      <c r="J100" s="368"/>
      <c r="K100" s="362" t="str">
        <f t="shared" si="13"/>
        <v/>
      </c>
      <c r="L100" s="368"/>
      <c r="M100" s="372" t="str">
        <f t="shared" si="14"/>
        <v/>
      </c>
      <c r="N100" s="361" t="str">
        <f>IF(F100="","",INT(HLOOKUP(N87,H87:M111,14,FALSE)*O86))</f>
        <v/>
      </c>
      <c r="O100" s="376" t="str">
        <f t="shared" si="15"/>
        <v/>
      </c>
    </row>
    <row r="101" spans="1:15" s="18" customFormat="1" ht="20.100000000000001" customHeight="1">
      <c r="A101" s="51"/>
      <c r="B101" s="87"/>
      <c r="C101" s="88"/>
      <c r="D101" s="66"/>
      <c r="E101" s="76"/>
      <c r="F101" s="57"/>
      <c r="G101" s="71"/>
      <c r="H101" s="361"/>
      <c r="I101" s="362" t="str">
        <f t="shared" si="12"/>
        <v/>
      </c>
      <c r="J101" s="368"/>
      <c r="K101" s="362" t="str">
        <f t="shared" si="13"/>
        <v/>
      </c>
      <c r="L101" s="368"/>
      <c r="M101" s="372" t="str">
        <f t="shared" si="14"/>
        <v/>
      </c>
      <c r="N101" s="361" t="str">
        <f>IF(F101="","",INT(HLOOKUP(N87,H87:M111,15,FALSE)*O86))</f>
        <v/>
      </c>
      <c r="O101" s="376" t="str">
        <f t="shared" si="15"/>
        <v/>
      </c>
    </row>
    <row r="102" spans="1:15" s="18" customFormat="1" ht="20.100000000000001" customHeight="1">
      <c r="A102" s="51"/>
      <c r="B102" s="87"/>
      <c r="C102" s="88"/>
      <c r="D102" s="66"/>
      <c r="E102" s="76"/>
      <c r="F102" s="57"/>
      <c r="G102" s="71"/>
      <c r="H102" s="361"/>
      <c r="I102" s="362" t="str">
        <f t="shared" si="12"/>
        <v/>
      </c>
      <c r="J102" s="368"/>
      <c r="K102" s="362" t="str">
        <f t="shared" si="13"/>
        <v/>
      </c>
      <c r="L102" s="368"/>
      <c r="M102" s="372" t="str">
        <f t="shared" si="14"/>
        <v/>
      </c>
      <c r="N102" s="361" t="str">
        <f>IF(F102="","",INT(HLOOKUP(N87,H87:M111,16,FALSE)*O86))</f>
        <v/>
      </c>
      <c r="O102" s="376" t="str">
        <f t="shared" si="15"/>
        <v/>
      </c>
    </row>
    <row r="103" spans="1:15" s="18" customFormat="1" ht="20.100000000000001" customHeight="1">
      <c r="A103" s="51"/>
      <c r="B103" s="87"/>
      <c r="C103" s="88"/>
      <c r="D103" s="66"/>
      <c r="E103" s="76"/>
      <c r="F103" s="57"/>
      <c r="G103" s="71"/>
      <c r="H103" s="361"/>
      <c r="I103" s="362" t="str">
        <f t="shared" si="12"/>
        <v/>
      </c>
      <c r="J103" s="368"/>
      <c r="K103" s="362" t="str">
        <f t="shared" si="13"/>
        <v/>
      </c>
      <c r="L103" s="368"/>
      <c r="M103" s="372" t="str">
        <f t="shared" si="14"/>
        <v/>
      </c>
      <c r="N103" s="361" t="str">
        <f>IF(F103="","",INT(HLOOKUP(N87,H87:M111,17,FALSE)*O86))</f>
        <v/>
      </c>
      <c r="O103" s="376" t="str">
        <f t="shared" si="15"/>
        <v/>
      </c>
    </row>
    <row r="104" spans="1:15" s="18" customFormat="1" ht="20.100000000000001" customHeight="1">
      <c r="A104" s="51"/>
      <c r="B104" s="87"/>
      <c r="C104" s="88"/>
      <c r="D104" s="66"/>
      <c r="E104" s="76"/>
      <c r="F104" s="57"/>
      <c r="G104" s="71"/>
      <c r="H104" s="361"/>
      <c r="I104" s="362" t="str">
        <f t="shared" si="12"/>
        <v/>
      </c>
      <c r="J104" s="368"/>
      <c r="K104" s="362" t="str">
        <f t="shared" si="13"/>
        <v/>
      </c>
      <c r="L104" s="368"/>
      <c r="M104" s="372" t="str">
        <f t="shared" si="14"/>
        <v/>
      </c>
      <c r="N104" s="361" t="str">
        <f>IF(F104="","",INT(HLOOKUP(N87,H87:M111,18,FALSE)*O86))</f>
        <v/>
      </c>
      <c r="O104" s="376" t="str">
        <f t="shared" si="15"/>
        <v/>
      </c>
    </row>
    <row r="105" spans="1:15" s="18" customFormat="1" ht="20.100000000000001" customHeight="1">
      <c r="A105" s="51"/>
      <c r="B105" s="87"/>
      <c r="C105" s="88"/>
      <c r="D105" s="66"/>
      <c r="E105" s="76"/>
      <c r="F105" s="57"/>
      <c r="G105" s="71"/>
      <c r="H105" s="361"/>
      <c r="I105" s="362" t="str">
        <f t="shared" si="12"/>
        <v/>
      </c>
      <c r="J105" s="368"/>
      <c r="K105" s="362" t="str">
        <f t="shared" si="13"/>
        <v/>
      </c>
      <c r="L105" s="368"/>
      <c r="M105" s="372" t="str">
        <f t="shared" si="14"/>
        <v/>
      </c>
      <c r="N105" s="361" t="str">
        <f>IF(F105="","",INT(HLOOKUP(N87,H87:M111,19,FALSE)*O86))</f>
        <v/>
      </c>
      <c r="O105" s="376" t="str">
        <f t="shared" si="15"/>
        <v/>
      </c>
    </row>
    <row r="106" spans="1:15" s="18" customFormat="1" ht="20.100000000000001" customHeight="1">
      <c r="A106" s="51"/>
      <c r="B106" s="87"/>
      <c r="C106" s="88"/>
      <c r="D106" s="66"/>
      <c r="E106" s="76"/>
      <c r="F106" s="57"/>
      <c r="G106" s="71"/>
      <c r="H106" s="361"/>
      <c r="I106" s="362" t="str">
        <f t="shared" si="12"/>
        <v/>
      </c>
      <c r="J106" s="368"/>
      <c r="K106" s="362" t="str">
        <f t="shared" si="13"/>
        <v/>
      </c>
      <c r="L106" s="368"/>
      <c r="M106" s="372" t="str">
        <f t="shared" si="14"/>
        <v/>
      </c>
      <c r="N106" s="361" t="str">
        <f>IF(F106="","",INT(HLOOKUP(N87,H87:M111,20,FALSE)*O86))</f>
        <v/>
      </c>
      <c r="O106" s="376" t="str">
        <f t="shared" si="15"/>
        <v/>
      </c>
    </row>
    <row r="107" spans="1:15" s="18" customFormat="1" ht="20.100000000000001" customHeight="1">
      <c r="A107" s="51"/>
      <c r="B107" s="87"/>
      <c r="C107" s="88"/>
      <c r="D107" s="66"/>
      <c r="E107" s="76"/>
      <c r="F107" s="57"/>
      <c r="G107" s="71"/>
      <c r="H107" s="361"/>
      <c r="I107" s="362" t="str">
        <f t="shared" si="12"/>
        <v/>
      </c>
      <c r="J107" s="368"/>
      <c r="K107" s="362" t="str">
        <f t="shared" si="13"/>
        <v/>
      </c>
      <c r="L107" s="368"/>
      <c r="M107" s="372" t="str">
        <f t="shared" si="14"/>
        <v/>
      </c>
      <c r="N107" s="361" t="str">
        <f>IF(F107="","",INT(HLOOKUP(N87,H87:M111,21,FALSE)*O86))</f>
        <v/>
      </c>
      <c r="O107" s="376" t="str">
        <f t="shared" si="15"/>
        <v/>
      </c>
    </row>
    <row r="108" spans="1:15" s="18" customFormat="1" ht="20.100000000000001" customHeight="1">
      <c r="A108" s="51"/>
      <c r="B108" s="87"/>
      <c r="C108" s="88"/>
      <c r="D108" s="66"/>
      <c r="E108" s="76"/>
      <c r="F108" s="57"/>
      <c r="G108" s="71"/>
      <c r="H108" s="361"/>
      <c r="I108" s="362"/>
      <c r="J108" s="368"/>
      <c r="K108" s="362"/>
      <c r="L108" s="368"/>
      <c r="M108" s="372"/>
      <c r="N108" s="361"/>
      <c r="O108" s="376"/>
    </row>
    <row r="109" spans="1:15" s="18" customFormat="1" ht="20.100000000000001" customHeight="1">
      <c r="A109" s="51"/>
      <c r="B109" s="87"/>
      <c r="C109" s="88"/>
      <c r="D109" s="66"/>
      <c r="E109" s="76"/>
      <c r="F109" s="57"/>
      <c r="G109" s="71"/>
      <c r="H109" s="361"/>
      <c r="I109" s="362" t="str">
        <f t="shared" si="12"/>
        <v/>
      </c>
      <c r="J109" s="368"/>
      <c r="K109" s="362" t="str">
        <f t="shared" si="13"/>
        <v/>
      </c>
      <c r="L109" s="368"/>
      <c r="M109" s="372" t="str">
        <f t="shared" si="14"/>
        <v/>
      </c>
      <c r="N109" s="361" t="str">
        <f>IF(F109="","",INT(HLOOKUP(N87,H87:M111,22,FALSE)*O86))</f>
        <v/>
      </c>
      <c r="O109" s="376" t="str">
        <f t="shared" si="15"/>
        <v/>
      </c>
    </row>
    <row r="110" spans="1:15" s="18" customFormat="1" ht="20.100000000000001" customHeight="1">
      <c r="A110" s="51"/>
      <c r="B110" s="87"/>
      <c r="C110" s="88"/>
      <c r="D110" s="66"/>
      <c r="E110" s="76"/>
      <c r="F110" s="57"/>
      <c r="G110" s="71"/>
      <c r="H110" s="361"/>
      <c r="I110" s="362" t="str">
        <f t="shared" si="12"/>
        <v/>
      </c>
      <c r="J110" s="368"/>
      <c r="K110" s="362" t="str">
        <f t="shared" si="13"/>
        <v/>
      </c>
      <c r="L110" s="368"/>
      <c r="M110" s="372" t="str">
        <f t="shared" si="14"/>
        <v/>
      </c>
      <c r="N110" s="361" t="str">
        <f>IF(F110="","",INT(HLOOKUP(N87,H87:M111,23,FALSE)*O86))</f>
        <v/>
      </c>
      <c r="O110" s="376" t="str">
        <f t="shared" si="15"/>
        <v/>
      </c>
    </row>
    <row r="111" spans="1:15" s="18" customFormat="1" ht="20.100000000000001" customHeight="1" thickBot="1">
      <c r="A111" s="52"/>
      <c r="B111" s="89"/>
      <c r="C111" s="90"/>
      <c r="D111" s="67"/>
      <c r="E111" s="77"/>
      <c r="F111" s="58"/>
      <c r="G111" s="72"/>
      <c r="H111" s="363"/>
      <c r="I111" s="364" t="str">
        <f t="shared" si="12"/>
        <v/>
      </c>
      <c r="J111" s="369"/>
      <c r="K111" s="364" t="str">
        <f t="shared" si="13"/>
        <v/>
      </c>
      <c r="L111" s="369"/>
      <c r="M111" s="373" t="str">
        <f t="shared" si="14"/>
        <v/>
      </c>
      <c r="N111" s="363" t="str">
        <f>IF(F111="","",INT(HLOOKUP(N87,H87:M111,24,FALSE)*O86))</f>
        <v/>
      </c>
      <c r="O111" s="377" t="str">
        <f t="shared" si="15"/>
        <v/>
      </c>
    </row>
    <row r="112" spans="1:15" s="18" customFormat="1" ht="20.100000000000001" customHeight="1" thickTop="1" thickBot="1">
      <c r="A112" s="26"/>
      <c r="B112" s="27"/>
      <c r="C112" s="27"/>
      <c r="D112" s="28" t="str">
        <f>IF(G112="","合      計","")</f>
        <v>合      計</v>
      </c>
      <c r="E112" s="29" t="s">
        <v>4499</v>
      </c>
      <c r="F112" s="29"/>
      <c r="G112" s="49"/>
      <c r="H112" s="365"/>
      <c r="I112" s="366">
        <f>IF($G112="",IF(SUM(I89:I111)=0,"",SUM(I89:I111)),IF(I27="","",SUM(I89:I111)+I27))</f>
        <v>30795700</v>
      </c>
      <c r="J112" s="370"/>
      <c r="K112" s="366">
        <f>IF(G112="",IF(SUM(K89:K111)=0,"",SUM(K89:K111)),IF(K27="","",SUM(K89:K111)+K27))</f>
        <v>35299500</v>
      </c>
      <c r="L112" s="370"/>
      <c r="M112" s="374" t="str">
        <f>IF(G112="",IF(SUM(M89:M111)=0,"",SUM(M89:M111)),IF(M27="","",SUM(M89:M111)+M27))</f>
        <v/>
      </c>
      <c r="N112" s="378" t="s">
        <v>4500</v>
      </c>
      <c r="O112" s="379" t="str">
        <f>IF(G140="",MIN(I112,K112,M112),"")</f>
        <v/>
      </c>
    </row>
    <row r="113" spans="1:15" s="18" customFormat="1" ht="20.100000000000001" customHeight="1">
      <c r="A113" s="22"/>
      <c r="B113" s="22"/>
      <c r="C113" s="22"/>
      <c r="G113" s="22"/>
      <c r="H113" s="30"/>
      <c r="I113" s="30"/>
      <c r="J113" s="30"/>
      <c r="K113" s="30"/>
      <c r="L113" s="30"/>
      <c r="M113" s="30"/>
      <c r="N113" s="18" t="str">
        <f>IF(B115="","EOL","")</f>
        <v/>
      </c>
      <c r="O113" s="30">
        <f>+O85+1</f>
        <v>4</v>
      </c>
    </row>
    <row r="114" spans="1:15" s="18" customFormat="1" ht="20.100000000000001" customHeight="1" thickBot="1">
      <c r="A114" s="2791" t="s">
        <v>4505</v>
      </c>
      <c r="B114" s="2791"/>
      <c r="C114" s="2791"/>
      <c r="D114" s="2791"/>
      <c r="E114" s="2791"/>
      <c r="F114" s="2791"/>
      <c r="G114" s="2791"/>
      <c r="H114" s="2791"/>
      <c r="I114" s="2791"/>
      <c r="J114" s="2791"/>
      <c r="K114" s="2791"/>
      <c r="L114" s="2791"/>
      <c r="M114" s="2791"/>
      <c r="N114" s="22" t="s">
        <v>4469</v>
      </c>
      <c r="O114" s="175">
        <f>+O86</f>
        <v>0.6</v>
      </c>
    </row>
    <row r="115" spans="1:15" s="22" customFormat="1" ht="20.100000000000001" customHeight="1">
      <c r="A115" s="19"/>
      <c r="B115" s="20" t="s">
        <v>4471</v>
      </c>
      <c r="C115" s="21" t="s">
        <v>4472</v>
      </c>
      <c r="D115" s="21"/>
      <c r="E115" s="73"/>
      <c r="F115" s="53"/>
      <c r="G115" s="68"/>
      <c r="H115" s="2792" t="str">
        <f>+H87</f>
        <v>A:㈱山本金属製作所</v>
      </c>
      <c r="I115" s="2793"/>
      <c r="J115" s="2793" t="str">
        <f>+J87</f>
        <v>B:㈱大交サッシ製作所</v>
      </c>
      <c r="K115" s="2794"/>
      <c r="L115" s="2793" t="s">
        <v>4475</v>
      </c>
      <c r="M115" s="2795"/>
      <c r="N115" s="2789" t="str">
        <f>IF(G168="",IF(O140=I140,H115,IF(O140=K140,J115,L115)),N143)</f>
        <v>A:㈱山本金属製作所</v>
      </c>
      <c r="O115" s="2790"/>
    </row>
    <row r="116" spans="1:15" s="22" customFormat="1" ht="20.100000000000001" customHeight="1" thickBot="1">
      <c r="A116" s="23" t="s">
        <v>4476</v>
      </c>
      <c r="B116" s="24" t="s">
        <v>4477</v>
      </c>
      <c r="C116" s="25" t="s">
        <v>4477</v>
      </c>
      <c r="D116" s="25" t="s">
        <v>4478</v>
      </c>
      <c r="E116" s="74" t="s">
        <v>4479</v>
      </c>
      <c r="F116" s="54" t="s">
        <v>4327</v>
      </c>
      <c r="G116" s="69" t="s">
        <v>4480</v>
      </c>
      <c r="H116" s="59" t="s">
        <v>4481</v>
      </c>
      <c r="I116" s="60" t="s">
        <v>4482</v>
      </c>
      <c r="J116" s="61" t="s">
        <v>4481</v>
      </c>
      <c r="K116" s="60" t="s">
        <v>4482</v>
      </c>
      <c r="L116" s="61" t="s">
        <v>4481</v>
      </c>
      <c r="M116" s="60" t="s">
        <v>4482</v>
      </c>
      <c r="N116" s="59" t="s">
        <v>4483</v>
      </c>
      <c r="O116" s="78" t="s">
        <v>4484</v>
      </c>
    </row>
    <row r="117" spans="1:15" s="18" customFormat="1" ht="20.100000000000001" customHeight="1">
      <c r="A117" s="50"/>
      <c r="B117" s="85"/>
      <c r="C117" s="86"/>
      <c r="D117" s="65" t="s">
        <v>4501</v>
      </c>
      <c r="E117" s="75"/>
      <c r="F117" s="55"/>
      <c r="G117" s="70"/>
      <c r="H117" s="359"/>
      <c r="I117" s="360" t="str">
        <f t="shared" ref="I117:I139" si="16">IF(H117="","",ROUNDDOWN(H117*F117,0))</f>
        <v/>
      </c>
      <c r="J117" s="367"/>
      <c r="K117" s="360" t="str">
        <f t="shared" ref="K117:K139" si="17">IF(J117="","",ROUNDDOWN(J117*$F117,0))</f>
        <v/>
      </c>
      <c r="L117" s="367"/>
      <c r="M117" s="371" t="str">
        <f t="shared" ref="M117:M139" si="18">IF(L117="","",ROUNDDOWN(L117*$F117,0))</f>
        <v/>
      </c>
      <c r="N117" s="359" t="str">
        <f>IF(F117="","",INT(HLOOKUP(N115,H115:M139,3,FALSE)*O114))</f>
        <v/>
      </c>
      <c r="O117" s="375" t="str">
        <f t="shared" ref="O117:O139" si="19">IF(N117="","",IF(N117&lt;10,INT(N117),IF(N117&lt;10000,ROUNDDOWN(N117,-1),ROUNDDOWN(N117,-2))))</f>
        <v/>
      </c>
    </row>
    <row r="118" spans="1:15" s="18" customFormat="1" ht="20.100000000000001" customHeight="1">
      <c r="A118" s="51">
        <v>405</v>
      </c>
      <c r="B118" s="87">
        <v>4</v>
      </c>
      <c r="C118" s="88">
        <v>4</v>
      </c>
      <c r="D118" s="66" t="s">
        <v>4509</v>
      </c>
      <c r="E118" s="76" t="s">
        <v>4518</v>
      </c>
      <c r="F118" s="57">
        <v>1</v>
      </c>
      <c r="G118" s="71" t="s">
        <v>4511</v>
      </c>
      <c r="H118" s="361">
        <v>4077600</v>
      </c>
      <c r="I118" s="362">
        <f t="shared" si="16"/>
        <v>4077600</v>
      </c>
      <c r="J118" s="368">
        <v>4648000</v>
      </c>
      <c r="K118" s="362">
        <f t="shared" si="17"/>
        <v>4648000</v>
      </c>
      <c r="L118" s="368"/>
      <c r="M118" s="372" t="str">
        <f t="shared" si="18"/>
        <v/>
      </c>
      <c r="N118" s="361">
        <f>IF(F118="","",INT(HLOOKUP(N115,H115:M139,4,FALSE)*O114))</f>
        <v>2446560</v>
      </c>
      <c r="O118" s="376">
        <f t="shared" si="19"/>
        <v>2446500</v>
      </c>
    </row>
    <row r="119" spans="1:15" s="18" customFormat="1" ht="20.100000000000001" customHeight="1">
      <c r="A119" s="51"/>
      <c r="B119" s="87"/>
      <c r="C119" s="88"/>
      <c r="D119" s="66"/>
      <c r="E119" s="76"/>
      <c r="F119" s="57"/>
      <c r="G119" s="71"/>
      <c r="H119" s="361"/>
      <c r="I119" s="362" t="str">
        <f t="shared" si="16"/>
        <v/>
      </c>
      <c r="J119" s="368"/>
      <c r="K119" s="362" t="str">
        <f t="shared" si="17"/>
        <v/>
      </c>
      <c r="L119" s="368"/>
      <c r="M119" s="372" t="str">
        <f t="shared" si="18"/>
        <v/>
      </c>
      <c r="N119" s="361" t="str">
        <f>IF(F119="","",INT(HLOOKUP(N115,H115:M139,5,FALSE)*O114))</f>
        <v/>
      </c>
      <c r="O119" s="376" t="str">
        <f t="shared" si="19"/>
        <v/>
      </c>
    </row>
    <row r="120" spans="1:15" s="18" customFormat="1" ht="20.100000000000001" customHeight="1">
      <c r="A120" s="51">
        <v>406</v>
      </c>
      <c r="B120" s="87">
        <v>4</v>
      </c>
      <c r="C120" s="88">
        <v>4</v>
      </c>
      <c r="D120" s="66" t="s">
        <v>4509</v>
      </c>
      <c r="E120" s="76" t="s">
        <v>4518</v>
      </c>
      <c r="F120" s="57">
        <v>1</v>
      </c>
      <c r="G120" s="71" t="s">
        <v>4511</v>
      </c>
      <c r="H120" s="361">
        <v>4077600</v>
      </c>
      <c r="I120" s="362">
        <f t="shared" si="16"/>
        <v>4077600</v>
      </c>
      <c r="J120" s="368">
        <v>4648000</v>
      </c>
      <c r="K120" s="362">
        <f t="shared" si="17"/>
        <v>4648000</v>
      </c>
      <c r="L120" s="368"/>
      <c r="M120" s="372" t="str">
        <f t="shared" si="18"/>
        <v/>
      </c>
      <c r="N120" s="361">
        <f>IF(F120="","",INT(HLOOKUP(N115,H115:M139,6,FALSE)*O114))</f>
        <v>2446560</v>
      </c>
      <c r="O120" s="376">
        <f t="shared" si="19"/>
        <v>2446500</v>
      </c>
    </row>
    <row r="121" spans="1:15" s="18" customFormat="1" ht="20.100000000000001" customHeight="1">
      <c r="A121" s="51"/>
      <c r="B121" s="87"/>
      <c r="C121" s="88"/>
      <c r="D121" s="66"/>
      <c r="E121" s="76"/>
      <c r="F121" s="57"/>
      <c r="G121" s="71"/>
      <c r="H121" s="361"/>
      <c r="I121" s="362" t="str">
        <f t="shared" si="16"/>
        <v/>
      </c>
      <c r="J121" s="368"/>
      <c r="K121" s="362" t="str">
        <f t="shared" si="17"/>
        <v/>
      </c>
      <c r="L121" s="368"/>
      <c r="M121" s="372" t="str">
        <f t="shared" si="18"/>
        <v/>
      </c>
      <c r="N121" s="361" t="str">
        <f>IF(F121="","",INT(HLOOKUP(N115,H115:M139,7,FALSE)*O114))</f>
        <v/>
      </c>
      <c r="O121" s="376" t="str">
        <f t="shared" si="19"/>
        <v/>
      </c>
    </row>
    <row r="122" spans="1:15" s="18" customFormat="1" ht="20.100000000000001" customHeight="1">
      <c r="A122" s="51">
        <v>407</v>
      </c>
      <c r="B122" s="87">
        <v>4</v>
      </c>
      <c r="C122" s="88">
        <v>4</v>
      </c>
      <c r="D122" s="66" t="s">
        <v>4509</v>
      </c>
      <c r="E122" s="76" t="s">
        <v>4519</v>
      </c>
      <c r="F122" s="57">
        <v>1</v>
      </c>
      <c r="G122" s="71" t="s">
        <v>4511</v>
      </c>
      <c r="H122" s="361">
        <v>6325800</v>
      </c>
      <c r="I122" s="362">
        <f t="shared" si="16"/>
        <v>6325800</v>
      </c>
      <c r="J122" s="368">
        <v>7210000</v>
      </c>
      <c r="K122" s="362">
        <f t="shared" si="17"/>
        <v>7210000</v>
      </c>
      <c r="L122" s="368"/>
      <c r="M122" s="372" t="str">
        <f t="shared" si="18"/>
        <v/>
      </c>
      <c r="N122" s="361">
        <f>IF(F122="","",INT(HLOOKUP(N115,H115:M139,8,FALSE)*O114))</f>
        <v>3795480</v>
      </c>
      <c r="O122" s="376">
        <f t="shared" si="19"/>
        <v>3795400</v>
      </c>
    </row>
    <row r="123" spans="1:15" s="18" customFormat="1" ht="20.100000000000001" customHeight="1">
      <c r="A123" s="51"/>
      <c r="B123" s="87"/>
      <c r="C123" s="88"/>
      <c r="D123" s="66"/>
      <c r="E123" s="76"/>
      <c r="F123" s="57"/>
      <c r="G123" s="71"/>
      <c r="H123" s="361"/>
      <c r="I123" s="362" t="str">
        <f t="shared" si="16"/>
        <v/>
      </c>
      <c r="J123" s="368"/>
      <c r="K123" s="362" t="str">
        <f t="shared" si="17"/>
        <v/>
      </c>
      <c r="L123" s="368"/>
      <c r="M123" s="372" t="str">
        <f t="shared" si="18"/>
        <v/>
      </c>
      <c r="N123" s="361" t="str">
        <f>IF(F123="","",INT(HLOOKUP(N115,H115:M139,9,FALSE)*O114))</f>
        <v/>
      </c>
      <c r="O123" s="376" t="str">
        <f t="shared" si="19"/>
        <v/>
      </c>
    </row>
    <row r="124" spans="1:15" s="18" customFormat="1" ht="20.100000000000001" customHeight="1">
      <c r="A124" s="51">
        <v>408</v>
      </c>
      <c r="B124" s="87">
        <v>4</v>
      </c>
      <c r="C124" s="88">
        <v>4</v>
      </c>
      <c r="D124" s="66" t="s">
        <v>4509</v>
      </c>
      <c r="E124" s="76" t="s">
        <v>4520</v>
      </c>
      <c r="F124" s="57">
        <v>1</v>
      </c>
      <c r="G124" s="71" t="s">
        <v>4511</v>
      </c>
      <c r="H124" s="361">
        <v>6331000</v>
      </c>
      <c r="I124" s="362">
        <f t="shared" si="16"/>
        <v>6331000</v>
      </c>
      <c r="J124" s="368">
        <v>7221000</v>
      </c>
      <c r="K124" s="362">
        <f t="shared" si="17"/>
        <v>7221000</v>
      </c>
      <c r="L124" s="368"/>
      <c r="M124" s="372" t="str">
        <f t="shared" si="18"/>
        <v/>
      </c>
      <c r="N124" s="361">
        <f>IF(F124="","",INT(HLOOKUP(N115,H115:M139,10,FALSE)*O114))</f>
        <v>3798600</v>
      </c>
      <c r="O124" s="376">
        <f t="shared" si="19"/>
        <v>3798600</v>
      </c>
    </row>
    <row r="125" spans="1:15" s="18" customFormat="1" ht="20.100000000000001" customHeight="1">
      <c r="A125" s="51"/>
      <c r="B125" s="87"/>
      <c r="C125" s="88"/>
      <c r="D125" s="66"/>
      <c r="E125" s="76"/>
      <c r="F125" s="57"/>
      <c r="G125" s="71"/>
      <c r="H125" s="361"/>
      <c r="I125" s="362" t="str">
        <f t="shared" si="16"/>
        <v/>
      </c>
      <c r="J125" s="368"/>
      <c r="K125" s="362" t="str">
        <f t="shared" si="17"/>
        <v/>
      </c>
      <c r="L125" s="368"/>
      <c r="M125" s="372" t="str">
        <f t="shared" si="18"/>
        <v/>
      </c>
      <c r="N125" s="361" t="str">
        <f>IF(F125="","",INT(HLOOKUP(N115,H115:M139,11,FALSE)*O114))</f>
        <v/>
      </c>
      <c r="O125" s="376" t="str">
        <f t="shared" si="19"/>
        <v/>
      </c>
    </row>
    <row r="126" spans="1:15" s="18" customFormat="1" ht="20.100000000000001" customHeight="1">
      <c r="A126" s="51">
        <v>409</v>
      </c>
      <c r="B126" s="87">
        <v>4</v>
      </c>
      <c r="C126" s="88">
        <v>4</v>
      </c>
      <c r="D126" s="66" t="s">
        <v>4514</v>
      </c>
      <c r="E126" s="76" t="s">
        <v>4515</v>
      </c>
      <c r="F126" s="57">
        <v>48</v>
      </c>
      <c r="G126" s="71" t="s">
        <v>4511</v>
      </c>
      <c r="H126" s="361">
        <v>427700</v>
      </c>
      <c r="I126" s="362">
        <f t="shared" si="16"/>
        <v>20529600</v>
      </c>
      <c r="J126" s="368">
        <v>490100</v>
      </c>
      <c r="K126" s="362">
        <f t="shared" si="17"/>
        <v>23524800</v>
      </c>
      <c r="L126" s="368"/>
      <c r="M126" s="372" t="str">
        <f t="shared" si="18"/>
        <v/>
      </c>
      <c r="N126" s="361">
        <f>IF(F126="","",INT(HLOOKUP(N115,H115:M139,12,FALSE)*O114))</f>
        <v>256620</v>
      </c>
      <c r="O126" s="376">
        <f t="shared" si="19"/>
        <v>256600</v>
      </c>
    </row>
    <row r="127" spans="1:15" s="18" customFormat="1" ht="20.100000000000001" customHeight="1">
      <c r="A127" s="51"/>
      <c r="B127" s="87"/>
      <c r="C127" s="88"/>
      <c r="D127" s="66"/>
      <c r="E127" s="76" t="s">
        <v>4521</v>
      </c>
      <c r="F127" s="57"/>
      <c r="G127" s="71"/>
      <c r="H127" s="361"/>
      <c r="I127" s="362" t="str">
        <f t="shared" si="16"/>
        <v/>
      </c>
      <c r="J127" s="368"/>
      <c r="K127" s="362" t="str">
        <f t="shared" si="17"/>
        <v/>
      </c>
      <c r="L127" s="368"/>
      <c r="M127" s="372" t="str">
        <f t="shared" si="18"/>
        <v/>
      </c>
      <c r="N127" s="361" t="str">
        <f>IF(F127="","",INT(HLOOKUP(N115,H115:M139,13,FALSE)*O114))</f>
        <v/>
      </c>
      <c r="O127" s="376" t="str">
        <f t="shared" si="19"/>
        <v/>
      </c>
    </row>
    <row r="128" spans="1:15" s="18" customFormat="1" ht="20.100000000000001" customHeight="1">
      <c r="A128" s="51"/>
      <c r="B128" s="87"/>
      <c r="C128" s="88"/>
      <c r="D128" s="66"/>
      <c r="E128" s="76"/>
      <c r="F128" s="57"/>
      <c r="G128" s="71"/>
      <c r="H128" s="361"/>
      <c r="I128" s="362" t="str">
        <f t="shared" si="16"/>
        <v/>
      </c>
      <c r="J128" s="368"/>
      <c r="K128" s="362" t="str">
        <f t="shared" si="17"/>
        <v/>
      </c>
      <c r="L128" s="368"/>
      <c r="M128" s="372" t="str">
        <f t="shared" si="18"/>
        <v/>
      </c>
      <c r="N128" s="361" t="str">
        <f>IF(F128="","",INT(HLOOKUP(N115,H115:M139,14,FALSE)*O114))</f>
        <v/>
      </c>
      <c r="O128" s="376" t="str">
        <f t="shared" si="19"/>
        <v/>
      </c>
    </row>
    <row r="129" spans="1:15" s="18" customFormat="1" ht="20.100000000000001" customHeight="1">
      <c r="A129" s="51"/>
      <c r="B129" s="87"/>
      <c r="C129" s="88"/>
      <c r="D129" s="66"/>
      <c r="E129" s="76"/>
      <c r="F129" s="57"/>
      <c r="G129" s="71"/>
      <c r="H129" s="361"/>
      <c r="I129" s="362" t="str">
        <f t="shared" si="16"/>
        <v/>
      </c>
      <c r="J129" s="368"/>
      <c r="K129" s="362" t="str">
        <f t="shared" si="17"/>
        <v/>
      </c>
      <c r="L129" s="368"/>
      <c r="M129" s="372" t="str">
        <f t="shared" si="18"/>
        <v/>
      </c>
      <c r="N129" s="361" t="str">
        <f>IF(F129="","",INT(HLOOKUP(N115,H115:M139,15,FALSE)*O114))</f>
        <v/>
      </c>
      <c r="O129" s="376" t="str">
        <f t="shared" si="19"/>
        <v/>
      </c>
    </row>
    <row r="130" spans="1:15" s="18" customFormat="1" ht="20.100000000000001" customHeight="1">
      <c r="A130" s="51"/>
      <c r="B130" s="87"/>
      <c r="C130" s="88"/>
      <c r="D130" s="66"/>
      <c r="E130" s="76"/>
      <c r="F130" s="57"/>
      <c r="G130" s="71"/>
      <c r="H130" s="361"/>
      <c r="I130" s="362" t="str">
        <f t="shared" si="16"/>
        <v/>
      </c>
      <c r="J130" s="368"/>
      <c r="K130" s="362" t="str">
        <f t="shared" si="17"/>
        <v/>
      </c>
      <c r="L130" s="368"/>
      <c r="M130" s="372" t="str">
        <f t="shared" si="18"/>
        <v/>
      </c>
      <c r="N130" s="361" t="str">
        <f>IF(F130="","",INT(HLOOKUP(N115,H115:M139,16,FALSE)*O114))</f>
        <v/>
      </c>
      <c r="O130" s="376" t="str">
        <f t="shared" si="19"/>
        <v/>
      </c>
    </row>
    <row r="131" spans="1:15" s="18" customFormat="1" ht="20.100000000000001" customHeight="1">
      <c r="A131" s="51"/>
      <c r="B131" s="87"/>
      <c r="C131" s="88"/>
      <c r="D131" s="66"/>
      <c r="E131" s="76"/>
      <c r="F131" s="57"/>
      <c r="G131" s="71"/>
      <c r="H131" s="361"/>
      <c r="I131" s="362" t="str">
        <f t="shared" si="16"/>
        <v/>
      </c>
      <c r="J131" s="368"/>
      <c r="K131" s="362" t="str">
        <f t="shared" si="17"/>
        <v/>
      </c>
      <c r="L131" s="368"/>
      <c r="M131" s="372" t="str">
        <f t="shared" si="18"/>
        <v/>
      </c>
      <c r="N131" s="361" t="str">
        <f>IF(F131="","",INT(HLOOKUP(N115,H115:M139,17,FALSE)*O114))</f>
        <v/>
      </c>
      <c r="O131" s="376" t="str">
        <f t="shared" si="19"/>
        <v/>
      </c>
    </row>
    <row r="132" spans="1:15" s="18" customFormat="1" ht="20.100000000000001" customHeight="1">
      <c r="A132" s="51"/>
      <c r="B132" s="87"/>
      <c r="C132" s="88"/>
      <c r="D132" s="66"/>
      <c r="E132" s="76"/>
      <c r="F132" s="57"/>
      <c r="G132" s="71"/>
      <c r="H132" s="361"/>
      <c r="I132" s="362" t="str">
        <f t="shared" si="16"/>
        <v/>
      </c>
      <c r="J132" s="368"/>
      <c r="K132" s="362" t="str">
        <f t="shared" si="17"/>
        <v/>
      </c>
      <c r="L132" s="368"/>
      <c r="M132" s="372" t="str">
        <f t="shared" si="18"/>
        <v/>
      </c>
      <c r="N132" s="361" t="str">
        <f>IF(F132="","",INT(HLOOKUP(N115,H115:M139,18,FALSE)*O114))</f>
        <v/>
      </c>
      <c r="O132" s="376" t="str">
        <f t="shared" si="19"/>
        <v/>
      </c>
    </row>
    <row r="133" spans="1:15" s="18" customFormat="1" ht="20.100000000000001" customHeight="1">
      <c r="A133" s="51"/>
      <c r="B133" s="87"/>
      <c r="C133" s="88"/>
      <c r="D133" s="66"/>
      <c r="E133" s="76"/>
      <c r="F133" s="57"/>
      <c r="G133" s="71"/>
      <c r="H133" s="361"/>
      <c r="I133" s="362" t="str">
        <f t="shared" si="16"/>
        <v/>
      </c>
      <c r="J133" s="368"/>
      <c r="K133" s="362" t="str">
        <f t="shared" si="17"/>
        <v/>
      </c>
      <c r="L133" s="368"/>
      <c r="M133" s="372" t="str">
        <f t="shared" si="18"/>
        <v/>
      </c>
      <c r="N133" s="361" t="str">
        <f>IF(F133="","",INT(HLOOKUP(N115,H115:M139,19,FALSE)*O114))</f>
        <v/>
      </c>
      <c r="O133" s="376" t="str">
        <f t="shared" si="19"/>
        <v/>
      </c>
    </row>
    <row r="134" spans="1:15" s="18" customFormat="1" ht="20.100000000000001" customHeight="1">
      <c r="A134" s="51"/>
      <c r="B134" s="87"/>
      <c r="C134" s="88"/>
      <c r="D134" s="66"/>
      <c r="E134" s="76"/>
      <c r="F134" s="57"/>
      <c r="G134" s="71"/>
      <c r="H134" s="361"/>
      <c r="I134" s="362" t="str">
        <f t="shared" si="16"/>
        <v/>
      </c>
      <c r="J134" s="368"/>
      <c r="K134" s="362" t="str">
        <f t="shared" si="17"/>
        <v/>
      </c>
      <c r="L134" s="368"/>
      <c r="M134" s="372" t="str">
        <f t="shared" si="18"/>
        <v/>
      </c>
      <c r="N134" s="361" t="str">
        <f>IF(F134="","",INT(HLOOKUP(N115,H115:M139,20,FALSE)*O114))</f>
        <v/>
      </c>
      <c r="O134" s="376" t="str">
        <f t="shared" si="19"/>
        <v/>
      </c>
    </row>
    <row r="135" spans="1:15" s="18" customFormat="1" ht="20.100000000000001" customHeight="1">
      <c r="A135" s="51"/>
      <c r="B135" s="87"/>
      <c r="C135" s="88"/>
      <c r="D135" s="66"/>
      <c r="E135" s="76"/>
      <c r="F135" s="57"/>
      <c r="G135" s="71"/>
      <c r="H135" s="361"/>
      <c r="I135" s="362"/>
      <c r="J135" s="368"/>
      <c r="K135" s="362"/>
      <c r="L135" s="368"/>
      <c r="M135" s="372"/>
      <c r="N135" s="361"/>
      <c r="O135" s="376"/>
    </row>
    <row r="136" spans="1:15" s="18" customFormat="1" ht="20.100000000000001" customHeight="1">
      <c r="A136" s="51"/>
      <c r="B136" s="87"/>
      <c r="C136" s="88"/>
      <c r="D136" s="66"/>
      <c r="E136" s="76"/>
      <c r="F136" s="57"/>
      <c r="G136" s="71"/>
      <c r="H136" s="361"/>
      <c r="I136" s="362" t="str">
        <f t="shared" si="16"/>
        <v/>
      </c>
      <c r="J136" s="368"/>
      <c r="K136" s="362" t="str">
        <f t="shared" si="17"/>
        <v/>
      </c>
      <c r="L136" s="368"/>
      <c r="M136" s="372" t="str">
        <f t="shared" si="18"/>
        <v/>
      </c>
      <c r="N136" s="361" t="str">
        <f>IF(F136="","",INT(HLOOKUP(N115,H115:M139,21,FALSE)*O114))</f>
        <v/>
      </c>
      <c r="O136" s="376" t="str">
        <f t="shared" si="19"/>
        <v/>
      </c>
    </row>
    <row r="137" spans="1:15" s="18" customFormat="1" ht="20.100000000000001" customHeight="1">
      <c r="A137" s="51"/>
      <c r="B137" s="87"/>
      <c r="C137" s="88"/>
      <c r="D137" s="66"/>
      <c r="E137" s="76"/>
      <c r="F137" s="57"/>
      <c r="G137" s="71"/>
      <c r="H137" s="361"/>
      <c r="I137" s="362" t="str">
        <f t="shared" si="16"/>
        <v/>
      </c>
      <c r="J137" s="368"/>
      <c r="K137" s="362" t="str">
        <f t="shared" si="17"/>
        <v/>
      </c>
      <c r="L137" s="368"/>
      <c r="M137" s="372" t="str">
        <f t="shared" si="18"/>
        <v/>
      </c>
      <c r="N137" s="361" t="str">
        <f>IF(F137="","",INT(HLOOKUP(N115,H115:M139,22,FALSE)*O114))</f>
        <v/>
      </c>
      <c r="O137" s="376" t="str">
        <f t="shared" si="19"/>
        <v/>
      </c>
    </row>
    <row r="138" spans="1:15" s="18" customFormat="1" ht="20.100000000000001" customHeight="1">
      <c r="A138" s="51"/>
      <c r="B138" s="87"/>
      <c r="C138" s="88"/>
      <c r="D138" s="66"/>
      <c r="E138" s="76"/>
      <c r="F138" s="57"/>
      <c r="G138" s="71"/>
      <c r="H138" s="361"/>
      <c r="I138" s="362" t="str">
        <f t="shared" si="16"/>
        <v/>
      </c>
      <c r="J138" s="368"/>
      <c r="K138" s="362" t="str">
        <f t="shared" si="17"/>
        <v/>
      </c>
      <c r="L138" s="368"/>
      <c r="M138" s="372" t="str">
        <f t="shared" si="18"/>
        <v/>
      </c>
      <c r="N138" s="361" t="str">
        <f>IF(F138="","",INT(HLOOKUP(N115,H115:M139,23,FALSE)*O114))</f>
        <v/>
      </c>
      <c r="O138" s="376" t="str">
        <f t="shared" si="19"/>
        <v/>
      </c>
    </row>
    <row r="139" spans="1:15" s="18" customFormat="1" ht="20.100000000000001" customHeight="1" thickBot="1">
      <c r="A139" s="52"/>
      <c r="B139" s="89"/>
      <c r="C139" s="90"/>
      <c r="D139" s="67"/>
      <c r="E139" s="77"/>
      <c r="F139" s="58"/>
      <c r="G139" s="72"/>
      <c r="H139" s="363"/>
      <c r="I139" s="364" t="str">
        <f t="shared" si="16"/>
        <v/>
      </c>
      <c r="J139" s="369"/>
      <c r="K139" s="364" t="str">
        <f t="shared" si="17"/>
        <v/>
      </c>
      <c r="L139" s="369"/>
      <c r="M139" s="373" t="str">
        <f t="shared" si="18"/>
        <v/>
      </c>
      <c r="N139" s="363" t="str">
        <f>IF(F139="","",INT(HLOOKUP(N115,H115:M139,24,FALSE)*O114))</f>
        <v/>
      </c>
      <c r="O139" s="377" t="str">
        <f t="shared" si="19"/>
        <v/>
      </c>
    </row>
    <row r="140" spans="1:15" s="18" customFormat="1" ht="20.100000000000001" customHeight="1" thickTop="1" thickBot="1">
      <c r="A140" s="26"/>
      <c r="B140" s="27"/>
      <c r="C140" s="27"/>
      <c r="D140" s="28" t="str">
        <f>IF(G140="","合      計","")</f>
        <v/>
      </c>
      <c r="E140" s="29" t="s">
        <v>4499</v>
      </c>
      <c r="F140" s="29"/>
      <c r="G140" s="49">
        <v>1</v>
      </c>
      <c r="H140" s="365"/>
      <c r="I140" s="366">
        <f>IF($G140="",IF(SUM(I117:I139)=0,"",SUM(I117:I139)),IF(I112="","",SUM(I117:I139)+I112))</f>
        <v>72137300</v>
      </c>
      <c r="J140" s="370"/>
      <c r="K140" s="366">
        <f>IF(G140="",IF(SUM(K117:K139)=0,"",SUM(K117:K139)),IF(K112="","",SUM(K117:K139)+K112))</f>
        <v>82551300</v>
      </c>
      <c r="L140" s="370"/>
      <c r="M140" s="374" t="str">
        <f>IF(G140="",IF(SUM(M117:M139)=0,"",SUM(M117:M139)),IF(M112="","",SUM(M117:M139)+M112))</f>
        <v/>
      </c>
      <c r="N140" s="378" t="s">
        <v>4500</v>
      </c>
      <c r="O140" s="379">
        <f>IF(G168="",MIN(I140,K140,M140),"")</f>
        <v>72137300</v>
      </c>
    </row>
    <row r="141" spans="1:15" s="18" customFormat="1" ht="20.100000000000001" customHeight="1">
      <c r="A141" s="22"/>
      <c r="B141" s="22"/>
      <c r="C141" s="22"/>
      <c r="G141" s="22"/>
      <c r="H141" s="30"/>
      <c r="I141" s="30"/>
      <c r="J141" s="30"/>
      <c r="K141" s="30"/>
      <c r="L141" s="30"/>
      <c r="M141" s="30"/>
      <c r="N141" s="18" t="str">
        <f>IF(B143="","EOL","")</f>
        <v/>
      </c>
      <c r="O141" s="30">
        <f>+O113+1</f>
        <v>5</v>
      </c>
    </row>
    <row r="142" spans="1:15" s="18" customFormat="1" ht="20.100000000000001" customHeight="1" thickBot="1">
      <c r="A142" s="2791" t="s">
        <v>4522</v>
      </c>
      <c r="B142" s="2791"/>
      <c r="C142" s="2791"/>
      <c r="D142" s="2791"/>
      <c r="E142" s="2791"/>
      <c r="F142" s="2791"/>
      <c r="G142" s="2791"/>
      <c r="H142" s="2791"/>
      <c r="I142" s="2791"/>
      <c r="J142" s="2791"/>
      <c r="K142" s="2791"/>
      <c r="L142" s="2791"/>
      <c r="M142" s="2791"/>
      <c r="N142" s="22" t="s">
        <v>4469</v>
      </c>
      <c r="O142" s="175">
        <v>0.7</v>
      </c>
    </row>
    <row r="143" spans="1:15" s="22" customFormat="1" ht="20.100000000000001" customHeight="1">
      <c r="A143" s="19"/>
      <c r="B143" s="20" t="s">
        <v>4471</v>
      </c>
      <c r="C143" s="21" t="s">
        <v>4472</v>
      </c>
      <c r="D143" s="21"/>
      <c r="E143" s="73"/>
      <c r="F143" s="53"/>
      <c r="G143" s="68"/>
      <c r="H143" s="2792" t="s">
        <v>4523</v>
      </c>
      <c r="I143" s="2793"/>
      <c r="J143" s="2793" t="s">
        <v>4474</v>
      </c>
      <c r="K143" s="2794"/>
      <c r="L143" s="2793" t="s">
        <v>4475</v>
      </c>
      <c r="M143" s="2795"/>
      <c r="N143" s="2789" t="str">
        <f>IF(G196="",IF(O168=I168,H143,IF(O168=K168,J143,L143)),N171)</f>
        <v>A:㈱佐渡嶋</v>
      </c>
      <c r="O143" s="2790"/>
    </row>
    <row r="144" spans="1:15" s="22" customFormat="1" ht="20.100000000000001" customHeight="1" thickBot="1">
      <c r="A144" s="23" t="s">
        <v>4476</v>
      </c>
      <c r="B144" s="24" t="s">
        <v>4477</v>
      </c>
      <c r="C144" s="25" t="s">
        <v>4477</v>
      </c>
      <c r="D144" s="25" t="s">
        <v>4478</v>
      </c>
      <c r="E144" s="74" t="s">
        <v>4479</v>
      </c>
      <c r="F144" s="54" t="s">
        <v>4327</v>
      </c>
      <c r="G144" s="69" t="s">
        <v>4480</v>
      </c>
      <c r="H144" s="59" t="s">
        <v>4481</v>
      </c>
      <c r="I144" s="60" t="s">
        <v>4482</v>
      </c>
      <c r="J144" s="61" t="s">
        <v>4481</v>
      </c>
      <c r="K144" s="60" t="s">
        <v>4482</v>
      </c>
      <c r="L144" s="61" t="s">
        <v>4481</v>
      </c>
      <c r="M144" s="60" t="s">
        <v>4482</v>
      </c>
      <c r="N144" s="59" t="s">
        <v>4483</v>
      </c>
      <c r="O144" s="78" t="s">
        <v>4484</v>
      </c>
    </row>
    <row r="145" spans="1:15" s="18" customFormat="1" ht="20.100000000000001" customHeight="1">
      <c r="A145" s="50"/>
      <c r="B145" s="85"/>
      <c r="C145" s="86"/>
      <c r="D145" s="65" t="s">
        <v>4508</v>
      </c>
      <c r="E145" s="75"/>
      <c r="F145" s="55"/>
      <c r="G145" s="70"/>
      <c r="H145" s="359"/>
      <c r="I145" s="360" t="str">
        <f t="shared" ref="I145:I167" si="20">IF(H145="","",ROUNDDOWN(H145*F145,0))</f>
        <v/>
      </c>
      <c r="J145" s="367"/>
      <c r="K145" s="360" t="str">
        <f t="shared" ref="K145:K167" si="21">IF(J145="","",ROUNDDOWN(J145*$F145,0))</f>
        <v/>
      </c>
      <c r="L145" s="367"/>
      <c r="M145" s="371" t="str">
        <f t="shared" ref="M145:M167" si="22">IF(L145="","",ROUNDDOWN(L145*$F145,0))</f>
        <v/>
      </c>
      <c r="N145" s="359" t="str">
        <f>IF(F145="","",INT(HLOOKUP(N143,H143:M167,3,FALSE)*O142))</f>
        <v/>
      </c>
      <c r="O145" s="375" t="str">
        <f t="shared" ref="O145:O167" si="23">IF(N145="","",IF(N145&lt;10,INT(N145),IF(N145&lt;10000,ROUNDDOWN(N145,-1),ROUNDDOWN(N145,-2))))</f>
        <v/>
      </c>
    </row>
    <row r="146" spans="1:15" s="18" customFormat="1" ht="20.100000000000001" customHeight="1">
      <c r="A146" s="51">
        <v>700</v>
      </c>
      <c r="B146" s="87">
        <v>4</v>
      </c>
      <c r="C146" s="88">
        <v>4</v>
      </c>
      <c r="D146" s="66" t="s">
        <v>4524</v>
      </c>
      <c r="E146" s="76" t="s">
        <v>4525</v>
      </c>
      <c r="F146" s="57">
        <v>48</v>
      </c>
      <c r="G146" s="71" t="s">
        <v>4511</v>
      </c>
      <c r="H146" s="1929">
        <v>273400</v>
      </c>
      <c r="I146" s="362">
        <f t="shared" si="20"/>
        <v>13123200</v>
      </c>
      <c r="J146" s="368"/>
      <c r="K146" s="362" t="str">
        <f t="shared" si="21"/>
        <v/>
      </c>
      <c r="L146" s="368"/>
      <c r="M146" s="372" t="str">
        <f t="shared" si="22"/>
        <v/>
      </c>
      <c r="N146" s="361">
        <f>IF(F146="","",INT(HLOOKUP(N143,H143:M167,4,FALSE)*O142))</f>
        <v>191380</v>
      </c>
      <c r="O146" s="376">
        <f t="shared" si="23"/>
        <v>191300</v>
      </c>
    </row>
    <row r="147" spans="1:15" s="18" customFormat="1" ht="20.100000000000001" customHeight="1">
      <c r="A147" s="51"/>
      <c r="B147" s="87"/>
      <c r="C147" s="88"/>
      <c r="D147" s="66"/>
      <c r="E147" s="76" t="s">
        <v>4387</v>
      </c>
      <c r="F147" s="57"/>
      <c r="G147" s="71"/>
      <c r="H147" s="1929"/>
      <c r="I147" s="362" t="str">
        <f t="shared" si="20"/>
        <v/>
      </c>
      <c r="J147" s="368"/>
      <c r="K147" s="362" t="str">
        <f t="shared" si="21"/>
        <v/>
      </c>
      <c r="L147" s="368"/>
      <c r="M147" s="372" t="str">
        <f t="shared" si="22"/>
        <v/>
      </c>
      <c r="N147" s="361" t="str">
        <f>IF(F147="","",INT(HLOOKUP(N143,H143:M167,5,FALSE)*O142))</f>
        <v/>
      </c>
      <c r="O147" s="376" t="str">
        <f t="shared" si="23"/>
        <v/>
      </c>
    </row>
    <row r="148" spans="1:15" s="18" customFormat="1" ht="20.100000000000001" customHeight="1">
      <c r="A148" s="51"/>
      <c r="B148" s="87"/>
      <c r="C148" s="88"/>
      <c r="D148" s="66"/>
      <c r="E148" s="76"/>
      <c r="F148" s="57"/>
      <c r="G148" s="71"/>
      <c r="H148" s="1929"/>
      <c r="I148" s="362" t="str">
        <f t="shared" si="20"/>
        <v/>
      </c>
      <c r="J148" s="368"/>
      <c r="K148" s="362" t="str">
        <f t="shared" si="21"/>
        <v/>
      </c>
      <c r="L148" s="368"/>
      <c r="M148" s="372" t="str">
        <f t="shared" si="22"/>
        <v/>
      </c>
      <c r="N148" s="361" t="str">
        <f>IF(F148="","",INT(HLOOKUP(N143,H143:M167,6,FALSE)*O142))</f>
        <v/>
      </c>
      <c r="O148" s="376" t="str">
        <f t="shared" si="23"/>
        <v/>
      </c>
    </row>
    <row r="149" spans="1:15" s="18" customFormat="1" ht="20.100000000000001" customHeight="1">
      <c r="A149" s="51"/>
      <c r="B149" s="87"/>
      <c r="C149" s="88"/>
      <c r="D149" s="66" t="s">
        <v>4501</v>
      </c>
      <c r="E149" s="76"/>
      <c r="F149" s="57"/>
      <c r="G149" s="71"/>
      <c r="H149" s="1929"/>
      <c r="I149" s="362" t="str">
        <f t="shared" si="20"/>
        <v/>
      </c>
      <c r="J149" s="368"/>
      <c r="K149" s="362" t="str">
        <f t="shared" si="21"/>
        <v/>
      </c>
      <c r="L149" s="368"/>
      <c r="M149" s="372" t="str">
        <f t="shared" si="22"/>
        <v/>
      </c>
      <c r="N149" s="361" t="str">
        <f>IF(F149="","",INT(HLOOKUP(N143,H143:M167,7,FALSE)*O142))</f>
        <v/>
      </c>
      <c r="O149" s="376" t="str">
        <f t="shared" si="23"/>
        <v/>
      </c>
    </row>
    <row r="150" spans="1:15" s="18" customFormat="1" ht="20.100000000000001" customHeight="1">
      <c r="A150" s="51">
        <v>701</v>
      </c>
      <c r="B150" s="87">
        <v>4</v>
      </c>
      <c r="C150" s="88">
        <v>4</v>
      </c>
      <c r="D150" s="66" t="s">
        <v>4524</v>
      </c>
      <c r="E150" s="76" t="s">
        <v>4525</v>
      </c>
      <c r="F150" s="57">
        <v>48</v>
      </c>
      <c r="G150" s="71" t="s">
        <v>4511</v>
      </c>
      <c r="H150" s="1929">
        <v>345200</v>
      </c>
      <c r="I150" s="362">
        <f t="shared" si="20"/>
        <v>16569600</v>
      </c>
      <c r="J150" s="368"/>
      <c r="K150" s="362" t="str">
        <f t="shared" si="21"/>
        <v/>
      </c>
      <c r="L150" s="368"/>
      <c r="M150" s="372" t="str">
        <f t="shared" si="22"/>
        <v/>
      </c>
      <c r="N150" s="361">
        <f>IF(F150="","",INT(HLOOKUP(N143,H143:M167,8,FALSE)*O142))</f>
        <v>241640</v>
      </c>
      <c r="O150" s="376">
        <f t="shared" si="23"/>
        <v>241600</v>
      </c>
    </row>
    <row r="151" spans="1:15" s="18" customFormat="1" ht="20.100000000000001" customHeight="1">
      <c r="A151" s="51"/>
      <c r="B151" s="87"/>
      <c r="C151" s="88"/>
      <c r="D151" s="66"/>
      <c r="E151" s="76" t="s">
        <v>4521</v>
      </c>
      <c r="F151" s="57"/>
      <c r="G151" s="71"/>
      <c r="H151" s="1929"/>
      <c r="I151" s="362" t="str">
        <f t="shared" si="20"/>
        <v/>
      </c>
      <c r="J151" s="368"/>
      <c r="K151" s="362" t="str">
        <f t="shared" si="21"/>
        <v/>
      </c>
      <c r="L151" s="368"/>
      <c r="M151" s="372" t="str">
        <f t="shared" si="22"/>
        <v/>
      </c>
      <c r="N151" s="361" t="str">
        <f>IF(F151="","",INT(HLOOKUP(N143,H143:M167,9,FALSE)*O142))</f>
        <v/>
      </c>
      <c r="O151" s="376" t="str">
        <f t="shared" si="23"/>
        <v/>
      </c>
    </row>
    <row r="152" spans="1:15" s="18" customFormat="1" ht="20.100000000000001" customHeight="1">
      <c r="A152" s="51"/>
      <c r="B152" s="87"/>
      <c r="C152" s="88"/>
      <c r="D152" s="66"/>
      <c r="E152" s="76"/>
      <c r="F152" s="57"/>
      <c r="G152" s="71"/>
      <c r="H152" s="361"/>
      <c r="I152" s="362" t="str">
        <f t="shared" si="20"/>
        <v/>
      </c>
      <c r="J152" s="368"/>
      <c r="K152" s="362" t="str">
        <f t="shared" si="21"/>
        <v/>
      </c>
      <c r="L152" s="368"/>
      <c r="M152" s="372" t="str">
        <f t="shared" si="22"/>
        <v/>
      </c>
      <c r="N152" s="361" t="str">
        <f>IF(F152="","",INT(HLOOKUP(N143,H143:M167,10,FALSE)*O142))</f>
        <v/>
      </c>
      <c r="O152" s="376" t="str">
        <f t="shared" si="23"/>
        <v/>
      </c>
    </row>
    <row r="153" spans="1:15" s="18" customFormat="1" ht="20.100000000000001" customHeight="1">
      <c r="A153" s="51"/>
      <c r="B153" s="87"/>
      <c r="C153" s="88"/>
      <c r="D153" s="66"/>
      <c r="E153" s="76"/>
      <c r="F153" s="57"/>
      <c r="G153" s="71"/>
      <c r="H153" s="361"/>
      <c r="I153" s="362" t="str">
        <f t="shared" si="20"/>
        <v/>
      </c>
      <c r="J153" s="368"/>
      <c r="K153" s="362" t="str">
        <f t="shared" si="21"/>
        <v/>
      </c>
      <c r="L153" s="368"/>
      <c r="M153" s="372" t="str">
        <f t="shared" si="22"/>
        <v/>
      </c>
      <c r="N153" s="361" t="str">
        <f>IF(F153="","",INT(HLOOKUP(N143,H143:M167,11,FALSE)*O142))</f>
        <v/>
      </c>
      <c r="O153" s="376" t="str">
        <f t="shared" si="23"/>
        <v/>
      </c>
    </row>
    <row r="154" spans="1:15" s="18" customFormat="1" ht="20.100000000000001" customHeight="1">
      <c r="A154" s="51"/>
      <c r="B154" s="87"/>
      <c r="C154" s="88"/>
      <c r="D154" s="66"/>
      <c r="E154" s="76"/>
      <c r="F154" s="57"/>
      <c r="G154" s="71"/>
      <c r="H154" s="361"/>
      <c r="I154" s="362" t="str">
        <f t="shared" si="20"/>
        <v/>
      </c>
      <c r="J154" s="368"/>
      <c r="K154" s="362" t="str">
        <f t="shared" si="21"/>
        <v/>
      </c>
      <c r="L154" s="368"/>
      <c r="M154" s="372" t="str">
        <f t="shared" si="22"/>
        <v/>
      </c>
      <c r="N154" s="361" t="str">
        <f>IF(F154="","",INT(HLOOKUP(N143,H143:M167,12,FALSE)*O142))</f>
        <v/>
      </c>
      <c r="O154" s="376" t="str">
        <f t="shared" si="23"/>
        <v/>
      </c>
    </row>
    <row r="155" spans="1:15" s="18" customFormat="1" ht="20.100000000000001" customHeight="1">
      <c r="A155" s="51"/>
      <c r="B155" s="87"/>
      <c r="C155" s="88"/>
      <c r="D155" s="66"/>
      <c r="E155" s="76"/>
      <c r="F155" s="57"/>
      <c r="G155" s="71"/>
      <c r="H155" s="361"/>
      <c r="I155" s="362" t="str">
        <f t="shared" si="20"/>
        <v/>
      </c>
      <c r="J155" s="368"/>
      <c r="K155" s="362" t="str">
        <f t="shared" si="21"/>
        <v/>
      </c>
      <c r="L155" s="368"/>
      <c r="M155" s="372" t="str">
        <f t="shared" si="22"/>
        <v/>
      </c>
      <c r="N155" s="361" t="str">
        <f>IF(F155="","",INT(HLOOKUP(N143,H143:M167,13,FALSE)*O142))</f>
        <v/>
      </c>
      <c r="O155" s="376" t="str">
        <f t="shared" si="23"/>
        <v/>
      </c>
    </row>
    <row r="156" spans="1:15" s="18" customFormat="1" ht="20.100000000000001" customHeight="1">
      <c r="A156" s="51"/>
      <c r="B156" s="87"/>
      <c r="C156" s="88"/>
      <c r="D156" s="66"/>
      <c r="E156" s="76"/>
      <c r="F156" s="57"/>
      <c r="G156" s="71"/>
      <c r="H156" s="361"/>
      <c r="I156" s="362" t="str">
        <f t="shared" si="20"/>
        <v/>
      </c>
      <c r="J156" s="368"/>
      <c r="K156" s="362" t="str">
        <f t="shared" si="21"/>
        <v/>
      </c>
      <c r="L156" s="368"/>
      <c r="M156" s="372" t="str">
        <f t="shared" si="22"/>
        <v/>
      </c>
      <c r="N156" s="361" t="str">
        <f>IF(F156="","",INT(HLOOKUP(N143,H143:M167,14,FALSE)*O142))</f>
        <v/>
      </c>
      <c r="O156" s="376" t="str">
        <f t="shared" si="23"/>
        <v/>
      </c>
    </row>
    <row r="157" spans="1:15" s="18" customFormat="1" ht="20.100000000000001" customHeight="1">
      <c r="A157" s="51"/>
      <c r="B157" s="87"/>
      <c r="C157" s="88"/>
      <c r="D157" s="66"/>
      <c r="E157" s="76"/>
      <c r="F157" s="57"/>
      <c r="G157" s="71"/>
      <c r="H157" s="361"/>
      <c r="I157" s="362" t="str">
        <f t="shared" si="20"/>
        <v/>
      </c>
      <c r="J157" s="368"/>
      <c r="K157" s="362" t="str">
        <f t="shared" si="21"/>
        <v/>
      </c>
      <c r="L157" s="368"/>
      <c r="M157" s="372" t="str">
        <f t="shared" si="22"/>
        <v/>
      </c>
      <c r="N157" s="361" t="str">
        <f>IF(F157="","",INT(HLOOKUP(N143,H143:M167,15,FALSE)*O142))</f>
        <v/>
      </c>
      <c r="O157" s="376" t="str">
        <f t="shared" si="23"/>
        <v/>
      </c>
    </row>
    <row r="158" spans="1:15" s="18" customFormat="1" ht="20.100000000000001" customHeight="1">
      <c r="A158" s="51"/>
      <c r="B158" s="87"/>
      <c r="C158" s="88"/>
      <c r="D158" s="66"/>
      <c r="E158" s="76"/>
      <c r="F158" s="57"/>
      <c r="G158" s="71"/>
      <c r="H158" s="361"/>
      <c r="I158" s="362" t="str">
        <f t="shared" si="20"/>
        <v/>
      </c>
      <c r="J158" s="368"/>
      <c r="K158" s="362" t="str">
        <f t="shared" si="21"/>
        <v/>
      </c>
      <c r="L158" s="368"/>
      <c r="M158" s="372" t="str">
        <f t="shared" si="22"/>
        <v/>
      </c>
      <c r="N158" s="361" t="str">
        <f>IF(F158="","",INT(HLOOKUP(N143,H143:M167,16,FALSE)*O142))</f>
        <v/>
      </c>
      <c r="O158" s="376" t="str">
        <f t="shared" si="23"/>
        <v/>
      </c>
    </row>
    <row r="159" spans="1:15" s="18" customFormat="1" ht="20.100000000000001" customHeight="1">
      <c r="A159" s="51"/>
      <c r="B159" s="87"/>
      <c r="C159" s="88"/>
      <c r="D159" s="66"/>
      <c r="E159" s="76"/>
      <c r="F159" s="57"/>
      <c r="G159" s="71"/>
      <c r="H159" s="361"/>
      <c r="I159" s="362" t="str">
        <f t="shared" si="20"/>
        <v/>
      </c>
      <c r="J159" s="368"/>
      <c r="K159" s="362" t="str">
        <f t="shared" si="21"/>
        <v/>
      </c>
      <c r="L159" s="368"/>
      <c r="M159" s="372" t="str">
        <f t="shared" si="22"/>
        <v/>
      </c>
      <c r="N159" s="361" t="str">
        <f>IF(F159="","",INT(HLOOKUP(N143,H143:M167,17,FALSE)*O142))</f>
        <v/>
      </c>
      <c r="O159" s="376" t="str">
        <f t="shared" si="23"/>
        <v/>
      </c>
    </row>
    <row r="160" spans="1:15" s="18" customFormat="1" ht="20.100000000000001" customHeight="1">
      <c r="A160" s="51"/>
      <c r="B160" s="87"/>
      <c r="C160" s="88"/>
      <c r="D160" s="66"/>
      <c r="E160" s="76"/>
      <c r="F160" s="57"/>
      <c r="G160" s="71"/>
      <c r="H160" s="361"/>
      <c r="I160" s="362" t="str">
        <f t="shared" si="20"/>
        <v/>
      </c>
      <c r="J160" s="368"/>
      <c r="K160" s="362" t="str">
        <f t="shared" si="21"/>
        <v/>
      </c>
      <c r="L160" s="368"/>
      <c r="M160" s="372" t="str">
        <f t="shared" si="22"/>
        <v/>
      </c>
      <c r="N160" s="361" t="str">
        <f>IF(F160="","",INT(HLOOKUP(N143,H143:M167,18,FALSE)*O142))</f>
        <v/>
      </c>
      <c r="O160" s="376" t="str">
        <f t="shared" si="23"/>
        <v/>
      </c>
    </row>
    <row r="161" spans="1:15" s="18" customFormat="1" ht="20.100000000000001" customHeight="1">
      <c r="A161" s="51"/>
      <c r="B161" s="87"/>
      <c r="C161" s="88"/>
      <c r="D161" s="66"/>
      <c r="E161" s="76"/>
      <c r="F161" s="57"/>
      <c r="G161" s="71"/>
      <c r="H161" s="361"/>
      <c r="I161" s="362" t="str">
        <f t="shared" si="20"/>
        <v/>
      </c>
      <c r="J161" s="368"/>
      <c r="K161" s="362" t="str">
        <f t="shared" si="21"/>
        <v/>
      </c>
      <c r="L161" s="368"/>
      <c r="M161" s="372" t="str">
        <f t="shared" si="22"/>
        <v/>
      </c>
      <c r="N161" s="361" t="str">
        <f>IF(F161="","",INT(HLOOKUP(N143,H143:M167,19,FALSE)*O142))</f>
        <v/>
      </c>
      <c r="O161" s="376" t="str">
        <f t="shared" si="23"/>
        <v/>
      </c>
    </row>
    <row r="162" spans="1:15" s="18" customFormat="1" ht="20.100000000000001" customHeight="1">
      <c r="A162" s="51"/>
      <c r="B162" s="87"/>
      <c r="C162" s="88"/>
      <c r="D162" s="66"/>
      <c r="E162" s="76"/>
      <c r="F162" s="57"/>
      <c r="G162" s="71"/>
      <c r="H162" s="361"/>
      <c r="I162" s="362" t="str">
        <f t="shared" si="20"/>
        <v/>
      </c>
      <c r="J162" s="368"/>
      <c r="K162" s="362" t="str">
        <f t="shared" si="21"/>
        <v/>
      </c>
      <c r="L162" s="368"/>
      <c r="M162" s="372" t="str">
        <f t="shared" si="22"/>
        <v/>
      </c>
      <c r="N162" s="361" t="str">
        <f>IF(F162="","",INT(HLOOKUP(N143,H143:M167,20,FALSE)*O142))</f>
        <v/>
      </c>
      <c r="O162" s="376" t="str">
        <f t="shared" si="23"/>
        <v/>
      </c>
    </row>
    <row r="163" spans="1:15" s="18" customFormat="1" ht="20.100000000000001" customHeight="1">
      <c r="A163" s="51"/>
      <c r="B163" s="87"/>
      <c r="C163" s="88"/>
      <c r="D163" s="66"/>
      <c r="E163" s="76"/>
      <c r="F163" s="57"/>
      <c r="G163" s="71"/>
      <c r="H163" s="361"/>
      <c r="I163" s="362" t="str">
        <f t="shared" si="20"/>
        <v/>
      </c>
      <c r="J163" s="368"/>
      <c r="K163" s="362" t="str">
        <f t="shared" si="21"/>
        <v/>
      </c>
      <c r="L163" s="368"/>
      <c r="M163" s="372" t="str">
        <f t="shared" si="22"/>
        <v/>
      </c>
      <c r="N163" s="361" t="str">
        <f>IF(F163="","",INT(HLOOKUP(N143,H143:M167,21,FALSE)*O142))</f>
        <v/>
      </c>
      <c r="O163" s="376" t="str">
        <f t="shared" si="23"/>
        <v/>
      </c>
    </row>
    <row r="164" spans="1:15" s="18" customFormat="1" ht="20.100000000000001" customHeight="1">
      <c r="A164" s="51"/>
      <c r="B164" s="87"/>
      <c r="C164" s="88"/>
      <c r="D164" s="66"/>
      <c r="E164" s="76"/>
      <c r="F164" s="57"/>
      <c r="G164" s="71"/>
      <c r="H164" s="361"/>
      <c r="I164" s="362" t="str">
        <f t="shared" si="20"/>
        <v/>
      </c>
      <c r="J164" s="368"/>
      <c r="K164" s="362" t="str">
        <f t="shared" si="21"/>
        <v/>
      </c>
      <c r="L164" s="368"/>
      <c r="M164" s="372" t="str">
        <f t="shared" si="22"/>
        <v/>
      </c>
      <c r="N164" s="361" t="str">
        <f>IF(F164="","",INT(HLOOKUP(N143,H143:M167,22,FALSE)*O142))</f>
        <v/>
      </c>
      <c r="O164" s="376" t="str">
        <f t="shared" si="23"/>
        <v/>
      </c>
    </row>
    <row r="165" spans="1:15" s="18" customFormat="1" ht="20.100000000000001" customHeight="1">
      <c r="A165" s="51"/>
      <c r="B165" s="87"/>
      <c r="C165" s="88"/>
      <c r="D165" s="66"/>
      <c r="E165" s="76"/>
      <c r="F165" s="57"/>
      <c r="G165" s="71"/>
      <c r="H165" s="361"/>
      <c r="I165" s="362"/>
      <c r="J165" s="368"/>
      <c r="K165" s="362"/>
      <c r="L165" s="368"/>
      <c r="M165" s="372"/>
      <c r="N165" s="361"/>
      <c r="O165" s="376"/>
    </row>
    <row r="166" spans="1:15" s="18" customFormat="1" ht="20.100000000000001" customHeight="1">
      <c r="A166" s="51"/>
      <c r="B166" s="87"/>
      <c r="C166" s="88"/>
      <c r="D166" s="66"/>
      <c r="E166" s="76"/>
      <c r="F166" s="57"/>
      <c r="G166" s="71"/>
      <c r="H166" s="361"/>
      <c r="I166" s="362" t="str">
        <f t="shared" si="20"/>
        <v/>
      </c>
      <c r="J166" s="368"/>
      <c r="K166" s="362" t="str">
        <f t="shared" si="21"/>
        <v/>
      </c>
      <c r="L166" s="368"/>
      <c r="M166" s="372" t="str">
        <f t="shared" si="22"/>
        <v/>
      </c>
      <c r="N166" s="361" t="str">
        <f>IF(F166="","",INT(HLOOKUP(N143,H143:M167,23,FALSE)*O142))</f>
        <v/>
      </c>
      <c r="O166" s="376" t="str">
        <f t="shared" si="23"/>
        <v/>
      </c>
    </row>
    <row r="167" spans="1:15" s="18" customFormat="1" ht="20.100000000000001" customHeight="1" thickBot="1">
      <c r="A167" s="52"/>
      <c r="B167" s="89"/>
      <c r="C167" s="90"/>
      <c r="D167" s="67"/>
      <c r="E167" s="77"/>
      <c r="F167" s="58"/>
      <c r="G167" s="72"/>
      <c r="H167" s="363"/>
      <c r="I167" s="364" t="str">
        <f t="shared" si="20"/>
        <v/>
      </c>
      <c r="J167" s="369"/>
      <c r="K167" s="364" t="str">
        <f t="shared" si="21"/>
        <v/>
      </c>
      <c r="L167" s="369"/>
      <c r="M167" s="373" t="str">
        <f t="shared" si="22"/>
        <v/>
      </c>
      <c r="N167" s="363" t="str">
        <f>IF(F167="","",INT(HLOOKUP(N143,H143:M167,24,FALSE)*O142))</f>
        <v/>
      </c>
      <c r="O167" s="377" t="str">
        <f t="shared" si="23"/>
        <v/>
      </c>
    </row>
    <row r="168" spans="1:15" s="18" customFormat="1" ht="20.100000000000001" customHeight="1" thickTop="1" thickBot="1">
      <c r="A168" s="26"/>
      <c r="B168" s="27"/>
      <c r="C168" s="27"/>
      <c r="D168" s="28" t="str">
        <f>IF(G168="","合      計","")</f>
        <v>合      計</v>
      </c>
      <c r="E168" s="29" t="s">
        <v>4499</v>
      </c>
      <c r="F168" s="29"/>
      <c r="G168" s="49"/>
      <c r="H168" s="365"/>
      <c r="I168" s="366">
        <f>IF($G168="",IF(SUM(I145:I167)=0,"",SUM(I145:I167)),IF(I140="","",SUM(I145:I167)+I140))</f>
        <v>29692800</v>
      </c>
      <c r="J168" s="370"/>
      <c r="K168" s="366" t="str">
        <f>IF(G168="",IF(SUM(K145:K167)=0,"",SUM(K145:K167)),IF(K140="","",SUM(K145:K167)+K140))</f>
        <v/>
      </c>
      <c r="L168" s="370"/>
      <c r="M168" s="374" t="str">
        <f>IF(G168="",IF(SUM(M145:M167)=0,"",SUM(M145:M167)),IF(M140="","",SUM(M145:M167)+M140))</f>
        <v/>
      </c>
      <c r="N168" s="378" t="s">
        <v>4500</v>
      </c>
      <c r="O168" s="379">
        <f>IF(G196="",MIN(I168,K168,M168),"")</f>
        <v>29692800</v>
      </c>
    </row>
    <row r="169" spans="1:15" s="18" customFormat="1" ht="20.100000000000001" customHeight="1">
      <c r="A169" s="22"/>
      <c r="B169" s="22"/>
      <c r="C169" s="22"/>
      <c r="G169" s="22"/>
      <c r="H169" s="30"/>
      <c r="I169" s="30"/>
      <c r="J169" s="30"/>
      <c r="K169" s="30"/>
      <c r="L169" s="30"/>
      <c r="M169" s="30"/>
      <c r="N169" s="18" t="str">
        <f>IF(B171="","EOL","")</f>
        <v/>
      </c>
      <c r="O169" s="30">
        <f>+O141+1</f>
        <v>6</v>
      </c>
    </row>
    <row r="170" spans="1:15" s="18" customFormat="1" ht="20.100000000000001" customHeight="1" thickBot="1">
      <c r="A170" s="2791" t="s">
        <v>4522</v>
      </c>
      <c r="B170" s="2791"/>
      <c r="C170" s="2791"/>
      <c r="D170" s="2791"/>
      <c r="E170" s="2791"/>
      <c r="F170" s="2791"/>
      <c r="G170" s="2791"/>
      <c r="H170" s="2791"/>
      <c r="I170" s="2791"/>
      <c r="J170" s="2791"/>
      <c r="K170" s="2791"/>
      <c r="L170" s="2791"/>
      <c r="M170" s="2791"/>
      <c r="N170" s="22" t="s">
        <v>4469</v>
      </c>
      <c r="O170" s="175">
        <v>0.65</v>
      </c>
    </row>
    <row r="171" spans="1:15" s="22" customFormat="1" ht="20.100000000000001" customHeight="1">
      <c r="A171" s="19"/>
      <c r="B171" s="20" t="s">
        <v>4471</v>
      </c>
      <c r="C171" s="21" t="s">
        <v>4472</v>
      </c>
      <c r="D171" s="21"/>
      <c r="E171" s="73"/>
      <c r="F171" s="53"/>
      <c r="G171" s="68"/>
      <c r="H171" s="2792" t="s">
        <v>4526</v>
      </c>
      <c r="I171" s="2793"/>
      <c r="J171" s="2793" t="s">
        <v>4474</v>
      </c>
      <c r="K171" s="2794"/>
      <c r="L171" s="2793" t="s">
        <v>4475</v>
      </c>
      <c r="M171" s="2795"/>
      <c r="N171" s="2789" t="str">
        <f>IF(G224="",IF(O196=I196,H171,IF(O196=K196,J171,L171)),N199)</f>
        <v>A:富士フィルムイメージングシステムズ㈱</v>
      </c>
      <c r="O171" s="2790"/>
    </row>
    <row r="172" spans="1:15" s="22" customFormat="1" ht="20.100000000000001" customHeight="1" thickBot="1">
      <c r="A172" s="23" t="s">
        <v>4476</v>
      </c>
      <c r="B172" s="24" t="s">
        <v>4477</v>
      </c>
      <c r="C172" s="25" t="s">
        <v>4477</v>
      </c>
      <c r="D172" s="25" t="s">
        <v>4478</v>
      </c>
      <c r="E172" s="74" t="s">
        <v>4479</v>
      </c>
      <c r="F172" s="54" t="s">
        <v>4327</v>
      </c>
      <c r="G172" s="69" t="s">
        <v>4480</v>
      </c>
      <c r="H172" s="59" t="s">
        <v>4481</v>
      </c>
      <c r="I172" s="60" t="s">
        <v>4482</v>
      </c>
      <c r="J172" s="61" t="s">
        <v>4481</v>
      </c>
      <c r="K172" s="60" t="s">
        <v>4482</v>
      </c>
      <c r="L172" s="61" t="s">
        <v>4481</v>
      </c>
      <c r="M172" s="60" t="s">
        <v>4482</v>
      </c>
      <c r="N172" s="59" t="s">
        <v>4483</v>
      </c>
      <c r="O172" s="78" t="s">
        <v>4484</v>
      </c>
    </row>
    <row r="173" spans="1:15" s="18" customFormat="1" ht="20.100000000000001" customHeight="1">
      <c r="A173" s="50"/>
      <c r="B173" s="85"/>
      <c r="C173" s="86"/>
      <c r="D173" s="65" t="s">
        <v>4508</v>
      </c>
      <c r="E173" s="75"/>
      <c r="F173" s="55"/>
      <c r="G173" s="70"/>
      <c r="H173" s="359"/>
      <c r="I173" s="360" t="str">
        <f t="shared" ref="I173:I195" si="24">IF(H173="","",ROUNDDOWN(H173*F173,0))</f>
        <v/>
      </c>
      <c r="J173" s="367"/>
      <c r="K173" s="360" t="str">
        <f t="shared" ref="K173:K195" si="25">IF(J173="","",ROUNDDOWN(J173*$F173,0))</f>
        <v/>
      </c>
      <c r="L173" s="367"/>
      <c r="M173" s="371" t="str">
        <f t="shared" ref="M173:M195" si="26">IF(L173="","",ROUNDDOWN(L173*$F173,0))</f>
        <v/>
      </c>
      <c r="N173" s="359" t="str">
        <f>IF(F173="","",INT(HLOOKUP(N171,H171:M195,3,FALSE)*O170))</f>
        <v/>
      </c>
      <c r="O173" s="375" t="str">
        <f t="shared" ref="O173:O195" si="27">IF(N173="","",IF(N173&lt;10,INT(N173),IF(N173&lt;10000,ROUNDDOWN(N173,-1),ROUNDDOWN(N173,-2))))</f>
        <v/>
      </c>
    </row>
    <row r="174" spans="1:15" s="18" customFormat="1" ht="20.100000000000001" customHeight="1">
      <c r="A174" s="51">
        <v>750</v>
      </c>
      <c r="B174" s="87">
        <v>4</v>
      </c>
      <c r="C174" s="88">
        <v>4</v>
      </c>
      <c r="D174" s="66" t="s">
        <v>4527</v>
      </c>
      <c r="E174" s="76" t="s">
        <v>4528</v>
      </c>
      <c r="F174" s="57">
        <v>18</v>
      </c>
      <c r="G174" s="71" t="s">
        <v>4529</v>
      </c>
      <c r="H174" s="1929">
        <v>2000</v>
      </c>
      <c r="I174" s="362">
        <f t="shared" si="24"/>
        <v>36000</v>
      </c>
      <c r="J174" s="368"/>
      <c r="K174" s="362" t="str">
        <f t="shared" si="25"/>
        <v/>
      </c>
      <c r="L174" s="368"/>
      <c r="M174" s="372" t="str">
        <f t="shared" si="26"/>
        <v/>
      </c>
      <c r="N174" s="361">
        <f>IF(F174="","",INT(HLOOKUP(N171,H171:M195,4,FALSE)*O170))</f>
        <v>1300</v>
      </c>
      <c r="O174" s="376">
        <f t="shared" si="27"/>
        <v>1300</v>
      </c>
    </row>
    <row r="175" spans="1:15" s="18" customFormat="1" ht="20.100000000000001" customHeight="1">
      <c r="A175" s="51"/>
      <c r="B175" s="87"/>
      <c r="C175" s="88"/>
      <c r="D175" s="66"/>
      <c r="E175" s="76"/>
      <c r="F175" s="57"/>
      <c r="G175" s="71"/>
      <c r="H175" s="1929"/>
      <c r="I175" s="362" t="str">
        <f t="shared" si="24"/>
        <v/>
      </c>
      <c r="J175" s="368"/>
      <c r="K175" s="362" t="str">
        <f t="shared" si="25"/>
        <v/>
      </c>
      <c r="L175" s="368"/>
      <c r="M175" s="372" t="str">
        <f t="shared" si="26"/>
        <v/>
      </c>
      <c r="N175" s="361" t="str">
        <f>IF(F175="","",INT(HLOOKUP(N171,H171:M195,5,FALSE)*O170))</f>
        <v/>
      </c>
      <c r="O175" s="376" t="str">
        <f t="shared" si="27"/>
        <v/>
      </c>
    </row>
    <row r="176" spans="1:15" s="18" customFormat="1" ht="20.100000000000001" customHeight="1">
      <c r="A176" s="51">
        <v>751</v>
      </c>
      <c r="B176" s="87">
        <v>4</v>
      </c>
      <c r="C176" s="88">
        <v>4</v>
      </c>
      <c r="D176" s="66" t="s">
        <v>4530</v>
      </c>
      <c r="E176" s="76" t="s">
        <v>4531</v>
      </c>
      <c r="F176" s="57">
        <v>78</v>
      </c>
      <c r="G176" s="71" t="s">
        <v>4529</v>
      </c>
      <c r="H176" s="1929">
        <v>900</v>
      </c>
      <c r="I176" s="362">
        <f t="shared" si="24"/>
        <v>70200</v>
      </c>
      <c r="J176" s="368"/>
      <c r="K176" s="362" t="str">
        <f t="shared" si="25"/>
        <v/>
      </c>
      <c r="L176" s="368"/>
      <c r="M176" s="372" t="str">
        <f t="shared" si="26"/>
        <v/>
      </c>
      <c r="N176" s="361">
        <f>IF(F176="","",INT(HLOOKUP(N171,H171:M195,6,FALSE)*O170))</f>
        <v>585</v>
      </c>
      <c r="O176" s="376">
        <f t="shared" si="27"/>
        <v>580</v>
      </c>
    </row>
    <row r="177" spans="1:15" s="18" customFormat="1" ht="20.100000000000001" customHeight="1">
      <c r="A177" s="51"/>
      <c r="B177" s="87"/>
      <c r="C177" s="88"/>
      <c r="D177" s="66"/>
      <c r="E177" s="76"/>
      <c r="F177" s="57"/>
      <c r="G177" s="71"/>
      <c r="H177" s="1929"/>
      <c r="I177" s="362" t="str">
        <f t="shared" si="24"/>
        <v/>
      </c>
      <c r="J177" s="368"/>
      <c r="K177" s="362" t="str">
        <f t="shared" si="25"/>
        <v/>
      </c>
      <c r="L177" s="368"/>
      <c r="M177" s="372" t="str">
        <f t="shared" si="26"/>
        <v/>
      </c>
      <c r="N177" s="361" t="str">
        <f>IF(F177="","",INT(HLOOKUP(N171,H171:M195,7,FALSE)*O170))</f>
        <v/>
      </c>
      <c r="O177" s="376" t="str">
        <f t="shared" si="27"/>
        <v/>
      </c>
    </row>
    <row r="178" spans="1:15" s="18" customFormat="1" ht="20.100000000000001" customHeight="1">
      <c r="A178" s="51">
        <v>752</v>
      </c>
      <c r="B178" s="87">
        <v>4</v>
      </c>
      <c r="C178" s="88">
        <v>4</v>
      </c>
      <c r="D178" s="66" t="s">
        <v>4532</v>
      </c>
      <c r="E178" s="76" t="s">
        <v>4533</v>
      </c>
      <c r="F178" s="57">
        <v>43</v>
      </c>
      <c r="G178" s="71" t="s">
        <v>4276</v>
      </c>
      <c r="H178" s="1929">
        <v>800</v>
      </c>
      <c r="I178" s="362">
        <f t="shared" si="24"/>
        <v>34400</v>
      </c>
      <c r="J178" s="368"/>
      <c r="K178" s="362" t="str">
        <f t="shared" si="25"/>
        <v/>
      </c>
      <c r="L178" s="368"/>
      <c r="M178" s="372" t="str">
        <f t="shared" si="26"/>
        <v/>
      </c>
      <c r="N178" s="361">
        <f>IF(F178="","",INT(HLOOKUP(N171,H171:M195,8,FALSE)*O170))</f>
        <v>520</v>
      </c>
      <c r="O178" s="376">
        <f t="shared" si="27"/>
        <v>520</v>
      </c>
    </row>
    <row r="179" spans="1:15" s="18" customFormat="1" ht="20.100000000000001" customHeight="1">
      <c r="A179" s="51"/>
      <c r="B179" s="87"/>
      <c r="C179" s="88"/>
      <c r="D179" s="66"/>
      <c r="E179" s="76"/>
      <c r="F179" s="57"/>
      <c r="G179" s="71"/>
      <c r="H179" s="1929"/>
      <c r="I179" s="362" t="str">
        <f t="shared" si="24"/>
        <v/>
      </c>
      <c r="J179" s="368"/>
      <c r="K179" s="362" t="str">
        <f t="shared" si="25"/>
        <v/>
      </c>
      <c r="L179" s="368"/>
      <c r="M179" s="372" t="str">
        <f t="shared" si="26"/>
        <v/>
      </c>
      <c r="N179" s="361" t="str">
        <f>IF(F179="","",INT(HLOOKUP(N171,H171:M195,9,FALSE)*O170))</f>
        <v/>
      </c>
      <c r="O179" s="376" t="str">
        <f t="shared" si="27"/>
        <v/>
      </c>
    </row>
    <row r="180" spans="1:15" s="18" customFormat="1" ht="20.100000000000001" customHeight="1">
      <c r="A180" s="51">
        <v>753</v>
      </c>
      <c r="B180" s="87">
        <v>4</v>
      </c>
      <c r="C180" s="88">
        <v>4</v>
      </c>
      <c r="D180" s="66" t="s">
        <v>4534</v>
      </c>
      <c r="E180" s="76" t="s">
        <v>4535</v>
      </c>
      <c r="F180" s="57">
        <v>16</v>
      </c>
      <c r="G180" s="71" t="s">
        <v>4276</v>
      </c>
      <c r="H180" s="1929">
        <v>1800</v>
      </c>
      <c r="I180" s="362">
        <f t="shared" si="24"/>
        <v>28800</v>
      </c>
      <c r="J180" s="368"/>
      <c r="K180" s="362" t="str">
        <f t="shared" si="25"/>
        <v/>
      </c>
      <c r="L180" s="368"/>
      <c r="M180" s="372" t="str">
        <f t="shared" si="26"/>
        <v/>
      </c>
      <c r="N180" s="361">
        <f>IF(F180="","",INT(HLOOKUP(N171,H171:M195,10,FALSE)*O170))</f>
        <v>1170</v>
      </c>
      <c r="O180" s="376">
        <f t="shared" si="27"/>
        <v>1170</v>
      </c>
    </row>
    <row r="181" spans="1:15" s="18" customFormat="1" ht="20.100000000000001" customHeight="1">
      <c r="A181" s="51"/>
      <c r="B181" s="87"/>
      <c r="C181" s="88"/>
      <c r="D181" s="66"/>
      <c r="E181" s="76"/>
      <c r="F181" s="1978"/>
      <c r="G181" s="1979"/>
      <c r="H181" s="1929"/>
      <c r="I181" s="362" t="str">
        <f t="shared" si="24"/>
        <v/>
      </c>
      <c r="J181" s="368"/>
      <c r="K181" s="362" t="str">
        <f t="shared" si="25"/>
        <v/>
      </c>
      <c r="L181" s="368"/>
      <c r="M181" s="372" t="str">
        <f t="shared" si="26"/>
        <v/>
      </c>
      <c r="N181" s="361" t="str">
        <f>IF(F181="","",INT(HLOOKUP(N171,H171:M195,11,FALSE)*O170))</f>
        <v/>
      </c>
      <c r="O181" s="376" t="str">
        <f t="shared" si="27"/>
        <v/>
      </c>
    </row>
    <row r="182" spans="1:15" s="18" customFormat="1" ht="20.100000000000001" customHeight="1">
      <c r="A182" s="51">
        <v>754</v>
      </c>
      <c r="B182" s="87">
        <v>4</v>
      </c>
      <c r="C182" s="88">
        <v>4</v>
      </c>
      <c r="D182" s="66" t="s">
        <v>4536</v>
      </c>
      <c r="E182" s="76" t="s">
        <v>4528</v>
      </c>
      <c r="F182" s="1978">
        <v>12</v>
      </c>
      <c r="G182" s="1979" t="s">
        <v>4529</v>
      </c>
      <c r="H182" s="1929">
        <v>2000</v>
      </c>
      <c r="I182" s="362">
        <f t="shared" si="24"/>
        <v>24000</v>
      </c>
      <c r="J182" s="368"/>
      <c r="K182" s="362" t="str">
        <f t="shared" si="25"/>
        <v/>
      </c>
      <c r="L182" s="368"/>
      <c r="M182" s="372" t="str">
        <f t="shared" si="26"/>
        <v/>
      </c>
      <c r="N182" s="361">
        <f>IF(F182="","",INT(HLOOKUP(N171,H171:M195,12,FALSE)*O170))</f>
        <v>1300</v>
      </c>
      <c r="O182" s="376">
        <f t="shared" si="27"/>
        <v>1300</v>
      </c>
    </row>
    <row r="183" spans="1:15" s="18" customFormat="1" ht="20.100000000000001" customHeight="1">
      <c r="A183" s="51"/>
      <c r="B183" s="87"/>
      <c r="C183" s="88"/>
      <c r="D183" s="66"/>
      <c r="E183" s="76"/>
      <c r="F183" s="57"/>
      <c r="G183" s="71"/>
      <c r="H183" s="1929"/>
      <c r="I183" s="362" t="str">
        <f t="shared" si="24"/>
        <v/>
      </c>
      <c r="J183" s="368"/>
      <c r="K183" s="362" t="str">
        <f t="shared" si="25"/>
        <v/>
      </c>
      <c r="L183" s="368"/>
      <c r="M183" s="372" t="str">
        <f t="shared" si="26"/>
        <v/>
      </c>
      <c r="N183" s="361" t="str">
        <f>IF(F183="","",INT(HLOOKUP(N171,H171:M195,13,FALSE)*O170))</f>
        <v/>
      </c>
      <c r="O183" s="376" t="str">
        <f t="shared" si="27"/>
        <v/>
      </c>
    </row>
    <row r="184" spans="1:15" s="18" customFormat="1" ht="20.100000000000001" customHeight="1">
      <c r="A184" s="51">
        <v>755</v>
      </c>
      <c r="B184" s="87">
        <v>4</v>
      </c>
      <c r="C184" s="88">
        <v>4</v>
      </c>
      <c r="D184" s="66" t="s">
        <v>4537</v>
      </c>
      <c r="E184" s="76" t="s">
        <v>4531</v>
      </c>
      <c r="F184" s="57">
        <v>36</v>
      </c>
      <c r="G184" s="71" t="s">
        <v>4529</v>
      </c>
      <c r="H184" s="1929">
        <v>900</v>
      </c>
      <c r="I184" s="362">
        <f t="shared" si="24"/>
        <v>32400</v>
      </c>
      <c r="J184" s="368"/>
      <c r="K184" s="362" t="str">
        <f t="shared" si="25"/>
        <v/>
      </c>
      <c r="L184" s="368"/>
      <c r="M184" s="372" t="str">
        <f t="shared" si="26"/>
        <v/>
      </c>
      <c r="N184" s="361">
        <f>IF(F184="","",INT(HLOOKUP(N171,H171:M195,14,FALSE)*O170))</f>
        <v>585</v>
      </c>
      <c r="O184" s="376">
        <f t="shared" si="27"/>
        <v>580</v>
      </c>
    </row>
    <row r="185" spans="1:15" s="18" customFormat="1" ht="20.100000000000001" customHeight="1">
      <c r="A185" s="51"/>
      <c r="B185" s="87"/>
      <c r="C185" s="88"/>
      <c r="D185" s="66"/>
      <c r="E185" s="76"/>
      <c r="F185" s="57"/>
      <c r="G185" s="71"/>
      <c r="H185" s="1929"/>
      <c r="I185" s="362" t="str">
        <f t="shared" si="24"/>
        <v/>
      </c>
      <c r="J185" s="368"/>
      <c r="K185" s="362" t="str">
        <f t="shared" si="25"/>
        <v/>
      </c>
      <c r="L185" s="368"/>
      <c r="M185" s="372" t="str">
        <f t="shared" si="26"/>
        <v/>
      </c>
      <c r="N185" s="361" t="str">
        <f>IF(F185="","",INT(HLOOKUP(N171,H171:M195,15,FALSE)*O170))</f>
        <v/>
      </c>
      <c r="O185" s="376" t="str">
        <f t="shared" si="27"/>
        <v/>
      </c>
    </row>
    <row r="186" spans="1:15" s="18" customFormat="1" ht="20.100000000000001" customHeight="1">
      <c r="A186" s="51">
        <v>756</v>
      </c>
      <c r="B186" s="87">
        <v>4</v>
      </c>
      <c r="C186" s="88">
        <v>4</v>
      </c>
      <c r="D186" s="66" t="s">
        <v>4538</v>
      </c>
      <c r="E186" s="76" t="s">
        <v>4533</v>
      </c>
      <c r="F186" s="57">
        <v>32</v>
      </c>
      <c r="G186" s="71" t="s">
        <v>4276</v>
      </c>
      <c r="H186" s="1929">
        <v>800</v>
      </c>
      <c r="I186" s="362">
        <f t="shared" si="24"/>
        <v>25600</v>
      </c>
      <c r="J186" s="368"/>
      <c r="K186" s="362" t="str">
        <f t="shared" si="25"/>
        <v/>
      </c>
      <c r="L186" s="368"/>
      <c r="M186" s="372" t="str">
        <f t="shared" si="26"/>
        <v/>
      </c>
      <c r="N186" s="361">
        <f>IF(F186="","",INT(HLOOKUP(N171,H171:M195,16,FALSE)*O170))</f>
        <v>520</v>
      </c>
      <c r="O186" s="376">
        <f t="shared" si="27"/>
        <v>520</v>
      </c>
    </row>
    <row r="187" spans="1:15" s="18" customFormat="1" ht="20.100000000000001" customHeight="1">
      <c r="A187" s="51"/>
      <c r="B187" s="87"/>
      <c r="C187" s="88"/>
      <c r="D187" s="66"/>
      <c r="E187" s="76"/>
      <c r="F187" s="57"/>
      <c r="G187" s="71"/>
      <c r="H187" s="1929"/>
      <c r="I187" s="362" t="str">
        <f t="shared" si="24"/>
        <v/>
      </c>
      <c r="J187" s="368"/>
      <c r="K187" s="362" t="str">
        <f t="shared" si="25"/>
        <v/>
      </c>
      <c r="L187" s="368"/>
      <c r="M187" s="372" t="str">
        <f t="shared" si="26"/>
        <v/>
      </c>
      <c r="N187" s="361" t="str">
        <f>IF(F187="","",INT(HLOOKUP(N171,H171:M195,17,FALSE)*O170))</f>
        <v/>
      </c>
      <c r="O187" s="376" t="str">
        <f t="shared" si="27"/>
        <v/>
      </c>
    </row>
    <row r="188" spans="1:15" s="18" customFormat="1" ht="20.100000000000001" customHeight="1">
      <c r="A188" s="51">
        <v>757</v>
      </c>
      <c r="B188" s="87">
        <v>4</v>
      </c>
      <c r="C188" s="88">
        <v>4</v>
      </c>
      <c r="D188" s="66" t="s">
        <v>4538</v>
      </c>
      <c r="E188" s="76" t="s">
        <v>4535</v>
      </c>
      <c r="F188" s="57">
        <v>8</v>
      </c>
      <c r="G188" s="71" t="s">
        <v>4276</v>
      </c>
      <c r="H188" s="1929">
        <v>1800</v>
      </c>
      <c r="I188" s="362">
        <f t="shared" si="24"/>
        <v>14400</v>
      </c>
      <c r="J188" s="368"/>
      <c r="K188" s="362" t="str">
        <f t="shared" si="25"/>
        <v/>
      </c>
      <c r="L188" s="368"/>
      <c r="M188" s="372" t="str">
        <f t="shared" si="26"/>
        <v/>
      </c>
      <c r="N188" s="361">
        <f>IF(F188="","",INT(HLOOKUP(N171,H171:M195,18,FALSE)*O170))</f>
        <v>1170</v>
      </c>
      <c r="O188" s="376">
        <f t="shared" si="27"/>
        <v>1170</v>
      </c>
    </row>
    <row r="189" spans="1:15" s="18" customFormat="1" ht="20.100000000000001" customHeight="1">
      <c r="A189" s="51"/>
      <c r="B189" s="87"/>
      <c r="C189" s="88"/>
      <c r="D189" s="66"/>
      <c r="E189" s="76"/>
      <c r="F189" s="57"/>
      <c r="G189" s="71"/>
      <c r="H189" s="361"/>
      <c r="I189" s="362" t="str">
        <f t="shared" si="24"/>
        <v/>
      </c>
      <c r="J189" s="368"/>
      <c r="K189" s="362" t="str">
        <f t="shared" si="25"/>
        <v/>
      </c>
      <c r="L189" s="368"/>
      <c r="M189" s="372" t="str">
        <f t="shared" si="26"/>
        <v/>
      </c>
      <c r="N189" s="361" t="str">
        <f>IF(F189="","",INT(HLOOKUP(N171,H171:M195,19,FALSE)*O170))</f>
        <v/>
      </c>
      <c r="O189" s="376" t="str">
        <f t="shared" si="27"/>
        <v/>
      </c>
    </row>
    <row r="190" spans="1:15" s="18" customFormat="1" ht="20.100000000000001" customHeight="1">
      <c r="A190" s="51">
        <v>758</v>
      </c>
      <c r="B190" s="87">
        <v>4</v>
      </c>
      <c r="C190" s="88">
        <v>4</v>
      </c>
      <c r="D190" s="66" t="s">
        <v>4539</v>
      </c>
      <c r="E190" s="76"/>
      <c r="F190" s="57">
        <v>1</v>
      </c>
      <c r="G190" s="71" t="s">
        <v>122</v>
      </c>
      <c r="H190" s="361">
        <v>350000</v>
      </c>
      <c r="I190" s="362">
        <f t="shared" si="24"/>
        <v>350000</v>
      </c>
      <c r="J190" s="368"/>
      <c r="K190" s="362" t="str">
        <f t="shared" si="25"/>
        <v/>
      </c>
      <c r="L190" s="368"/>
      <c r="M190" s="372" t="str">
        <f t="shared" si="26"/>
        <v/>
      </c>
      <c r="N190" s="361">
        <f>IF(F190="","",INT(HLOOKUP(N171,H171:M195,20,FALSE)*O170))</f>
        <v>227500</v>
      </c>
      <c r="O190" s="376">
        <f t="shared" si="27"/>
        <v>227500</v>
      </c>
    </row>
    <row r="191" spans="1:15" s="18" customFormat="1" ht="20.100000000000001" customHeight="1">
      <c r="A191" s="51"/>
      <c r="B191" s="87"/>
      <c r="C191" s="88"/>
      <c r="D191" s="66"/>
      <c r="E191" s="76"/>
      <c r="F191" s="57"/>
      <c r="G191" s="71"/>
      <c r="H191" s="361"/>
      <c r="I191" s="362" t="str">
        <f t="shared" si="24"/>
        <v/>
      </c>
      <c r="J191" s="368"/>
      <c r="K191" s="362" t="str">
        <f t="shared" si="25"/>
        <v/>
      </c>
      <c r="L191" s="368"/>
      <c r="M191" s="372" t="str">
        <f t="shared" si="26"/>
        <v/>
      </c>
      <c r="N191" s="361" t="str">
        <f>IF(F191="","",INT(HLOOKUP(N171,H171:M195,21,FALSE)*O170))</f>
        <v/>
      </c>
      <c r="O191" s="376" t="str">
        <f t="shared" si="27"/>
        <v/>
      </c>
    </row>
    <row r="192" spans="1:15" s="18" customFormat="1" ht="20.100000000000001" customHeight="1">
      <c r="A192" s="51"/>
      <c r="B192" s="87"/>
      <c r="C192" s="88"/>
      <c r="D192" s="66"/>
      <c r="E192" s="76"/>
      <c r="F192" s="57"/>
      <c r="G192" s="71"/>
      <c r="H192" s="361"/>
      <c r="I192" s="362" t="str">
        <f t="shared" si="24"/>
        <v/>
      </c>
      <c r="J192" s="368"/>
      <c r="K192" s="362" t="str">
        <f t="shared" si="25"/>
        <v/>
      </c>
      <c r="L192" s="368"/>
      <c r="M192" s="372" t="str">
        <f t="shared" si="26"/>
        <v/>
      </c>
      <c r="N192" s="361" t="str">
        <f>IF(F192="","",INT(HLOOKUP(N171,H171:M195,22,FALSE)*O170))</f>
        <v/>
      </c>
      <c r="O192" s="376" t="str">
        <f t="shared" si="27"/>
        <v/>
      </c>
    </row>
    <row r="193" spans="1:15" s="18" customFormat="1" ht="20.100000000000001" customHeight="1">
      <c r="A193" s="51"/>
      <c r="B193" s="87"/>
      <c r="C193" s="88"/>
      <c r="D193" s="66"/>
      <c r="E193" s="76"/>
      <c r="F193" s="57"/>
      <c r="G193" s="71"/>
      <c r="H193" s="361"/>
      <c r="I193" s="362"/>
      <c r="J193" s="368"/>
      <c r="K193" s="362"/>
      <c r="L193" s="368"/>
      <c r="M193" s="372"/>
      <c r="N193" s="361"/>
      <c r="O193" s="376"/>
    </row>
    <row r="194" spans="1:15" s="18" customFormat="1" ht="20.100000000000001" customHeight="1">
      <c r="A194" s="51"/>
      <c r="B194" s="87"/>
      <c r="C194" s="88"/>
      <c r="D194" s="66"/>
      <c r="E194" s="76"/>
      <c r="F194" s="57"/>
      <c r="G194" s="71"/>
      <c r="H194" s="361"/>
      <c r="I194" s="362" t="str">
        <f t="shared" si="24"/>
        <v/>
      </c>
      <c r="J194" s="368"/>
      <c r="K194" s="362" t="str">
        <f t="shared" si="25"/>
        <v/>
      </c>
      <c r="L194" s="368"/>
      <c r="M194" s="372" t="str">
        <f t="shared" si="26"/>
        <v/>
      </c>
      <c r="N194" s="361" t="str">
        <f>IF(F194="","",INT(HLOOKUP(N171,H171:M195,23,FALSE)*O170))</f>
        <v/>
      </c>
      <c r="O194" s="376" t="str">
        <f t="shared" si="27"/>
        <v/>
      </c>
    </row>
    <row r="195" spans="1:15" s="18" customFormat="1" ht="20.100000000000001" customHeight="1" thickBot="1">
      <c r="A195" s="52"/>
      <c r="B195" s="89"/>
      <c r="C195" s="90"/>
      <c r="D195" s="67"/>
      <c r="E195" s="77"/>
      <c r="F195" s="58"/>
      <c r="G195" s="72"/>
      <c r="H195" s="363"/>
      <c r="I195" s="364" t="str">
        <f t="shared" si="24"/>
        <v/>
      </c>
      <c r="J195" s="369"/>
      <c r="K195" s="364" t="str">
        <f t="shared" si="25"/>
        <v/>
      </c>
      <c r="L195" s="369"/>
      <c r="M195" s="373" t="str">
        <f t="shared" si="26"/>
        <v/>
      </c>
      <c r="N195" s="363" t="str">
        <f>IF(F195="","",INT(HLOOKUP(N171,H171:M195,24,FALSE)*O170))</f>
        <v/>
      </c>
      <c r="O195" s="377" t="str">
        <f t="shared" si="27"/>
        <v/>
      </c>
    </row>
    <row r="196" spans="1:15" s="18" customFormat="1" ht="20.100000000000001" customHeight="1" thickTop="1" thickBot="1">
      <c r="A196" s="26"/>
      <c r="B196" s="27"/>
      <c r="C196" s="27"/>
      <c r="D196" s="28" t="str">
        <f>IF(G196="","合      計","")</f>
        <v>合      計</v>
      </c>
      <c r="E196" s="29" t="s">
        <v>4499</v>
      </c>
      <c r="F196" s="29"/>
      <c r="G196" s="49"/>
      <c r="H196" s="365"/>
      <c r="I196" s="366">
        <f>IF($G196="",IF(SUM(I173:I195)=0,"",SUM(I173:I195)),IF(I168="","",SUM(I173:I195)+I168))</f>
        <v>615800</v>
      </c>
      <c r="J196" s="370"/>
      <c r="K196" s="366" t="str">
        <f>IF(G196="",IF(SUM(K173:K195)=0,"",SUM(K173:K195)),IF(K168="","",SUM(K173:K195)+K168))</f>
        <v/>
      </c>
      <c r="L196" s="370"/>
      <c r="M196" s="374" t="str">
        <f>IF(G196="",IF(SUM(M173:M195)=0,"",SUM(M173:M195)),IF(M168="","",SUM(M173:M195)+M168))</f>
        <v/>
      </c>
      <c r="N196" s="378" t="s">
        <v>4500</v>
      </c>
      <c r="O196" s="379">
        <f>IF(G224="",MIN(I196,K196,M196),"")</f>
        <v>615800</v>
      </c>
    </row>
    <row r="197" spans="1:15" s="18" customFormat="1" ht="20.100000000000001" customHeight="1">
      <c r="A197" s="22"/>
      <c r="B197" s="22"/>
      <c r="C197" s="22"/>
      <c r="G197" s="22"/>
      <c r="H197" s="30"/>
      <c r="I197" s="30"/>
      <c r="J197" s="30"/>
      <c r="K197" s="30"/>
      <c r="L197" s="30"/>
      <c r="M197" s="30"/>
      <c r="N197" s="18" t="str">
        <f>IF(B199="","EOL","")</f>
        <v/>
      </c>
      <c r="O197" s="30">
        <f>+O169+1</f>
        <v>7</v>
      </c>
    </row>
    <row r="198" spans="1:15" s="18" customFormat="1" ht="20.100000000000001" customHeight="1" thickBot="1">
      <c r="A198" s="2791" t="s">
        <v>4540</v>
      </c>
      <c r="B198" s="2791"/>
      <c r="C198" s="2791"/>
      <c r="D198" s="2791"/>
      <c r="E198" s="2791"/>
      <c r="F198" s="2791"/>
      <c r="G198" s="2791"/>
      <c r="H198" s="2791"/>
      <c r="I198" s="2791"/>
      <c r="J198" s="2791"/>
      <c r="K198" s="2791"/>
      <c r="L198" s="2791"/>
      <c r="M198" s="2791"/>
      <c r="N198" s="22" t="s">
        <v>4469</v>
      </c>
      <c r="O198" s="175">
        <f>+O170</f>
        <v>0.65</v>
      </c>
    </row>
    <row r="199" spans="1:15" s="22" customFormat="1" ht="20.100000000000001" customHeight="1">
      <c r="A199" s="19"/>
      <c r="B199" s="20" t="s">
        <v>4471</v>
      </c>
      <c r="C199" s="21" t="s">
        <v>4472</v>
      </c>
      <c r="D199" s="21"/>
      <c r="E199" s="73"/>
      <c r="F199" s="53"/>
      <c r="G199" s="68"/>
      <c r="H199" s="2792" t="s">
        <v>4541</v>
      </c>
      <c r="I199" s="2793"/>
      <c r="J199" s="2793" t="s">
        <v>4542</v>
      </c>
      <c r="K199" s="2794"/>
      <c r="L199" s="2793" t="s">
        <v>4475</v>
      </c>
      <c r="M199" s="2795"/>
      <c r="N199" s="2789" t="str">
        <f>IF(G251="",IF(O224=I224,H199,IF(O224=K224,J199,L199)),N227)</f>
        <v>B:日本サイン㈱</v>
      </c>
      <c r="O199" s="2790"/>
    </row>
    <row r="200" spans="1:15" s="22" customFormat="1" ht="20.100000000000001" customHeight="1" thickBot="1">
      <c r="A200" s="23" t="s">
        <v>4476</v>
      </c>
      <c r="B200" s="24" t="s">
        <v>4477</v>
      </c>
      <c r="C200" s="25" t="s">
        <v>4477</v>
      </c>
      <c r="D200" s="25" t="s">
        <v>4478</v>
      </c>
      <c r="E200" s="74" t="s">
        <v>4479</v>
      </c>
      <c r="F200" s="54" t="s">
        <v>4327</v>
      </c>
      <c r="G200" s="69" t="s">
        <v>4480</v>
      </c>
      <c r="H200" s="59" t="s">
        <v>4481</v>
      </c>
      <c r="I200" s="60" t="s">
        <v>4482</v>
      </c>
      <c r="J200" s="61" t="s">
        <v>4481</v>
      </c>
      <c r="K200" s="60" t="s">
        <v>4482</v>
      </c>
      <c r="L200" s="61" t="s">
        <v>4481</v>
      </c>
      <c r="M200" s="60" t="s">
        <v>4482</v>
      </c>
      <c r="N200" s="59" t="s">
        <v>4483</v>
      </c>
      <c r="O200" s="78" t="s">
        <v>4484</v>
      </c>
    </row>
    <row r="201" spans="1:15" s="18" customFormat="1" ht="20.100000000000001" customHeight="1">
      <c r="A201" s="50"/>
      <c r="B201" s="85"/>
      <c r="C201" s="86"/>
      <c r="D201" s="65" t="s">
        <v>4508</v>
      </c>
      <c r="E201" s="75"/>
      <c r="F201" s="55"/>
      <c r="G201" s="70"/>
      <c r="H201" s="359"/>
      <c r="I201" s="360" t="str">
        <f t="shared" ref="I201:I223" si="28">IF(H201="","",ROUNDDOWN(H201*F201,0))</f>
        <v/>
      </c>
      <c r="J201" s="367"/>
      <c r="K201" s="360" t="str">
        <f t="shared" ref="K201:K223" si="29">IF(J201="","",ROUNDDOWN(J201*$F201,0))</f>
        <v/>
      </c>
      <c r="L201" s="367"/>
      <c r="M201" s="371" t="str">
        <f t="shared" ref="M201:M223" si="30">IF(L201="","",ROUNDDOWN(L201*$F201,0))</f>
        <v/>
      </c>
      <c r="N201" s="359" t="str">
        <f>IF(F201="","",INT(HLOOKUP(N199,H199:M223,3,FALSE)*O198))</f>
        <v/>
      </c>
      <c r="O201" s="375" t="str">
        <f t="shared" ref="O201:O223" si="31">IF(N201="","",IF(N201&lt;10,INT(N201),IF(N201&lt;10000,ROUNDDOWN(N201,-1),ROUNDDOWN(N201,-2))))</f>
        <v/>
      </c>
    </row>
    <row r="202" spans="1:15" s="18" customFormat="1" ht="20.100000000000001" customHeight="1">
      <c r="A202" s="51">
        <v>800</v>
      </c>
      <c r="B202" s="87">
        <v>4</v>
      </c>
      <c r="C202" s="88">
        <v>4</v>
      </c>
      <c r="D202" s="66" t="s">
        <v>4543</v>
      </c>
      <c r="E202" s="76" t="s">
        <v>4544</v>
      </c>
      <c r="F202" s="57">
        <v>36</v>
      </c>
      <c r="G202" s="71" t="s">
        <v>4276</v>
      </c>
      <c r="H202" s="1929">
        <v>81000</v>
      </c>
      <c r="I202" s="362">
        <f t="shared" si="28"/>
        <v>2916000</v>
      </c>
      <c r="J202" s="368">
        <v>28000</v>
      </c>
      <c r="K202" s="362">
        <f t="shared" si="29"/>
        <v>1008000</v>
      </c>
      <c r="L202" s="368"/>
      <c r="M202" s="372" t="str">
        <f t="shared" si="30"/>
        <v/>
      </c>
      <c r="N202" s="361">
        <f>IF(F202="","",INT(HLOOKUP(N199,H199:M223,4,FALSE)*O198))</f>
        <v>18200</v>
      </c>
      <c r="O202" s="376">
        <f t="shared" si="31"/>
        <v>18200</v>
      </c>
    </row>
    <row r="203" spans="1:15" s="18" customFormat="1" ht="20.100000000000001" customHeight="1">
      <c r="A203" s="51"/>
      <c r="B203" s="87"/>
      <c r="C203" s="88"/>
      <c r="D203" s="66"/>
      <c r="E203" s="76"/>
      <c r="F203" s="57"/>
      <c r="G203" s="71"/>
      <c r="H203" s="1929"/>
      <c r="I203" s="362" t="str">
        <f t="shared" si="28"/>
        <v/>
      </c>
      <c r="J203" s="368"/>
      <c r="K203" s="362" t="str">
        <f t="shared" si="29"/>
        <v/>
      </c>
      <c r="L203" s="368"/>
      <c r="M203" s="372" t="str">
        <f t="shared" si="30"/>
        <v/>
      </c>
      <c r="N203" s="361" t="str">
        <f>IF(F203="","",INT(HLOOKUP(N199,H199:M223,5,FALSE)*O198))</f>
        <v/>
      </c>
      <c r="O203" s="376" t="str">
        <f t="shared" si="31"/>
        <v/>
      </c>
    </row>
    <row r="204" spans="1:15" s="18" customFormat="1" ht="20.100000000000001" customHeight="1">
      <c r="A204" s="51">
        <v>801</v>
      </c>
      <c r="B204" s="87">
        <v>4</v>
      </c>
      <c r="C204" s="88">
        <v>4</v>
      </c>
      <c r="D204" s="66" t="s">
        <v>4545</v>
      </c>
      <c r="E204" s="76" t="s">
        <v>4546</v>
      </c>
      <c r="F204" s="57">
        <v>10</v>
      </c>
      <c r="G204" s="71" t="s">
        <v>4276</v>
      </c>
      <c r="H204" s="1929">
        <v>94000</v>
      </c>
      <c r="I204" s="362">
        <f t="shared" si="28"/>
        <v>940000</v>
      </c>
      <c r="J204" s="368">
        <v>45000</v>
      </c>
      <c r="K204" s="362">
        <f t="shared" si="29"/>
        <v>450000</v>
      </c>
      <c r="L204" s="368"/>
      <c r="M204" s="372" t="str">
        <f t="shared" si="30"/>
        <v/>
      </c>
      <c r="N204" s="361">
        <f>IF(F204="","",INT(HLOOKUP(N199,H199:M223,6,FALSE)*O198))</f>
        <v>29250</v>
      </c>
      <c r="O204" s="376">
        <f t="shared" si="31"/>
        <v>29200</v>
      </c>
    </row>
    <row r="205" spans="1:15" s="18" customFormat="1" ht="20.100000000000001" customHeight="1">
      <c r="A205" s="51"/>
      <c r="B205" s="87"/>
      <c r="C205" s="88"/>
      <c r="D205" s="66"/>
      <c r="E205" s="76"/>
      <c r="F205" s="57"/>
      <c r="G205" s="71"/>
      <c r="H205" s="1929"/>
      <c r="I205" s="362" t="str">
        <f t="shared" si="28"/>
        <v/>
      </c>
      <c r="J205" s="368"/>
      <c r="K205" s="362" t="str">
        <f t="shared" si="29"/>
        <v/>
      </c>
      <c r="L205" s="368"/>
      <c r="M205" s="372" t="str">
        <f t="shared" si="30"/>
        <v/>
      </c>
      <c r="N205" s="361" t="str">
        <f>IF(F205="","",INT(HLOOKUP(N199,H199:M223,7,FALSE)*O198))</f>
        <v/>
      </c>
      <c r="O205" s="376" t="str">
        <f t="shared" si="31"/>
        <v/>
      </c>
    </row>
    <row r="206" spans="1:15" s="18" customFormat="1" ht="20.100000000000001" customHeight="1">
      <c r="A206" s="51">
        <v>802</v>
      </c>
      <c r="B206" s="87">
        <v>4</v>
      </c>
      <c r="C206" s="88">
        <v>4</v>
      </c>
      <c r="D206" s="66" t="s">
        <v>4547</v>
      </c>
      <c r="E206" s="76" t="s">
        <v>4548</v>
      </c>
      <c r="F206" s="57">
        <v>12</v>
      </c>
      <c r="G206" s="71" t="s">
        <v>4276</v>
      </c>
      <c r="H206" s="1929">
        <v>104000</v>
      </c>
      <c r="I206" s="362">
        <f t="shared" si="28"/>
        <v>1248000</v>
      </c>
      <c r="J206" s="368">
        <v>36000</v>
      </c>
      <c r="K206" s="362">
        <f t="shared" si="29"/>
        <v>432000</v>
      </c>
      <c r="L206" s="368"/>
      <c r="M206" s="372" t="str">
        <f t="shared" si="30"/>
        <v/>
      </c>
      <c r="N206" s="361">
        <f>IF(F206="","",INT(HLOOKUP(N199,H199:M223,8,FALSE)*O198))</f>
        <v>23400</v>
      </c>
      <c r="O206" s="376">
        <f t="shared" si="31"/>
        <v>23400</v>
      </c>
    </row>
    <row r="207" spans="1:15" s="18" customFormat="1" ht="20.100000000000001" customHeight="1">
      <c r="A207" s="51"/>
      <c r="B207" s="87"/>
      <c r="C207" s="88"/>
      <c r="D207" s="66"/>
      <c r="E207" s="76"/>
      <c r="F207" s="57"/>
      <c r="G207" s="71"/>
      <c r="H207" s="1929"/>
      <c r="I207" s="362" t="str">
        <f t="shared" si="28"/>
        <v/>
      </c>
      <c r="J207" s="368"/>
      <c r="K207" s="362" t="str">
        <f t="shared" si="29"/>
        <v/>
      </c>
      <c r="L207" s="368"/>
      <c r="M207" s="372" t="str">
        <f t="shared" si="30"/>
        <v/>
      </c>
      <c r="N207" s="361" t="str">
        <f>IF(F207="","",INT(HLOOKUP(N199,H199:M223,9,FALSE)*O198))</f>
        <v/>
      </c>
      <c r="O207" s="376" t="str">
        <f t="shared" si="31"/>
        <v/>
      </c>
    </row>
    <row r="208" spans="1:15" s="18" customFormat="1" ht="20.100000000000001" customHeight="1">
      <c r="A208" s="51">
        <v>803</v>
      </c>
      <c r="B208" s="87">
        <v>4</v>
      </c>
      <c r="C208" s="88">
        <v>4</v>
      </c>
      <c r="D208" s="66" t="s">
        <v>4549</v>
      </c>
      <c r="E208" s="76" t="s">
        <v>4550</v>
      </c>
      <c r="F208" s="57">
        <v>48</v>
      </c>
      <c r="G208" s="71" t="s">
        <v>4276</v>
      </c>
      <c r="H208" s="1929">
        <v>67000</v>
      </c>
      <c r="I208" s="362">
        <f t="shared" si="28"/>
        <v>3216000</v>
      </c>
      <c r="J208" s="368">
        <v>15000</v>
      </c>
      <c r="K208" s="362">
        <f t="shared" si="29"/>
        <v>720000</v>
      </c>
      <c r="L208" s="368"/>
      <c r="M208" s="372" t="str">
        <f t="shared" si="30"/>
        <v/>
      </c>
      <c r="N208" s="361">
        <f>IF(F208="","",INT(HLOOKUP(N199,H199:M223,10,FALSE)*O198))</f>
        <v>9750</v>
      </c>
      <c r="O208" s="376">
        <f t="shared" si="31"/>
        <v>9750</v>
      </c>
    </row>
    <row r="209" spans="1:15" s="18" customFormat="1" ht="20.100000000000001" customHeight="1">
      <c r="A209" s="51"/>
      <c r="B209" s="87"/>
      <c r="C209" s="88"/>
      <c r="D209" s="66"/>
      <c r="E209" s="76"/>
      <c r="F209" s="57"/>
      <c r="G209" s="71"/>
      <c r="H209" s="1929"/>
      <c r="I209" s="362" t="str">
        <f t="shared" si="28"/>
        <v/>
      </c>
      <c r="J209" s="368"/>
      <c r="K209" s="362" t="str">
        <f t="shared" si="29"/>
        <v/>
      </c>
      <c r="L209" s="368"/>
      <c r="M209" s="372" t="str">
        <f t="shared" si="30"/>
        <v/>
      </c>
      <c r="N209" s="361" t="str">
        <f>IF(F209="","",INT(HLOOKUP(N199,H199:M223,11,FALSE)*O198))</f>
        <v/>
      </c>
      <c r="O209" s="376" t="str">
        <f t="shared" si="31"/>
        <v/>
      </c>
    </row>
    <row r="210" spans="1:15" s="18" customFormat="1" ht="20.100000000000001" customHeight="1">
      <c r="A210" s="51">
        <v>804</v>
      </c>
      <c r="B210" s="87">
        <v>4</v>
      </c>
      <c r="C210" s="88">
        <v>4</v>
      </c>
      <c r="D210" s="66" t="s">
        <v>4551</v>
      </c>
      <c r="E210" s="76" t="s">
        <v>4552</v>
      </c>
      <c r="F210" s="57">
        <v>48</v>
      </c>
      <c r="G210" s="71" t="s">
        <v>4276</v>
      </c>
      <c r="H210" s="1929">
        <v>64000</v>
      </c>
      <c r="I210" s="362">
        <f t="shared" si="28"/>
        <v>3072000</v>
      </c>
      <c r="J210" s="368">
        <v>8000</v>
      </c>
      <c r="K210" s="362">
        <f t="shared" si="29"/>
        <v>384000</v>
      </c>
      <c r="L210" s="368"/>
      <c r="M210" s="372" t="str">
        <f t="shared" si="30"/>
        <v/>
      </c>
      <c r="N210" s="361">
        <f>IF(F210="","",INT(HLOOKUP(N199,H199:M223,12,FALSE)*O198))</f>
        <v>5200</v>
      </c>
      <c r="O210" s="376">
        <f t="shared" si="31"/>
        <v>5200</v>
      </c>
    </row>
    <row r="211" spans="1:15" s="18" customFormat="1" ht="20.100000000000001" customHeight="1">
      <c r="A211" s="51"/>
      <c r="B211" s="87"/>
      <c r="C211" s="88"/>
      <c r="D211" s="66"/>
      <c r="E211" s="76"/>
      <c r="F211" s="57"/>
      <c r="G211" s="71"/>
      <c r="H211" s="1929"/>
      <c r="I211" s="362" t="str">
        <f t="shared" si="28"/>
        <v/>
      </c>
      <c r="J211" s="368"/>
      <c r="K211" s="362" t="str">
        <f t="shared" si="29"/>
        <v/>
      </c>
      <c r="L211" s="368"/>
      <c r="M211" s="372" t="str">
        <f t="shared" si="30"/>
        <v/>
      </c>
      <c r="N211" s="361" t="str">
        <f>IF(F211="","",INT(HLOOKUP(N199,H199:M223,13,FALSE)*O198))</f>
        <v/>
      </c>
      <c r="O211" s="376" t="str">
        <f t="shared" si="31"/>
        <v/>
      </c>
    </row>
    <row r="212" spans="1:15" s="18" customFormat="1" ht="20.100000000000001" customHeight="1">
      <c r="A212" s="51">
        <v>805</v>
      </c>
      <c r="B212" s="87">
        <v>4</v>
      </c>
      <c r="C212" s="88">
        <v>4</v>
      </c>
      <c r="D212" s="66" t="s">
        <v>4553</v>
      </c>
      <c r="E212" s="76" t="s">
        <v>4554</v>
      </c>
      <c r="F212" s="57">
        <v>48</v>
      </c>
      <c r="G212" s="71" t="s">
        <v>4276</v>
      </c>
      <c r="H212" s="1929">
        <v>94000</v>
      </c>
      <c r="I212" s="362">
        <f t="shared" si="28"/>
        <v>4512000</v>
      </c>
      <c r="J212" s="368">
        <v>45000</v>
      </c>
      <c r="K212" s="362">
        <f t="shared" si="29"/>
        <v>2160000</v>
      </c>
      <c r="L212" s="368"/>
      <c r="M212" s="372" t="str">
        <f t="shared" si="30"/>
        <v/>
      </c>
      <c r="N212" s="361">
        <f>IF(F212="","",INT(HLOOKUP(N199,H199:M223,14,FALSE)*O198))</f>
        <v>29250</v>
      </c>
      <c r="O212" s="376">
        <f t="shared" si="31"/>
        <v>29200</v>
      </c>
    </row>
    <row r="213" spans="1:15" s="18" customFormat="1" ht="20.100000000000001" customHeight="1">
      <c r="A213" s="51"/>
      <c r="B213" s="87"/>
      <c r="C213" s="88"/>
      <c r="D213" s="66"/>
      <c r="E213" s="76"/>
      <c r="F213" s="57"/>
      <c r="G213" s="71"/>
      <c r="H213" s="1929"/>
      <c r="I213" s="362" t="str">
        <f t="shared" si="28"/>
        <v/>
      </c>
      <c r="J213" s="368"/>
      <c r="K213" s="362" t="str">
        <f t="shared" si="29"/>
        <v/>
      </c>
      <c r="L213" s="368"/>
      <c r="M213" s="372" t="str">
        <f t="shared" si="30"/>
        <v/>
      </c>
      <c r="N213" s="361" t="str">
        <f>IF(F213="","",INT(HLOOKUP(N199,H199:M223,15,FALSE)*O198))</f>
        <v/>
      </c>
      <c r="O213" s="376" t="str">
        <f t="shared" si="31"/>
        <v/>
      </c>
    </row>
    <row r="214" spans="1:15" s="18" customFormat="1" ht="20.100000000000001" customHeight="1">
      <c r="A214" s="51">
        <v>806</v>
      </c>
      <c r="B214" s="87">
        <v>4</v>
      </c>
      <c r="C214" s="88">
        <v>4</v>
      </c>
      <c r="D214" s="66" t="s">
        <v>4555</v>
      </c>
      <c r="E214" s="76" t="s">
        <v>4395</v>
      </c>
      <c r="F214" s="57">
        <v>8</v>
      </c>
      <c r="G214" s="71" t="s">
        <v>4276</v>
      </c>
      <c r="H214" s="1929">
        <v>239000</v>
      </c>
      <c r="I214" s="362">
        <f t="shared" si="28"/>
        <v>1912000</v>
      </c>
      <c r="J214" s="368">
        <v>124000</v>
      </c>
      <c r="K214" s="362">
        <f t="shared" si="29"/>
        <v>992000</v>
      </c>
      <c r="L214" s="368"/>
      <c r="M214" s="372" t="str">
        <f t="shared" si="30"/>
        <v/>
      </c>
      <c r="N214" s="361">
        <f>IF(F214="","",INT(HLOOKUP(N199,H199:M223,16,FALSE)*O198))</f>
        <v>80600</v>
      </c>
      <c r="O214" s="376">
        <f t="shared" si="31"/>
        <v>80600</v>
      </c>
    </row>
    <row r="215" spans="1:15" s="18" customFormat="1" ht="20.100000000000001" customHeight="1">
      <c r="A215" s="51"/>
      <c r="B215" s="87"/>
      <c r="C215" s="88"/>
      <c r="D215" s="66"/>
      <c r="E215" s="76"/>
      <c r="F215" s="57"/>
      <c r="G215" s="71"/>
      <c r="H215" s="1929"/>
      <c r="I215" s="362" t="str">
        <f t="shared" si="28"/>
        <v/>
      </c>
      <c r="J215" s="368"/>
      <c r="K215" s="362" t="str">
        <f t="shared" si="29"/>
        <v/>
      </c>
      <c r="L215" s="368"/>
      <c r="M215" s="372" t="str">
        <f t="shared" si="30"/>
        <v/>
      </c>
      <c r="N215" s="361" t="str">
        <f>IF(F215="","",INT(HLOOKUP(N199,H199:M223,17,FALSE)*O198))</f>
        <v/>
      </c>
      <c r="O215" s="376" t="str">
        <f t="shared" si="31"/>
        <v/>
      </c>
    </row>
    <row r="216" spans="1:15" s="18" customFormat="1" ht="20.100000000000001" customHeight="1">
      <c r="A216" s="51">
        <v>807</v>
      </c>
      <c r="B216" s="87">
        <v>4</v>
      </c>
      <c r="C216" s="88">
        <v>4</v>
      </c>
      <c r="D216" s="66" t="s">
        <v>4556</v>
      </c>
      <c r="E216" s="76" t="s">
        <v>4405</v>
      </c>
      <c r="F216" s="57">
        <v>2</v>
      </c>
      <c r="G216" s="71" t="s">
        <v>4276</v>
      </c>
      <c r="H216" s="1929">
        <v>559000</v>
      </c>
      <c r="I216" s="362">
        <f t="shared" si="28"/>
        <v>1118000</v>
      </c>
      <c r="J216" s="368">
        <v>340000</v>
      </c>
      <c r="K216" s="362">
        <f t="shared" si="29"/>
        <v>680000</v>
      </c>
      <c r="L216" s="368"/>
      <c r="M216" s="372" t="str">
        <f t="shared" si="30"/>
        <v/>
      </c>
      <c r="N216" s="361">
        <f>IF(F216="","",INT(HLOOKUP(N199,H199:M223,18,FALSE)*O198))</f>
        <v>221000</v>
      </c>
      <c r="O216" s="376">
        <f t="shared" si="31"/>
        <v>221000</v>
      </c>
    </row>
    <row r="217" spans="1:15" s="18" customFormat="1" ht="20.100000000000001" customHeight="1">
      <c r="A217" s="51"/>
      <c r="B217" s="87"/>
      <c r="C217" s="88"/>
      <c r="D217" s="66"/>
      <c r="E217" s="76"/>
      <c r="F217" s="57"/>
      <c r="G217" s="71"/>
      <c r="H217" s="1929"/>
      <c r="I217" s="362" t="str">
        <f t="shared" si="28"/>
        <v/>
      </c>
      <c r="J217" s="368"/>
      <c r="K217" s="362" t="str">
        <f t="shared" si="29"/>
        <v/>
      </c>
      <c r="L217" s="368"/>
      <c r="M217" s="372" t="str">
        <f t="shared" si="30"/>
        <v/>
      </c>
      <c r="N217" s="361" t="str">
        <f>IF(F217="","",INT(HLOOKUP(N199,H199:M223,19,FALSE)*O198))</f>
        <v/>
      </c>
      <c r="O217" s="376" t="str">
        <f t="shared" si="31"/>
        <v/>
      </c>
    </row>
    <row r="218" spans="1:15" s="18" customFormat="1" ht="20.100000000000001" customHeight="1">
      <c r="A218" s="51">
        <v>808</v>
      </c>
      <c r="B218" s="87">
        <v>4</v>
      </c>
      <c r="C218" s="88">
        <v>4</v>
      </c>
      <c r="D218" s="66" t="s">
        <v>4557</v>
      </c>
      <c r="E218" s="76" t="s">
        <v>4558</v>
      </c>
      <c r="F218" s="57">
        <v>4</v>
      </c>
      <c r="G218" s="71" t="s">
        <v>4276</v>
      </c>
      <c r="H218" s="1929">
        <v>239000</v>
      </c>
      <c r="I218" s="362">
        <f t="shared" si="28"/>
        <v>956000</v>
      </c>
      <c r="J218" s="368">
        <v>130000</v>
      </c>
      <c r="K218" s="362">
        <f t="shared" si="29"/>
        <v>520000</v>
      </c>
      <c r="L218" s="368"/>
      <c r="M218" s="372" t="str">
        <f t="shared" si="30"/>
        <v/>
      </c>
      <c r="N218" s="361">
        <f>IF(F218="","",INT(HLOOKUP(N199,H199:M223,20,FALSE)*O198))</f>
        <v>84500</v>
      </c>
      <c r="O218" s="376">
        <f t="shared" si="31"/>
        <v>84500</v>
      </c>
    </row>
    <row r="219" spans="1:15" s="18" customFormat="1" ht="20.100000000000001" customHeight="1">
      <c r="A219" s="51"/>
      <c r="B219" s="87"/>
      <c r="C219" s="88"/>
      <c r="D219" s="66"/>
      <c r="E219" s="76"/>
      <c r="F219" s="57"/>
      <c r="G219" s="71"/>
      <c r="H219" s="1929"/>
      <c r="I219" s="362" t="str">
        <f t="shared" si="28"/>
        <v/>
      </c>
      <c r="J219" s="368"/>
      <c r="K219" s="362" t="str">
        <f t="shared" si="29"/>
        <v/>
      </c>
      <c r="L219" s="368"/>
      <c r="M219" s="372" t="str">
        <f t="shared" si="30"/>
        <v/>
      </c>
      <c r="N219" s="361" t="str">
        <f>IF(F219="","",INT(HLOOKUP(N199,H199:M223,21,FALSE)*O198))</f>
        <v/>
      </c>
      <c r="O219" s="376" t="str">
        <f t="shared" si="31"/>
        <v/>
      </c>
    </row>
    <row r="220" spans="1:15" s="18" customFormat="1" ht="20.100000000000001" customHeight="1">
      <c r="A220" s="51"/>
      <c r="B220" s="87"/>
      <c r="C220" s="88"/>
      <c r="D220" s="66"/>
      <c r="E220" s="76"/>
      <c r="F220" s="57"/>
      <c r="G220" s="71"/>
      <c r="H220" s="1929"/>
      <c r="I220" s="362"/>
      <c r="J220" s="368"/>
      <c r="K220" s="362"/>
      <c r="L220" s="368"/>
      <c r="M220" s="372"/>
      <c r="N220" s="361"/>
      <c r="O220" s="376"/>
    </row>
    <row r="221" spans="1:15" s="18" customFormat="1" ht="20.100000000000001" customHeight="1">
      <c r="A221" s="51"/>
      <c r="B221" s="87"/>
      <c r="C221" s="88"/>
      <c r="D221" s="66"/>
      <c r="E221" s="76"/>
      <c r="F221" s="57"/>
      <c r="G221" s="71"/>
      <c r="H221" s="1929"/>
      <c r="I221" s="362" t="str">
        <f t="shared" si="28"/>
        <v/>
      </c>
      <c r="J221" s="368"/>
      <c r="K221" s="362" t="str">
        <f t="shared" si="29"/>
        <v/>
      </c>
      <c r="L221" s="368"/>
      <c r="M221" s="372" t="str">
        <f t="shared" si="30"/>
        <v/>
      </c>
      <c r="N221" s="361" t="str">
        <f>IF(F221="","",INT(HLOOKUP(N199,H199:M223,22,FALSE)*O198))</f>
        <v/>
      </c>
      <c r="O221" s="376" t="str">
        <f t="shared" si="31"/>
        <v/>
      </c>
    </row>
    <row r="222" spans="1:15" s="18" customFormat="1" ht="20.100000000000001" customHeight="1">
      <c r="A222" s="51"/>
      <c r="B222" s="87"/>
      <c r="C222" s="88"/>
      <c r="D222" s="66"/>
      <c r="E222" s="76"/>
      <c r="F222" s="57"/>
      <c r="G222" s="71"/>
      <c r="H222" s="1929"/>
      <c r="I222" s="362" t="str">
        <f t="shared" si="28"/>
        <v/>
      </c>
      <c r="J222" s="368"/>
      <c r="K222" s="362" t="str">
        <f t="shared" si="29"/>
        <v/>
      </c>
      <c r="L222" s="368"/>
      <c r="M222" s="372" t="str">
        <f t="shared" si="30"/>
        <v/>
      </c>
      <c r="N222" s="361" t="str">
        <f>IF(F222="","",INT(HLOOKUP(N199,H199:M223,23,FALSE)*O198))</f>
        <v/>
      </c>
      <c r="O222" s="376" t="str">
        <f t="shared" si="31"/>
        <v/>
      </c>
    </row>
    <row r="223" spans="1:15" s="18" customFormat="1" ht="20.100000000000001" customHeight="1" thickBot="1">
      <c r="A223" s="52"/>
      <c r="B223" s="89"/>
      <c r="C223" s="90"/>
      <c r="D223" s="67"/>
      <c r="E223" s="77"/>
      <c r="F223" s="58"/>
      <c r="G223" s="72"/>
      <c r="H223" s="363"/>
      <c r="I223" s="364" t="str">
        <f t="shared" si="28"/>
        <v/>
      </c>
      <c r="J223" s="369"/>
      <c r="K223" s="364" t="str">
        <f t="shared" si="29"/>
        <v/>
      </c>
      <c r="L223" s="369"/>
      <c r="M223" s="373" t="str">
        <f t="shared" si="30"/>
        <v/>
      </c>
      <c r="N223" s="363" t="str">
        <f>IF(F223="","",INT(HLOOKUP(N199,H199:M223,24,FALSE)*O198))</f>
        <v/>
      </c>
      <c r="O223" s="377" t="str">
        <f t="shared" si="31"/>
        <v/>
      </c>
    </row>
    <row r="224" spans="1:15" s="18" customFormat="1" ht="20.100000000000001" customHeight="1" thickTop="1" thickBot="1">
      <c r="A224" s="26"/>
      <c r="B224" s="27"/>
      <c r="C224" s="27"/>
      <c r="D224" s="28" t="str">
        <f>IF(G224="","合      計","")</f>
        <v>合      計</v>
      </c>
      <c r="E224" s="29" t="s">
        <v>4499</v>
      </c>
      <c r="F224" s="29"/>
      <c r="G224" s="49"/>
      <c r="H224" s="365"/>
      <c r="I224" s="366">
        <f>IF($G224="",IF(SUM(I201:I223)=0,"",SUM(I201:I223)),IF(I140="","",SUM(I201:I223)+I140))</f>
        <v>19890000</v>
      </c>
      <c r="J224" s="370"/>
      <c r="K224" s="366">
        <f>IF(G224="",IF(SUM(K201:K223)=0,"",SUM(K201:K223)),IF(K140="","",SUM(K201:K223)+K140))</f>
        <v>7346000</v>
      </c>
      <c r="L224" s="370"/>
      <c r="M224" s="374" t="str">
        <f>IF(G224="",IF(SUM(M201:M223)=0,"",SUM(M201:M223)),IF(M140="","",SUM(M201:M223)+M140))</f>
        <v/>
      </c>
      <c r="N224" s="378" t="s">
        <v>4500</v>
      </c>
      <c r="O224" s="379" t="str">
        <f>IF(G251="",MIN(I224,K224,M224),"")</f>
        <v/>
      </c>
    </row>
    <row r="225" spans="1:15" s="18" customFormat="1" ht="20.100000000000001" customHeight="1">
      <c r="A225" s="22"/>
      <c r="B225" s="22"/>
      <c r="C225" s="22"/>
      <c r="G225" s="22"/>
      <c r="H225" s="30"/>
      <c r="I225" s="30"/>
      <c r="J225" s="30"/>
      <c r="K225" s="30"/>
      <c r="L225" s="30"/>
      <c r="M225" s="30"/>
      <c r="N225" s="18" t="str">
        <f>IF(B227="","EOL","")</f>
        <v/>
      </c>
      <c r="O225" s="30">
        <f>+O197+1</f>
        <v>8</v>
      </c>
    </row>
    <row r="226" spans="1:15" s="18" customFormat="1" ht="20.100000000000001" customHeight="1" thickBot="1">
      <c r="A226" s="2791" t="s">
        <v>4540</v>
      </c>
      <c r="B226" s="2791"/>
      <c r="C226" s="2791"/>
      <c r="D226" s="2791"/>
      <c r="E226" s="2791"/>
      <c r="F226" s="2791"/>
      <c r="G226" s="2791"/>
      <c r="H226" s="2791"/>
      <c r="I226" s="2791"/>
      <c r="J226" s="2791"/>
      <c r="K226" s="2791"/>
      <c r="L226" s="2791"/>
      <c r="M226" s="2791"/>
      <c r="N226" s="22" t="s">
        <v>4469</v>
      </c>
      <c r="O226" s="175">
        <f>+O198</f>
        <v>0.65</v>
      </c>
    </row>
    <row r="227" spans="1:15" s="22" customFormat="1" ht="20.100000000000001" customHeight="1">
      <c r="A227" s="19"/>
      <c r="B227" s="20" t="s">
        <v>4471</v>
      </c>
      <c r="C227" s="21" t="s">
        <v>4472</v>
      </c>
      <c r="D227" s="21"/>
      <c r="E227" s="73"/>
      <c r="F227" s="53"/>
      <c r="G227" s="68"/>
      <c r="H227" s="2792" t="str">
        <f>+H199</f>
        <v>A:㈱カシイ</v>
      </c>
      <c r="I227" s="2793"/>
      <c r="J227" s="2793" t="str">
        <f>+J199</f>
        <v>B:日本サイン㈱</v>
      </c>
      <c r="K227" s="2794"/>
      <c r="L227" s="2793" t="s">
        <v>4475</v>
      </c>
      <c r="M227" s="2795"/>
      <c r="N227" s="2789" t="str">
        <f>IF(G278="",IF(O251=I251,H227,IF(O251=K251,J227,L227)),N254)</f>
        <v>B:日本サイン㈱</v>
      </c>
      <c r="O227" s="2790"/>
    </row>
    <row r="228" spans="1:15" s="22" customFormat="1" ht="20.100000000000001" customHeight="1" thickBot="1">
      <c r="A228" s="23" t="s">
        <v>4476</v>
      </c>
      <c r="B228" s="24" t="s">
        <v>4477</v>
      </c>
      <c r="C228" s="25" t="s">
        <v>4477</v>
      </c>
      <c r="D228" s="25" t="s">
        <v>4478</v>
      </c>
      <c r="E228" s="74" t="s">
        <v>4479</v>
      </c>
      <c r="F228" s="54" t="s">
        <v>4327</v>
      </c>
      <c r="G228" s="69" t="s">
        <v>4480</v>
      </c>
      <c r="H228" s="59" t="s">
        <v>4481</v>
      </c>
      <c r="I228" s="60" t="s">
        <v>4482</v>
      </c>
      <c r="J228" s="61" t="s">
        <v>4481</v>
      </c>
      <c r="K228" s="60" t="s">
        <v>4482</v>
      </c>
      <c r="L228" s="61" t="s">
        <v>4481</v>
      </c>
      <c r="M228" s="60" t="s">
        <v>4482</v>
      </c>
      <c r="N228" s="59" t="s">
        <v>4483</v>
      </c>
      <c r="O228" s="78" t="s">
        <v>4484</v>
      </c>
    </row>
    <row r="229" spans="1:15" s="18" customFormat="1" ht="20.100000000000001" customHeight="1">
      <c r="A229" s="50"/>
      <c r="B229" s="85"/>
      <c r="C229" s="86"/>
      <c r="D229" s="65" t="s">
        <v>4501</v>
      </c>
      <c r="E229" s="75"/>
      <c r="F229" s="55"/>
      <c r="G229" s="70"/>
      <c r="H229" s="359"/>
      <c r="I229" s="360" t="str">
        <f t="shared" ref="I229:I250" si="32">IF(H229="","",ROUNDDOWN(H229*F229,0))</f>
        <v/>
      </c>
      <c r="J229" s="367"/>
      <c r="K229" s="360" t="str">
        <f t="shared" ref="K229:K250" si="33">IF(J229="","",ROUNDDOWN(J229*$F229,0))</f>
        <v/>
      </c>
      <c r="L229" s="367"/>
      <c r="M229" s="371" t="str">
        <f t="shared" ref="M229:M250" si="34">IF(L229="","",ROUNDDOWN(L229*$F229,0))</f>
        <v/>
      </c>
      <c r="N229" s="359" t="str">
        <f>IF(F229="","",INT(HLOOKUP(N227,H227:M250,3,FALSE)*O226))</f>
        <v/>
      </c>
      <c r="O229" s="375" t="str">
        <f t="shared" ref="O229:O250" si="35">IF(N229="","",IF(N229&lt;10,INT(N229),IF(N229&lt;10000,ROUNDDOWN(N229,-1),ROUNDDOWN(N229,-2))))</f>
        <v/>
      </c>
    </row>
    <row r="230" spans="1:15" s="18" customFormat="1" ht="20.100000000000001" customHeight="1">
      <c r="A230" s="51">
        <v>809</v>
      </c>
      <c r="B230" s="87">
        <v>4</v>
      </c>
      <c r="C230" s="88">
        <v>4</v>
      </c>
      <c r="D230" s="66" t="s">
        <v>4543</v>
      </c>
      <c r="E230" s="76" t="s">
        <v>4559</v>
      </c>
      <c r="F230" s="57">
        <v>32</v>
      </c>
      <c r="G230" s="71" t="s">
        <v>4276</v>
      </c>
      <c r="H230" s="1929">
        <v>88000</v>
      </c>
      <c r="I230" s="362">
        <f t="shared" si="32"/>
        <v>2816000</v>
      </c>
      <c r="J230" s="368">
        <v>28000</v>
      </c>
      <c r="K230" s="362">
        <f t="shared" si="33"/>
        <v>896000</v>
      </c>
      <c r="L230" s="368"/>
      <c r="M230" s="372" t="str">
        <f t="shared" si="34"/>
        <v/>
      </c>
      <c r="N230" s="361">
        <f>IF(F230="","",INT(HLOOKUP(N227,H227:M250,4,FALSE)*O226))</f>
        <v>18200</v>
      </c>
      <c r="O230" s="376">
        <f t="shared" si="35"/>
        <v>18200</v>
      </c>
    </row>
    <row r="231" spans="1:15" s="18" customFormat="1" ht="20.100000000000001" customHeight="1">
      <c r="A231" s="51"/>
      <c r="B231" s="87"/>
      <c r="C231" s="88"/>
      <c r="D231" s="66"/>
      <c r="E231" s="76"/>
      <c r="F231" s="57"/>
      <c r="G231" s="71"/>
      <c r="H231" s="1929"/>
      <c r="I231" s="362" t="str">
        <f t="shared" si="32"/>
        <v/>
      </c>
      <c r="J231" s="368"/>
      <c r="K231" s="362" t="str">
        <f t="shared" si="33"/>
        <v/>
      </c>
      <c r="L231" s="368"/>
      <c r="M231" s="372" t="str">
        <f t="shared" si="34"/>
        <v/>
      </c>
      <c r="N231" s="361" t="str">
        <f>IF(F231="","",INT(HLOOKUP(N227,H227:M250,5,FALSE)*O226))</f>
        <v/>
      </c>
      <c r="O231" s="376" t="str">
        <f t="shared" si="35"/>
        <v/>
      </c>
    </row>
    <row r="232" spans="1:15" s="18" customFormat="1" ht="20.100000000000001" customHeight="1">
      <c r="A232" s="51">
        <v>810</v>
      </c>
      <c r="B232" s="87">
        <v>4</v>
      </c>
      <c r="C232" s="88">
        <v>4</v>
      </c>
      <c r="D232" s="66" t="s">
        <v>4545</v>
      </c>
      <c r="E232" s="76" t="s">
        <v>4560</v>
      </c>
      <c r="F232" s="57">
        <v>14</v>
      </c>
      <c r="G232" s="71" t="s">
        <v>4276</v>
      </c>
      <c r="H232" s="1929">
        <v>108000</v>
      </c>
      <c r="I232" s="362">
        <f t="shared" si="32"/>
        <v>1512000</v>
      </c>
      <c r="J232" s="368">
        <v>60000</v>
      </c>
      <c r="K232" s="362">
        <f t="shared" si="33"/>
        <v>840000</v>
      </c>
      <c r="L232" s="368"/>
      <c r="M232" s="372" t="str">
        <f t="shared" si="34"/>
        <v/>
      </c>
      <c r="N232" s="361">
        <f>IF(F232="","",INT(HLOOKUP(N227,H227:M250,6,FALSE)*O226))</f>
        <v>39000</v>
      </c>
      <c r="O232" s="376">
        <f t="shared" si="35"/>
        <v>39000</v>
      </c>
    </row>
    <row r="233" spans="1:15" s="18" customFormat="1" ht="20.100000000000001" customHeight="1">
      <c r="A233" s="51"/>
      <c r="B233" s="87"/>
      <c r="C233" s="88"/>
      <c r="D233" s="66"/>
      <c r="E233" s="76"/>
      <c r="F233" s="57"/>
      <c r="G233" s="71"/>
      <c r="H233" s="1929"/>
      <c r="I233" s="362" t="str">
        <f t="shared" si="32"/>
        <v/>
      </c>
      <c r="J233" s="368"/>
      <c r="K233" s="362" t="str">
        <f t="shared" si="33"/>
        <v/>
      </c>
      <c r="L233" s="368"/>
      <c r="M233" s="372" t="str">
        <f t="shared" si="34"/>
        <v/>
      </c>
      <c r="N233" s="361" t="str">
        <f>IF(F233="","",INT(HLOOKUP(N227,H227:M250,7,FALSE)*O226))</f>
        <v/>
      </c>
      <c r="O233" s="376" t="str">
        <f t="shared" si="35"/>
        <v/>
      </c>
    </row>
    <row r="234" spans="1:15" s="18" customFormat="1" ht="20.100000000000001" customHeight="1">
      <c r="A234" s="51">
        <v>811</v>
      </c>
      <c r="B234" s="87">
        <v>4</v>
      </c>
      <c r="C234" s="88">
        <v>4</v>
      </c>
      <c r="D234" s="66" t="s">
        <v>4547</v>
      </c>
      <c r="E234" s="76" t="s">
        <v>4548</v>
      </c>
      <c r="F234" s="57">
        <v>16</v>
      </c>
      <c r="G234" s="71" t="s">
        <v>4276</v>
      </c>
      <c r="H234" s="1929">
        <v>104000</v>
      </c>
      <c r="I234" s="362">
        <f t="shared" si="32"/>
        <v>1664000</v>
      </c>
      <c r="J234" s="368">
        <v>36000</v>
      </c>
      <c r="K234" s="362">
        <f t="shared" si="33"/>
        <v>576000</v>
      </c>
      <c r="L234" s="368"/>
      <c r="M234" s="372" t="str">
        <f t="shared" si="34"/>
        <v/>
      </c>
      <c r="N234" s="361">
        <f>IF(F234="","",INT(HLOOKUP(N227,H227:M250,8,FALSE)*O226))</f>
        <v>23400</v>
      </c>
      <c r="O234" s="376">
        <f t="shared" si="35"/>
        <v>23400</v>
      </c>
    </row>
    <row r="235" spans="1:15" s="18" customFormat="1" ht="20.100000000000001" customHeight="1">
      <c r="A235" s="51"/>
      <c r="B235" s="87"/>
      <c r="C235" s="88"/>
      <c r="D235" s="66"/>
      <c r="E235" s="76"/>
      <c r="F235" s="57"/>
      <c r="G235" s="71"/>
      <c r="H235" s="1929"/>
      <c r="I235" s="362" t="str">
        <f t="shared" si="32"/>
        <v/>
      </c>
      <c r="J235" s="368"/>
      <c r="K235" s="362" t="str">
        <f t="shared" si="33"/>
        <v/>
      </c>
      <c r="L235" s="368"/>
      <c r="M235" s="372" t="str">
        <f t="shared" si="34"/>
        <v/>
      </c>
      <c r="N235" s="361" t="str">
        <f>IF(F235="","",INT(HLOOKUP(N227,H227:M250,9,FALSE)*O226))</f>
        <v/>
      </c>
      <c r="O235" s="376" t="str">
        <f t="shared" si="35"/>
        <v/>
      </c>
    </row>
    <row r="236" spans="1:15" s="18" customFormat="1" ht="20.100000000000001" customHeight="1">
      <c r="A236" s="51">
        <v>812</v>
      </c>
      <c r="B236" s="87">
        <v>4</v>
      </c>
      <c r="C236" s="88">
        <v>4</v>
      </c>
      <c r="D236" s="66" t="s">
        <v>4549</v>
      </c>
      <c r="E236" s="76" t="s">
        <v>4550</v>
      </c>
      <c r="F236" s="57">
        <v>48</v>
      </c>
      <c r="G236" s="71" t="s">
        <v>4276</v>
      </c>
      <c r="H236" s="1929">
        <v>67000</v>
      </c>
      <c r="I236" s="362">
        <f t="shared" si="32"/>
        <v>3216000</v>
      </c>
      <c r="J236" s="368">
        <v>15000</v>
      </c>
      <c r="K236" s="362">
        <f t="shared" si="33"/>
        <v>720000</v>
      </c>
      <c r="L236" s="368"/>
      <c r="M236" s="372" t="str">
        <f t="shared" si="34"/>
        <v/>
      </c>
      <c r="N236" s="361">
        <f>IF(F236="","",INT(HLOOKUP(N227,H227:M250,10,FALSE)*O226))</f>
        <v>9750</v>
      </c>
      <c r="O236" s="376">
        <f t="shared" si="35"/>
        <v>9750</v>
      </c>
    </row>
    <row r="237" spans="1:15" s="18" customFormat="1" ht="20.100000000000001" customHeight="1">
      <c r="A237" s="51"/>
      <c r="B237" s="87"/>
      <c r="C237" s="88"/>
      <c r="D237" s="66"/>
      <c r="E237" s="76"/>
      <c r="F237" s="57"/>
      <c r="G237" s="71"/>
      <c r="H237" s="1929"/>
      <c r="I237" s="362" t="str">
        <f t="shared" si="32"/>
        <v/>
      </c>
      <c r="J237" s="368"/>
      <c r="K237" s="362" t="str">
        <f t="shared" si="33"/>
        <v/>
      </c>
      <c r="L237" s="368"/>
      <c r="M237" s="372" t="str">
        <f t="shared" si="34"/>
        <v/>
      </c>
      <c r="N237" s="361" t="str">
        <f>IF(F237="","",INT(HLOOKUP(N227,H227:M250,11,FALSE)*O226))</f>
        <v/>
      </c>
      <c r="O237" s="376" t="str">
        <f t="shared" si="35"/>
        <v/>
      </c>
    </row>
    <row r="238" spans="1:15" s="18" customFormat="1" ht="20.100000000000001" customHeight="1">
      <c r="A238" s="51">
        <v>813</v>
      </c>
      <c r="B238" s="87">
        <v>4</v>
      </c>
      <c r="C238" s="88">
        <v>4</v>
      </c>
      <c r="D238" s="66" t="s">
        <v>4551</v>
      </c>
      <c r="E238" s="76" t="s">
        <v>4552</v>
      </c>
      <c r="F238" s="57">
        <v>48</v>
      </c>
      <c r="G238" s="71" t="s">
        <v>4276</v>
      </c>
      <c r="H238" s="1929">
        <v>64000</v>
      </c>
      <c r="I238" s="362">
        <f t="shared" si="32"/>
        <v>3072000</v>
      </c>
      <c r="J238" s="368">
        <v>8000</v>
      </c>
      <c r="K238" s="362">
        <f t="shared" si="33"/>
        <v>384000</v>
      </c>
      <c r="L238" s="368"/>
      <c r="M238" s="372" t="str">
        <f t="shared" si="34"/>
        <v/>
      </c>
      <c r="N238" s="361">
        <f>IF(F238="","",INT(HLOOKUP(N227,H227:M250,12,FALSE)*O226))</f>
        <v>5200</v>
      </c>
      <c r="O238" s="376">
        <f t="shared" si="35"/>
        <v>5200</v>
      </c>
    </row>
    <row r="239" spans="1:15" s="18" customFormat="1" ht="20.100000000000001" customHeight="1">
      <c r="A239" s="51"/>
      <c r="B239" s="87"/>
      <c r="C239" s="88"/>
      <c r="D239" s="66"/>
      <c r="E239" s="76"/>
      <c r="F239" s="57"/>
      <c r="G239" s="71"/>
      <c r="H239" s="1929"/>
      <c r="I239" s="362" t="str">
        <f t="shared" si="32"/>
        <v/>
      </c>
      <c r="J239" s="368"/>
      <c r="K239" s="362" t="str">
        <f t="shared" si="33"/>
        <v/>
      </c>
      <c r="L239" s="368"/>
      <c r="M239" s="372" t="str">
        <f t="shared" si="34"/>
        <v/>
      </c>
      <c r="N239" s="361" t="str">
        <f>IF(F239="","",INT(HLOOKUP(N227,H227:M250,13,FALSE)*O226))</f>
        <v/>
      </c>
      <c r="O239" s="376" t="str">
        <f t="shared" si="35"/>
        <v/>
      </c>
    </row>
    <row r="240" spans="1:15" s="18" customFormat="1" ht="20.100000000000001" customHeight="1">
      <c r="A240" s="51">
        <v>814</v>
      </c>
      <c r="B240" s="87">
        <v>4</v>
      </c>
      <c r="C240" s="88">
        <v>4</v>
      </c>
      <c r="D240" s="66" t="s">
        <v>4553</v>
      </c>
      <c r="E240" s="76" t="s">
        <v>4554</v>
      </c>
      <c r="F240" s="57">
        <v>48</v>
      </c>
      <c r="G240" s="71" t="s">
        <v>4276</v>
      </c>
      <c r="H240" s="1929">
        <v>94000</v>
      </c>
      <c r="I240" s="362">
        <f t="shared" si="32"/>
        <v>4512000</v>
      </c>
      <c r="J240" s="368">
        <v>45000</v>
      </c>
      <c r="K240" s="362">
        <f t="shared" si="33"/>
        <v>2160000</v>
      </c>
      <c r="L240" s="368"/>
      <c r="M240" s="372" t="str">
        <f t="shared" si="34"/>
        <v/>
      </c>
      <c r="N240" s="361">
        <f>IF(F240="","",INT(HLOOKUP(N227,H227:M250,14,FALSE)*O226))</f>
        <v>29250</v>
      </c>
      <c r="O240" s="376">
        <f t="shared" si="35"/>
        <v>29200</v>
      </c>
    </row>
    <row r="241" spans="1:15" s="18" customFormat="1" ht="20.100000000000001" customHeight="1">
      <c r="A241" s="51"/>
      <c r="B241" s="87"/>
      <c r="C241" s="88"/>
      <c r="D241" s="66"/>
      <c r="E241" s="76"/>
      <c r="F241" s="57"/>
      <c r="G241" s="71"/>
      <c r="H241" s="1929"/>
      <c r="I241" s="362" t="str">
        <f t="shared" si="32"/>
        <v/>
      </c>
      <c r="J241" s="368"/>
      <c r="K241" s="362" t="str">
        <f t="shared" si="33"/>
        <v/>
      </c>
      <c r="L241" s="368"/>
      <c r="M241" s="372" t="str">
        <f t="shared" si="34"/>
        <v/>
      </c>
      <c r="N241" s="361" t="str">
        <f>IF(F241="","",INT(HLOOKUP(N227,H227:M250,15,FALSE)*O226))</f>
        <v/>
      </c>
      <c r="O241" s="376" t="str">
        <f t="shared" si="35"/>
        <v/>
      </c>
    </row>
    <row r="242" spans="1:15" s="18" customFormat="1" ht="20.100000000000001" customHeight="1">
      <c r="A242" s="51">
        <v>815</v>
      </c>
      <c r="B242" s="87">
        <v>4</v>
      </c>
      <c r="C242" s="88">
        <v>4</v>
      </c>
      <c r="D242" s="66" t="s">
        <v>4561</v>
      </c>
      <c r="E242" s="76" t="s">
        <v>4463</v>
      </c>
      <c r="F242" s="57">
        <v>1</v>
      </c>
      <c r="G242" s="71" t="s">
        <v>4276</v>
      </c>
      <c r="H242" s="1929">
        <v>192000</v>
      </c>
      <c r="I242" s="362">
        <f t="shared" si="32"/>
        <v>192000</v>
      </c>
      <c r="J242" s="368">
        <v>120000</v>
      </c>
      <c r="K242" s="362">
        <f t="shared" si="33"/>
        <v>120000</v>
      </c>
      <c r="L242" s="368"/>
      <c r="M242" s="372" t="str">
        <f t="shared" si="34"/>
        <v/>
      </c>
      <c r="N242" s="361">
        <f>IF(F242="","",INT(HLOOKUP(N227,H227:M250,16,FALSE)*O226))</f>
        <v>78000</v>
      </c>
      <c r="O242" s="376">
        <f t="shared" si="35"/>
        <v>78000</v>
      </c>
    </row>
    <row r="243" spans="1:15" s="18" customFormat="1" ht="20.100000000000001" customHeight="1">
      <c r="A243" s="51"/>
      <c r="B243" s="87"/>
      <c r="C243" s="88"/>
      <c r="D243" s="66"/>
      <c r="E243" s="76"/>
      <c r="F243" s="57"/>
      <c r="G243" s="71"/>
      <c r="H243" s="1929"/>
      <c r="I243" s="362" t="str">
        <f t="shared" si="32"/>
        <v/>
      </c>
      <c r="J243" s="368"/>
      <c r="K243" s="362" t="str">
        <f t="shared" si="33"/>
        <v/>
      </c>
      <c r="L243" s="368"/>
      <c r="M243" s="372" t="str">
        <f t="shared" si="34"/>
        <v/>
      </c>
      <c r="N243" s="361" t="str">
        <f>IF(F243="","",INT(HLOOKUP(N227,H227:M250,17,FALSE)*O226))</f>
        <v/>
      </c>
      <c r="O243" s="376" t="str">
        <f t="shared" si="35"/>
        <v/>
      </c>
    </row>
    <row r="244" spans="1:15" s="18" customFormat="1" ht="20.100000000000001" customHeight="1">
      <c r="A244" s="51">
        <v>816</v>
      </c>
      <c r="B244" s="87">
        <v>4</v>
      </c>
      <c r="C244" s="88">
        <v>4</v>
      </c>
      <c r="D244" s="66" t="s">
        <v>4556</v>
      </c>
      <c r="E244" s="76" t="s">
        <v>4405</v>
      </c>
      <c r="F244" s="57">
        <v>2</v>
      </c>
      <c r="G244" s="71" t="s">
        <v>4276</v>
      </c>
      <c r="H244" s="1929">
        <v>559000</v>
      </c>
      <c r="I244" s="362">
        <f t="shared" si="32"/>
        <v>1118000</v>
      </c>
      <c r="J244" s="368">
        <v>340000</v>
      </c>
      <c r="K244" s="362">
        <f t="shared" si="33"/>
        <v>680000</v>
      </c>
      <c r="L244" s="368"/>
      <c r="M244" s="372" t="str">
        <f t="shared" si="34"/>
        <v/>
      </c>
      <c r="N244" s="361">
        <f>IF(F244="","",INT(HLOOKUP(N227,H227:M250,18,FALSE)*O226))</f>
        <v>221000</v>
      </c>
      <c r="O244" s="376">
        <f t="shared" si="35"/>
        <v>221000</v>
      </c>
    </row>
    <row r="245" spans="1:15" s="18" customFormat="1" ht="20.100000000000001" customHeight="1">
      <c r="A245" s="51"/>
      <c r="B245" s="87"/>
      <c r="C245" s="88"/>
      <c r="D245" s="66"/>
      <c r="E245" s="76"/>
      <c r="F245" s="57"/>
      <c r="G245" s="71"/>
      <c r="H245" s="1929"/>
      <c r="I245" s="362" t="str">
        <f t="shared" si="32"/>
        <v/>
      </c>
      <c r="J245" s="368"/>
      <c r="K245" s="362" t="str">
        <f t="shared" si="33"/>
        <v/>
      </c>
      <c r="L245" s="368"/>
      <c r="M245" s="372" t="str">
        <f t="shared" si="34"/>
        <v/>
      </c>
      <c r="N245" s="361" t="str">
        <f>IF(F245="","",INT(HLOOKUP(N227,H227:M250,19,FALSE)*O226))</f>
        <v/>
      </c>
      <c r="O245" s="376" t="str">
        <f t="shared" si="35"/>
        <v/>
      </c>
    </row>
    <row r="246" spans="1:15" s="18" customFormat="1" ht="20.100000000000001" customHeight="1">
      <c r="A246" s="51">
        <v>817</v>
      </c>
      <c r="B246" s="87">
        <v>4</v>
      </c>
      <c r="C246" s="88">
        <v>4</v>
      </c>
      <c r="D246" s="66" t="s">
        <v>4556</v>
      </c>
      <c r="E246" s="76" t="s">
        <v>4464</v>
      </c>
      <c r="F246" s="57">
        <v>6</v>
      </c>
      <c r="G246" s="71" t="s">
        <v>4276</v>
      </c>
      <c r="H246" s="1929">
        <v>374000</v>
      </c>
      <c r="I246" s="362">
        <f t="shared" si="32"/>
        <v>2244000</v>
      </c>
      <c r="J246" s="368">
        <v>170000</v>
      </c>
      <c r="K246" s="362">
        <f t="shared" si="33"/>
        <v>1020000</v>
      </c>
      <c r="L246" s="368"/>
      <c r="M246" s="372" t="str">
        <f t="shared" si="34"/>
        <v/>
      </c>
      <c r="N246" s="361">
        <f>IF(F246="","",INT(HLOOKUP(N227,H227:M250,20,FALSE)*O226))</f>
        <v>110500</v>
      </c>
      <c r="O246" s="376">
        <f t="shared" si="35"/>
        <v>110500</v>
      </c>
    </row>
    <row r="247" spans="1:15" s="18" customFormat="1" ht="20.100000000000001" customHeight="1">
      <c r="A247" s="51"/>
      <c r="B247" s="87"/>
      <c r="C247" s="88"/>
      <c r="D247" s="66"/>
      <c r="E247" s="76"/>
      <c r="F247" s="57"/>
      <c r="G247" s="71"/>
      <c r="H247" s="1929"/>
      <c r="I247" s="362" t="str">
        <f t="shared" si="32"/>
        <v/>
      </c>
      <c r="J247" s="368"/>
      <c r="K247" s="362" t="str">
        <f t="shared" si="33"/>
        <v/>
      </c>
      <c r="L247" s="368"/>
      <c r="M247" s="372" t="str">
        <f t="shared" si="34"/>
        <v/>
      </c>
      <c r="N247" s="361" t="str">
        <f>IF(F247="","",INT(HLOOKUP(N227,H227:M250,21,FALSE)*O226))</f>
        <v/>
      </c>
      <c r="O247" s="376" t="str">
        <f t="shared" si="35"/>
        <v/>
      </c>
    </row>
    <row r="248" spans="1:15" s="18" customFormat="1" ht="20.100000000000001" customHeight="1">
      <c r="A248" s="51">
        <v>818</v>
      </c>
      <c r="B248" s="87">
        <v>4</v>
      </c>
      <c r="C248" s="88">
        <v>4</v>
      </c>
      <c r="D248" s="66" t="s">
        <v>4556</v>
      </c>
      <c r="E248" s="76" t="s">
        <v>4465</v>
      </c>
      <c r="F248" s="57">
        <v>4</v>
      </c>
      <c r="G248" s="71" t="s">
        <v>4276</v>
      </c>
      <c r="H248" s="1929">
        <v>333000</v>
      </c>
      <c r="I248" s="362">
        <f t="shared" si="32"/>
        <v>1332000</v>
      </c>
      <c r="J248" s="368">
        <v>155000</v>
      </c>
      <c r="K248" s="362">
        <f t="shared" si="33"/>
        <v>620000</v>
      </c>
      <c r="L248" s="368"/>
      <c r="M248" s="372" t="str">
        <f t="shared" si="34"/>
        <v/>
      </c>
      <c r="N248" s="361">
        <f>IF(F248="","",INT(HLOOKUP(N227,H227:M250,22,FALSE)*O226))</f>
        <v>100750</v>
      </c>
      <c r="O248" s="376">
        <f t="shared" si="35"/>
        <v>100700</v>
      </c>
    </row>
    <row r="249" spans="1:15" s="18" customFormat="1" ht="20.100000000000001" customHeight="1">
      <c r="A249" s="51"/>
      <c r="B249" s="87"/>
      <c r="C249" s="88"/>
      <c r="D249" s="66"/>
      <c r="E249" s="76"/>
      <c r="F249" s="57"/>
      <c r="G249" s="71"/>
      <c r="H249" s="1929"/>
      <c r="I249" s="362" t="str">
        <f t="shared" si="32"/>
        <v/>
      </c>
      <c r="J249" s="368"/>
      <c r="K249" s="362" t="str">
        <f t="shared" si="33"/>
        <v/>
      </c>
      <c r="L249" s="368"/>
      <c r="M249" s="372" t="str">
        <f t="shared" si="34"/>
        <v/>
      </c>
      <c r="N249" s="361" t="str">
        <f>IF(F249="","",INT(HLOOKUP(N227,H227:M250,23,FALSE)*O226))</f>
        <v/>
      </c>
      <c r="O249" s="376" t="str">
        <f t="shared" si="35"/>
        <v/>
      </c>
    </row>
    <row r="250" spans="1:15" s="18" customFormat="1" ht="20.100000000000001" customHeight="1" thickBot="1">
      <c r="A250" s="52">
        <v>819</v>
      </c>
      <c r="B250" s="89">
        <v>4</v>
      </c>
      <c r="C250" s="90">
        <v>4</v>
      </c>
      <c r="D250" s="67" t="s">
        <v>4556</v>
      </c>
      <c r="E250" s="77" t="s">
        <v>4466</v>
      </c>
      <c r="F250" s="58">
        <v>3</v>
      </c>
      <c r="G250" s="72" t="s">
        <v>4276</v>
      </c>
      <c r="H250" s="1975">
        <v>283000</v>
      </c>
      <c r="I250" s="364">
        <f t="shared" si="32"/>
        <v>849000</v>
      </c>
      <c r="J250" s="369">
        <v>130000</v>
      </c>
      <c r="K250" s="364">
        <f t="shared" si="33"/>
        <v>390000</v>
      </c>
      <c r="L250" s="369"/>
      <c r="M250" s="373" t="str">
        <f t="shared" si="34"/>
        <v/>
      </c>
      <c r="N250" s="363">
        <f>IF(F250="","",INT(HLOOKUP(N227,H227:M250,24,FALSE)*O226))</f>
        <v>84500</v>
      </c>
      <c r="O250" s="377">
        <f t="shared" si="35"/>
        <v>84500</v>
      </c>
    </row>
    <row r="251" spans="1:15" s="18" customFormat="1" ht="20.100000000000001" customHeight="1" thickTop="1" thickBot="1">
      <c r="A251" s="26"/>
      <c r="B251" s="27"/>
      <c r="C251" s="27"/>
      <c r="D251" s="28" t="str">
        <f>IF(G251="","合      計","")</f>
        <v/>
      </c>
      <c r="E251" s="29" t="s">
        <v>4499</v>
      </c>
      <c r="F251" s="29"/>
      <c r="G251" s="49">
        <v>1</v>
      </c>
      <c r="H251" s="1976"/>
      <c r="I251" s="366">
        <f>IF($G251="",IF(SUM(I229:I250)=0,"",SUM(I229:I250)),IF(I224="","",SUM(I229:I250)+I224))</f>
        <v>42417000</v>
      </c>
      <c r="J251" s="370"/>
      <c r="K251" s="366">
        <f>IF(G251="",IF(SUM(K229:K250)=0,"",SUM(K229:K250)),IF(K224="","",SUM(K229:K250)+K224))</f>
        <v>15752000</v>
      </c>
      <c r="L251" s="370"/>
      <c r="M251" s="374" t="str">
        <f>IF(G251="",IF(SUM(M229:M250)=0,"",SUM(M229:M250)),IF(M224="","",SUM(M229:M250)+M224))</f>
        <v/>
      </c>
      <c r="N251" s="378" t="s">
        <v>4500</v>
      </c>
      <c r="O251" s="379" t="str">
        <f>IF(G278="",MIN(I251,K251,M251),"")</f>
        <v/>
      </c>
    </row>
    <row r="252" spans="1:15" s="18" customFormat="1" ht="20.100000000000001" customHeight="1">
      <c r="A252" s="22"/>
      <c r="B252" s="22"/>
      <c r="C252" s="22"/>
      <c r="G252" s="22"/>
      <c r="H252" s="30"/>
      <c r="I252" s="30"/>
      <c r="J252" s="30"/>
      <c r="K252" s="30"/>
      <c r="L252" s="30"/>
      <c r="M252" s="30"/>
      <c r="N252" s="18" t="str">
        <f>IF(B254="","EOL","")</f>
        <v/>
      </c>
      <c r="O252" s="30">
        <f>+O225+1</f>
        <v>9</v>
      </c>
    </row>
    <row r="253" spans="1:15" s="18" customFormat="1" ht="20.100000000000001" customHeight="1" thickBot="1">
      <c r="A253" s="2791" t="s">
        <v>4540</v>
      </c>
      <c r="B253" s="2791"/>
      <c r="C253" s="2791"/>
      <c r="D253" s="2791"/>
      <c r="E253" s="2791"/>
      <c r="F253" s="2791"/>
      <c r="G253" s="2791"/>
      <c r="H253" s="2791"/>
      <c r="I253" s="2791"/>
      <c r="J253" s="2791"/>
      <c r="K253" s="2791"/>
      <c r="L253" s="2791"/>
      <c r="M253" s="2791"/>
      <c r="N253" s="22" t="s">
        <v>4469</v>
      </c>
      <c r="O253" s="175">
        <f>+O226</f>
        <v>0.65</v>
      </c>
    </row>
    <row r="254" spans="1:15" s="22" customFormat="1" ht="20.100000000000001" customHeight="1">
      <c r="A254" s="19"/>
      <c r="B254" s="20" t="s">
        <v>4471</v>
      </c>
      <c r="C254" s="21" t="s">
        <v>4472</v>
      </c>
      <c r="D254" s="21"/>
      <c r="E254" s="73"/>
      <c r="F254" s="53"/>
      <c r="G254" s="68"/>
      <c r="H254" s="2792" t="str">
        <f>+H227</f>
        <v>A:㈱カシイ</v>
      </c>
      <c r="I254" s="2793"/>
      <c r="J254" s="2793" t="str">
        <f>+J227</f>
        <v>B:日本サイン㈱</v>
      </c>
      <c r="K254" s="2794"/>
      <c r="L254" s="2793" t="s">
        <v>4475</v>
      </c>
      <c r="M254" s="2795"/>
      <c r="N254" s="2789" t="str">
        <f>IF(G305="",IF(O278=I278,H254,IF(O278=K278,J254,L254)),N281)</f>
        <v>B:日本サイン㈱</v>
      </c>
      <c r="O254" s="2790"/>
    </row>
    <row r="255" spans="1:15" s="22" customFormat="1" ht="20.100000000000001" customHeight="1" thickBot="1">
      <c r="A255" s="23" t="s">
        <v>4476</v>
      </c>
      <c r="B255" s="24" t="s">
        <v>4477</v>
      </c>
      <c r="C255" s="25" t="s">
        <v>4477</v>
      </c>
      <c r="D255" s="25" t="s">
        <v>4478</v>
      </c>
      <c r="E255" s="74" t="s">
        <v>4479</v>
      </c>
      <c r="F255" s="54" t="s">
        <v>4327</v>
      </c>
      <c r="G255" s="69" t="s">
        <v>4480</v>
      </c>
      <c r="H255" s="59" t="s">
        <v>4481</v>
      </c>
      <c r="I255" s="60" t="s">
        <v>4482</v>
      </c>
      <c r="J255" s="61" t="s">
        <v>4481</v>
      </c>
      <c r="K255" s="60" t="s">
        <v>4482</v>
      </c>
      <c r="L255" s="61" t="s">
        <v>4481</v>
      </c>
      <c r="M255" s="60" t="s">
        <v>4482</v>
      </c>
      <c r="N255" s="59" t="s">
        <v>4483</v>
      </c>
      <c r="O255" s="78" t="s">
        <v>4484</v>
      </c>
    </row>
    <row r="256" spans="1:15" s="18" customFormat="1" ht="20.100000000000001" customHeight="1">
      <c r="A256" s="50"/>
      <c r="B256" s="85"/>
      <c r="C256" s="86"/>
      <c r="D256" s="65"/>
      <c r="E256" s="75"/>
      <c r="F256" s="55"/>
      <c r="G256" s="70"/>
      <c r="H256" s="359"/>
      <c r="I256" s="360" t="str">
        <f t="shared" ref="I256:I277" si="36">IF(H256="","",ROUNDDOWN(H256*F256,0))</f>
        <v/>
      </c>
      <c r="J256" s="367"/>
      <c r="K256" s="360" t="str">
        <f t="shared" ref="K256:K277" si="37">IF(J256="","",ROUNDDOWN(J256*$F256,0))</f>
        <v/>
      </c>
      <c r="L256" s="367"/>
      <c r="M256" s="371" t="str">
        <f t="shared" ref="M256:M277" si="38">IF(L256="","",ROUNDDOWN(L256*$F256,0))</f>
        <v/>
      </c>
      <c r="N256" s="359" t="str">
        <f>IF(F256="","",INT(HLOOKUP(N254,H254:M277,3,FALSE)*O253))</f>
        <v/>
      </c>
      <c r="O256" s="375" t="str">
        <f t="shared" ref="O256:O277" si="39">IF(N256="","",IF(N256&lt;10,INT(N256),IF(N256&lt;10000,ROUNDDOWN(N256,-1),ROUNDDOWN(N256,-2))))</f>
        <v/>
      </c>
    </row>
    <row r="257" spans="1:15" s="18" customFormat="1" ht="20.100000000000001" customHeight="1">
      <c r="A257" s="51">
        <v>820</v>
      </c>
      <c r="B257" s="87">
        <v>4</v>
      </c>
      <c r="C257" s="88">
        <v>4</v>
      </c>
      <c r="D257" s="66" t="s">
        <v>4556</v>
      </c>
      <c r="E257" s="76" t="s">
        <v>4467</v>
      </c>
      <c r="F257" s="57">
        <v>2</v>
      </c>
      <c r="G257" s="71" t="s">
        <v>4276</v>
      </c>
      <c r="H257" s="1929">
        <v>209000</v>
      </c>
      <c r="I257" s="362">
        <f t="shared" si="36"/>
        <v>418000</v>
      </c>
      <c r="J257" s="368">
        <v>125000</v>
      </c>
      <c r="K257" s="362">
        <f t="shared" si="37"/>
        <v>250000</v>
      </c>
      <c r="L257" s="368"/>
      <c r="M257" s="372" t="str">
        <f t="shared" si="38"/>
        <v/>
      </c>
      <c r="N257" s="361">
        <f>IF(F257="","",INT(HLOOKUP(N254,H254:M277,4,FALSE)*O253))</f>
        <v>81250</v>
      </c>
      <c r="O257" s="376">
        <f t="shared" si="39"/>
        <v>81200</v>
      </c>
    </row>
    <row r="258" spans="1:15" s="18" customFormat="1" ht="20.100000000000001" customHeight="1">
      <c r="A258" s="51"/>
      <c r="B258" s="87"/>
      <c r="C258" s="88"/>
      <c r="D258" s="66"/>
      <c r="E258" s="76"/>
      <c r="F258" s="57"/>
      <c r="G258" s="71"/>
      <c r="H258" s="361"/>
      <c r="I258" s="362" t="str">
        <f t="shared" si="36"/>
        <v/>
      </c>
      <c r="J258" s="368"/>
      <c r="K258" s="362" t="str">
        <f t="shared" si="37"/>
        <v/>
      </c>
      <c r="L258" s="368"/>
      <c r="M258" s="372" t="str">
        <f t="shared" si="38"/>
        <v/>
      </c>
      <c r="N258" s="361" t="str">
        <f>IF(F258="","",INT(HLOOKUP(N254,H254:M277,5,FALSE)*O253))</f>
        <v/>
      </c>
      <c r="O258" s="376" t="str">
        <f t="shared" si="39"/>
        <v/>
      </c>
    </row>
    <row r="259" spans="1:15" s="18" customFormat="1" ht="20.100000000000001" customHeight="1">
      <c r="A259" s="51"/>
      <c r="B259" s="87"/>
      <c r="C259" s="88"/>
      <c r="D259" s="66"/>
      <c r="E259" s="76"/>
      <c r="F259" s="57"/>
      <c r="G259" s="71"/>
      <c r="H259" s="361"/>
      <c r="I259" s="362" t="str">
        <f t="shared" si="36"/>
        <v/>
      </c>
      <c r="J259" s="368"/>
      <c r="K259" s="362" t="str">
        <f t="shared" si="37"/>
        <v/>
      </c>
      <c r="L259" s="368"/>
      <c r="M259" s="372" t="str">
        <f t="shared" si="38"/>
        <v/>
      </c>
      <c r="N259" s="361" t="str">
        <f>IF(F259="","",INT(HLOOKUP(N254,H254:M277,6,FALSE)*O253))</f>
        <v/>
      </c>
      <c r="O259" s="376" t="str">
        <f t="shared" si="39"/>
        <v/>
      </c>
    </row>
    <row r="260" spans="1:15" s="18" customFormat="1" ht="20.100000000000001" customHeight="1">
      <c r="A260" s="51"/>
      <c r="B260" s="87"/>
      <c r="C260" s="88"/>
      <c r="D260" s="66"/>
      <c r="E260" s="76"/>
      <c r="F260" s="57"/>
      <c r="G260" s="71"/>
      <c r="H260" s="361"/>
      <c r="I260" s="362" t="str">
        <f t="shared" si="36"/>
        <v/>
      </c>
      <c r="J260" s="368"/>
      <c r="K260" s="362" t="str">
        <f t="shared" si="37"/>
        <v/>
      </c>
      <c r="L260" s="368"/>
      <c r="M260" s="372" t="str">
        <f t="shared" si="38"/>
        <v/>
      </c>
      <c r="N260" s="361" t="str">
        <f>IF(F260="","",INT(HLOOKUP(N254,H254:M277,7,FALSE)*O253))</f>
        <v/>
      </c>
      <c r="O260" s="376" t="str">
        <f t="shared" si="39"/>
        <v/>
      </c>
    </row>
    <row r="261" spans="1:15" s="18" customFormat="1" ht="20.100000000000001" customHeight="1">
      <c r="A261" s="51"/>
      <c r="B261" s="87"/>
      <c r="C261" s="88"/>
      <c r="D261" s="66"/>
      <c r="E261" s="76"/>
      <c r="F261" s="57"/>
      <c r="G261" s="71"/>
      <c r="H261" s="361"/>
      <c r="I261" s="362" t="str">
        <f t="shared" si="36"/>
        <v/>
      </c>
      <c r="J261" s="368"/>
      <c r="K261" s="362" t="str">
        <f t="shared" si="37"/>
        <v/>
      </c>
      <c r="L261" s="368"/>
      <c r="M261" s="372" t="str">
        <f t="shared" si="38"/>
        <v/>
      </c>
      <c r="N261" s="361" t="str">
        <f>IF(F261="","",INT(HLOOKUP(N254,H254:M277,8,FALSE)*O253))</f>
        <v/>
      </c>
      <c r="O261" s="376" t="str">
        <f t="shared" si="39"/>
        <v/>
      </c>
    </row>
    <row r="262" spans="1:15" s="18" customFormat="1" ht="20.100000000000001" customHeight="1">
      <c r="A262" s="51"/>
      <c r="B262" s="87"/>
      <c r="C262" s="88"/>
      <c r="D262" s="66"/>
      <c r="E262" s="76"/>
      <c r="F262" s="57"/>
      <c r="G262" s="71"/>
      <c r="H262" s="361"/>
      <c r="I262" s="362" t="str">
        <f t="shared" si="36"/>
        <v/>
      </c>
      <c r="J262" s="368"/>
      <c r="K262" s="362" t="str">
        <f t="shared" si="37"/>
        <v/>
      </c>
      <c r="L262" s="368"/>
      <c r="M262" s="372" t="str">
        <f t="shared" si="38"/>
        <v/>
      </c>
      <c r="N262" s="361" t="str">
        <f>IF(F262="","",INT(HLOOKUP(N254,H254:M277,9,FALSE)*O253))</f>
        <v/>
      </c>
      <c r="O262" s="376" t="str">
        <f t="shared" si="39"/>
        <v/>
      </c>
    </row>
    <row r="263" spans="1:15" s="18" customFormat="1" ht="20.100000000000001" customHeight="1">
      <c r="A263" s="51"/>
      <c r="B263" s="87"/>
      <c r="C263" s="88"/>
      <c r="D263" s="66"/>
      <c r="E263" s="76"/>
      <c r="F263" s="57"/>
      <c r="G263" s="71"/>
      <c r="H263" s="361"/>
      <c r="I263" s="362" t="str">
        <f t="shared" si="36"/>
        <v/>
      </c>
      <c r="J263" s="368"/>
      <c r="K263" s="362" t="str">
        <f t="shared" si="37"/>
        <v/>
      </c>
      <c r="L263" s="368"/>
      <c r="M263" s="372" t="str">
        <f t="shared" si="38"/>
        <v/>
      </c>
      <c r="N263" s="361" t="str">
        <f>IF(F263="","",INT(HLOOKUP(N254,H254:M277,10,FALSE)*O253))</f>
        <v/>
      </c>
      <c r="O263" s="376" t="str">
        <f t="shared" si="39"/>
        <v/>
      </c>
    </row>
    <row r="264" spans="1:15" s="18" customFormat="1" ht="20.100000000000001" customHeight="1">
      <c r="A264" s="51"/>
      <c r="B264" s="87"/>
      <c r="C264" s="88"/>
      <c r="D264" s="66"/>
      <c r="E264" s="76"/>
      <c r="F264" s="57"/>
      <c r="G264" s="71"/>
      <c r="H264" s="361"/>
      <c r="I264" s="362" t="str">
        <f t="shared" si="36"/>
        <v/>
      </c>
      <c r="J264" s="368"/>
      <c r="K264" s="362" t="str">
        <f t="shared" si="37"/>
        <v/>
      </c>
      <c r="L264" s="368"/>
      <c r="M264" s="372" t="str">
        <f t="shared" si="38"/>
        <v/>
      </c>
      <c r="N264" s="361" t="str">
        <f>IF(F264="","",INT(HLOOKUP(N254,H254:M277,11,FALSE)*O253))</f>
        <v/>
      </c>
      <c r="O264" s="376" t="str">
        <f t="shared" si="39"/>
        <v/>
      </c>
    </row>
    <row r="265" spans="1:15" s="18" customFormat="1" ht="20.100000000000001" customHeight="1">
      <c r="A265" s="51"/>
      <c r="B265" s="87"/>
      <c r="C265" s="88"/>
      <c r="D265" s="66"/>
      <c r="E265" s="76"/>
      <c r="F265" s="57"/>
      <c r="G265" s="71"/>
      <c r="H265" s="361"/>
      <c r="I265" s="362" t="str">
        <f t="shared" si="36"/>
        <v/>
      </c>
      <c r="J265" s="368"/>
      <c r="K265" s="362" t="str">
        <f t="shared" si="37"/>
        <v/>
      </c>
      <c r="L265" s="368"/>
      <c r="M265" s="372" t="str">
        <f t="shared" si="38"/>
        <v/>
      </c>
      <c r="N265" s="361" t="str">
        <f>IF(F265="","",INT(HLOOKUP(N254,H254:M277,12,FALSE)*O253))</f>
        <v/>
      </c>
      <c r="O265" s="376" t="str">
        <f t="shared" si="39"/>
        <v/>
      </c>
    </row>
    <row r="266" spans="1:15" s="18" customFormat="1" ht="20.100000000000001" customHeight="1">
      <c r="A266" s="51"/>
      <c r="B266" s="87"/>
      <c r="C266" s="88"/>
      <c r="D266" s="66"/>
      <c r="E266" s="76"/>
      <c r="F266" s="57"/>
      <c r="G266" s="71"/>
      <c r="H266" s="361"/>
      <c r="I266" s="362" t="str">
        <f t="shared" si="36"/>
        <v/>
      </c>
      <c r="J266" s="368"/>
      <c r="K266" s="362" t="str">
        <f t="shared" si="37"/>
        <v/>
      </c>
      <c r="L266" s="368"/>
      <c r="M266" s="372" t="str">
        <f t="shared" si="38"/>
        <v/>
      </c>
      <c r="N266" s="361" t="str">
        <f>IF(F266="","",INT(HLOOKUP(N254,H254:M277,13,FALSE)*O253))</f>
        <v/>
      </c>
      <c r="O266" s="376" t="str">
        <f t="shared" si="39"/>
        <v/>
      </c>
    </row>
    <row r="267" spans="1:15" s="18" customFormat="1" ht="20.100000000000001" customHeight="1">
      <c r="A267" s="51"/>
      <c r="B267" s="87"/>
      <c r="C267" s="88"/>
      <c r="D267" s="66"/>
      <c r="E267" s="76"/>
      <c r="F267" s="57"/>
      <c r="G267" s="71"/>
      <c r="H267" s="361"/>
      <c r="I267" s="362" t="str">
        <f t="shared" si="36"/>
        <v/>
      </c>
      <c r="J267" s="368"/>
      <c r="K267" s="362" t="str">
        <f t="shared" si="37"/>
        <v/>
      </c>
      <c r="L267" s="368"/>
      <c r="M267" s="372" t="str">
        <f t="shared" si="38"/>
        <v/>
      </c>
      <c r="N267" s="361" t="str">
        <f>IF(F267="","",INT(HLOOKUP(N254,H254:M277,14,FALSE)*O253))</f>
        <v/>
      </c>
      <c r="O267" s="376" t="str">
        <f t="shared" si="39"/>
        <v/>
      </c>
    </row>
    <row r="268" spans="1:15" s="18" customFormat="1" ht="20.100000000000001" customHeight="1">
      <c r="A268" s="51"/>
      <c r="B268" s="87"/>
      <c r="C268" s="88"/>
      <c r="D268" s="66"/>
      <c r="E268" s="76"/>
      <c r="F268" s="57"/>
      <c r="G268" s="71"/>
      <c r="H268" s="361"/>
      <c r="I268" s="362" t="str">
        <f t="shared" si="36"/>
        <v/>
      </c>
      <c r="J268" s="368"/>
      <c r="K268" s="362" t="str">
        <f t="shared" si="37"/>
        <v/>
      </c>
      <c r="L268" s="368"/>
      <c r="M268" s="372" t="str">
        <f t="shared" si="38"/>
        <v/>
      </c>
      <c r="N268" s="361" t="str">
        <f>IF(F268="","",INT(HLOOKUP(N254,H254:M277,15,FALSE)*O253))</f>
        <v/>
      </c>
      <c r="O268" s="376" t="str">
        <f t="shared" si="39"/>
        <v/>
      </c>
    </row>
    <row r="269" spans="1:15" s="18" customFormat="1" ht="20.100000000000001" customHeight="1">
      <c r="A269" s="51"/>
      <c r="B269" s="87"/>
      <c r="C269" s="88"/>
      <c r="D269" s="66"/>
      <c r="E269" s="76"/>
      <c r="F269" s="57"/>
      <c r="G269" s="71"/>
      <c r="H269" s="361"/>
      <c r="I269" s="362" t="str">
        <f t="shared" si="36"/>
        <v/>
      </c>
      <c r="J269" s="368"/>
      <c r="K269" s="362" t="str">
        <f t="shared" si="37"/>
        <v/>
      </c>
      <c r="L269" s="368"/>
      <c r="M269" s="372" t="str">
        <f t="shared" si="38"/>
        <v/>
      </c>
      <c r="N269" s="361" t="str">
        <f>IF(F269="","",INT(HLOOKUP(N254,H254:M277,16,FALSE)*O253))</f>
        <v/>
      </c>
      <c r="O269" s="376" t="str">
        <f t="shared" si="39"/>
        <v/>
      </c>
    </row>
    <row r="270" spans="1:15" s="18" customFormat="1" ht="20.100000000000001" customHeight="1">
      <c r="A270" s="51"/>
      <c r="B270" s="87"/>
      <c r="C270" s="88"/>
      <c r="D270" s="66"/>
      <c r="E270" s="76"/>
      <c r="F270" s="57"/>
      <c r="G270" s="71"/>
      <c r="H270" s="361"/>
      <c r="I270" s="362" t="str">
        <f t="shared" si="36"/>
        <v/>
      </c>
      <c r="J270" s="368"/>
      <c r="K270" s="362" t="str">
        <f t="shared" si="37"/>
        <v/>
      </c>
      <c r="L270" s="368"/>
      <c r="M270" s="372" t="str">
        <f t="shared" si="38"/>
        <v/>
      </c>
      <c r="N270" s="361" t="str">
        <f>IF(F270="","",INT(HLOOKUP(N254,H254:M277,17,FALSE)*O253))</f>
        <v/>
      </c>
      <c r="O270" s="376" t="str">
        <f t="shared" si="39"/>
        <v/>
      </c>
    </row>
    <row r="271" spans="1:15" s="18" customFormat="1" ht="20.100000000000001" customHeight="1">
      <c r="A271" s="51"/>
      <c r="B271" s="87"/>
      <c r="C271" s="88"/>
      <c r="D271" s="66"/>
      <c r="E271" s="76"/>
      <c r="F271" s="57"/>
      <c r="G271" s="71"/>
      <c r="H271" s="361"/>
      <c r="I271" s="362" t="str">
        <f t="shared" si="36"/>
        <v/>
      </c>
      <c r="J271" s="368"/>
      <c r="K271" s="362" t="str">
        <f t="shared" si="37"/>
        <v/>
      </c>
      <c r="L271" s="368"/>
      <c r="M271" s="372" t="str">
        <f t="shared" si="38"/>
        <v/>
      </c>
      <c r="N271" s="361" t="str">
        <f>IF(F271="","",INT(HLOOKUP(N254,H254:M277,18,FALSE)*O253))</f>
        <v/>
      </c>
      <c r="O271" s="376" t="str">
        <f t="shared" si="39"/>
        <v/>
      </c>
    </row>
    <row r="272" spans="1:15" s="18" customFormat="1" ht="20.100000000000001" customHeight="1">
      <c r="A272" s="51"/>
      <c r="B272" s="87"/>
      <c r="C272" s="88"/>
      <c r="D272" s="66"/>
      <c r="E272" s="76"/>
      <c r="F272" s="57"/>
      <c r="G272" s="71"/>
      <c r="H272" s="361"/>
      <c r="I272" s="362" t="str">
        <f t="shared" si="36"/>
        <v/>
      </c>
      <c r="J272" s="368"/>
      <c r="K272" s="362" t="str">
        <f t="shared" si="37"/>
        <v/>
      </c>
      <c r="L272" s="368"/>
      <c r="M272" s="372" t="str">
        <f t="shared" si="38"/>
        <v/>
      </c>
      <c r="N272" s="361" t="str">
        <f>IF(F272="","",INT(HLOOKUP(N254,H254:M277,19,FALSE)*O253))</f>
        <v/>
      </c>
      <c r="O272" s="376" t="str">
        <f t="shared" si="39"/>
        <v/>
      </c>
    </row>
    <row r="273" spans="1:15" s="18" customFormat="1" ht="20.100000000000001" customHeight="1">
      <c r="A273" s="51"/>
      <c r="B273" s="87"/>
      <c r="C273" s="88"/>
      <c r="D273" s="66"/>
      <c r="E273" s="76"/>
      <c r="F273" s="57"/>
      <c r="G273" s="71"/>
      <c r="H273" s="361"/>
      <c r="I273" s="362" t="str">
        <f t="shared" si="36"/>
        <v/>
      </c>
      <c r="J273" s="368"/>
      <c r="K273" s="362" t="str">
        <f t="shared" si="37"/>
        <v/>
      </c>
      <c r="L273" s="368"/>
      <c r="M273" s="372" t="str">
        <f t="shared" si="38"/>
        <v/>
      </c>
      <c r="N273" s="361" t="str">
        <f>IF(F273="","",INT(HLOOKUP(N254,H254:M277,20,FALSE)*O253))</f>
        <v/>
      </c>
      <c r="O273" s="376" t="str">
        <f t="shared" si="39"/>
        <v/>
      </c>
    </row>
    <row r="274" spans="1:15" s="18" customFormat="1" ht="20.100000000000001" customHeight="1">
      <c r="A274" s="51"/>
      <c r="B274" s="87"/>
      <c r="C274" s="88"/>
      <c r="D274" s="66"/>
      <c r="E274" s="76"/>
      <c r="F274" s="57"/>
      <c r="G274" s="71"/>
      <c r="H274" s="361"/>
      <c r="I274" s="362" t="str">
        <f t="shared" si="36"/>
        <v/>
      </c>
      <c r="J274" s="368"/>
      <c r="K274" s="362" t="str">
        <f t="shared" si="37"/>
        <v/>
      </c>
      <c r="L274" s="368"/>
      <c r="M274" s="372" t="str">
        <f t="shared" si="38"/>
        <v/>
      </c>
      <c r="N274" s="361" t="str">
        <f>IF(F274="","",INT(HLOOKUP(N254,H254:M277,21,FALSE)*O253))</f>
        <v/>
      </c>
      <c r="O274" s="376" t="str">
        <f t="shared" si="39"/>
        <v/>
      </c>
    </row>
    <row r="275" spans="1:15" s="18" customFormat="1" ht="20.100000000000001" customHeight="1">
      <c r="A275" s="51"/>
      <c r="B275" s="87"/>
      <c r="C275" s="88"/>
      <c r="D275" s="66"/>
      <c r="E275" s="76"/>
      <c r="F275" s="57"/>
      <c r="G275" s="71"/>
      <c r="H275" s="361"/>
      <c r="I275" s="362" t="str">
        <f t="shared" si="36"/>
        <v/>
      </c>
      <c r="J275" s="368"/>
      <c r="K275" s="362" t="str">
        <f t="shared" si="37"/>
        <v/>
      </c>
      <c r="L275" s="368"/>
      <c r="M275" s="372" t="str">
        <f t="shared" si="38"/>
        <v/>
      </c>
      <c r="N275" s="361" t="str">
        <f>IF(F275="","",INT(HLOOKUP(N254,H254:M277,22,FALSE)*O253))</f>
        <v/>
      </c>
      <c r="O275" s="376" t="str">
        <f t="shared" si="39"/>
        <v/>
      </c>
    </row>
    <row r="276" spans="1:15" s="18" customFormat="1" ht="20.100000000000001" customHeight="1">
      <c r="A276" s="51"/>
      <c r="B276" s="87"/>
      <c r="C276" s="88"/>
      <c r="D276" s="66"/>
      <c r="E276" s="76"/>
      <c r="F276" s="57"/>
      <c r="G276" s="71"/>
      <c r="H276" s="361"/>
      <c r="I276" s="362" t="str">
        <f t="shared" si="36"/>
        <v/>
      </c>
      <c r="J276" s="368"/>
      <c r="K276" s="362" t="str">
        <f t="shared" si="37"/>
        <v/>
      </c>
      <c r="L276" s="368"/>
      <c r="M276" s="372" t="str">
        <f t="shared" si="38"/>
        <v/>
      </c>
      <c r="N276" s="361" t="str">
        <f>IF(F276="","",INT(HLOOKUP(N254,H254:M277,23,FALSE)*O253))</f>
        <v/>
      </c>
      <c r="O276" s="376" t="str">
        <f t="shared" si="39"/>
        <v/>
      </c>
    </row>
    <row r="277" spans="1:15" s="18" customFormat="1" ht="20.100000000000001" customHeight="1" thickBot="1">
      <c r="A277" s="52"/>
      <c r="B277" s="89"/>
      <c r="C277" s="90"/>
      <c r="D277" s="67"/>
      <c r="E277" s="77"/>
      <c r="F277" s="58"/>
      <c r="G277" s="72"/>
      <c r="H277" s="363"/>
      <c r="I277" s="364" t="str">
        <f t="shared" si="36"/>
        <v/>
      </c>
      <c r="J277" s="369"/>
      <c r="K277" s="364" t="str">
        <f t="shared" si="37"/>
        <v/>
      </c>
      <c r="L277" s="369"/>
      <c r="M277" s="373" t="str">
        <f t="shared" si="38"/>
        <v/>
      </c>
      <c r="N277" s="363" t="str">
        <f>IF(F277="","",INT(HLOOKUP(N254,H254:M277,24,FALSE)*O253))</f>
        <v/>
      </c>
      <c r="O277" s="377" t="str">
        <f t="shared" si="39"/>
        <v/>
      </c>
    </row>
    <row r="278" spans="1:15" s="18" customFormat="1" ht="20.100000000000001" customHeight="1" thickTop="1" thickBot="1">
      <c r="A278" s="26"/>
      <c r="B278" s="27"/>
      <c r="C278" s="27"/>
      <c r="D278" s="28" t="str">
        <f>IF(G278="","合      計","")</f>
        <v/>
      </c>
      <c r="E278" s="29" t="s">
        <v>4499</v>
      </c>
      <c r="F278" s="29"/>
      <c r="G278" s="49">
        <v>1</v>
      </c>
      <c r="H278" s="365"/>
      <c r="I278" s="366">
        <f>IF($G278="",IF(SUM(I256:I277)=0,"",SUM(I256:I277)),IF(I251="","",SUM(I256:I277)+I251))</f>
        <v>42835000</v>
      </c>
      <c r="J278" s="370"/>
      <c r="K278" s="366">
        <f>IF(G278="",IF(SUM(K256:K277)=0,"",SUM(K256:K277)),IF(K251="","",SUM(K256:K277)+K251))</f>
        <v>16002000</v>
      </c>
      <c r="L278" s="370"/>
      <c r="M278" s="374" t="str">
        <f>IF(G278="",IF(SUM(M256:M277)=0,"",SUM(M256:M277)),IF(M251="","",SUM(M256:M277)+M251))</f>
        <v/>
      </c>
      <c r="N278" s="378" t="s">
        <v>4500</v>
      </c>
      <c r="O278" s="379">
        <f>IF(G305="",MIN(I278,K278,M278),"")</f>
        <v>16002000</v>
      </c>
    </row>
    <row r="279" spans="1:15" s="18" customFormat="1" ht="20.100000000000001" customHeight="1">
      <c r="A279" s="22"/>
      <c r="B279" s="22"/>
      <c r="C279" s="22"/>
      <c r="G279" s="22"/>
      <c r="H279" s="30"/>
      <c r="I279" s="30"/>
      <c r="J279" s="30"/>
      <c r="K279" s="30"/>
      <c r="L279" s="30"/>
      <c r="M279" s="30"/>
      <c r="N279" s="18" t="str">
        <f>IF(B281="","EOL","")</f>
        <v>EOL</v>
      </c>
      <c r="O279" s="30">
        <f>+O252+1</f>
        <v>10</v>
      </c>
    </row>
  </sheetData>
  <mergeCells count="50">
    <mergeCell ref="A58:M58"/>
    <mergeCell ref="H59:I59"/>
    <mergeCell ref="J59:K59"/>
    <mergeCell ref="L59:M59"/>
    <mergeCell ref="N59:O59"/>
    <mergeCell ref="A253:M253"/>
    <mergeCell ref="H254:I254"/>
    <mergeCell ref="J254:K254"/>
    <mergeCell ref="L254:M254"/>
    <mergeCell ref="N254:O254"/>
    <mergeCell ref="A226:M226"/>
    <mergeCell ref="H227:I227"/>
    <mergeCell ref="J227:K227"/>
    <mergeCell ref="L227:M227"/>
    <mergeCell ref="N227:O227"/>
    <mergeCell ref="A198:M198"/>
    <mergeCell ref="H199:I199"/>
    <mergeCell ref="J199:K199"/>
    <mergeCell ref="L199:M199"/>
    <mergeCell ref="N199:O199"/>
    <mergeCell ref="A170:M170"/>
    <mergeCell ref="H171:I171"/>
    <mergeCell ref="J171:K171"/>
    <mergeCell ref="L171:M171"/>
    <mergeCell ref="N171:O171"/>
    <mergeCell ref="A142:M142"/>
    <mergeCell ref="H143:I143"/>
    <mergeCell ref="J143:K143"/>
    <mergeCell ref="L143:M143"/>
    <mergeCell ref="N143:O143"/>
    <mergeCell ref="A114:M114"/>
    <mergeCell ref="H115:I115"/>
    <mergeCell ref="J115:K115"/>
    <mergeCell ref="L115:M115"/>
    <mergeCell ref="N115:O115"/>
    <mergeCell ref="A86:M86"/>
    <mergeCell ref="H87:I87"/>
    <mergeCell ref="J87:K87"/>
    <mergeCell ref="L87:M87"/>
    <mergeCell ref="N87:O87"/>
    <mergeCell ref="A29:M29"/>
    <mergeCell ref="H30:I30"/>
    <mergeCell ref="J30:K30"/>
    <mergeCell ref="L30:M30"/>
    <mergeCell ref="N30:O30"/>
    <mergeCell ref="N2:O2"/>
    <mergeCell ref="A1:M1"/>
    <mergeCell ref="H2:I2"/>
    <mergeCell ref="J2:K2"/>
    <mergeCell ref="L2:M2"/>
  </mergeCells>
  <phoneticPr fontId="2"/>
  <pageMargins left="0.19685039370078741" right="0.19685039370078741" top="0.78740157480314965" bottom="0.19685039370078741" header="0.51181102362204722" footer="0.51181102362204722"/>
  <pageSetup paperSize="9" orientation="landscape"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dimension ref="A1:AE29"/>
  <sheetViews>
    <sheetView view="pageBreakPreview" topLeftCell="B1" zoomScaleNormal="100" zoomScaleSheetLayoutView="100" workbookViewId="0">
      <selection activeCell="B1" sqref="A1:XFD1048576"/>
    </sheetView>
  </sheetViews>
  <sheetFormatPr defaultColWidth="9" defaultRowHeight="11.25"/>
  <cols>
    <col min="1" max="1" width="2.625" style="127" hidden="1" customWidth="1"/>
    <col min="2" max="2" width="19.375" style="80" customWidth="1"/>
    <col min="3" max="3" width="22.5" style="80" customWidth="1"/>
    <col min="4" max="4" width="5.125" style="80" customWidth="1"/>
    <col min="5" max="5" width="5.125" style="91" customWidth="1"/>
    <col min="6" max="22" width="5.125" style="80" customWidth="1"/>
    <col min="23" max="27" width="4.625" style="80" customWidth="1"/>
    <col min="28" max="16384" width="9" style="80"/>
  </cols>
  <sheetData>
    <row r="1" spans="1:31" ht="15" customHeight="1">
      <c r="B1" s="142" t="s">
        <v>4309</v>
      </c>
      <c r="C1" s="80" t="str">
        <f>工事8!C2</f>
        <v>イ)6号線堺筋本町駅の部-床仕上改造その他工事</v>
      </c>
      <c r="F1" s="127"/>
      <c r="G1" s="285"/>
      <c r="H1" s="286"/>
      <c r="I1" s="286"/>
      <c r="J1" s="287"/>
      <c r="K1" s="288" t="s">
        <v>4310</v>
      </c>
      <c r="L1" s="289" t="s">
        <v>4311</v>
      </c>
      <c r="M1" s="289" t="s">
        <v>4312</v>
      </c>
      <c r="N1" s="290" t="s">
        <v>4313</v>
      </c>
      <c r="O1" s="291"/>
      <c r="P1" s="292"/>
      <c r="Q1" s="292"/>
      <c r="R1" s="293"/>
      <c r="S1" s="288" t="s">
        <v>4310</v>
      </c>
      <c r="T1" s="289" t="s">
        <v>4311</v>
      </c>
      <c r="U1" s="289" t="s">
        <v>4312</v>
      </c>
      <c r="V1" s="290" t="s">
        <v>4313</v>
      </c>
      <c r="W1" s="284"/>
    </row>
    <row r="2" spans="1:31" ht="15" customHeight="1">
      <c r="B2" s="142"/>
      <c r="E2" s="278"/>
      <c r="G2" s="2747" t="s">
        <v>4314</v>
      </c>
      <c r="H2" s="2748"/>
      <c r="I2" s="2748"/>
      <c r="J2" s="2749"/>
      <c r="K2" s="294">
        <f>+H9+L9</f>
        <v>0</v>
      </c>
      <c r="L2" s="295">
        <f>+I9+M9</f>
        <v>0</v>
      </c>
      <c r="M2" s="295">
        <f>+J9+N9</f>
        <v>0</v>
      </c>
      <c r="N2" s="296">
        <f>+K9+O9</f>
        <v>144951.9</v>
      </c>
      <c r="O2" s="2750" t="s">
        <v>4315</v>
      </c>
      <c r="P2" s="2751"/>
      <c r="Q2" s="2751"/>
      <c r="R2" s="2752"/>
      <c r="S2" s="294">
        <f>+P9+T9+X9</f>
        <v>0</v>
      </c>
      <c r="T2" s="295">
        <f>+Q9+U9+Y9</f>
        <v>0</v>
      </c>
      <c r="U2" s="295">
        <f>+R9+V9+Z9</f>
        <v>0</v>
      </c>
      <c r="V2" s="296">
        <f>+S9+W9+AA9</f>
        <v>144951.9</v>
      </c>
      <c r="W2" s="277"/>
    </row>
    <row r="3" spans="1:31" ht="15" customHeight="1">
      <c r="B3" s="142"/>
      <c r="E3" s="278"/>
      <c r="G3" s="2753" t="s">
        <v>4316</v>
      </c>
      <c r="H3" s="2754"/>
      <c r="I3" s="2754"/>
      <c r="J3" s="2755"/>
      <c r="K3" s="297">
        <f>+H9</f>
        <v>0</v>
      </c>
      <c r="L3" s="298">
        <f>+I9</f>
        <v>0</v>
      </c>
      <c r="M3" s="298">
        <f>+J9</f>
        <v>0</v>
      </c>
      <c r="N3" s="299">
        <f>+K9</f>
        <v>0</v>
      </c>
      <c r="O3" s="2756" t="s">
        <v>4317</v>
      </c>
      <c r="P3" s="2757"/>
      <c r="Q3" s="2757"/>
      <c r="R3" s="2758"/>
      <c r="S3" s="297">
        <f>+P9</f>
        <v>0</v>
      </c>
      <c r="T3" s="298">
        <f>+Q9</f>
        <v>0</v>
      </c>
      <c r="U3" s="298">
        <f>+R9</f>
        <v>0</v>
      </c>
      <c r="V3" s="299">
        <f>+S9</f>
        <v>144951.9</v>
      </c>
      <c r="W3" s="277"/>
    </row>
    <row r="4" spans="1:31" ht="15" customHeight="1">
      <c r="B4" s="142"/>
      <c r="E4" s="278"/>
      <c r="G4" s="2753" t="s">
        <v>4318</v>
      </c>
      <c r="H4" s="2754"/>
      <c r="I4" s="2754"/>
      <c r="J4" s="2755"/>
      <c r="K4" s="297">
        <f>+L9</f>
        <v>0</v>
      </c>
      <c r="L4" s="298">
        <f>+M9</f>
        <v>0</v>
      </c>
      <c r="M4" s="298">
        <f>+N9</f>
        <v>0</v>
      </c>
      <c r="N4" s="299">
        <f>+O9</f>
        <v>144951.9</v>
      </c>
      <c r="O4" s="2756" t="s">
        <v>4319</v>
      </c>
      <c r="P4" s="2757"/>
      <c r="Q4" s="2757"/>
      <c r="R4" s="2758"/>
      <c r="S4" s="297">
        <f>+T9</f>
        <v>0</v>
      </c>
      <c r="T4" s="298">
        <f>+U9</f>
        <v>0</v>
      </c>
      <c r="U4" s="298">
        <f>+V9</f>
        <v>0</v>
      </c>
      <c r="V4" s="299">
        <f>+W9</f>
        <v>0</v>
      </c>
      <c r="W4" s="277"/>
    </row>
    <row r="5" spans="1:31" ht="15" customHeight="1">
      <c r="B5" s="142"/>
      <c r="E5" s="278"/>
      <c r="G5" s="2744"/>
      <c r="H5" s="2745"/>
      <c r="I5" s="2745"/>
      <c r="J5" s="2746"/>
      <c r="K5" s="300"/>
      <c r="L5" s="300"/>
      <c r="M5" s="300"/>
      <c r="N5" s="300"/>
      <c r="O5" s="2744" t="s">
        <v>4320</v>
      </c>
      <c r="P5" s="2745"/>
      <c r="Q5" s="2745"/>
      <c r="R5" s="2746"/>
      <c r="S5" s="300">
        <f>X9</f>
        <v>0</v>
      </c>
      <c r="T5" s="300">
        <f>Y9</f>
        <v>0</v>
      </c>
      <c r="U5" s="300">
        <f>Z9</f>
        <v>0</v>
      </c>
      <c r="V5" s="301">
        <f>AA9</f>
        <v>0</v>
      </c>
      <c r="W5" s="277"/>
      <c r="AB5" s="302"/>
      <c r="AC5" s="302"/>
      <c r="AD5" s="302"/>
      <c r="AE5" s="302"/>
    </row>
    <row r="6" spans="1:31" ht="7.5" customHeight="1">
      <c r="B6" s="142"/>
      <c r="E6" s="279"/>
      <c r="F6" s="280"/>
      <c r="G6" s="281"/>
      <c r="H6" s="281"/>
      <c r="I6" s="281"/>
      <c r="J6" s="281"/>
      <c r="K6" s="282"/>
      <c r="L6" s="280"/>
      <c r="M6" s="280"/>
      <c r="N6" s="280"/>
      <c r="O6" s="280"/>
      <c r="P6" s="280"/>
      <c r="Q6" s="280"/>
      <c r="R6" s="280"/>
      <c r="S6" s="283"/>
      <c r="T6" s="283"/>
      <c r="U6" s="283"/>
      <c r="V6" s="283"/>
      <c r="W6" s="277"/>
    </row>
    <row r="7" spans="1:31" ht="15" customHeight="1">
      <c r="B7" s="134"/>
      <c r="C7" s="135"/>
      <c r="D7" s="136"/>
      <c r="E7" s="149"/>
      <c r="F7" s="330"/>
      <c r="G7" s="334"/>
      <c r="H7" s="2735" t="s">
        <v>4321</v>
      </c>
      <c r="I7" s="2736"/>
      <c r="J7" s="2736"/>
      <c r="K7" s="2737"/>
      <c r="L7" s="2735" t="s">
        <v>4322</v>
      </c>
      <c r="M7" s="2736"/>
      <c r="N7" s="2736"/>
      <c r="O7" s="2737"/>
      <c r="P7" s="2735" t="s">
        <v>4323</v>
      </c>
      <c r="Q7" s="2736"/>
      <c r="R7" s="2736"/>
      <c r="S7" s="2737"/>
      <c r="T7" s="2735" t="s">
        <v>4324</v>
      </c>
      <c r="U7" s="2736"/>
      <c r="V7" s="2736"/>
      <c r="W7" s="2737"/>
      <c r="X7" s="2735" t="s">
        <v>4325</v>
      </c>
      <c r="Y7" s="2736"/>
      <c r="Z7" s="2736"/>
      <c r="AA7" s="2737"/>
    </row>
    <row r="8" spans="1:31">
      <c r="B8" s="133" t="s">
        <v>4099</v>
      </c>
      <c r="C8" s="117" t="s">
        <v>4326</v>
      </c>
      <c r="D8" s="130" t="s">
        <v>4327</v>
      </c>
      <c r="E8" s="150" t="s">
        <v>4328</v>
      </c>
      <c r="F8" s="2433" t="s">
        <v>4329</v>
      </c>
      <c r="G8" s="333" t="s">
        <v>4330</v>
      </c>
      <c r="H8" s="131" t="s">
        <v>4310</v>
      </c>
      <c r="I8" s="56" t="s">
        <v>4311</v>
      </c>
      <c r="J8" s="56" t="s">
        <v>4312</v>
      </c>
      <c r="K8" s="132" t="s">
        <v>4313</v>
      </c>
      <c r="L8" s="131" t="s">
        <v>4310</v>
      </c>
      <c r="M8" s="56" t="s">
        <v>4311</v>
      </c>
      <c r="N8" s="56" t="s">
        <v>4312</v>
      </c>
      <c r="O8" s="132" t="s">
        <v>4313</v>
      </c>
      <c r="P8" s="131" t="s">
        <v>4310</v>
      </c>
      <c r="Q8" s="56" t="s">
        <v>4311</v>
      </c>
      <c r="R8" s="56" t="s">
        <v>4312</v>
      </c>
      <c r="S8" s="132" t="s">
        <v>4313</v>
      </c>
      <c r="T8" s="131" t="s">
        <v>4310</v>
      </c>
      <c r="U8" s="56" t="s">
        <v>4311</v>
      </c>
      <c r="V8" s="56" t="s">
        <v>4312</v>
      </c>
      <c r="W8" s="132" t="s">
        <v>4313</v>
      </c>
      <c r="X8" s="131" t="s">
        <v>4310</v>
      </c>
      <c r="Y8" s="56" t="s">
        <v>4311</v>
      </c>
      <c r="Z8" s="56" t="s">
        <v>4312</v>
      </c>
      <c r="AA8" s="132" t="s">
        <v>4313</v>
      </c>
    </row>
    <row r="9" spans="1:31" s="140" customFormat="1" ht="15.75" customHeight="1">
      <c r="A9" s="137"/>
      <c r="B9" s="138"/>
      <c r="C9" s="139"/>
      <c r="D9" s="141"/>
      <c r="E9" s="274" t="s">
        <v>4331</v>
      </c>
      <c r="F9" s="331" t="s">
        <v>4332</v>
      </c>
      <c r="G9" s="335"/>
      <c r="H9" s="158">
        <f t="shared" ref="H9:AA9" si="0">SUM(H10:H16)</f>
        <v>0</v>
      </c>
      <c r="I9" s="159">
        <f t="shared" si="0"/>
        <v>0</v>
      </c>
      <c r="J9" s="159">
        <f t="shared" si="0"/>
        <v>0</v>
      </c>
      <c r="K9" s="160">
        <f t="shared" si="0"/>
        <v>0</v>
      </c>
      <c r="L9" s="158">
        <f t="shared" si="0"/>
        <v>0</v>
      </c>
      <c r="M9" s="159">
        <f t="shared" si="0"/>
        <v>0</v>
      </c>
      <c r="N9" s="159">
        <f t="shared" si="0"/>
        <v>0</v>
      </c>
      <c r="O9" s="160">
        <f t="shared" si="0"/>
        <v>144951.9</v>
      </c>
      <c r="P9" s="158">
        <f t="shared" si="0"/>
        <v>0</v>
      </c>
      <c r="Q9" s="159">
        <f t="shared" si="0"/>
        <v>0</v>
      </c>
      <c r="R9" s="159">
        <f t="shared" si="0"/>
        <v>0</v>
      </c>
      <c r="S9" s="160">
        <f t="shared" si="0"/>
        <v>144951.9</v>
      </c>
      <c r="T9" s="159">
        <f t="shared" si="0"/>
        <v>0</v>
      </c>
      <c r="U9" s="159">
        <f t="shared" si="0"/>
        <v>0</v>
      </c>
      <c r="V9" s="159">
        <f t="shared" si="0"/>
        <v>0</v>
      </c>
      <c r="W9" s="160">
        <f t="shared" si="0"/>
        <v>0</v>
      </c>
      <c r="X9" s="159">
        <f t="shared" si="0"/>
        <v>0</v>
      </c>
      <c r="Y9" s="159">
        <f t="shared" si="0"/>
        <v>0</v>
      </c>
      <c r="Z9" s="159">
        <f t="shared" si="0"/>
        <v>0</v>
      </c>
      <c r="AA9" s="160">
        <f t="shared" si="0"/>
        <v>0</v>
      </c>
    </row>
    <row r="10" spans="1:31" s="140" customFormat="1" ht="11.25" customHeight="1">
      <c r="B10" s="152"/>
      <c r="C10" s="153"/>
      <c r="D10" s="154"/>
      <c r="E10" s="155"/>
      <c r="F10" s="1916"/>
      <c r="G10" s="336"/>
      <c r="H10" s="161"/>
      <c r="I10" s="162"/>
      <c r="J10" s="162"/>
      <c r="K10" s="163"/>
      <c r="L10" s="161"/>
      <c r="M10" s="162"/>
      <c r="N10" s="162"/>
      <c r="O10" s="163"/>
      <c r="P10" s="161"/>
      <c r="Q10" s="162"/>
      <c r="R10" s="162"/>
      <c r="S10" s="163"/>
      <c r="T10" s="161"/>
      <c r="U10" s="162"/>
      <c r="V10" s="162"/>
      <c r="W10" s="163"/>
      <c r="X10" s="161"/>
      <c r="Y10" s="162"/>
      <c r="Z10" s="162"/>
      <c r="AA10" s="163"/>
    </row>
    <row r="11" spans="1:31" s="140" customFormat="1" ht="11.25" customHeight="1">
      <c r="B11" s="152" t="s">
        <v>4346</v>
      </c>
      <c r="C11" s="153" t="s">
        <v>4347</v>
      </c>
      <c r="D11" s="154">
        <v>1725</v>
      </c>
      <c r="E11" s="155">
        <v>80</v>
      </c>
      <c r="F11" s="1916">
        <v>0</v>
      </c>
      <c r="G11" s="336">
        <v>0</v>
      </c>
      <c r="H11" s="161"/>
      <c r="I11" s="162"/>
      <c r="J11" s="162"/>
      <c r="K11" s="163"/>
      <c r="L11" s="161"/>
      <c r="M11" s="162"/>
      <c r="N11" s="162"/>
      <c r="O11" s="163">
        <f>D11*(E11+F11+G11)</f>
        <v>138000</v>
      </c>
      <c r="P11" s="161"/>
      <c r="Q11" s="162"/>
      <c r="R11" s="162"/>
      <c r="S11" s="163">
        <f>D11*E11</f>
        <v>138000</v>
      </c>
      <c r="T11" s="161"/>
      <c r="U11" s="162"/>
      <c r="V11" s="162"/>
      <c r="W11" s="163">
        <f>D11*F11</f>
        <v>0</v>
      </c>
      <c r="X11" s="161"/>
      <c r="Y11" s="162"/>
      <c r="Z11" s="162"/>
      <c r="AA11" s="163">
        <f>D11*G11</f>
        <v>0</v>
      </c>
    </row>
    <row r="12" spans="1:31" s="140" customFormat="1" ht="11.25" customHeight="1">
      <c r="B12" s="152" t="s">
        <v>4346</v>
      </c>
      <c r="C12" s="153" t="s">
        <v>4347</v>
      </c>
      <c r="D12" s="154">
        <v>82.3</v>
      </c>
      <c r="E12" s="155">
        <v>80</v>
      </c>
      <c r="F12" s="1916">
        <v>0</v>
      </c>
      <c r="G12" s="336">
        <v>0</v>
      </c>
      <c r="H12" s="161"/>
      <c r="I12" s="162"/>
      <c r="J12" s="162"/>
      <c r="K12" s="163"/>
      <c r="L12" s="161"/>
      <c r="M12" s="162"/>
      <c r="N12" s="162"/>
      <c r="O12" s="163">
        <f>D12*(E12+F12+G12)</f>
        <v>6584</v>
      </c>
      <c r="P12" s="161"/>
      <c r="Q12" s="162"/>
      <c r="R12" s="162"/>
      <c r="S12" s="163">
        <f>D12*E12</f>
        <v>6584</v>
      </c>
      <c r="T12" s="161"/>
      <c r="U12" s="162"/>
      <c r="V12" s="162"/>
      <c r="W12" s="163">
        <f>D12*F12</f>
        <v>0</v>
      </c>
      <c r="X12" s="161"/>
      <c r="Y12" s="162"/>
      <c r="Z12" s="162"/>
      <c r="AA12" s="163">
        <f>D12*G12</f>
        <v>0</v>
      </c>
    </row>
    <row r="13" spans="1:31" s="140" customFormat="1" ht="11.25" customHeight="1">
      <c r="B13" s="152" t="s">
        <v>4348</v>
      </c>
      <c r="C13" s="153" t="s">
        <v>4351</v>
      </c>
      <c r="D13" s="154">
        <v>283</v>
      </c>
      <c r="E13" s="155">
        <v>1.3</v>
      </c>
      <c r="F13" s="1916">
        <v>0</v>
      </c>
      <c r="G13" s="336">
        <v>0</v>
      </c>
      <c r="H13" s="161"/>
      <c r="I13" s="162"/>
      <c r="J13" s="162"/>
      <c r="K13" s="163"/>
      <c r="L13" s="161"/>
      <c r="M13" s="162"/>
      <c r="N13" s="162"/>
      <c r="O13" s="163">
        <f>D13*(E13+F13+G13)</f>
        <v>367.90000000000003</v>
      </c>
      <c r="P13" s="161"/>
      <c r="Q13" s="162"/>
      <c r="R13" s="162"/>
      <c r="S13" s="163">
        <f>D13*E13</f>
        <v>367.90000000000003</v>
      </c>
      <c r="T13" s="161"/>
      <c r="U13" s="162"/>
      <c r="V13" s="162"/>
      <c r="W13" s="163">
        <f>D13*F13</f>
        <v>0</v>
      </c>
      <c r="X13" s="161"/>
      <c r="Y13" s="162"/>
      <c r="Z13" s="162"/>
      <c r="AA13" s="163">
        <f>D13*G13</f>
        <v>0</v>
      </c>
    </row>
    <row r="14" spans="1:31" s="140" customFormat="1" ht="11.25" customHeight="1">
      <c r="B14" s="152"/>
      <c r="C14" s="153"/>
      <c r="D14" s="154"/>
      <c r="E14" s="155"/>
      <c r="F14" s="1916"/>
      <c r="G14" s="336"/>
      <c r="H14" s="161"/>
      <c r="I14" s="162"/>
      <c r="J14" s="162"/>
      <c r="K14" s="163"/>
      <c r="L14" s="161"/>
      <c r="M14" s="162"/>
      <c r="N14" s="162"/>
      <c r="O14" s="163"/>
      <c r="P14" s="161"/>
      <c r="Q14" s="162"/>
      <c r="R14" s="162"/>
      <c r="S14" s="163"/>
      <c r="T14" s="161"/>
      <c r="U14" s="162"/>
      <c r="V14" s="162"/>
      <c r="W14" s="163"/>
      <c r="X14" s="161"/>
      <c r="Y14" s="162"/>
      <c r="Z14" s="162"/>
      <c r="AA14" s="163"/>
    </row>
    <row r="15" spans="1:31" s="140" customFormat="1" ht="11.25" customHeight="1">
      <c r="A15" s="127" t="s">
        <v>4354</v>
      </c>
      <c r="B15" s="146"/>
      <c r="C15" s="147"/>
      <c r="D15" s="148"/>
      <c r="E15" s="156"/>
      <c r="F15" s="2434"/>
      <c r="G15" s="337"/>
      <c r="H15" s="164">
        <f>D15*E15</f>
        <v>0</v>
      </c>
      <c r="I15" s="165"/>
      <c r="J15" s="165"/>
      <c r="K15" s="166"/>
      <c r="L15" s="164"/>
      <c r="M15" s="165"/>
      <c r="N15" s="165"/>
      <c r="O15" s="166"/>
      <c r="P15" s="164"/>
      <c r="Q15" s="165"/>
      <c r="R15" s="165"/>
      <c r="S15" s="166"/>
      <c r="T15" s="164"/>
      <c r="U15" s="165"/>
      <c r="V15" s="165"/>
      <c r="W15" s="166"/>
      <c r="X15" s="164"/>
      <c r="Y15" s="165"/>
      <c r="Z15" s="165"/>
      <c r="AA15" s="166"/>
    </row>
    <row r="16" spans="1:31">
      <c r="A16" s="80"/>
      <c r="B16" s="144"/>
      <c r="C16" s="145"/>
      <c r="D16" s="151"/>
      <c r="E16" s="157"/>
      <c r="F16" s="332"/>
      <c r="G16" s="338"/>
      <c r="H16" s="167"/>
      <c r="I16" s="168"/>
      <c r="J16" s="168"/>
      <c r="K16" s="169"/>
      <c r="L16" s="167"/>
      <c r="M16" s="168"/>
      <c r="N16" s="168"/>
      <c r="O16" s="169"/>
      <c r="P16" s="167"/>
      <c r="Q16" s="168"/>
      <c r="R16" s="168"/>
      <c r="S16" s="169"/>
      <c r="T16" s="167"/>
      <c r="U16" s="168"/>
      <c r="V16" s="168"/>
      <c r="W16" s="169"/>
      <c r="X16" s="167"/>
      <c r="Y16" s="168"/>
      <c r="Z16" s="168"/>
      <c r="AA16" s="169"/>
    </row>
    <row r="17" spans="1:23" ht="15" customHeight="1">
      <c r="B17" s="143" t="s">
        <v>4355</v>
      </c>
      <c r="C17"/>
      <c r="D17"/>
      <c r="E17"/>
      <c r="F17"/>
      <c r="G17"/>
      <c r="H17"/>
      <c r="I17"/>
      <c r="J17"/>
      <c r="K17"/>
      <c r="L17"/>
      <c r="M17"/>
      <c r="N17"/>
      <c r="O17"/>
    </row>
    <row r="18" spans="1:23" ht="13.5" customHeight="1">
      <c r="B18" s="134" t="s">
        <v>4356</v>
      </c>
      <c r="C18" s="135"/>
      <c r="D18" s="136"/>
      <c r="E18" s="2738" t="s">
        <v>4357</v>
      </c>
      <c r="F18" s="2739"/>
      <c r="G18" s="2739"/>
      <c r="H18" s="2739"/>
      <c r="I18" s="2739"/>
      <c r="J18" s="2739"/>
      <c r="K18" s="2739"/>
      <c r="L18" s="2739"/>
      <c r="M18" s="2739"/>
      <c r="N18" s="2739"/>
      <c r="O18" s="2739"/>
      <c r="P18" s="2739"/>
      <c r="Q18" s="2739"/>
      <c r="R18" s="2740"/>
      <c r="S18" s="2741"/>
      <c r="T18" s="2735" t="s">
        <v>4358</v>
      </c>
      <c r="U18" s="2742"/>
      <c r="V18" s="2742"/>
      <c r="W18" s="2743"/>
    </row>
    <row r="19" spans="1:23" ht="12.75" customHeight="1">
      <c r="B19" s="192"/>
      <c r="C19" s="193"/>
      <c r="D19" s="194"/>
      <c r="E19" s="242" t="s">
        <v>4100</v>
      </c>
      <c r="F19" s="243" t="s">
        <v>4101</v>
      </c>
      <c r="G19" s="243" t="s">
        <v>4359</v>
      </c>
      <c r="H19" s="243" t="s">
        <v>4359</v>
      </c>
      <c r="I19" s="243" t="s">
        <v>4104</v>
      </c>
      <c r="J19" s="244" t="s">
        <v>4360</v>
      </c>
      <c r="K19" s="246" t="s">
        <v>4361</v>
      </c>
      <c r="L19" s="243" t="s">
        <v>4362</v>
      </c>
      <c r="M19" s="243" t="s">
        <v>4363</v>
      </c>
      <c r="N19" s="243" t="s">
        <v>4364</v>
      </c>
      <c r="O19" s="247" t="s">
        <v>4365</v>
      </c>
      <c r="P19" s="248" t="s">
        <v>4366</v>
      </c>
      <c r="Q19" s="312" t="s">
        <v>4367</v>
      </c>
      <c r="R19" s="313" t="s">
        <v>4108</v>
      </c>
      <c r="S19" s="314" t="s">
        <v>4109</v>
      </c>
      <c r="T19" s="315" t="s">
        <v>4115</v>
      </c>
      <c r="U19" s="243" t="s">
        <v>4116</v>
      </c>
      <c r="V19" s="313" t="s">
        <v>4368</v>
      </c>
      <c r="W19" s="314" t="s">
        <v>4118</v>
      </c>
    </row>
    <row r="20" spans="1:23">
      <c r="B20" s="133" t="s">
        <v>4099</v>
      </c>
      <c r="C20" s="117" t="s">
        <v>4326</v>
      </c>
      <c r="D20" s="129" t="s">
        <v>4327</v>
      </c>
      <c r="E20" s="275"/>
      <c r="F20" s="245"/>
      <c r="G20" s="245" t="s">
        <v>4369</v>
      </c>
      <c r="H20" s="245" t="s">
        <v>4370</v>
      </c>
      <c r="I20" s="245"/>
      <c r="J20" s="245" t="s">
        <v>4371</v>
      </c>
      <c r="K20" s="245" t="s">
        <v>4372</v>
      </c>
      <c r="L20" s="245"/>
      <c r="M20" s="245" t="s">
        <v>4373</v>
      </c>
      <c r="N20" s="245" t="s">
        <v>4374</v>
      </c>
      <c r="O20" s="245" t="s">
        <v>1439</v>
      </c>
      <c r="P20" s="245" t="s">
        <v>4375</v>
      </c>
      <c r="Q20" s="316" t="s">
        <v>4376</v>
      </c>
      <c r="R20" s="194" t="s">
        <v>4377</v>
      </c>
      <c r="S20" s="317" t="s">
        <v>4377</v>
      </c>
      <c r="T20" s="318"/>
      <c r="U20" s="193"/>
      <c r="V20" s="319"/>
      <c r="W20" s="317"/>
    </row>
    <row r="21" spans="1:23" s="140" customFormat="1" ht="15.75" customHeight="1">
      <c r="A21" s="137"/>
      <c r="B21" s="138"/>
      <c r="C21" s="139"/>
      <c r="D21" s="141"/>
      <c r="E21" s="158">
        <f t="shared" ref="E21:W21" si="1">SUM(E22:E32)</f>
        <v>108438</v>
      </c>
      <c r="F21" s="159">
        <f t="shared" si="1"/>
        <v>0</v>
      </c>
      <c r="G21" s="159">
        <f t="shared" si="1"/>
        <v>0</v>
      </c>
      <c r="H21" s="159">
        <f t="shared" si="1"/>
        <v>0</v>
      </c>
      <c r="I21" s="159">
        <f t="shared" si="1"/>
        <v>367.90000000000003</v>
      </c>
      <c r="J21" s="159">
        <f t="shared" si="1"/>
        <v>36146</v>
      </c>
      <c r="K21" s="159">
        <f t="shared" si="1"/>
        <v>0</v>
      </c>
      <c r="L21" s="159">
        <f t="shared" si="1"/>
        <v>0</v>
      </c>
      <c r="M21" s="159">
        <f t="shared" si="1"/>
        <v>0</v>
      </c>
      <c r="N21" s="159">
        <f t="shared" si="1"/>
        <v>0</v>
      </c>
      <c r="O21" s="276">
        <f t="shared" si="1"/>
        <v>0</v>
      </c>
      <c r="P21" s="159">
        <f t="shared" si="1"/>
        <v>0</v>
      </c>
      <c r="Q21" s="320">
        <f t="shared" si="1"/>
        <v>0</v>
      </c>
      <c r="R21" s="159">
        <f t="shared" si="1"/>
        <v>0</v>
      </c>
      <c r="S21" s="160">
        <f t="shared" si="1"/>
        <v>0</v>
      </c>
      <c r="T21" s="323">
        <f t="shared" si="1"/>
        <v>0</v>
      </c>
      <c r="U21" s="159">
        <f t="shared" si="1"/>
        <v>0</v>
      </c>
      <c r="V21" s="320">
        <f t="shared" si="1"/>
        <v>0</v>
      </c>
      <c r="W21" s="160">
        <f t="shared" si="1"/>
        <v>0</v>
      </c>
    </row>
    <row r="22" spans="1:23" s="140" customFormat="1" ht="11.25" customHeight="1">
      <c r="B22" s="146"/>
      <c r="C22" s="147"/>
      <c r="D22" s="148"/>
      <c r="E22" s="164"/>
      <c r="F22" s="165"/>
      <c r="G22" s="165"/>
      <c r="H22" s="165"/>
      <c r="I22" s="165"/>
      <c r="J22" s="165"/>
      <c r="K22" s="165"/>
      <c r="L22" s="165"/>
      <c r="M22" s="165"/>
      <c r="N22" s="165"/>
      <c r="O22" s="249"/>
      <c r="P22" s="165"/>
      <c r="Q22" s="321"/>
      <c r="R22" s="165"/>
      <c r="S22" s="166"/>
      <c r="T22" s="324"/>
      <c r="U22" s="165"/>
      <c r="V22" s="321"/>
      <c r="W22" s="327"/>
    </row>
    <row r="23" spans="1:23" s="140" customFormat="1" ht="11.25" customHeight="1">
      <c r="B23" s="146" t="s">
        <v>4346</v>
      </c>
      <c r="C23" s="147" t="s">
        <v>4347</v>
      </c>
      <c r="D23" s="148">
        <v>1725</v>
      </c>
      <c r="E23" s="164">
        <f>D23*60</f>
        <v>103500</v>
      </c>
      <c r="F23" s="165"/>
      <c r="G23" s="165"/>
      <c r="H23" s="165"/>
      <c r="I23" s="165"/>
      <c r="J23" s="165">
        <f>D23*20</f>
        <v>34500</v>
      </c>
      <c r="K23" s="165"/>
      <c r="L23" s="165"/>
      <c r="M23" s="165"/>
      <c r="N23" s="165"/>
      <c r="O23" s="249"/>
      <c r="P23" s="165"/>
      <c r="Q23" s="321"/>
      <c r="R23" s="165"/>
      <c r="S23" s="166"/>
      <c r="T23" s="324"/>
      <c r="U23" s="165"/>
      <c r="V23" s="321"/>
      <c r="W23" s="327"/>
    </row>
    <row r="24" spans="1:23" s="140" customFormat="1" ht="11.25" customHeight="1">
      <c r="B24" s="146" t="s">
        <v>4346</v>
      </c>
      <c r="C24" s="147" t="s">
        <v>4347</v>
      </c>
      <c r="D24" s="148">
        <v>82.3</v>
      </c>
      <c r="E24" s="164">
        <f>D24*60</f>
        <v>4938</v>
      </c>
      <c r="F24" s="165"/>
      <c r="G24" s="165"/>
      <c r="H24" s="165"/>
      <c r="I24" s="165"/>
      <c r="J24" s="165">
        <f>D24*20</f>
        <v>1646</v>
      </c>
      <c r="K24" s="165"/>
      <c r="L24" s="165"/>
      <c r="M24" s="165"/>
      <c r="N24" s="165"/>
      <c r="O24" s="249"/>
      <c r="P24" s="165"/>
      <c r="Q24" s="321"/>
      <c r="R24" s="165"/>
      <c r="S24" s="166"/>
      <c r="T24" s="324"/>
      <c r="U24" s="165"/>
      <c r="V24" s="321"/>
      <c r="W24" s="327"/>
    </row>
    <row r="25" spans="1:23" s="140" customFormat="1" ht="11.25" customHeight="1">
      <c r="B25" s="146" t="s">
        <v>4348</v>
      </c>
      <c r="C25" s="147" t="s">
        <v>4351</v>
      </c>
      <c r="D25" s="148">
        <v>283</v>
      </c>
      <c r="E25" s="164"/>
      <c r="F25" s="165"/>
      <c r="G25" s="165"/>
      <c r="H25" s="165"/>
      <c r="I25" s="165">
        <f>D25*1.3</f>
        <v>367.90000000000003</v>
      </c>
      <c r="J25" s="165"/>
      <c r="K25" s="165"/>
      <c r="L25" s="165"/>
      <c r="M25" s="165"/>
      <c r="N25" s="165"/>
      <c r="O25" s="249"/>
      <c r="P25" s="165"/>
      <c r="Q25" s="321"/>
      <c r="R25" s="165"/>
      <c r="S25" s="166"/>
      <c r="T25" s="324"/>
      <c r="U25" s="165"/>
      <c r="V25" s="321"/>
      <c r="W25" s="327"/>
    </row>
    <row r="26" spans="1:23" s="140" customFormat="1" ht="11.25" customHeight="1">
      <c r="B26" s="146"/>
      <c r="C26" s="147"/>
      <c r="D26" s="148"/>
      <c r="E26" s="164"/>
      <c r="F26" s="165"/>
      <c r="G26" s="165"/>
      <c r="H26" s="165"/>
      <c r="I26" s="165"/>
      <c r="J26" s="165"/>
      <c r="K26" s="165"/>
      <c r="L26" s="165"/>
      <c r="M26" s="165"/>
      <c r="N26" s="165"/>
      <c r="O26" s="249"/>
      <c r="P26" s="165"/>
      <c r="Q26" s="321"/>
      <c r="R26" s="165"/>
      <c r="S26" s="166"/>
      <c r="T26" s="324"/>
      <c r="U26" s="165"/>
      <c r="V26" s="321"/>
      <c r="W26" s="327"/>
    </row>
    <row r="27" spans="1:23" s="140" customFormat="1" ht="11.25" customHeight="1">
      <c r="A27" s="127" t="s">
        <v>4378</v>
      </c>
      <c r="B27" s="146"/>
      <c r="C27" s="147"/>
      <c r="D27" s="148"/>
      <c r="E27" s="164"/>
      <c r="F27" s="165"/>
      <c r="G27" s="165"/>
      <c r="H27" s="165"/>
      <c r="I27" s="165"/>
      <c r="J27" s="165"/>
      <c r="K27" s="165"/>
      <c r="L27" s="165"/>
      <c r="M27" s="165"/>
      <c r="N27" s="165"/>
      <c r="O27" s="249"/>
      <c r="P27" s="165"/>
      <c r="Q27" s="321"/>
      <c r="R27" s="165"/>
      <c r="S27" s="166"/>
      <c r="T27" s="324"/>
      <c r="U27" s="165">
        <f>$D27*O27</f>
        <v>0</v>
      </c>
      <c r="V27" s="321">
        <f>$D27*P27</f>
        <v>0</v>
      </c>
      <c r="W27" s="329"/>
    </row>
    <row r="28" spans="1:23">
      <c r="A28" s="80"/>
      <c r="B28" s="144"/>
      <c r="C28" s="145"/>
      <c r="D28" s="151"/>
      <c r="E28" s="167"/>
      <c r="F28" s="168"/>
      <c r="G28" s="168"/>
      <c r="H28" s="250"/>
      <c r="I28" s="250"/>
      <c r="J28" s="250"/>
      <c r="K28" s="250"/>
      <c r="L28" s="250"/>
      <c r="M28" s="250"/>
      <c r="N28" s="250"/>
      <c r="O28" s="250"/>
      <c r="P28" s="250"/>
      <c r="Q28" s="322"/>
      <c r="R28" s="168"/>
      <c r="S28" s="169"/>
      <c r="T28" s="325"/>
      <c r="U28" s="168">
        <f>$D28*O28</f>
        <v>0</v>
      </c>
      <c r="V28" s="326">
        <f>$D28*P28</f>
        <v>0</v>
      </c>
      <c r="W28" s="328"/>
    </row>
    <row r="29" spans="1:23">
      <c r="E29" s="80"/>
    </row>
  </sheetData>
  <mergeCells count="15">
    <mergeCell ref="X7:AA7"/>
    <mergeCell ref="E18:S18"/>
    <mergeCell ref="T18:W18"/>
    <mergeCell ref="G5:J5"/>
    <mergeCell ref="O2:R2"/>
    <mergeCell ref="O3:R3"/>
    <mergeCell ref="O4:R4"/>
    <mergeCell ref="O5:R5"/>
    <mergeCell ref="G2:J2"/>
    <mergeCell ref="G3:J3"/>
    <mergeCell ref="G4:J4"/>
    <mergeCell ref="H7:K7"/>
    <mergeCell ref="T7:W7"/>
    <mergeCell ref="L7:O7"/>
    <mergeCell ref="P7:S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AH13"/>
  <sheetViews>
    <sheetView workbookViewId="0">
      <pane xSplit="4" topLeftCell="E1" activePane="topRight" state="frozen"/>
      <selection activeCell="C73" sqref="C73"/>
      <selection pane="topRight"/>
    </sheetView>
  </sheetViews>
  <sheetFormatPr defaultColWidth="9" defaultRowHeight="12"/>
  <cols>
    <col min="1" max="1" width="3.625" style="106" customWidth="1"/>
    <col min="2" max="2" width="4.875" style="106" customWidth="1"/>
    <col min="3" max="3" width="16.375" style="106" customWidth="1"/>
    <col min="4" max="4" width="16.625" style="106" customWidth="1"/>
    <col min="5" max="5" width="5.125" style="106" bestFit="1" customWidth="1"/>
    <col min="6" max="6" width="23.625" style="106" bestFit="1" customWidth="1"/>
    <col min="7" max="13" width="4.625" style="106" customWidth="1"/>
    <col min="14" max="34" width="5.625" style="106" customWidth="1"/>
    <col min="35" max="16384" width="9" style="106"/>
  </cols>
  <sheetData>
    <row r="1" spans="1:34">
      <c r="A1" s="106" t="s">
        <v>4562</v>
      </c>
      <c r="B1" s="106" t="s">
        <v>4563</v>
      </c>
      <c r="C1" s="106" t="s">
        <v>4564</v>
      </c>
      <c r="D1" s="106" t="s">
        <v>4565</v>
      </c>
      <c r="E1" s="106" t="s">
        <v>4566</v>
      </c>
      <c r="F1" s="106" t="s">
        <v>4567</v>
      </c>
      <c r="G1" s="106" t="s">
        <v>4568</v>
      </c>
      <c r="H1" s="106" t="s">
        <v>4569</v>
      </c>
      <c r="I1" s="106" t="s">
        <v>4570</v>
      </c>
      <c r="J1" s="106" t="s">
        <v>4571</v>
      </c>
      <c r="K1" s="106" t="s">
        <v>4572</v>
      </c>
      <c r="L1" s="106" t="s">
        <v>4573</v>
      </c>
      <c r="M1" s="106" t="s">
        <v>4574</v>
      </c>
      <c r="N1" s="106" t="s">
        <v>4575</v>
      </c>
      <c r="O1" s="106" t="s">
        <v>4100</v>
      </c>
      <c r="P1" s="106" t="s">
        <v>4576</v>
      </c>
      <c r="Q1" s="106" t="s">
        <v>4577</v>
      </c>
      <c r="R1" s="106" t="s">
        <v>4578</v>
      </c>
      <c r="S1" s="106" t="s">
        <v>4367</v>
      </c>
      <c r="T1" s="106" t="s">
        <v>4579</v>
      </c>
      <c r="U1" s="106" t="s">
        <v>4580</v>
      </c>
      <c r="V1" s="106" t="s">
        <v>4362</v>
      </c>
      <c r="W1" s="106" t="s">
        <v>4581</v>
      </c>
      <c r="X1" s="106" t="s">
        <v>4582</v>
      </c>
      <c r="Y1" s="106" t="s">
        <v>4583</v>
      </c>
      <c r="Z1" s="106" t="s">
        <v>4111</v>
      </c>
      <c r="AA1" s="106" t="s">
        <v>4584</v>
      </c>
      <c r="AB1" s="106" t="s">
        <v>4113</v>
      </c>
      <c r="AC1" s="106" t="s">
        <v>4114</v>
      </c>
      <c r="AD1" s="106" t="s">
        <v>4115</v>
      </c>
      <c r="AE1" s="106" t="s">
        <v>4585</v>
      </c>
      <c r="AF1" s="106" t="s">
        <v>4586</v>
      </c>
      <c r="AG1" s="106" t="s">
        <v>4118</v>
      </c>
      <c r="AH1" s="106" t="s">
        <v>4587</v>
      </c>
    </row>
    <row r="2" spans="1:34">
      <c r="A2" s="106">
        <v>3</v>
      </c>
      <c r="B2" s="106">
        <v>101</v>
      </c>
      <c r="C2" s="106" t="s">
        <v>4588</v>
      </c>
      <c r="D2" s="106" t="s">
        <v>4589</v>
      </c>
      <c r="E2" s="106" t="s">
        <v>4246</v>
      </c>
      <c r="N2" s="106">
        <v>1000</v>
      </c>
    </row>
    <row r="3" spans="1:34">
      <c r="A3" s="106">
        <v>3</v>
      </c>
      <c r="B3" s="106">
        <v>102</v>
      </c>
      <c r="C3" s="106" t="s">
        <v>4588</v>
      </c>
      <c r="D3" s="106" t="s">
        <v>4291</v>
      </c>
      <c r="E3" s="106" t="s">
        <v>4246</v>
      </c>
      <c r="N3" s="106">
        <v>1000</v>
      </c>
    </row>
    <row r="4" spans="1:34">
      <c r="A4" s="106">
        <v>3</v>
      </c>
      <c r="B4" s="106">
        <v>103</v>
      </c>
      <c r="C4" s="106" t="s">
        <v>4588</v>
      </c>
      <c r="D4" s="106" t="s">
        <v>4590</v>
      </c>
      <c r="E4" s="106" t="s">
        <v>4246</v>
      </c>
      <c r="N4" s="106">
        <v>1000</v>
      </c>
    </row>
    <row r="5" spans="1:34">
      <c r="A5" s="106">
        <v>3</v>
      </c>
      <c r="B5" s="106">
        <v>104</v>
      </c>
      <c r="C5" s="106" t="s">
        <v>4591</v>
      </c>
      <c r="D5" s="106" t="s">
        <v>4592</v>
      </c>
      <c r="E5" s="106" t="s">
        <v>4246</v>
      </c>
      <c r="N5" s="106">
        <v>1000</v>
      </c>
    </row>
    <row r="6" spans="1:34">
      <c r="A6" s="106">
        <v>3</v>
      </c>
      <c r="B6" s="106">
        <v>105</v>
      </c>
      <c r="C6" s="106" t="s">
        <v>4591</v>
      </c>
      <c r="D6" s="106" t="s">
        <v>4593</v>
      </c>
      <c r="E6" s="106" t="s">
        <v>4246</v>
      </c>
      <c r="N6" s="106">
        <v>1000</v>
      </c>
    </row>
    <row r="7" spans="1:34">
      <c r="A7" s="106">
        <v>4</v>
      </c>
      <c r="B7" s="106">
        <v>106</v>
      </c>
      <c r="C7" s="106" t="s">
        <v>4594</v>
      </c>
      <c r="D7" s="106" t="s">
        <v>4595</v>
      </c>
      <c r="E7" s="106" t="s">
        <v>4287</v>
      </c>
      <c r="N7" s="106">
        <v>0</v>
      </c>
    </row>
    <row r="8" spans="1:34">
      <c r="A8" s="106">
        <v>4</v>
      </c>
      <c r="B8" s="106">
        <v>107</v>
      </c>
      <c r="C8" s="106" t="s">
        <v>4594</v>
      </c>
      <c r="D8" s="106" t="s">
        <v>4596</v>
      </c>
      <c r="E8" s="106" t="s">
        <v>4287</v>
      </c>
      <c r="N8" s="106">
        <v>0</v>
      </c>
    </row>
    <row r="9" spans="1:34">
      <c r="A9" s="106">
        <v>4</v>
      </c>
      <c r="B9" s="106">
        <v>109</v>
      </c>
      <c r="C9" s="106" t="s">
        <v>4594</v>
      </c>
      <c r="D9" s="106" t="s">
        <v>4597</v>
      </c>
      <c r="E9" s="106" t="s">
        <v>4287</v>
      </c>
      <c r="N9" s="106">
        <v>0</v>
      </c>
    </row>
    <row r="10" spans="1:34">
      <c r="A10" s="106">
        <v>3</v>
      </c>
      <c r="B10" s="106">
        <v>110</v>
      </c>
      <c r="C10" s="106" t="s">
        <v>4594</v>
      </c>
      <c r="D10" s="106" t="s">
        <v>4598</v>
      </c>
      <c r="E10" s="106" t="s">
        <v>4287</v>
      </c>
      <c r="N10" s="106">
        <v>0</v>
      </c>
    </row>
    <row r="11" spans="1:34" s="521" customFormat="1">
      <c r="A11" s="521">
        <v>4</v>
      </c>
      <c r="B11" s="521">
        <v>108</v>
      </c>
      <c r="C11" s="521" t="s">
        <v>4594</v>
      </c>
      <c r="D11" s="521" t="s">
        <v>4599</v>
      </c>
      <c r="E11" s="521" t="s">
        <v>4287</v>
      </c>
      <c r="N11" s="521">
        <v>0</v>
      </c>
      <c r="O11" s="521">
        <v>1</v>
      </c>
      <c r="P11" s="521">
        <v>2</v>
      </c>
      <c r="Q11" s="521">
        <v>3</v>
      </c>
      <c r="R11" s="521">
        <v>4</v>
      </c>
      <c r="S11" s="521">
        <v>5</v>
      </c>
      <c r="T11" s="521">
        <v>6</v>
      </c>
      <c r="U11" s="521">
        <v>7</v>
      </c>
      <c r="V11" s="521">
        <v>8</v>
      </c>
      <c r="W11" s="521">
        <v>9</v>
      </c>
      <c r="X11" s="521">
        <v>10</v>
      </c>
      <c r="Y11" s="521">
        <v>11</v>
      </c>
      <c r="Z11" s="521">
        <v>12</v>
      </c>
      <c r="AA11" s="521">
        <v>13</v>
      </c>
      <c r="AB11" s="521">
        <v>14</v>
      </c>
      <c r="AC11" s="521">
        <v>15</v>
      </c>
      <c r="AD11" s="521">
        <v>16</v>
      </c>
      <c r="AE11" s="521">
        <v>17</v>
      </c>
      <c r="AF11" s="521">
        <v>18</v>
      </c>
      <c r="AG11" s="521">
        <v>19</v>
      </c>
      <c r="AH11" s="521">
        <v>20</v>
      </c>
    </row>
    <row r="12" spans="1:34">
      <c r="A12" s="106">
        <v>99</v>
      </c>
      <c r="B12" s="106">
        <v>1</v>
      </c>
      <c r="C12" s="106" t="str">
        <f>代価!$D$5</f>
        <v>未記入</v>
      </c>
      <c r="D12" s="106" t="str">
        <f>代価!$E$5</f>
        <v>未記入</v>
      </c>
      <c r="E12" s="106" t="str">
        <f>代価!$G$5</f>
        <v>未記入</v>
      </c>
      <c r="F12" s="106">
        <f>代価!$J$5</f>
        <v>0</v>
      </c>
      <c r="H12" s="106">
        <f>代価!$I24</f>
        <v>0</v>
      </c>
      <c r="I12" s="106" t="s">
        <v>4600</v>
      </c>
      <c r="J12" s="106" t="s">
        <v>4600</v>
      </c>
      <c r="K12" s="106" t="s">
        <v>4600</v>
      </c>
      <c r="L12" s="106" t="s">
        <v>4600</v>
      </c>
      <c r="M12" s="106" t="s">
        <v>4600</v>
      </c>
      <c r="N12" s="106">
        <f>代価!$O$24</f>
        <v>0</v>
      </c>
      <c r="O12" s="106">
        <f>代価!$P$24</f>
        <v>0</v>
      </c>
      <c r="P12" s="106">
        <f>代価!$Q$24</f>
        <v>0</v>
      </c>
      <c r="Q12" s="106">
        <f>代価!$R$24</f>
        <v>0</v>
      </c>
      <c r="R12" s="106">
        <f>代価!$S$24</f>
        <v>0</v>
      </c>
      <c r="S12" s="106">
        <f>代価!$T$24</f>
        <v>0</v>
      </c>
      <c r="T12" s="106">
        <f>代価!$U$24</f>
        <v>0</v>
      </c>
      <c r="U12" s="106">
        <f>代価!$V$24</f>
        <v>0</v>
      </c>
      <c r="V12" s="106">
        <f>代価!$W$24</f>
        <v>0</v>
      </c>
      <c r="W12" s="106">
        <f>代価!$X$24</f>
        <v>0</v>
      </c>
      <c r="X12" s="106">
        <f>代価!$Y$24</f>
        <v>0</v>
      </c>
      <c r="Y12" s="106">
        <f>代価!$Z$24</f>
        <v>0</v>
      </c>
      <c r="Z12" s="106">
        <f>代価!$AA$24</f>
        <v>0</v>
      </c>
      <c r="AA12" s="106">
        <f>代価!$AB$24</f>
        <v>0</v>
      </c>
      <c r="AB12" s="106">
        <f>代価!$AC$24</f>
        <v>0</v>
      </c>
      <c r="AC12" s="106">
        <f>代価!$AD$24</f>
        <v>0</v>
      </c>
      <c r="AD12" s="106">
        <f>代価!$AE$24</f>
        <v>0</v>
      </c>
      <c r="AE12" s="106">
        <f>代価!$AF$24</f>
        <v>0</v>
      </c>
      <c r="AF12" s="106">
        <f>代価!$AG$24</f>
        <v>0</v>
      </c>
    </row>
    <row r="13" spans="1:34">
      <c r="A13" s="106">
        <v>99</v>
      </c>
      <c r="B13" s="106">
        <v>2</v>
      </c>
      <c r="C13" s="106" t="str">
        <f>代価!$D$28</f>
        <v>会所４００角</v>
      </c>
      <c r="D13" s="106" t="str">
        <f>代価!$E$28</f>
        <v xml:space="preserve"> H=1200 根切共</v>
      </c>
      <c r="E13" s="106" t="str">
        <f>代価!$G$28</f>
        <v>ヵ所</v>
      </c>
      <c r="F13" s="106">
        <f>代価!$J$28</f>
        <v>0</v>
      </c>
      <c r="H13" s="106">
        <f>代価!$I47</f>
        <v>0</v>
      </c>
      <c r="I13" s="106" t="s">
        <v>4600</v>
      </c>
      <c r="J13" s="106" t="s">
        <v>4600</v>
      </c>
      <c r="K13" s="106" t="s">
        <v>4600</v>
      </c>
      <c r="L13" s="106" t="s">
        <v>4600</v>
      </c>
      <c r="M13" s="106" t="s">
        <v>4600</v>
      </c>
      <c r="N13" s="106">
        <f>代価!$O$47</f>
        <v>0</v>
      </c>
      <c r="O13" s="106">
        <f>代価!$P$47</f>
        <v>0</v>
      </c>
      <c r="P13" s="106">
        <f>代価!$Q$47</f>
        <v>0</v>
      </c>
      <c r="Q13" s="106">
        <f>代価!$R$47</f>
        <v>0</v>
      </c>
      <c r="R13" s="106">
        <f>代価!$S$47</f>
        <v>0</v>
      </c>
      <c r="S13" s="106">
        <f>代価!$T$47</f>
        <v>0</v>
      </c>
      <c r="T13" s="106">
        <f>代価!$U$47</f>
        <v>0</v>
      </c>
      <c r="U13" s="106">
        <f>代価!$V$47</f>
        <v>0</v>
      </c>
      <c r="V13" s="106">
        <f>代価!$W$47</f>
        <v>0</v>
      </c>
      <c r="W13" s="106">
        <f>代価!$X$47</f>
        <v>0</v>
      </c>
      <c r="X13" s="106">
        <f>代価!$Y$47</f>
        <v>0</v>
      </c>
      <c r="Y13" s="106">
        <f>代価!$Z$47</f>
        <v>0</v>
      </c>
      <c r="Z13" s="106">
        <f>代価!$AA$47</f>
        <v>0</v>
      </c>
      <c r="AA13" s="106">
        <f>代価!$AB$47</f>
        <v>0</v>
      </c>
      <c r="AB13" s="106">
        <f>代価!$AC$47</f>
        <v>0</v>
      </c>
      <c r="AC13" s="106">
        <f>代価!$AD$47</f>
        <v>0</v>
      </c>
      <c r="AD13" s="106">
        <f>代価!$AE$47</f>
        <v>0</v>
      </c>
      <c r="AE13" s="106">
        <f>代価!$AF$47</f>
        <v>0</v>
      </c>
      <c r="AF13" s="106">
        <f>代価!$AG$47</f>
        <v>0</v>
      </c>
    </row>
  </sheetData>
  <phoneticPr fontId="2"/>
  <pageMargins left="0.78740157480314965" right="0.78740157480314965" top="0.98425196850393704" bottom="0.98425196850393704" header="0.51181102362204722" footer="0.51181102362204722"/>
  <pageSetup paperSize="9" scale="57" orientation="landscape"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B1687"/>
  <sheetViews>
    <sheetView workbookViewId="0"/>
  </sheetViews>
  <sheetFormatPr defaultColWidth="8.875" defaultRowHeight="13.5"/>
  <cols>
    <col min="1" max="1" width="9.5" bestFit="1" customWidth="1"/>
    <col min="2" max="2" width="93.875" bestFit="1" customWidth="1"/>
  </cols>
  <sheetData>
    <row r="1" spans="1:2">
      <c r="A1" t="s">
        <v>4601</v>
      </c>
      <c r="B1" t="s">
        <v>4602</v>
      </c>
    </row>
    <row r="2" spans="1:2">
      <c r="A2" s="615">
        <v>10100101</v>
      </c>
      <c r="B2" t="s">
        <v>715</v>
      </c>
    </row>
    <row r="3" spans="1:2">
      <c r="A3" s="615">
        <v>10100201</v>
      </c>
      <c r="B3" t="s">
        <v>717</v>
      </c>
    </row>
    <row r="4" spans="1:2">
      <c r="A4" s="615">
        <v>10100301</v>
      </c>
      <c r="B4" t="s">
        <v>719</v>
      </c>
    </row>
    <row r="5" spans="1:2">
      <c r="A5" s="615">
        <v>10100401</v>
      </c>
      <c r="B5" t="s">
        <v>721</v>
      </c>
    </row>
    <row r="6" spans="1:2">
      <c r="A6" s="615">
        <v>10100501</v>
      </c>
      <c r="B6" t="s">
        <v>723</v>
      </c>
    </row>
    <row r="7" spans="1:2">
      <c r="A7" s="615">
        <v>10100601</v>
      </c>
      <c r="B7" t="s">
        <v>725</v>
      </c>
    </row>
    <row r="8" spans="1:2">
      <c r="A8" s="615">
        <v>10199901</v>
      </c>
      <c r="B8" t="s">
        <v>727</v>
      </c>
    </row>
    <row r="9" spans="1:2">
      <c r="A9" s="615">
        <v>10500701</v>
      </c>
      <c r="B9" t="s">
        <v>729</v>
      </c>
    </row>
    <row r="10" spans="1:2">
      <c r="A10" s="615">
        <v>10500702</v>
      </c>
      <c r="B10" t="s">
        <v>731</v>
      </c>
    </row>
    <row r="11" spans="1:2">
      <c r="A11" s="615">
        <v>10500703</v>
      </c>
      <c r="B11" t="s">
        <v>733</v>
      </c>
    </row>
    <row r="12" spans="1:2">
      <c r="A12" s="615">
        <v>10500704</v>
      </c>
      <c r="B12" t="s">
        <v>735</v>
      </c>
    </row>
    <row r="13" spans="1:2">
      <c r="A13" s="615">
        <v>10500705</v>
      </c>
      <c r="B13" t="s">
        <v>737</v>
      </c>
    </row>
    <row r="14" spans="1:2">
      <c r="A14" s="615">
        <v>10500706</v>
      </c>
      <c r="B14" t="s">
        <v>739</v>
      </c>
    </row>
    <row r="15" spans="1:2">
      <c r="A15" s="615">
        <v>10500707</v>
      </c>
      <c r="B15" t="s">
        <v>741</v>
      </c>
    </row>
    <row r="16" spans="1:2">
      <c r="A16" s="615">
        <v>10500708</v>
      </c>
      <c r="B16" t="s">
        <v>743</v>
      </c>
    </row>
    <row r="17" spans="1:2">
      <c r="A17" s="615">
        <v>10500709</v>
      </c>
      <c r="B17" t="s">
        <v>745</v>
      </c>
    </row>
    <row r="18" spans="1:2">
      <c r="A18" s="615">
        <v>10500801</v>
      </c>
      <c r="B18" t="s">
        <v>780</v>
      </c>
    </row>
    <row r="19" spans="1:2">
      <c r="A19" s="615">
        <v>10500802</v>
      </c>
      <c r="B19" t="s">
        <v>782</v>
      </c>
    </row>
    <row r="20" spans="1:2">
      <c r="A20" s="615">
        <v>10500803</v>
      </c>
      <c r="B20" t="s">
        <v>784</v>
      </c>
    </row>
    <row r="21" spans="1:2">
      <c r="A21" s="615">
        <v>10500804</v>
      </c>
      <c r="B21" t="s">
        <v>786</v>
      </c>
    </row>
    <row r="22" spans="1:2">
      <c r="A22" s="615">
        <v>10500805</v>
      </c>
      <c r="B22" t="s">
        <v>788</v>
      </c>
    </row>
    <row r="23" spans="1:2">
      <c r="A23" s="615">
        <v>10500806</v>
      </c>
      <c r="B23" t="s">
        <v>790</v>
      </c>
    </row>
    <row r="24" spans="1:2">
      <c r="A24" s="615">
        <v>10500807</v>
      </c>
      <c r="B24" t="s">
        <v>792</v>
      </c>
    </row>
    <row r="25" spans="1:2">
      <c r="A25">
        <v>10500808</v>
      </c>
      <c r="B25" t="s">
        <v>794</v>
      </c>
    </row>
    <row r="26" spans="1:2">
      <c r="A26">
        <v>10500809</v>
      </c>
      <c r="B26" t="s">
        <v>796</v>
      </c>
    </row>
    <row r="27" spans="1:2">
      <c r="A27" s="615">
        <v>10500901</v>
      </c>
      <c r="B27" t="s">
        <v>831</v>
      </c>
    </row>
    <row r="28" spans="1:2">
      <c r="A28" s="615">
        <v>10500902</v>
      </c>
      <c r="B28" t="s">
        <v>833</v>
      </c>
    </row>
    <row r="29" spans="1:2">
      <c r="A29" s="615">
        <v>10500903</v>
      </c>
      <c r="B29" t="s">
        <v>835</v>
      </c>
    </row>
    <row r="30" spans="1:2">
      <c r="A30" s="615">
        <v>10500904</v>
      </c>
      <c r="B30" t="s">
        <v>837</v>
      </c>
    </row>
    <row r="31" spans="1:2">
      <c r="A31" s="615">
        <v>10500905</v>
      </c>
      <c r="B31" t="s">
        <v>839</v>
      </c>
    </row>
    <row r="32" spans="1:2">
      <c r="A32" s="615">
        <v>10500906</v>
      </c>
      <c r="B32" t="s">
        <v>841</v>
      </c>
    </row>
    <row r="33" spans="1:2">
      <c r="A33" s="615">
        <v>10500907</v>
      </c>
      <c r="B33" t="s">
        <v>843</v>
      </c>
    </row>
    <row r="34" spans="1:2">
      <c r="A34" s="615">
        <v>10500908</v>
      </c>
      <c r="B34" t="s">
        <v>845</v>
      </c>
    </row>
    <row r="35" spans="1:2">
      <c r="A35">
        <v>10500909</v>
      </c>
      <c r="B35" t="s">
        <v>847</v>
      </c>
    </row>
    <row r="36" spans="1:2">
      <c r="A36">
        <v>10501001</v>
      </c>
      <c r="B36" t="s">
        <v>882</v>
      </c>
    </row>
    <row r="37" spans="1:2">
      <c r="A37">
        <v>10501002</v>
      </c>
      <c r="B37" t="s">
        <v>884</v>
      </c>
    </row>
    <row r="38" spans="1:2">
      <c r="A38">
        <v>10501003</v>
      </c>
      <c r="B38" t="s">
        <v>886</v>
      </c>
    </row>
    <row r="39" spans="1:2">
      <c r="A39">
        <v>10501004</v>
      </c>
      <c r="B39" t="s">
        <v>888</v>
      </c>
    </row>
    <row r="40" spans="1:2">
      <c r="A40">
        <v>10501005</v>
      </c>
      <c r="B40" t="s">
        <v>890</v>
      </c>
    </row>
    <row r="41" spans="1:2">
      <c r="A41">
        <v>10501006</v>
      </c>
      <c r="B41" t="s">
        <v>892</v>
      </c>
    </row>
    <row r="42" spans="1:2">
      <c r="A42">
        <v>10501007</v>
      </c>
      <c r="B42" t="s">
        <v>894</v>
      </c>
    </row>
    <row r="43" spans="1:2">
      <c r="A43">
        <v>10501008</v>
      </c>
      <c r="B43" t="s">
        <v>896</v>
      </c>
    </row>
    <row r="44" spans="1:2">
      <c r="A44">
        <v>10501009</v>
      </c>
      <c r="B44" t="s">
        <v>898</v>
      </c>
    </row>
    <row r="45" spans="1:2">
      <c r="A45" s="615">
        <v>10501101</v>
      </c>
      <c r="B45" t="s">
        <v>933</v>
      </c>
    </row>
    <row r="46" spans="1:2">
      <c r="A46" s="615">
        <v>10501102</v>
      </c>
      <c r="B46" t="s">
        <v>935</v>
      </c>
    </row>
    <row r="47" spans="1:2">
      <c r="A47" s="615">
        <v>10501103</v>
      </c>
      <c r="B47" t="s">
        <v>937</v>
      </c>
    </row>
    <row r="48" spans="1:2">
      <c r="A48" s="615">
        <v>10501104</v>
      </c>
      <c r="B48" t="s">
        <v>939</v>
      </c>
    </row>
    <row r="49" spans="1:2">
      <c r="A49" s="615">
        <v>10501105</v>
      </c>
      <c r="B49" t="s">
        <v>941</v>
      </c>
    </row>
    <row r="50" spans="1:2">
      <c r="A50" s="615">
        <v>10501106</v>
      </c>
      <c r="B50" t="s">
        <v>943</v>
      </c>
    </row>
    <row r="51" spans="1:2">
      <c r="A51" s="615">
        <v>10501107</v>
      </c>
      <c r="B51" t="s">
        <v>945</v>
      </c>
    </row>
    <row r="52" spans="1:2">
      <c r="A52">
        <v>10501108</v>
      </c>
      <c r="B52" t="s">
        <v>947</v>
      </c>
    </row>
    <row r="53" spans="1:2">
      <c r="A53">
        <v>10501109</v>
      </c>
      <c r="B53" t="s">
        <v>949</v>
      </c>
    </row>
    <row r="54" spans="1:2">
      <c r="A54">
        <v>10501201</v>
      </c>
      <c r="B54" t="s">
        <v>984</v>
      </c>
    </row>
    <row r="55" spans="1:2">
      <c r="A55">
        <v>10501202</v>
      </c>
      <c r="B55" t="s">
        <v>986</v>
      </c>
    </row>
    <row r="56" spans="1:2">
      <c r="A56">
        <v>10501203</v>
      </c>
      <c r="B56" t="s">
        <v>988</v>
      </c>
    </row>
    <row r="57" spans="1:2">
      <c r="A57">
        <v>10501204</v>
      </c>
      <c r="B57" t="s">
        <v>990</v>
      </c>
    </row>
    <row r="58" spans="1:2">
      <c r="A58">
        <v>10501205</v>
      </c>
      <c r="B58" t="s">
        <v>992</v>
      </c>
    </row>
    <row r="59" spans="1:2">
      <c r="A59">
        <v>10501206</v>
      </c>
      <c r="B59" t="s">
        <v>994</v>
      </c>
    </row>
    <row r="60" spans="1:2">
      <c r="A60">
        <v>10501207</v>
      </c>
      <c r="B60" t="s">
        <v>996</v>
      </c>
    </row>
    <row r="61" spans="1:2">
      <c r="A61">
        <v>10501208</v>
      </c>
      <c r="B61" t="s">
        <v>998</v>
      </c>
    </row>
    <row r="62" spans="1:2">
      <c r="A62">
        <v>10501209</v>
      </c>
      <c r="B62" t="s">
        <v>1000</v>
      </c>
    </row>
    <row r="63" spans="1:2">
      <c r="A63">
        <v>10501301</v>
      </c>
      <c r="B63" t="s">
        <v>1035</v>
      </c>
    </row>
    <row r="64" spans="1:2">
      <c r="A64">
        <v>10501302</v>
      </c>
      <c r="B64" t="s">
        <v>1037</v>
      </c>
    </row>
    <row r="65" spans="1:2">
      <c r="A65">
        <v>10501303</v>
      </c>
      <c r="B65" t="s">
        <v>1039</v>
      </c>
    </row>
    <row r="66" spans="1:2">
      <c r="A66">
        <v>10501304</v>
      </c>
      <c r="B66" t="s">
        <v>1041</v>
      </c>
    </row>
    <row r="67" spans="1:2">
      <c r="A67">
        <v>10501305</v>
      </c>
      <c r="B67" t="s">
        <v>1043</v>
      </c>
    </row>
    <row r="68" spans="1:2">
      <c r="A68">
        <v>10501306</v>
      </c>
      <c r="B68" t="s">
        <v>1045</v>
      </c>
    </row>
    <row r="69" spans="1:2">
      <c r="A69">
        <v>10501307</v>
      </c>
      <c r="B69" t="s">
        <v>1047</v>
      </c>
    </row>
    <row r="70" spans="1:2">
      <c r="A70">
        <v>10501308</v>
      </c>
      <c r="B70" t="s">
        <v>1049</v>
      </c>
    </row>
    <row r="71" spans="1:2">
      <c r="A71">
        <v>10501309</v>
      </c>
      <c r="B71" t="s">
        <v>1051</v>
      </c>
    </row>
    <row r="72" spans="1:2">
      <c r="A72">
        <v>10599901</v>
      </c>
      <c r="B72" t="s">
        <v>1086</v>
      </c>
    </row>
    <row r="73" spans="1:2">
      <c r="A73">
        <v>10599902</v>
      </c>
      <c r="B73" t="s">
        <v>1088</v>
      </c>
    </row>
    <row r="74" spans="1:2">
      <c r="A74">
        <v>10599903</v>
      </c>
      <c r="B74" t="s">
        <v>1090</v>
      </c>
    </row>
    <row r="75" spans="1:2">
      <c r="A75">
        <v>10599904</v>
      </c>
      <c r="B75" t="s">
        <v>1092</v>
      </c>
    </row>
    <row r="76" spans="1:2">
      <c r="A76">
        <v>10599905</v>
      </c>
      <c r="B76" t="s">
        <v>1094</v>
      </c>
    </row>
    <row r="77" spans="1:2">
      <c r="A77">
        <v>10599906</v>
      </c>
      <c r="B77" t="s">
        <v>1096</v>
      </c>
    </row>
    <row r="78" spans="1:2">
      <c r="A78">
        <v>10599907</v>
      </c>
      <c r="B78" t="s">
        <v>1098</v>
      </c>
    </row>
    <row r="79" spans="1:2">
      <c r="A79">
        <v>10599908</v>
      </c>
      <c r="B79" t="s">
        <v>1100</v>
      </c>
    </row>
    <row r="80" spans="1:2">
      <c r="A80">
        <v>10599909</v>
      </c>
      <c r="B80" t="s">
        <v>1102</v>
      </c>
    </row>
    <row r="81" spans="1:2">
      <c r="A81">
        <v>10599910</v>
      </c>
      <c r="B81" t="s">
        <v>1104</v>
      </c>
    </row>
    <row r="82" spans="1:2">
      <c r="A82">
        <v>10599911</v>
      </c>
      <c r="B82" t="s">
        <v>1106</v>
      </c>
    </row>
    <row r="83" spans="1:2">
      <c r="A83">
        <v>10599912</v>
      </c>
      <c r="B83" t="s">
        <v>1108</v>
      </c>
    </row>
    <row r="84" spans="1:2">
      <c r="A84">
        <v>10599913</v>
      </c>
      <c r="B84" t="s">
        <v>1110</v>
      </c>
    </row>
    <row r="85" spans="1:2">
      <c r="A85">
        <v>10599914</v>
      </c>
      <c r="B85" t="s">
        <v>1112</v>
      </c>
    </row>
    <row r="86" spans="1:2">
      <c r="A86">
        <v>10599915</v>
      </c>
      <c r="B86" t="s">
        <v>1114</v>
      </c>
    </row>
    <row r="87" spans="1:2">
      <c r="A87">
        <v>10599916</v>
      </c>
      <c r="B87" t="s">
        <v>1116</v>
      </c>
    </row>
    <row r="88" spans="1:2">
      <c r="A88">
        <v>10599917</v>
      </c>
      <c r="B88" t="s">
        <v>1118</v>
      </c>
    </row>
    <row r="89" spans="1:2">
      <c r="A89">
        <v>10599918</v>
      </c>
      <c r="B89" t="s">
        <v>1120</v>
      </c>
    </row>
    <row r="90" spans="1:2">
      <c r="A90">
        <v>10599919</v>
      </c>
      <c r="B90" t="s">
        <v>1122</v>
      </c>
    </row>
    <row r="91" spans="1:2">
      <c r="A91">
        <v>10599920</v>
      </c>
      <c r="B91" t="s">
        <v>1124</v>
      </c>
    </row>
    <row r="92" spans="1:2">
      <c r="A92">
        <v>10599921</v>
      </c>
      <c r="B92" t="s">
        <v>1126</v>
      </c>
    </row>
    <row r="93" spans="1:2">
      <c r="A93">
        <v>10599922</v>
      </c>
      <c r="B93" t="s">
        <v>1128</v>
      </c>
    </row>
    <row r="94" spans="1:2">
      <c r="A94">
        <v>10599923</v>
      </c>
      <c r="B94" t="s">
        <v>1130</v>
      </c>
    </row>
    <row r="95" spans="1:2">
      <c r="A95">
        <v>10599924</v>
      </c>
      <c r="B95" t="s">
        <v>1132</v>
      </c>
    </row>
    <row r="96" spans="1:2">
      <c r="A96">
        <v>10599925</v>
      </c>
      <c r="B96" t="s">
        <v>1134</v>
      </c>
    </row>
    <row r="97" spans="1:2">
      <c r="A97">
        <v>10599926</v>
      </c>
      <c r="B97" t="s">
        <v>1136</v>
      </c>
    </row>
    <row r="98" spans="1:2">
      <c r="A98">
        <v>10599927</v>
      </c>
      <c r="B98" t="s">
        <v>1138</v>
      </c>
    </row>
    <row r="99" spans="1:2">
      <c r="A99">
        <v>10500710</v>
      </c>
      <c r="B99" t="s">
        <v>747</v>
      </c>
    </row>
    <row r="100" spans="1:2">
      <c r="A100">
        <v>10500711</v>
      </c>
      <c r="B100" t="s">
        <v>749</v>
      </c>
    </row>
    <row r="101" spans="1:2">
      <c r="A101">
        <v>10500712</v>
      </c>
      <c r="B101" t="s">
        <v>751</v>
      </c>
    </row>
    <row r="102" spans="1:2">
      <c r="A102">
        <v>10500713</v>
      </c>
      <c r="B102" t="s">
        <v>753</v>
      </c>
    </row>
    <row r="103" spans="1:2">
      <c r="A103">
        <v>10500714</v>
      </c>
      <c r="B103" t="s">
        <v>755</v>
      </c>
    </row>
    <row r="104" spans="1:2">
      <c r="A104">
        <v>10500715</v>
      </c>
      <c r="B104" t="s">
        <v>757</v>
      </c>
    </row>
    <row r="105" spans="1:2">
      <c r="A105">
        <v>10500716</v>
      </c>
      <c r="B105" t="s">
        <v>759</v>
      </c>
    </row>
    <row r="106" spans="1:2">
      <c r="A106">
        <v>10500717</v>
      </c>
      <c r="B106" t="s">
        <v>761</v>
      </c>
    </row>
    <row r="107" spans="1:2">
      <c r="A107">
        <v>10500718</v>
      </c>
      <c r="B107" t="s">
        <v>763</v>
      </c>
    </row>
    <row r="108" spans="1:2">
      <c r="A108">
        <v>10500719</v>
      </c>
      <c r="B108" t="s">
        <v>765</v>
      </c>
    </row>
    <row r="109" spans="1:2">
      <c r="A109">
        <v>10500720</v>
      </c>
      <c r="B109" t="s">
        <v>767</v>
      </c>
    </row>
    <row r="110" spans="1:2">
      <c r="A110">
        <v>10500721</v>
      </c>
      <c r="B110" t="s">
        <v>769</v>
      </c>
    </row>
    <row r="111" spans="1:2">
      <c r="A111">
        <v>10500722</v>
      </c>
      <c r="B111" t="s">
        <v>771</v>
      </c>
    </row>
    <row r="112" spans="1:2">
      <c r="A112">
        <v>10500723</v>
      </c>
      <c r="B112" t="s">
        <v>773</v>
      </c>
    </row>
    <row r="113" spans="1:2">
      <c r="A113">
        <v>10500724</v>
      </c>
      <c r="B113" t="s">
        <v>775</v>
      </c>
    </row>
    <row r="114" spans="1:2">
      <c r="A114">
        <v>10500725</v>
      </c>
      <c r="B114" t="s">
        <v>777</v>
      </c>
    </row>
    <row r="115" spans="1:2">
      <c r="A115">
        <v>10500810</v>
      </c>
      <c r="B115" t="s">
        <v>798</v>
      </c>
    </row>
    <row r="116" spans="1:2">
      <c r="A116">
        <v>10500811</v>
      </c>
      <c r="B116" t="s">
        <v>800</v>
      </c>
    </row>
    <row r="117" spans="1:2">
      <c r="A117">
        <v>10500812</v>
      </c>
      <c r="B117" t="s">
        <v>802</v>
      </c>
    </row>
    <row r="118" spans="1:2">
      <c r="A118">
        <v>10500813</v>
      </c>
      <c r="B118" t="s">
        <v>804</v>
      </c>
    </row>
    <row r="119" spans="1:2">
      <c r="A119">
        <v>10500814</v>
      </c>
      <c r="B119" t="s">
        <v>806</v>
      </c>
    </row>
    <row r="120" spans="1:2">
      <c r="A120">
        <v>10500815</v>
      </c>
      <c r="B120" t="s">
        <v>808</v>
      </c>
    </row>
    <row r="121" spans="1:2">
      <c r="A121">
        <v>10500816</v>
      </c>
      <c r="B121" t="s">
        <v>810</v>
      </c>
    </row>
    <row r="122" spans="1:2">
      <c r="A122">
        <v>10500817</v>
      </c>
      <c r="B122" t="s">
        <v>812</v>
      </c>
    </row>
    <row r="123" spans="1:2">
      <c r="A123">
        <v>10500818</v>
      </c>
      <c r="B123" t="s">
        <v>814</v>
      </c>
    </row>
    <row r="124" spans="1:2">
      <c r="A124">
        <v>10500819</v>
      </c>
      <c r="B124" t="s">
        <v>816</v>
      </c>
    </row>
    <row r="125" spans="1:2">
      <c r="A125">
        <v>10500820</v>
      </c>
      <c r="B125" t="s">
        <v>818</v>
      </c>
    </row>
    <row r="126" spans="1:2">
      <c r="A126">
        <v>10500821</v>
      </c>
      <c r="B126" t="s">
        <v>820</v>
      </c>
    </row>
    <row r="127" spans="1:2">
      <c r="A127">
        <v>10500822</v>
      </c>
      <c r="B127" t="s">
        <v>822</v>
      </c>
    </row>
    <row r="128" spans="1:2">
      <c r="A128">
        <v>10500823</v>
      </c>
      <c r="B128" t="s">
        <v>824</v>
      </c>
    </row>
    <row r="129" spans="1:2">
      <c r="A129">
        <v>10500824</v>
      </c>
      <c r="B129" t="s">
        <v>826</v>
      </c>
    </row>
    <row r="130" spans="1:2">
      <c r="A130">
        <v>10500825</v>
      </c>
      <c r="B130" t="s">
        <v>828</v>
      </c>
    </row>
    <row r="131" spans="1:2">
      <c r="A131">
        <v>10500910</v>
      </c>
      <c r="B131" t="s">
        <v>849</v>
      </c>
    </row>
    <row r="132" spans="1:2">
      <c r="A132">
        <v>10500911</v>
      </c>
      <c r="B132" t="s">
        <v>851</v>
      </c>
    </row>
    <row r="133" spans="1:2">
      <c r="A133">
        <v>10500912</v>
      </c>
      <c r="B133" t="s">
        <v>853</v>
      </c>
    </row>
    <row r="134" spans="1:2">
      <c r="A134">
        <v>10500913</v>
      </c>
      <c r="B134" t="s">
        <v>855</v>
      </c>
    </row>
    <row r="135" spans="1:2">
      <c r="A135">
        <v>10500914</v>
      </c>
      <c r="B135" t="s">
        <v>857</v>
      </c>
    </row>
    <row r="136" spans="1:2">
      <c r="A136">
        <v>10500915</v>
      </c>
      <c r="B136" t="s">
        <v>859</v>
      </c>
    </row>
    <row r="137" spans="1:2">
      <c r="A137">
        <v>10500916</v>
      </c>
      <c r="B137" t="s">
        <v>861</v>
      </c>
    </row>
    <row r="138" spans="1:2">
      <c r="A138">
        <v>10500917</v>
      </c>
      <c r="B138" t="s">
        <v>863</v>
      </c>
    </row>
    <row r="139" spans="1:2">
      <c r="A139">
        <v>10500918</v>
      </c>
      <c r="B139" t="s">
        <v>865</v>
      </c>
    </row>
    <row r="140" spans="1:2">
      <c r="A140">
        <v>10500919</v>
      </c>
      <c r="B140" t="s">
        <v>867</v>
      </c>
    </row>
    <row r="141" spans="1:2">
      <c r="A141">
        <v>10500920</v>
      </c>
      <c r="B141" t="s">
        <v>869</v>
      </c>
    </row>
    <row r="142" spans="1:2">
      <c r="A142">
        <v>10500921</v>
      </c>
      <c r="B142" t="s">
        <v>871</v>
      </c>
    </row>
    <row r="143" spans="1:2">
      <c r="A143">
        <v>10500922</v>
      </c>
      <c r="B143" t="s">
        <v>873</v>
      </c>
    </row>
    <row r="144" spans="1:2">
      <c r="A144">
        <v>10500923</v>
      </c>
      <c r="B144" t="s">
        <v>875</v>
      </c>
    </row>
    <row r="145" spans="1:2">
      <c r="A145">
        <v>10500924</v>
      </c>
      <c r="B145" t="s">
        <v>877</v>
      </c>
    </row>
    <row r="146" spans="1:2">
      <c r="A146">
        <v>10500925</v>
      </c>
      <c r="B146" t="s">
        <v>879</v>
      </c>
    </row>
    <row r="147" spans="1:2">
      <c r="A147">
        <v>10501010</v>
      </c>
      <c r="B147" t="s">
        <v>900</v>
      </c>
    </row>
    <row r="148" spans="1:2">
      <c r="A148">
        <v>10501011</v>
      </c>
      <c r="B148" t="s">
        <v>902</v>
      </c>
    </row>
    <row r="149" spans="1:2">
      <c r="A149">
        <v>10501012</v>
      </c>
      <c r="B149" t="s">
        <v>904</v>
      </c>
    </row>
    <row r="150" spans="1:2">
      <c r="A150">
        <v>10501013</v>
      </c>
      <c r="B150" t="s">
        <v>906</v>
      </c>
    </row>
    <row r="151" spans="1:2">
      <c r="A151">
        <v>10501014</v>
      </c>
      <c r="B151" t="s">
        <v>908</v>
      </c>
    </row>
    <row r="152" spans="1:2">
      <c r="A152">
        <v>10501015</v>
      </c>
      <c r="B152" t="s">
        <v>910</v>
      </c>
    </row>
    <row r="153" spans="1:2">
      <c r="A153">
        <v>10501016</v>
      </c>
      <c r="B153" t="s">
        <v>912</v>
      </c>
    </row>
    <row r="154" spans="1:2">
      <c r="A154">
        <v>10501017</v>
      </c>
      <c r="B154" t="s">
        <v>914</v>
      </c>
    </row>
    <row r="155" spans="1:2">
      <c r="A155">
        <v>10501018</v>
      </c>
      <c r="B155" t="s">
        <v>916</v>
      </c>
    </row>
    <row r="156" spans="1:2">
      <c r="A156">
        <v>10501019</v>
      </c>
      <c r="B156" t="s">
        <v>918</v>
      </c>
    </row>
    <row r="157" spans="1:2">
      <c r="A157">
        <v>10501020</v>
      </c>
      <c r="B157" t="s">
        <v>920</v>
      </c>
    </row>
    <row r="158" spans="1:2">
      <c r="A158">
        <v>10501021</v>
      </c>
      <c r="B158" t="s">
        <v>922</v>
      </c>
    </row>
    <row r="159" spans="1:2">
      <c r="A159">
        <v>10501022</v>
      </c>
      <c r="B159" t="s">
        <v>924</v>
      </c>
    </row>
    <row r="160" spans="1:2">
      <c r="A160">
        <v>10501023</v>
      </c>
      <c r="B160" t="s">
        <v>926</v>
      </c>
    </row>
    <row r="161" spans="1:2">
      <c r="A161">
        <v>10501024</v>
      </c>
      <c r="B161" t="s">
        <v>928</v>
      </c>
    </row>
    <row r="162" spans="1:2">
      <c r="A162">
        <v>10501025</v>
      </c>
      <c r="B162" t="s">
        <v>930</v>
      </c>
    </row>
    <row r="163" spans="1:2">
      <c r="A163">
        <v>10501110</v>
      </c>
      <c r="B163" t="s">
        <v>951</v>
      </c>
    </row>
    <row r="164" spans="1:2">
      <c r="A164">
        <v>10501111</v>
      </c>
      <c r="B164" t="s">
        <v>953</v>
      </c>
    </row>
    <row r="165" spans="1:2">
      <c r="A165">
        <v>10501112</v>
      </c>
      <c r="B165" t="s">
        <v>955</v>
      </c>
    </row>
    <row r="166" spans="1:2">
      <c r="A166">
        <v>10501113</v>
      </c>
      <c r="B166" t="s">
        <v>957</v>
      </c>
    </row>
    <row r="167" spans="1:2">
      <c r="A167">
        <v>10501114</v>
      </c>
      <c r="B167" t="s">
        <v>959</v>
      </c>
    </row>
    <row r="168" spans="1:2">
      <c r="A168">
        <v>10501115</v>
      </c>
      <c r="B168" t="s">
        <v>961</v>
      </c>
    </row>
    <row r="169" spans="1:2">
      <c r="A169">
        <v>10501116</v>
      </c>
      <c r="B169" t="s">
        <v>963</v>
      </c>
    </row>
    <row r="170" spans="1:2">
      <c r="A170">
        <v>10501117</v>
      </c>
      <c r="B170" t="s">
        <v>965</v>
      </c>
    </row>
    <row r="171" spans="1:2">
      <c r="A171">
        <v>10501118</v>
      </c>
      <c r="B171" t="s">
        <v>967</v>
      </c>
    </row>
    <row r="172" spans="1:2">
      <c r="A172">
        <v>10501119</v>
      </c>
      <c r="B172" t="s">
        <v>969</v>
      </c>
    </row>
    <row r="173" spans="1:2">
      <c r="A173">
        <v>10501120</v>
      </c>
      <c r="B173" t="s">
        <v>971</v>
      </c>
    </row>
    <row r="174" spans="1:2">
      <c r="A174">
        <v>10501121</v>
      </c>
      <c r="B174" t="s">
        <v>973</v>
      </c>
    </row>
    <row r="175" spans="1:2">
      <c r="A175">
        <v>10501122</v>
      </c>
      <c r="B175" t="s">
        <v>975</v>
      </c>
    </row>
    <row r="176" spans="1:2">
      <c r="A176">
        <v>10501123</v>
      </c>
      <c r="B176" t="s">
        <v>977</v>
      </c>
    </row>
    <row r="177" spans="1:2">
      <c r="A177">
        <v>10501124</v>
      </c>
      <c r="B177" t="s">
        <v>979</v>
      </c>
    </row>
    <row r="178" spans="1:2">
      <c r="A178">
        <v>10501125</v>
      </c>
      <c r="B178" t="s">
        <v>981</v>
      </c>
    </row>
    <row r="179" spans="1:2">
      <c r="A179">
        <v>10501210</v>
      </c>
      <c r="B179" t="s">
        <v>1002</v>
      </c>
    </row>
    <row r="180" spans="1:2">
      <c r="A180">
        <v>10501211</v>
      </c>
      <c r="B180" t="s">
        <v>1004</v>
      </c>
    </row>
    <row r="181" spans="1:2">
      <c r="A181">
        <v>10501212</v>
      </c>
      <c r="B181" t="s">
        <v>1006</v>
      </c>
    </row>
    <row r="182" spans="1:2">
      <c r="A182">
        <v>10501213</v>
      </c>
      <c r="B182" t="s">
        <v>1008</v>
      </c>
    </row>
    <row r="183" spans="1:2">
      <c r="A183">
        <v>10501214</v>
      </c>
      <c r="B183" t="s">
        <v>1010</v>
      </c>
    </row>
    <row r="184" spans="1:2">
      <c r="A184">
        <v>10501215</v>
      </c>
      <c r="B184" t="s">
        <v>1012</v>
      </c>
    </row>
    <row r="185" spans="1:2">
      <c r="A185">
        <v>10501216</v>
      </c>
      <c r="B185" t="s">
        <v>1014</v>
      </c>
    </row>
    <row r="186" spans="1:2">
      <c r="A186">
        <v>10501217</v>
      </c>
      <c r="B186" t="s">
        <v>1016</v>
      </c>
    </row>
    <row r="187" spans="1:2">
      <c r="A187">
        <v>10501218</v>
      </c>
      <c r="B187" t="s">
        <v>1018</v>
      </c>
    </row>
    <row r="188" spans="1:2">
      <c r="A188">
        <v>10501219</v>
      </c>
      <c r="B188" t="s">
        <v>1020</v>
      </c>
    </row>
    <row r="189" spans="1:2">
      <c r="A189">
        <v>10501220</v>
      </c>
      <c r="B189" t="s">
        <v>1022</v>
      </c>
    </row>
    <row r="190" spans="1:2">
      <c r="A190">
        <v>10501221</v>
      </c>
      <c r="B190" t="s">
        <v>1024</v>
      </c>
    </row>
    <row r="191" spans="1:2">
      <c r="A191">
        <v>10501222</v>
      </c>
      <c r="B191" t="s">
        <v>1026</v>
      </c>
    </row>
    <row r="192" spans="1:2">
      <c r="A192">
        <v>10501223</v>
      </c>
      <c r="B192" t="s">
        <v>1028</v>
      </c>
    </row>
    <row r="193" spans="1:2">
      <c r="A193">
        <v>10501224</v>
      </c>
      <c r="B193" t="s">
        <v>1030</v>
      </c>
    </row>
    <row r="194" spans="1:2">
      <c r="A194">
        <v>10501225</v>
      </c>
      <c r="B194" t="s">
        <v>1032</v>
      </c>
    </row>
    <row r="195" spans="1:2">
      <c r="A195">
        <v>10501310</v>
      </c>
      <c r="B195" t="s">
        <v>1053</v>
      </c>
    </row>
    <row r="196" spans="1:2">
      <c r="A196">
        <v>10501311</v>
      </c>
      <c r="B196" t="s">
        <v>1055</v>
      </c>
    </row>
    <row r="197" spans="1:2">
      <c r="A197">
        <v>10501312</v>
      </c>
      <c r="B197" t="s">
        <v>1057</v>
      </c>
    </row>
    <row r="198" spans="1:2">
      <c r="A198">
        <v>10501313</v>
      </c>
      <c r="B198" t="s">
        <v>1059</v>
      </c>
    </row>
    <row r="199" spans="1:2">
      <c r="A199">
        <v>10501314</v>
      </c>
      <c r="B199" t="s">
        <v>1061</v>
      </c>
    </row>
    <row r="200" spans="1:2">
      <c r="A200">
        <v>10501315</v>
      </c>
      <c r="B200" t="s">
        <v>1063</v>
      </c>
    </row>
    <row r="201" spans="1:2">
      <c r="A201">
        <v>10501316</v>
      </c>
      <c r="B201" t="s">
        <v>1065</v>
      </c>
    </row>
    <row r="202" spans="1:2">
      <c r="A202">
        <v>10501317</v>
      </c>
      <c r="B202" t="s">
        <v>1067</v>
      </c>
    </row>
    <row r="203" spans="1:2">
      <c r="A203">
        <v>10501318</v>
      </c>
      <c r="B203" t="s">
        <v>1069</v>
      </c>
    </row>
    <row r="204" spans="1:2">
      <c r="A204">
        <v>10501319</v>
      </c>
      <c r="B204" t="s">
        <v>1071</v>
      </c>
    </row>
    <row r="205" spans="1:2">
      <c r="A205">
        <v>10501320</v>
      </c>
      <c r="B205" t="s">
        <v>1073</v>
      </c>
    </row>
    <row r="206" spans="1:2">
      <c r="A206">
        <v>10501321</v>
      </c>
      <c r="B206" t="s">
        <v>1075</v>
      </c>
    </row>
    <row r="207" spans="1:2">
      <c r="A207">
        <v>10501322</v>
      </c>
      <c r="B207" t="s">
        <v>1077</v>
      </c>
    </row>
    <row r="208" spans="1:2">
      <c r="A208">
        <v>10501323</v>
      </c>
      <c r="B208" t="s">
        <v>1079</v>
      </c>
    </row>
    <row r="209" spans="1:2">
      <c r="A209">
        <v>10501324</v>
      </c>
      <c r="B209" t="s">
        <v>1081</v>
      </c>
    </row>
    <row r="210" spans="1:2">
      <c r="A210">
        <v>10501325</v>
      </c>
      <c r="B210" t="s">
        <v>1083</v>
      </c>
    </row>
    <row r="211" spans="1:2">
      <c r="A211">
        <v>10599928</v>
      </c>
      <c r="B211" t="s">
        <v>1140</v>
      </c>
    </row>
    <row r="212" spans="1:2">
      <c r="A212">
        <v>10599929</v>
      </c>
      <c r="B212" t="s">
        <v>1142</v>
      </c>
    </row>
    <row r="213" spans="1:2">
      <c r="A213">
        <v>10599930</v>
      </c>
      <c r="B213" t="s">
        <v>1144</v>
      </c>
    </row>
    <row r="214" spans="1:2">
      <c r="A214">
        <v>10599931</v>
      </c>
      <c r="B214" t="s">
        <v>1146</v>
      </c>
    </row>
    <row r="215" spans="1:2">
      <c r="A215">
        <v>10599932</v>
      </c>
      <c r="B215" t="s">
        <v>1148</v>
      </c>
    </row>
    <row r="216" spans="1:2">
      <c r="A216">
        <v>10599933</v>
      </c>
      <c r="B216" t="s">
        <v>1150</v>
      </c>
    </row>
    <row r="217" spans="1:2">
      <c r="A217">
        <v>10599934</v>
      </c>
      <c r="B217" t="s">
        <v>1152</v>
      </c>
    </row>
    <row r="218" spans="1:2">
      <c r="A218">
        <v>10599935</v>
      </c>
      <c r="B218" t="s">
        <v>1154</v>
      </c>
    </row>
    <row r="219" spans="1:2">
      <c r="A219">
        <v>10599936</v>
      </c>
      <c r="B219" t="s">
        <v>1156</v>
      </c>
    </row>
    <row r="220" spans="1:2">
      <c r="A220">
        <v>10599937</v>
      </c>
      <c r="B220" t="s">
        <v>1158</v>
      </c>
    </row>
    <row r="221" spans="1:2">
      <c r="A221">
        <v>10599938</v>
      </c>
      <c r="B221" t="s">
        <v>1160</v>
      </c>
    </row>
    <row r="222" spans="1:2">
      <c r="A222">
        <v>10599939</v>
      </c>
      <c r="B222" t="s">
        <v>1162</v>
      </c>
    </row>
    <row r="223" spans="1:2">
      <c r="A223">
        <v>10599940</v>
      </c>
      <c r="B223" t="s">
        <v>1164</v>
      </c>
    </row>
    <row r="224" spans="1:2">
      <c r="A224">
        <v>10599941</v>
      </c>
      <c r="B224" t="s">
        <v>1166</v>
      </c>
    </row>
    <row r="225" spans="1:2">
      <c r="A225">
        <v>10599942</v>
      </c>
      <c r="B225" t="s">
        <v>1168</v>
      </c>
    </row>
    <row r="226" spans="1:2">
      <c r="A226">
        <v>10599943</v>
      </c>
      <c r="B226" t="s">
        <v>1170</v>
      </c>
    </row>
    <row r="227" spans="1:2">
      <c r="A227">
        <v>11001401</v>
      </c>
      <c r="B227" t="s">
        <v>1172</v>
      </c>
    </row>
    <row r="228" spans="1:2">
      <c r="A228">
        <v>11001402</v>
      </c>
      <c r="B228" t="s">
        <v>1174</v>
      </c>
    </row>
    <row r="229" spans="1:2">
      <c r="A229">
        <v>11001403</v>
      </c>
      <c r="B229" t="s">
        <v>1176</v>
      </c>
    </row>
    <row r="230" spans="1:2">
      <c r="A230">
        <v>11001404</v>
      </c>
      <c r="B230" t="s">
        <v>1178</v>
      </c>
    </row>
    <row r="231" spans="1:2">
      <c r="A231">
        <v>11001405</v>
      </c>
      <c r="B231" t="s">
        <v>1180</v>
      </c>
    </row>
    <row r="232" spans="1:2">
      <c r="A232">
        <v>11001406</v>
      </c>
      <c r="B232" t="s">
        <v>1182</v>
      </c>
    </row>
    <row r="233" spans="1:2">
      <c r="A233">
        <v>11001407</v>
      </c>
      <c r="B233" t="s">
        <v>1184</v>
      </c>
    </row>
    <row r="234" spans="1:2">
      <c r="A234">
        <v>11001408</v>
      </c>
      <c r="B234" t="s">
        <v>1186</v>
      </c>
    </row>
    <row r="235" spans="1:2">
      <c r="A235">
        <v>11001501</v>
      </c>
      <c r="B235" t="s">
        <v>1188</v>
      </c>
    </row>
    <row r="236" spans="1:2">
      <c r="A236">
        <v>11001502</v>
      </c>
      <c r="B236" t="s">
        <v>1190</v>
      </c>
    </row>
    <row r="237" spans="1:2">
      <c r="A237">
        <v>11001503</v>
      </c>
      <c r="B237" t="s">
        <v>1192</v>
      </c>
    </row>
    <row r="238" spans="1:2">
      <c r="A238">
        <v>11001504</v>
      </c>
      <c r="B238" t="s">
        <v>1194</v>
      </c>
    </row>
    <row r="239" spans="1:2">
      <c r="A239">
        <v>11001601</v>
      </c>
      <c r="B239" t="s">
        <v>1196</v>
      </c>
    </row>
    <row r="240" spans="1:2">
      <c r="A240">
        <v>11001602</v>
      </c>
      <c r="B240" t="s">
        <v>1198</v>
      </c>
    </row>
    <row r="241" spans="1:2">
      <c r="A241">
        <v>11001603</v>
      </c>
      <c r="B241" t="s">
        <v>4603</v>
      </c>
    </row>
    <row r="242" spans="1:2">
      <c r="A242">
        <v>11001701</v>
      </c>
      <c r="B242" t="s">
        <v>1202</v>
      </c>
    </row>
    <row r="243" spans="1:2">
      <c r="A243">
        <v>11001702</v>
      </c>
      <c r="B243" t="s">
        <v>4604</v>
      </c>
    </row>
    <row r="244" spans="1:2">
      <c r="A244">
        <v>11001703</v>
      </c>
      <c r="B244" t="s">
        <v>4605</v>
      </c>
    </row>
    <row r="245" spans="1:2">
      <c r="A245">
        <v>11001801</v>
      </c>
      <c r="B245" t="s">
        <v>1208</v>
      </c>
    </row>
    <row r="246" spans="1:2">
      <c r="A246">
        <v>11001802</v>
      </c>
      <c r="B246" t="s">
        <v>4606</v>
      </c>
    </row>
    <row r="247" spans="1:2">
      <c r="A247">
        <v>11001901</v>
      </c>
      <c r="B247" t="s">
        <v>1212</v>
      </c>
    </row>
    <row r="248" spans="1:2">
      <c r="A248">
        <v>11002001</v>
      </c>
      <c r="B248" t="s">
        <v>1214</v>
      </c>
    </row>
    <row r="249" spans="1:2">
      <c r="A249">
        <v>11002002</v>
      </c>
      <c r="B249" t="s">
        <v>1216</v>
      </c>
    </row>
    <row r="250" spans="1:2">
      <c r="A250">
        <v>11002101</v>
      </c>
      <c r="B250" t="s">
        <v>4607</v>
      </c>
    </row>
    <row r="251" spans="1:2">
      <c r="A251">
        <v>11002102</v>
      </c>
      <c r="B251" t="s">
        <v>4608</v>
      </c>
    </row>
    <row r="252" spans="1:2">
      <c r="A252">
        <v>11002103</v>
      </c>
      <c r="B252" t="s">
        <v>4609</v>
      </c>
    </row>
    <row r="253" spans="1:2">
      <c r="A253">
        <v>11007701</v>
      </c>
      <c r="B253" t="s">
        <v>1288</v>
      </c>
    </row>
    <row r="254" spans="1:2">
      <c r="A254">
        <v>11007801</v>
      </c>
      <c r="B254" t="s">
        <v>1290</v>
      </c>
    </row>
    <row r="255" spans="1:2">
      <c r="A255">
        <v>11007901</v>
      </c>
      <c r="B255" t="s">
        <v>1292</v>
      </c>
    </row>
    <row r="256" spans="1:2">
      <c r="A256">
        <v>11002201</v>
      </c>
      <c r="B256" t="s">
        <v>1224</v>
      </c>
    </row>
    <row r="257" spans="1:2">
      <c r="A257">
        <v>11002301</v>
      </c>
      <c r="B257" t="s">
        <v>1226</v>
      </c>
    </row>
    <row r="258" spans="1:2">
      <c r="A258">
        <v>11002401</v>
      </c>
      <c r="B258" t="s">
        <v>4610</v>
      </c>
    </row>
    <row r="259" spans="1:2">
      <c r="A259">
        <v>11002501</v>
      </c>
      <c r="B259" t="s">
        <v>1230</v>
      </c>
    </row>
    <row r="260" spans="1:2">
      <c r="A260">
        <v>11002601</v>
      </c>
      <c r="B260" t="s">
        <v>1232</v>
      </c>
    </row>
    <row r="261" spans="1:2">
      <c r="A261">
        <v>11002701</v>
      </c>
      <c r="B261" t="s">
        <v>1234</v>
      </c>
    </row>
    <row r="262" spans="1:2">
      <c r="A262">
        <v>11002801</v>
      </c>
      <c r="B262" t="s">
        <v>1236</v>
      </c>
    </row>
    <row r="263" spans="1:2">
      <c r="A263">
        <v>11002901</v>
      </c>
      <c r="B263" t="s">
        <v>1238</v>
      </c>
    </row>
    <row r="264" spans="1:2">
      <c r="A264">
        <v>11003001</v>
      </c>
      <c r="B264" t="s">
        <v>1240</v>
      </c>
    </row>
    <row r="265" spans="1:2">
      <c r="A265">
        <v>11003101</v>
      </c>
      <c r="B265" t="s">
        <v>1242</v>
      </c>
    </row>
    <row r="266" spans="1:2">
      <c r="A266">
        <v>11003201</v>
      </c>
      <c r="B266" t="s">
        <v>1244</v>
      </c>
    </row>
    <row r="267" spans="1:2">
      <c r="A267">
        <v>11003301</v>
      </c>
      <c r="B267" t="s">
        <v>1246</v>
      </c>
    </row>
    <row r="268" spans="1:2">
      <c r="A268">
        <v>11003401</v>
      </c>
      <c r="B268" t="s">
        <v>1248</v>
      </c>
    </row>
    <row r="269" spans="1:2">
      <c r="A269">
        <v>11003501</v>
      </c>
      <c r="B269" t="s">
        <v>1250</v>
      </c>
    </row>
    <row r="270" spans="1:2">
      <c r="A270">
        <v>11003601</v>
      </c>
      <c r="B270" t="s">
        <v>1252</v>
      </c>
    </row>
    <row r="271" spans="1:2">
      <c r="A271">
        <v>11003701</v>
      </c>
      <c r="B271" t="s">
        <v>1254</v>
      </c>
    </row>
    <row r="272" spans="1:2">
      <c r="A272">
        <v>11003801</v>
      </c>
      <c r="B272" t="s">
        <v>1256</v>
      </c>
    </row>
    <row r="273" spans="1:2">
      <c r="A273">
        <v>11003901</v>
      </c>
      <c r="B273" t="s">
        <v>1258</v>
      </c>
    </row>
    <row r="274" spans="1:2">
      <c r="A274">
        <v>11004001</v>
      </c>
      <c r="B274" t="s">
        <v>1260</v>
      </c>
    </row>
    <row r="275" spans="1:2">
      <c r="A275">
        <v>11004101</v>
      </c>
      <c r="B275" t="s">
        <v>1262</v>
      </c>
    </row>
    <row r="276" spans="1:2">
      <c r="A276">
        <v>11004201</v>
      </c>
      <c r="B276" t="s">
        <v>1264</v>
      </c>
    </row>
    <row r="277" spans="1:2">
      <c r="A277">
        <v>11004301</v>
      </c>
      <c r="B277" t="s">
        <v>1266</v>
      </c>
    </row>
    <row r="278" spans="1:2">
      <c r="A278">
        <v>11004401</v>
      </c>
      <c r="B278" t="s">
        <v>1268</v>
      </c>
    </row>
    <row r="279" spans="1:2">
      <c r="A279">
        <v>11004501</v>
      </c>
      <c r="B279" t="s">
        <v>1270</v>
      </c>
    </row>
    <row r="280" spans="1:2">
      <c r="A280">
        <v>11004601</v>
      </c>
      <c r="B280" t="s">
        <v>1272</v>
      </c>
    </row>
    <row r="281" spans="1:2">
      <c r="A281">
        <v>11004701</v>
      </c>
      <c r="B281" t="s">
        <v>1274</v>
      </c>
    </row>
    <row r="282" spans="1:2">
      <c r="A282">
        <v>11004801</v>
      </c>
      <c r="B282" t="s">
        <v>1276</v>
      </c>
    </row>
    <row r="283" spans="1:2">
      <c r="A283">
        <v>11004802</v>
      </c>
      <c r="B283" t="s">
        <v>1278</v>
      </c>
    </row>
    <row r="284" spans="1:2">
      <c r="A284">
        <v>11004803</v>
      </c>
      <c r="B284" t="s">
        <v>1280</v>
      </c>
    </row>
    <row r="285" spans="1:2">
      <c r="A285">
        <v>11004804</v>
      </c>
      <c r="B285" t="s">
        <v>1282</v>
      </c>
    </row>
    <row r="286" spans="1:2">
      <c r="A286">
        <v>11004901</v>
      </c>
      <c r="B286" t="s">
        <v>1284</v>
      </c>
    </row>
    <row r="287" spans="1:2">
      <c r="A287">
        <v>11005001</v>
      </c>
      <c r="B287" t="s">
        <v>1286</v>
      </c>
    </row>
    <row r="288" spans="1:2">
      <c r="A288">
        <v>11099901</v>
      </c>
      <c r="B288" t="s">
        <v>1294</v>
      </c>
    </row>
    <row r="289" spans="1:2">
      <c r="A289">
        <v>11004901</v>
      </c>
      <c r="B289" t="s">
        <v>4611</v>
      </c>
    </row>
    <row r="290" spans="1:2">
      <c r="A290">
        <v>11004902</v>
      </c>
      <c r="B290" t="s">
        <v>4612</v>
      </c>
    </row>
    <row r="291" spans="1:2">
      <c r="A291">
        <v>11004903</v>
      </c>
      <c r="B291" t="s">
        <v>4613</v>
      </c>
    </row>
    <row r="292" spans="1:2">
      <c r="A292">
        <v>11004904</v>
      </c>
      <c r="B292" t="s">
        <v>4614</v>
      </c>
    </row>
    <row r="293" spans="1:2">
      <c r="A293">
        <v>11004905</v>
      </c>
      <c r="B293" t="s">
        <v>4615</v>
      </c>
    </row>
    <row r="294" spans="1:2">
      <c r="A294">
        <v>11004906</v>
      </c>
      <c r="B294" t="s">
        <v>4616</v>
      </c>
    </row>
    <row r="295" spans="1:2">
      <c r="A295">
        <v>11004907</v>
      </c>
      <c r="B295" t="s">
        <v>4617</v>
      </c>
    </row>
    <row r="296" spans="1:2">
      <c r="A296">
        <v>11004908</v>
      </c>
      <c r="B296" t="s">
        <v>4618</v>
      </c>
    </row>
    <row r="297" spans="1:2">
      <c r="A297">
        <v>11004909</v>
      </c>
      <c r="B297" t="s">
        <v>4619</v>
      </c>
    </row>
    <row r="298" spans="1:2">
      <c r="A298">
        <v>11004910</v>
      </c>
      <c r="B298" t="s">
        <v>4620</v>
      </c>
    </row>
    <row r="299" spans="1:2">
      <c r="A299">
        <v>11004911</v>
      </c>
      <c r="B299" t="s">
        <v>4621</v>
      </c>
    </row>
    <row r="300" spans="1:2">
      <c r="A300">
        <v>11005001</v>
      </c>
      <c r="B300" t="s">
        <v>4622</v>
      </c>
    </row>
    <row r="301" spans="1:2">
      <c r="A301">
        <v>11005002</v>
      </c>
      <c r="B301" t="s">
        <v>4623</v>
      </c>
    </row>
    <row r="302" spans="1:2">
      <c r="A302">
        <v>11005003</v>
      </c>
      <c r="B302" t="s">
        <v>4624</v>
      </c>
    </row>
    <row r="303" spans="1:2">
      <c r="A303">
        <v>11005004</v>
      </c>
      <c r="B303" t="s">
        <v>4625</v>
      </c>
    </row>
    <row r="304" spans="1:2">
      <c r="A304">
        <v>11005005</v>
      </c>
      <c r="B304" t="s">
        <v>4626</v>
      </c>
    </row>
    <row r="305" spans="1:2">
      <c r="A305">
        <v>11005006</v>
      </c>
      <c r="B305" t="s">
        <v>4627</v>
      </c>
    </row>
    <row r="306" spans="1:2">
      <c r="A306">
        <v>11005007</v>
      </c>
      <c r="B306" t="s">
        <v>4628</v>
      </c>
    </row>
    <row r="307" spans="1:2">
      <c r="A307">
        <v>11005008</v>
      </c>
      <c r="B307" t="s">
        <v>4629</v>
      </c>
    </row>
    <row r="308" spans="1:2">
      <c r="A308">
        <v>11005009</v>
      </c>
      <c r="B308" t="s">
        <v>4630</v>
      </c>
    </row>
    <row r="309" spans="1:2">
      <c r="A309">
        <v>11005010</v>
      </c>
      <c r="B309" t="s">
        <v>4631</v>
      </c>
    </row>
    <row r="310" spans="1:2">
      <c r="A310">
        <v>11005011</v>
      </c>
      <c r="B310" t="s">
        <v>4632</v>
      </c>
    </row>
    <row r="311" spans="1:2">
      <c r="A311">
        <v>11099901</v>
      </c>
      <c r="B311" t="s">
        <v>4633</v>
      </c>
    </row>
    <row r="312" spans="1:2">
      <c r="A312">
        <v>11099902</v>
      </c>
      <c r="B312" t="s">
        <v>4634</v>
      </c>
    </row>
    <row r="313" spans="1:2">
      <c r="A313">
        <v>11099903</v>
      </c>
      <c r="B313" t="s">
        <v>4635</v>
      </c>
    </row>
    <row r="314" spans="1:2">
      <c r="A314">
        <v>11099904</v>
      </c>
      <c r="B314" t="s">
        <v>4636</v>
      </c>
    </row>
    <row r="315" spans="1:2">
      <c r="A315">
        <v>11099905</v>
      </c>
      <c r="B315" t="s">
        <v>4637</v>
      </c>
    </row>
    <row r="316" spans="1:2">
      <c r="A316">
        <v>11099912</v>
      </c>
      <c r="B316" t="s">
        <v>4638</v>
      </c>
    </row>
    <row r="317" spans="1:2">
      <c r="A317">
        <v>11099906</v>
      </c>
      <c r="B317" t="s">
        <v>4639</v>
      </c>
    </row>
    <row r="318" spans="1:2">
      <c r="A318">
        <v>11099907</v>
      </c>
      <c r="B318" t="s">
        <v>4640</v>
      </c>
    </row>
    <row r="319" spans="1:2">
      <c r="A319">
        <v>11099908</v>
      </c>
      <c r="B319" t="s">
        <v>4641</v>
      </c>
    </row>
    <row r="320" spans="1:2">
      <c r="A320">
        <v>11099909</v>
      </c>
      <c r="B320" t="s">
        <v>4642</v>
      </c>
    </row>
    <row r="321" spans="1:2">
      <c r="A321">
        <v>11099913</v>
      </c>
      <c r="B321" t="s">
        <v>4643</v>
      </c>
    </row>
    <row r="322" spans="1:2">
      <c r="A322">
        <v>11099914</v>
      </c>
      <c r="B322" t="s">
        <v>4644</v>
      </c>
    </row>
    <row r="323" spans="1:2">
      <c r="A323">
        <v>11099915</v>
      </c>
      <c r="B323" t="s">
        <v>4645</v>
      </c>
    </row>
    <row r="324" spans="1:2">
      <c r="A324">
        <v>11099910</v>
      </c>
      <c r="B324" t="s">
        <v>4646</v>
      </c>
    </row>
    <row r="325" spans="1:2">
      <c r="A325">
        <v>11099911</v>
      </c>
      <c r="B325" t="s">
        <v>4647</v>
      </c>
    </row>
    <row r="326" spans="1:2">
      <c r="A326">
        <v>11099916</v>
      </c>
      <c r="B326" t="s">
        <v>4648</v>
      </c>
    </row>
    <row r="327" spans="1:2">
      <c r="A327">
        <v>11099917</v>
      </c>
      <c r="B327" t="s">
        <v>4649</v>
      </c>
    </row>
    <row r="328" spans="1:2">
      <c r="A328">
        <v>11099918</v>
      </c>
      <c r="B328" t="s">
        <v>4650</v>
      </c>
    </row>
    <row r="329" spans="1:2">
      <c r="A329">
        <v>11505101</v>
      </c>
      <c r="B329" t="s">
        <v>1296</v>
      </c>
    </row>
    <row r="330" spans="1:2">
      <c r="A330">
        <v>11505201</v>
      </c>
      <c r="B330" t="s">
        <v>1298</v>
      </c>
    </row>
    <row r="331" spans="1:2">
      <c r="A331">
        <v>11505301</v>
      </c>
      <c r="B331" t="s">
        <v>1300</v>
      </c>
    </row>
    <row r="332" spans="1:2">
      <c r="A332">
        <v>11505401</v>
      </c>
      <c r="B332" t="s">
        <v>1302</v>
      </c>
    </row>
    <row r="333" spans="1:2">
      <c r="A333">
        <v>11508001</v>
      </c>
      <c r="B333" t="s">
        <v>4651</v>
      </c>
    </row>
    <row r="334" spans="1:2">
      <c r="A334">
        <v>12005501</v>
      </c>
      <c r="B334" t="s">
        <v>1304</v>
      </c>
    </row>
    <row r="335" spans="1:2">
      <c r="A335">
        <v>12005601</v>
      </c>
      <c r="B335" t="s">
        <v>1306</v>
      </c>
    </row>
    <row r="336" spans="1:2">
      <c r="A336">
        <v>12005602</v>
      </c>
      <c r="B336" t="s">
        <v>1308</v>
      </c>
    </row>
    <row r="337" spans="1:2">
      <c r="A337">
        <v>12005603</v>
      </c>
      <c r="B337" t="s">
        <v>1310</v>
      </c>
    </row>
    <row r="338" spans="1:2">
      <c r="A338">
        <v>12005604</v>
      </c>
      <c r="B338" t="s">
        <v>1312</v>
      </c>
    </row>
    <row r="339" spans="1:2">
      <c r="A339">
        <v>12005701</v>
      </c>
      <c r="B339" t="s">
        <v>1314</v>
      </c>
    </row>
    <row r="340" spans="1:2">
      <c r="A340">
        <v>12005702</v>
      </c>
      <c r="B340" t="s">
        <v>1316</v>
      </c>
    </row>
    <row r="341" spans="1:2">
      <c r="A341">
        <v>12005703</v>
      </c>
      <c r="B341" t="s">
        <v>1318</v>
      </c>
    </row>
    <row r="342" spans="1:2">
      <c r="A342">
        <v>12005801</v>
      </c>
      <c r="B342" t="s">
        <v>1320</v>
      </c>
    </row>
    <row r="343" spans="1:2">
      <c r="A343">
        <v>12099901</v>
      </c>
      <c r="B343" t="s">
        <v>1322</v>
      </c>
    </row>
    <row r="344" spans="1:2">
      <c r="A344">
        <v>12099902</v>
      </c>
      <c r="B344" t="s">
        <v>1324</v>
      </c>
    </row>
    <row r="345" spans="1:2">
      <c r="A345">
        <v>12505901</v>
      </c>
      <c r="B345" t="s">
        <v>1326</v>
      </c>
    </row>
    <row r="346" spans="1:2">
      <c r="A346">
        <v>12505902</v>
      </c>
      <c r="B346" t="s">
        <v>1328</v>
      </c>
    </row>
    <row r="347" spans="1:2">
      <c r="A347">
        <v>12505903</v>
      </c>
      <c r="B347" t="s">
        <v>1330</v>
      </c>
    </row>
    <row r="348" spans="1:2">
      <c r="A348">
        <v>12505904</v>
      </c>
      <c r="B348" t="s">
        <v>1332</v>
      </c>
    </row>
    <row r="349" spans="1:2">
      <c r="A349">
        <v>12505905</v>
      </c>
      <c r="B349" t="s">
        <v>1334</v>
      </c>
    </row>
    <row r="350" spans="1:2">
      <c r="A350">
        <v>12505906</v>
      </c>
      <c r="B350" t="s">
        <v>1336</v>
      </c>
    </row>
    <row r="351" spans="1:2">
      <c r="A351">
        <v>12505907</v>
      </c>
      <c r="B351" t="s">
        <v>1338</v>
      </c>
    </row>
    <row r="352" spans="1:2">
      <c r="A352">
        <v>12505908</v>
      </c>
      <c r="B352" t="s">
        <v>1340</v>
      </c>
    </row>
    <row r="353" spans="1:2">
      <c r="A353">
        <v>12505909</v>
      </c>
      <c r="B353" t="s">
        <v>1342</v>
      </c>
    </row>
    <row r="354" spans="1:2">
      <c r="A354">
        <v>12505910</v>
      </c>
      <c r="B354" t="s">
        <v>1344</v>
      </c>
    </row>
    <row r="355" spans="1:2">
      <c r="A355">
        <v>12505911</v>
      </c>
      <c r="B355" t="s">
        <v>1346</v>
      </c>
    </row>
    <row r="356" spans="1:2">
      <c r="A356">
        <v>12505912</v>
      </c>
      <c r="B356" t="s">
        <v>1348</v>
      </c>
    </row>
    <row r="357" spans="1:2">
      <c r="A357">
        <v>12505913</v>
      </c>
      <c r="B357" t="s">
        <v>1350</v>
      </c>
    </row>
    <row r="358" spans="1:2">
      <c r="A358">
        <v>12505914</v>
      </c>
      <c r="B358" t="s">
        <v>1352</v>
      </c>
    </row>
    <row r="359" spans="1:2">
      <c r="A359">
        <v>12505915</v>
      </c>
      <c r="B359" t="s">
        <v>1354</v>
      </c>
    </row>
    <row r="360" spans="1:2">
      <c r="A360">
        <v>12505916</v>
      </c>
      <c r="B360" t="s">
        <v>1356</v>
      </c>
    </row>
    <row r="361" spans="1:2">
      <c r="A361">
        <v>12505917</v>
      </c>
      <c r="B361" t="s">
        <v>1358</v>
      </c>
    </row>
    <row r="362" spans="1:2">
      <c r="A362">
        <v>12505918</v>
      </c>
      <c r="B362" t="s">
        <v>1360</v>
      </c>
    </row>
    <row r="363" spans="1:2">
      <c r="A363">
        <v>12505919</v>
      </c>
      <c r="B363" t="s">
        <v>1362</v>
      </c>
    </row>
    <row r="364" spans="1:2">
      <c r="A364">
        <v>12505920</v>
      </c>
      <c r="B364" t="s">
        <v>1364</v>
      </c>
    </row>
    <row r="365" spans="1:2">
      <c r="A365">
        <v>12505921</v>
      </c>
      <c r="B365" t="s">
        <v>1366</v>
      </c>
    </row>
    <row r="366" spans="1:2">
      <c r="A366">
        <v>12505922</v>
      </c>
      <c r="B366" t="s">
        <v>1368</v>
      </c>
    </row>
    <row r="367" spans="1:2">
      <c r="A367">
        <v>12505923</v>
      </c>
      <c r="B367" t="s">
        <v>1370</v>
      </c>
    </row>
    <row r="368" spans="1:2">
      <c r="A368">
        <v>12505924</v>
      </c>
      <c r="B368" t="s">
        <v>1372</v>
      </c>
    </row>
    <row r="369" spans="1:2">
      <c r="A369">
        <v>12505925</v>
      </c>
      <c r="B369" t="s">
        <v>1374</v>
      </c>
    </row>
    <row r="370" spans="1:2">
      <c r="A370">
        <v>12505926</v>
      </c>
      <c r="B370" t="s">
        <v>1376</v>
      </c>
    </row>
    <row r="371" spans="1:2">
      <c r="A371">
        <v>12505927</v>
      </c>
      <c r="B371" t="s">
        <v>1378</v>
      </c>
    </row>
    <row r="372" spans="1:2">
      <c r="A372">
        <v>12505928</v>
      </c>
      <c r="B372" t="s">
        <v>1380</v>
      </c>
    </row>
    <row r="373" spans="1:2">
      <c r="A373">
        <v>12505929</v>
      </c>
      <c r="B373" t="s">
        <v>1382</v>
      </c>
    </row>
    <row r="374" spans="1:2">
      <c r="A374">
        <v>12505930</v>
      </c>
      <c r="B374" t="s">
        <v>1384</v>
      </c>
    </row>
    <row r="375" spans="1:2">
      <c r="A375">
        <v>12505931</v>
      </c>
      <c r="B375" t="s">
        <v>1386</v>
      </c>
    </row>
    <row r="376" spans="1:2">
      <c r="A376">
        <v>12505932</v>
      </c>
      <c r="B376" t="s">
        <v>1388</v>
      </c>
    </row>
    <row r="377" spans="1:2">
      <c r="A377">
        <v>12505933</v>
      </c>
      <c r="B377" t="s">
        <v>1390</v>
      </c>
    </row>
    <row r="378" spans="1:2">
      <c r="A378">
        <v>12505934</v>
      </c>
      <c r="B378" t="s">
        <v>1392</v>
      </c>
    </row>
    <row r="379" spans="1:2">
      <c r="A379">
        <v>12505935</v>
      </c>
      <c r="B379" t="s">
        <v>1394</v>
      </c>
    </row>
    <row r="380" spans="1:2">
      <c r="A380">
        <v>12505936</v>
      </c>
      <c r="B380" t="s">
        <v>1396</v>
      </c>
    </row>
    <row r="381" spans="1:2">
      <c r="A381">
        <v>12505937</v>
      </c>
      <c r="B381" t="s">
        <v>1398</v>
      </c>
    </row>
    <row r="382" spans="1:2">
      <c r="A382">
        <v>12505938</v>
      </c>
      <c r="B382" t="s">
        <v>1400</v>
      </c>
    </row>
    <row r="383" spans="1:2">
      <c r="A383">
        <v>12505939</v>
      </c>
      <c r="B383" t="s">
        <v>1402</v>
      </c>
    </row>
    <row r="384" spans="1:2">
      <c r="A384">
        <v>12505940</v>
      </c>
      <c r="B384" t="s">
        <v>1404</v>
      </c>
    </row>
    <row r="385" spans="1:2">
      <c r="A385">
        <v>12505941</v>
      </c>
      <c r="B385" t="s">
        <v>1406</v>
      </c>
    </row>
    <row r="386" spans="1:2">
      <c r="A386">
        <v>12505942</v>
      </c>
      <c r="B386" t="s">
        <v>1408</v>
      </c>
    </row>
    <row r="387" spans="1:2">
      <c r="A387">
        <v>12505943</v>
      </c>
      <c r="B387" t="s">
        <v>1410</v>
      </c>
    </row>
    <row r="388" spans="1:2">
      <c r="A388">
        <v>12505944</v>
      </c>
      <c r="B388" t="s">
        <v>1412</v>
      </c>
    </row>
    <row r="389" spans="1:2">
      <c r="A389">
        <v>12505945</v>
      </c>
      <c r="B389" t="s">
        <v>1414</v>
      </c>
    </row>
    <row r="390" spans="1:2">
      <c r="A390">
        <v>12505946</v>
      </c>
      <c r="B390" t="s">
        <v>1416</v>
      </c>
    </row>
    <row r="391" spans="1:2">
      <c r="A391">
        <v>12505947</v>
      </c>
      <c r="B391" t="s">
        <v>1418</v>
      </c>
    </row>
    <row r="392" spans="1:2">
      <c r="A392">
        <v>12505948</v>
      </c>
      <c r="B392" t="s">
        <v>1420</v>
      </c>
    </row>
    <row r="393" spans="1:2">
      <c r="A393">
        <v>12505949</v>
      </c>
      <c r="B393" t="s">
        <v>1422</v>
      </c>
    </row>
    <row r="394" spans="1:2">
      <c r="A394">
        <v>12505950</v>
      </c>
      <c r="B394" t="s">
        <v>1424</v>
      </c>
    </row>
    <row r="395" spans="1:2">
      <c r="A395">
        <v>12505951</v>
      </c>
      <c r="B395" t="s">
        <v>1426</v>
      </c>
    </row>
    <row r="396" spans="1:2">
      <c r="A396">
        <v>12505952</v>
      </c>
      <c r="B396" t="s">
        <v>1428</v>
      </c>
    </row>
    <row r="397" spans="1:2">
      <c r="A397">
        <v>12505953</v>
      </c>
      <c r="B397" t="s">
        <v>1430</v>
      </c>
    </row>
    <row r="398" spans="1:2">
      <c r="A398">
        <v>12505954</v>
      </c>
      <c r="B398" t="s">
        <v>1432</v>
      </c>
    </row>
    <row r="399" spans="1:2">
      <c r="A399">
        <v>12505955</v>
      </c>
      <c r="B399" t="s">
        <v>1434</v>
      </c>
    </row>
    <row r="400" spans="1:2">
      <c r="A400">
        <v>12505956</v>
      </c>
      <c r="B400" t="s">
        <v>1436</v>
      </c>
    </row>
    <row r="401" spans="1:2">
      <c r="A401">
        <v>12505957</v>
      </c>
      <c r="B401" t="s">
        <v>1438</v>
      </c>
    </row>
    <row r="402" spans="1:2">
      <c r="A402">
        <v>12505958</v>
      </c>
      <c r="B402" t="s">
        <v>1440</v>
      </c>
    </row>
    <row r="403" spans="1:2">
      <c r="A403">
        <v>12505959</v>
      </c>
      <c r="B403" t="s">
        <v>1441</v>
      </c>
    </row>
    <row r="404" spans="1:2">
      <c r="A404">
        <v>12505960</v>
      </c>
      <c r="B404" t="s">
        <v>1443</v>
      </c>
    </row>
    <row r="405" spans="1:2">
      <c r="A405">
        <v>12505961</v>
      </c>
      <c r="B405" t="s">
        <v>1445</v>
      </c>
    </row>
    <row r="406" spans="1:2">
      <c r="A406">
        <v>12505962</v>
      </c>
      <c r="B406" t="s">
        <v>1447</v>
      </c>
    </row>
    <row r="407" spans="1:2">
      <c r="A407">
        <v>12505963</v>
      </c>
      <c r="B407" t="s">
        <v>1449</v>
      </c>
    </row>
    <row r="408" spans="1:2">
      <c r="A408">
        <v>12505964</v>
      </c>
      <c r="B408" t="s">
        <v>1451</v>
      </c>
    </row>
    <row r="409" spans="1:2">
      <c r="A409">
        <v>12505965</v>
      </c>
      <c r="B409" t="s">
        <v>1453</v>
      </c>
    </row>
    <row r="410" spans="1:2">
      <c r="A410">
        <v>12505966</v>
      </c>
      <c r="B410" t="s">
        <v>1455</v>
      </c>
    </row>
    <row r="411" spans="1:2">
      <c r="A411">
        <v>12505967</v>
      </c>
      <c r="B411" t="s">
        <v>1457</v>
      </c>
    </row>
    <row r="412" spans="1:2">
      <c r="A412">
        <v>12505968</v>
      </c>
      <c r="B412" t="s">
        <v>1459</v>
      </c>
    </row>
    <row r="413" spans="1:2">
      <c r="A413">
        <v>12505969</v>
      </c>
      <c r="B413" t="s">
        <v>1461</v>
      </c>
    </row>
    <row r="414" spans="1:2">
      <c r="A414">
        <v>12505970</v>
      </c>
      <c r="B414" t="s">
        <v>1463</v>
      </c>
    </row>
    <row r="415" spans="1:2">
      <c r="A415">
        <v>12505971</v>
      </c>
      <c r="B415" t="s">
        <v>1465</v>
      </c>
    </row>
    <row r="416" spans="1:2">
      <c r="A416">
        <v>12505972</v>
      </c>
      <c r="B416" t="s">
        <v>1467</v>
      </c>
    </row>
    <row r="417" spans="1:2">
      <c r="A417">
        <v>12505973</v>
      </c>
      <c r="B417" t="s">
        <v>1469</v>
      </c>
    </row>
    <row r="418" spans="1:2">
      <c r="A418">
        <v>12505974</v>
      </c>
      <c r="B418" t="s">
        <v>1471</v>
      </c>
    </row>
    <row r="419" spans="1:2">
      <c r="A419">
        <v>12505975</v>
      </c>
      <c r="B419" t="s">
        <v>1473</v>
      </c>
    </row>
    <row r="420" spans="1:2">
      <c r="A420">
        <v>12505976</v>
      </c>
      <c r="B420" t="s">
        <v>1475</v>
      </c>
    </row>
    <row r="421" spans="1:2">
      <c r="A421">
        <v>12505977</v>
      </c>
      <c r="B421" t="s">
        <v>1477</v>
      </c>
    </row>
    <row r="422" spans="1:2">
      <c r="A422">
        <v>12505978</v>
      </c>
      <c r="B422" t="s">
        <v>1479</v>
      </c>
    </row>
    <row r="423" spans="1:2">
      <c r="A423">
        <v>12505979</v>
      </c>
      <c r="B423" t="s">
        <v>1481</v>
      </c>
    </row>
    <row r="424" spans="1:2">
      <c r="A424">
        <v>12505980</v>
      </c>
      <c r="B424" t="s">
        <v>1483</v>
      </c>
    </row>
    <row r="425" spans="1:2">
      <c r="A425">
        <v>12505981</v>
      </c>
      <c r="B425" t="s">
        <v>1485</v>
      </c>
    </row>
    <row r="426" spans="1:2">
      <c r="A426">
        <v>12505982</v>
      </c>
      <c r="B426" t="s">
        <v>1487</v>
      </c>
    </row>
    <row r="427" spans="1:2">
      <c r="A427">
        <v>12505983</v>
      </c>
      <c r="B427" t="s">
        <v>1489</v>
      </c>
    </row>
    <row r="428" spans="1:2">
      <c r="A428">
        <v>12505984</v>
      </c>
      <c r="B428" t="s">
        <v>1491</v>
      </c>
    </row>
    <row r="429" spans="1:2">
      <c r="A429">
        <v>12505985</v>
      </c>
      <c r="B429" t="s">
        <v>1493</v>
      </c>
    </row>
    <row r="430" spans="1:2">
      <c r="A430">
        <v>12505986</v>
      </c>
      <c r="B430" t="s">
        <v>1495</v>
      </c>
    </row>
    <row r="431" spans="1:2">
      <c r="A431">
        <v>12505987</v>
      </c>
      <c r="B431" t="s">
        <v>1497</v>
      </c>
    </row>
    <row r="432" spans="1:2">
      <c r="A432">
        <v>12505988</v>
      </c>
      <c r="B432" t="s">
        <v>1499</v>
      </c>
    </row>
    <row r="433" spans="1:2">
      <c r="A433">
        <v>12505989</v>
      </c>
      <c r="B433" t="s">
        <v>1501</v>
      </c>
    </row>
    <row r="434" spans="1:2">
      <c r="A434">
        <v>12505990</v>
      </c>
      <c r="B434" t="s">
        <v>1503</v>
      </c>
    </row>
    <row r="435" spans="1:2">
      <c r="A435">
        <v>12505991</v>
      </c>
      <c r="B435" t="s">
        <v>1505</v>
      </c>
    </row>
    <row r="436" spans="1:2">
      <c r="A436">
        <v>12505992</v>
      </c>
      <c r="B436" t="s">
        <v>4652</v>
      </c>
    </row>
    <row r="437" spans="1:2">
      <c r="A437">
        <v>12505993</v>
      </c>
      <c r="B437" t="s">
        <v>4653</v>
      </c>
    </row>
    <row r="438" spans="1:2">
      <c r="A438">
        <v>12505994</v>
      </c>
      <c r="B438" t="s">
        <v>4654</v>
      </c>
    </row>
    <row r="439" spans="1:2">
      <c r="A439">
        <v>12506001</v>
      </c>
      <c r="B439" t="s">
        <v>1513</v>
      </c>
    </row>
    <row r="440" spans="1:2">
      <c r="A440">
        <v>12506002</v>
      </c>
      <c r="B440" t="s">
        <v>1515</v>
      </c>
    </row>
    <row r="441" spans="1:2">
      <c r="A441">
        <v>12506003</v>
      </c>
      <c r="B441" t="s">
        <v>1517</v>
      </c>
    </row>
    <row r="442" spans="1:2">
      <c r="A442">
        <v>12506004</v>
      </c>
      <c r="B442" t="s">
        <v>1519</v>
      </c>
    </row>
    <row r="443" spans="1:2">
      <c r="A443">
        <v>12506005</v>
      </c>
      <c r="B443" t="s">
        <v>1521</v>
      </c>
    </row>
    <row r="444" spans="1:2">
      <c r="A444">
        <v>12506006</v>
      </c>
      <c r="B444" t="s">
        <v>1523</v>
      </c>
    </row>
    <row r="445" spans="1:2">
      <c r="A445">
        <v>12506007</v>
      </c>
      <c r="B445" t="s">
        <v>1525</v>
      </c>
    </row>
    <row r="446" spans="1:2">
      <c r="A446">
        <v>12506008</v>
      </c>
      <c r="B446" t="s">
        <v>1527</v>
      </c>
    </row>
    <row r="447" spans="1:2">
      <c r="A447">
        <v>12506009</v>
      </c>
      <c r="B447" t="s">
        <v>1529</v>
      </c>
    </row>
    <row r="448" spans="1:2">
      <c r="A448">
        <v>12506010</v>
      </c>
      <c r="B448" t="s">
        <v>1531</v>
      </c>
    </row>
    <row r="449" spans="1:2">
      <c r="A449">
        <v>12506011</v>
      </c>
      <c r="B449" t="s">
        <v>1533</v>
      </c>
    </row>
    <row r="450" spans="1:2">
      <c r="A450">
        <v>12506012</v>
      </c>
      <c r="B450" t="s">
        <v>1535</v>
      </c>
    </row>
    <row r="451" spans="1:2">
      <c r="A451">
        <v>12506013</v>
      </c>
      <c r="B451" t="s">
        <v>1537</v>
      </c>
    </row>
    <row r="452" spans="1:2">
      <c r="A452">
        <v>12506014</v>
      </c>
      <c r="B452" t="s">
        <v>1539</v>
      </c>
    </row>
    <row r="453" spans="1:2">
      <c r="A453">
        <v>12506015</v>
      </c>
      <c r="B453" t="s">
        <v>4655</v>
      </c>
    </row>
    <row r="454" spans="1:2">
      <c r="A454">
        <v>13006101</v>
      </c>
      <c r="B454" t="s">
        <v>1541</v>
      </c>
    </row>
    <row r="455" spans="1:2">
      <c r="A455">
        <v>13006102</v>
      </c>
      <c r="B455" t="s">
        <v>1543</v>
      </c>
    </row>
    <row r="456" spans="1:2">
      <c r="A456">
        <v>13006103</v>
      </c>
      <c r="B456" t="s">
        <v>1545</v>
      </c>
    </row>
    <row r="457" spans="1:2">
      <c r="A457">
        <v>13006104</v>
      </c>
      <c r="B457" t="s">
        <v>1547</v>
      </c>
    </row>
    <row r="458" spans="1:2">
      <c r="A458">
        <v>13006105</v>
      </c>
      <c r="B458" t="s">
        <v>1549</v>
      </c>
    </row>
    <row r="459" spans="1:2">
      <c r="A459">
        <v>13006106</v>
      </c>
      <c r="B459" t="s">
        <v>1551</v>
      </c>
    </row>
    <row r="460" spans="1:2">
      <c r="A460">
        <v>13506201</v>
      </c>
      <c r="B460" t="s">
        <v>1553</v>
      </c>
    </row>
    <row r="461" spans="1:2">
      <c r="A461">
        <v>14006301</v>
      </c>
      <c r="B461" t="s">
        <v>1555</v>
      </c>
    </row>
    <row r="462" spans="1:2">
      <c r="A462">
        <v>14006401</v>
      </c>
      <c r="B462" t="s">
        <v>1557</v>
      </c>
    </row>
    <row r="463" spans="1:2">
      <c r="A463">
        <v>14006501</v>
      </c>
      <c r="B463" t="s">
        <v>1559</v>
      </c>
    </row>
    <row r="464" spans="1:2">
      <c r="A464">
        <v>14006601</v>
      </c>
      <c r="B464" t="s">
        <v>1561</v>
      </c>
    </row>
    <row r="465" spans="1:2">
      <c r="A465">
        <v>14006701</v>
      </c>
      <c r="B465" t="s">
        <v>1563</v>
      </c>
    </row>
    <row r="466" spans="1:2">
      <c r="A466">
        <v>14006801</v>
      </c>
      <c r="B466" t="s">
        <v>1565</v>
      </c>
    </row>
    <row r="467" spans="1:2">
      <c r="A467">
        <v>14099901</v>
      </c>
      <c r="B467" t="s">
        <v>1567</v>
      </c>
    </row>
    <row r="468" spans="1:2">
      <c r="A468">
        <v>14506901</v>
      </c>
      <c r="B468" t="s">
        <v>1569</v>
      </c>
    </row>
    <row r="469" spans="1:2">
      <c r="A469">
        <v>14506902</v>
      </c>
      <c r="B469" t="s">
        <v>1571</v>
      </c>
    </row>
    <row r="470" spans="1:2">
      <c r="A470">
        <v>14506903</v>
      </c>
      <c r="B470" t="s">
        <v>1573</v>
      </c>
    </row>
    <row r="471" spans="1:2">
      <c r="A471">
        <v>14506904</v>
      </c>
      <c r="B471" t="s">
        <v>1575</v>
      </c>
    </row>
    <row r="472" spans="1:2">
      <c r="A472">
        <v>14506905</v>
      </c>
      <c r="B472" t="s">
        <v>1577</v>
      </c>
    </row>
    <row r="473" spans="1:2">
      <c r="A473">
        <v>14506906</v>
      </c>
      <c r="B473" t="s">
        <v>1579</v>
      </c>
    </row>
    <row r="474" spans="1:2">
      <c r="A474">
        <v>14506907</v>
      </c>
      <c r="B474" t="s">
        <v>1581</v>
      </c>
    </row>
    <row r="475" spans="1:2">
      <c r="A475">
        <v>14506908</v>
      </c>
      <c r="B475" t="s">
        <v>1583</v>
      </c>
    </row>
    <row r="476" spans="1:2">
      <c r="A476">
        <v>14506909</v>
      </c>
      <c r="B476" t="s">
        <v>1585</v>
      </c>
    </row>
    <row r="477" spans="1:2">
      <c r="A477">
        <v>14507001</v>
      </c>
      <c r="B477" t="s">
        <v>1619</v>
      </c>
    </row>
    <row r="478" spans="1:2">
      <c r="A478">
        <v>14507002</v>
      </c>
      <c r="B478" t="s">
        <v>1621</v>
      </c>
    </row>
    <row r="479" spans="1:2">
      <c r="A479">
        <v>14507003</v>
      </c>
      <c r="B479" t="s">
        <v>1623</v>
      </c>
    </row>
    <row r="480" spans="1:2">
      <c r="A480">
        <v>14507004</v>
      </c>
      <c r="B480" t="s">
        <v>1625</v>
      </c>
    </row>
    <row r="481" spans="1:2">
      <c r="A481">
        <v>14507005</v>
      </c>
      <c r="B481" t="s">
        <v>1627</v>
      </c>
    </row>
    <row r="482" spans="1:2">
      <c r="A482">
        <v>14507006</v>
      </c>
      <c r="B482" t="s">
        <v>1629</v>
      </c>
    </row>
    <row r="483" spans="1:2">
      <c r="A483">
        <v>14507007</v>
      </c>
      <c r="B483" t="s">
        <v>1631</v>
      </c>
    </row>
    <row r="484" spans="1:2">
      <c r="A484">
        <v>14507008</v>
      </c>
      <c r="B484" t="s">
        <v>1633</v>
      </c>
    </row>
    <row r="485" spans="1:2">
      <c r="A485">
        <v>14507009</v>
      </c>
      <c r="B485" t="s">
        <v>1635</v>
      </c>
    </row>
    <row r="486" spans="1:2">
      <c r="A486">
        <v>14507101</v>
      </c>
      <c r="B486" t="s">
        <v>1669</v>
      </c>
    </row>
    <row r="487" spans="1:2">
      <c r="A487">
        <v>14507102</v>
      </c>
      <c r="B487" t="s">
        <v>1671</v>
      </c>
    </row>
    <row r="488" spans="1:2">
      <c r="A488">
        <v>14507103</v>
      </c>
      <c r="B488" t="s">
        <v>1673</v>
      </c>
    </row>
    <row r="489" spans="1:2">
      <c r="A489">
        <v>14507104</v>
      </c>
      <c r="B489" t="s">
        <v>1675</v>
      </c>
    </row>
    <row r="490" spans="1:2">
      <c r="A490">
        <v>14507105</v>
      </c>
      <c r="B490" t="s">
        <v>1677</v>
      </c>
    </row>
    <row r="491" spans="1:2">
      <c r="A491">
        <v>14507106</v>
      </c>
      <c r="B491" t="s">
        <v>1679</v>
      </c>
    </row>
    <row r="492" spans="1:2">
      <c r="A492">
        <v>14507107</v>
      </c>
      <c r="B492" t="s">
        <v>1681</v>
      </c>
    </row>
    <row r="493" spans="1:2">
      <c r="A493">
        <v>14507108</v>
      </c>
      <c r="B493" t="s">
        <v>1683</v>
      </c>
    </row>
    <row r="494" spans="1:2">
      <c r="A494">
        <v>14507109</v>
      </c>
      <c r="B494" t="s">
        <v>1685</v>
      </c>
    </row>
    <row r="495" spans="1:2">
      <c r="A495">
        <v>14507201</v>
      </c>
      <c r="B495" t="s">
        <v>1719</v>
      </c>
    </row>
    <row r="496" spans="1:2">
      <c r="A496">
        <v>14507202</v>
      </c>
      <c r="B496" t="s">
        <v>1721</v>
      </c>
    </row>
    <row r="497" spans="1:2">
      <c r="A497">
        <v>14507203</v>
      </c>
      <c r="B497" t="s">
        <v>1723</v>
      </c>
    </row>
    <row r="498" spans="1:2">
      <c r="A498">
        <v>14507204</v>
      </c>
      <c r="B498" t="s">
        <v>1725</v>
      </c>
    </row>
    <row r="499" spans="1:2">
      <c r="A499">
        <v>14507205</v>
      </c>
      <c r="B499" t="s">
        <v>1727</v>
      </c>
    </row>
    <row r="500" spans="1:2">
      <c r="A500">
        <v>14507206</v>
      </c>
      <c r="B500" t="s">
        <v>1729</v>
      </c>
    </row>
    <row r="501" spans="1:2">
      <c r="A501">
        <v>14507207</v>
      </c>
      <c r="B501" t="s">
        <v>1731</v>
      </c>
    </row>
    <row r="502" spans="1:2">
      <c r="A502">
        <v>14507208</v>
      </c>
      <c r="B502" t="s">
        <v>1733</v>
      </c>
    </row>
    <row r="503" spans="1:2">
      <c r="A503">
        <v>14507209</v>
      </c>
      <c r="B503" t="s">
        <v>1735</v>
      </c>
    </row>
    <row r="504" spans="1:2">
      <c r="A504">
        <v>14507301</v>
      </c>
      <c r="B504" t="s">
        <v>1769</v>
      </c>
    </row>
    <row r="505" spans="1:2">
      <c r="A505">
        <v>14507302</v>
      </c>
      <c r="B505" t="s">
        <v>1771</v>
      </c>
    </row>
    <row r="506" spans="1:2">
      <c r="A506">
        <v>14507303</v>
      </c>
      <c r="B506" t="s">
        <v>1773</v>
      </c>
    </row>
    <row r="507" spans="1:2">
      <c r="A507">
        <v>14507304</v>
      </c>
      <c r="B507" t="s">
        <v>1775</v>
      </c>
    </row>
    <row r="508" spans="1:2">
      <c r="A508">
        <v>14507305</v>
      </c>
      <c r="B508" t="s">
        <v>1777</v>
      </c>
    </row>
    <row r="509" spans="1:2">
      <c r="A509">
        <v>14507306</v>
      </c>
      <c r="B509" t="s">
        <v>1779</v>
      </c>
    </row>
    <row r="510" spans="1:2">
      <c r="A510">
        <v>14507307</v>
      </c>
      <c r="B510" t="s">
        <v>1781</v>
      </c>
    </row>
    <row r="511" spans="1:2">
      <c r="A511">
        <v>14507308</v>
      </c>
      <c r="B511" t="s">
        <v>1783</v>
      </c>
    </row>
    <row r="512" spans="1:2">
      <c r="A512">
        <v>14507309</v>
      </c>
      <c r="B512" t="s">
        <v>1785</v>
      </c>
    </row>
    <row r="513" spans="1:2">
      <c r="A513">
        <v>14507401</v>
      </c>
      <c r="B513" t="s">
        <v>1819</v>
      </c>
    </row>
    <row r="514" spans="1:2">
      <c r="A514">
        <v>14507402</v>
      </c>
      <c r="B514" t="s">
        <v>1821</v>
      </c>
    </row>
    <row r="515" spans="1:2">
      <c r="A515">
        <v>14507403</v>
      </c>
      <c r="B515" t="s">
        <v>1823</v>
      </c>
    </row>
    <row r="516" spans="1:2">
      <c r="A516">
        <v>14507404</v>
      </c>
      <c r="B516" t="s">
        <v>1825</v>
      </c>
    </row>
    <row r="517" spans="1:2">
      <c r="A517">
        <v>14507405</v>
      </c>
      <c r="B517" t="s">
        <v>1827</v>
      </c>
    </row>
    <row r="518" spans="1:2">
      <c r="A518">
        <v>14507406</v>
      </c>
      <c r="B518" t="s">
        <v>1829</v>
      </c>
    </row>
    <row r="519" spans="1:2">
      <c r="A519">
        <v>14507407</v>
      </c>
      <c r="B519" t="s">
        <v>1831</v>
      </c>
    </row>
    <row r="520" spans="1:2">
      <c r="A520">
        <v>14507408</v>
      </c>
      <c r="B520" t="s">
        <v>1833</v>
      </c>
    </row>
    <row r="521" spans="1:2">
      <c r="A521">
        <v>14507409</v>
      </c>
      <c r="B521" t="s">
        <v>1835</v>
      </c>
    </row>
    <row r="522" spans="1:2">
      <c r="A522">
        <v>14507501</v>
      </c>
      <c r="B522" t="s">
        <v>1869</v>
      </c>
    </row>
    <row r="523" spans="1:2">
      <c r="A523">
        <v>14507502</v>
      </c>
      <c r="B523" t="s">
        <v>1871</v>
      </c>
    </row>
    <row r="524" spans="1:2">
      <c r="A524">
        <v>14507503</v>
      </c>
      <c r="B524" t="s">
        <v>1873</v>
      </c>
    </row>
    <row r="525" spans="1:2">
      <c r="A525">
        <v>14507504</v>
      </c>
      <c r="B525" t="s">
        <v>1875</v>
      </c>
    </row>
    <row r="526" spans="1:2">
      <c r="A526">
        <v>14507505</v>
      </c>
      <c r="B526" t="s">
        <v>1877</v>
      </c>
    </row>
    <row r="527" spans="1:2">
      <c r="A527">
        <v>14507506</v>
      </c>
      <c r="B527" t="s">
        <v>1879</v>
      </c>
    </row>
    <row r="528" spans="1:2">
      <c r="A528">
        <v>14507507</v>
      </c>
      <c r="B528" t="s">
        <v>1881</v>
      </c>
    </row>
    <row r="529" spans="1:2">
      <c r="A529">
        <v>14507508</v>
      </c>
      <c r="B529" t="s">
        <v>4656</v>
      </c>
    </row>
    <row r="530" spans="1:2">
      <c r="A530">
        <v>14507509</v>
      </c>
      <c r="B530" t="s">
        <v>1885</v>
      </c>
    </row>
    <row r="531" spans="1:2">
      <c r="A531">
        <v>14599901</v>
      </c>
      <c r="B531" t="s">
        <v>1919</v>
      </c>
    </row>
    <row r="532" spans="1:2">
      <c r="A532">
        <v>14599902</v>
      </c>
      <c r="B532" t="s">
        <v>1921</v>
      </c>
    </row>
    <row r="533" spans="1:2">
      <c r="A533">
        <v>14599903</v>
      </c>
      <c r="B533" t="s">
        <v>1923</v>
      </c>
    </row>
    <row r="534" spans="1:2">
      <c r="A534">
        <v>14599904</v>
      </c>
      <c r="B534" t="s">
        <v>1925</v>
      </c>
    </row>
    <row r="535" spans="1:2">
      <c r="A535">
        <v>14599905</v>
      </c>
      <c r="B535" t="s">
        <v>1927</v>
      </c>
    </row>
    <row r="536" spans="1:2">
      <c r="A536">
        <v>14599906</v>
      </c>
      <c r="B536" t="s">
        <v>1929</v>
      </c>
    </row>
    <row r="537" spans="1:2">
      <c r="A537">
        <v>14599907</v>
      </c>
      <c r="B537" t="s">
        <v>1931</v>
      </c>
    </row>
    <row r="538" spans="1:2">
      <c r="A538">
        <v>14599908</v>
      </c>
      <c r="B538" t="s">
        <v>1933</v>
      </c>
    </row>
    <row r="539" spans="1:2">
      <c r="A539">
        <v>14599909</v>
      </c>
      <c r="B539" t="s">
        <v>1935</v>
      </c>
    </row>
    <row r="540" spans="1:2">
      <c r="A540">
        <v>14599910</v>
      </c>
      <c r="B540" t="s">
        <v>1937</v>
      </c>
    </row>
    <row r="541" spans="1:2">
      <c r="A541">
        <v>14599911</v>
      </c>
      <c r="B541" t="s">
        <v>1939</v>
      </c>
    </row>
    <row r="542" spans="1:2">
      <c r="A542">
        <v>14599912</v>
      </c>
      <c r="B542" t="s">
        <v>1941</v>
      </c>
    </row>
    <row r="543" spans="1:2">
      <c r="A543">
        <v>14599913</v>
      </c>
      <c r="B543" t="s">
        <v>1943</v>
      </c>
    </row>
    <row r="544" spans="1:2">
      <c r="A544">
        <v>14599914</v>
      </c>
      <c r="B544" t="s">
        <v>1945</v>
      </c>
    </row>
    <row r="545" spans="1:2">
      <c r="A545">
        <v>14599915</v>
      </c>
      <c r="B545" t="s">
        <v>1947</v>
      </c>
    </row>
    <row r="546" spans="1:2">
      <c r="A546">
        <v>14599916</v>
      </c>
      <c r="B546" t="s">
        <v>1949</v>
      </c>
    </row>
    <row r="547" spans="1:2">
      <c r="A547">
        <v>14599917</v>
      </c>
      <c r="B547" t="s">
        <v>1951</v>
      </c>
    </row>
    <row r="548" spans="1:2">
      <c r="A548">
        <v>14599918</v>
      </c>
      <c r="B548" t="s">
        <v>1953</v>
      </c>
    </row>
    <row r="549" spans="1:2">
      <c r="A549">
        <v>14599919</v>
      </c>
      <c r="B549" t="s">
        <v>1955</v>
      </c>
    </row>
    <row r="550" spans="1:2">
      <c r="A550">
        <v>14599920</v>
      </c>
      <c r="B550" t="s">
        <v>1957</v>
      </c>
    </row>
    <row r="551" spans="1:2">
      <c r="A551">
        <v>14599921</v>
      </c>
      <c r="B551" t="s">
        <v>1959</v>
      </c>
    </row>
    <row r="552" spans="1:2">
      <c r="A552">
        <v>14599922</v>
      </c>
      <c r="B552" t="s">
        <v>1961</v>
      </c>
    </row>
    <row r="553" spans="1:2">
      <c r="A553">
        <v>14599923</v>
      </c>
      <c r="B553" t="s">
        <v>1963</v>
      </c>
    </row>
    <row r="554" spans="1:2">
      <c r="A554">
        <v>14599924</v>
      </c>
      <c r="B554" t="s">
        <v>1965</v>
      </c>
    </row>
    <row r="555" spans="1:2">
      <c r="A555">
        <v>14599925</v>
      </c>
      <c r="B555" t="s">
        <v>1967</v>
      </c>
    </row>
    <row r="556" spans="1:2">
      <c r="A556">
        <v>14599926</v>
      </c>
      <c r="B556" t="s">
        <v>1969</v>
      </c>
    </row>
    <row r="557" spans="1:2">
      <c r="A557">
        <v>14599927</v>
      </c>
      <c r="B557" t="s">
        <v>1971</v>
      </c>
    </row>
    <row r="558" spans="1:2">
      <c r="A558">
        <v>14506910</v>
      </c>
      <c r="B558" t="s">
        <v>1587</v>
      </c>
    </row>
    <row r="559" spans="1:2">
      <c r="A559">
        <v>14506911</v>
      </c>
      <c r="B559" t="s">
        <v>1589</v>
      </c>
    </row>
    <row r="560" spans="1:2">
      <c r="A560">
        <v>14506912</v>
      </c>
      <c r="B560" t="s">
        <v>1591</v>
      </c>
    </row>
    <row r="561" spans="1:2">
      <c r="A561">
        <v>14506913</v>
      </c>
      <c r="B561" t="s">
        <v>1593</v>
      </c>
    </row>
    <row r="562" spans="1:2">
      <c r="A562">
        <v>14506914</v>
      </c>
      <c r="B562" t="s">
        <v>1595</v>
      </c>
    </row>
    <row r="563" spans="1:2">
      <c r="A563">
        <v>14506915</v>
      </c>
      <c r="B563" t="s">
        <v>1597</v>
      </c>
    </row>
    <row r="564" spans="1:2">
      <c r="A564">
        <v>14506916</v>
      </c>
      <c r="B564" t="s">
        <v>1599</v>
      </c>
    </row>
    <row r="565" spans="1:2">
      <c r="A565">
        <v>14506917</v>
      </c>
      <c r="B565" t="s">
        <v>1601</v>
      </c>
    </row>
    <row r="566" spans="1:2">
      <c r="A566">
        <v>14506918</v>
      </c>
      <c r="B566" t="s">
        <v>1603</v>
      </c>
    </row>
    <row r="567" spans="1:2">
      <c r="A567">
        <v>14506919</v>
      </c>
      <c r="B567" t="s">
        <v>1605</v>
      </c>
    </row>
    <row r="568" spans="1:2">
      <c r="A568">
        <v>14506920</v>
      </c>
      <c r="B568" t="s">
        <v>1607</v>
      </c>
    </row>
    <row r="569" spans="1:2">
      <c r="A569">
        <v>14506921</v>
      </c>
      <c r="B569" t="s">
        <v>1609</v>
      </c>
    </row>
    <row r="570" spans="1:2">
      <c r="A570">
        <v>14506922</v>
      </c>
      <c r="B570" t="s">
        <v>1611</v>
      </c>
    </row>
    <row r="571" spans="1:2">
      <c r="A571">
        <v>14506923</v>
      </c>
      <c r="B571" t="s">
        <v>1613</v>
      </c>
    </row>
    <row r="572" spans="1:2">
      <c r="A572">
        <v>14506924</v>
      </c>
      <c r="B572" t="s">
        <v>1615</v>
      </c>
    </row>
    <row r="573" spans="1:2">
      <c r="A573">
        <v>14506925</v>
      </c>
      <c r="B573" t="s">
        <v>1617</v>
      </c>
    </row>
    <row r="574" spans="1:2">
      <c r="A574">
        <v>14507010</v>
      </c>
      <c r="B574" t="s">
        <v>1637</v>
      </c>
    </row>
    <row r="575" spans="1:2">
      <c r="A575">
        <v>14507011</v>
      </c>
      <c r="B575" t="s">
        <v>1639</v>
      </c>
    </row>
    <row r="576" spans="1:2">
      <c r="A576">
        <v>14507012</v>
      </c>
      <c r="B576" t="s">
        <v>1641</v>
      </c>
    </row>
    <row r="577" spans="1:2">
      <c r="A577">
        <v>14507013</v>
      </c>
      <c r="B577" t="s">
        <v>1643</v>
      </c>
    </row>
    <row r="578" spans="1:2">
      <c r="A578">
        <v>14507014</v>
      </c>
      <c r="B578" t="s">
        <v>1645</v>
      </c>
    </row>
    <row r="579" spans="1:2">
      <c r="A579">
        <v>14507015</v>
      </c>
      <c r="B579" t="s">
        <v>1647</v>
      </c>
    </row>
    <row r="580" spans="1:2">
      <c r="A580">
        <v>14507016</v>
      </c>
      <c r="B580" t="s">
        <v>1649</v>
      </c>
    </row>
    <row r="581" spans="1:2">
      <c r="A581">
        <v>14507017</v>
      </c>
      <c r="B581" t="s">
        <v>1651</v>
      </c>
    </row>
    <row r="582" spans="1:2">
      <c r="A582">
        <v>14507018</v>
      </c>
      <c r="B582" t="s">
        <v>1653</v>
      </c>
    </row>
    <row r="583" spans="1:2">
      <c r="A583">
        <v>14507019</v>
      </c>
      <c r="B583" t="s">
        <v>1655</v>
      </c>
    </row>
    <row r="584" spans="1:2">
      <c r="A584">
        <v>14507020</v>
      </c>
      <c r="B584" t="s">
        <v>1657</v>
      </c>
    </row>
    <row r="585" spans="1:2">
      <c r="A585">
        <v>14507021</v>
      </c>
      <c r="B585" t="s">
        <v>1659</v>
      </c>
    </row>
    <row r="586" spans="1:2">
      <c r="A586">
        <v>14507022</v>
      </c>
      <c r="B586" t="s">
        <v>1661</v>
      </c>
    </row>
    <row r="587" spans="1:2">
      <c r="A587">
        <v>14507023</v>
      </c>
      <c r="B587" t="s">
        <v>1663</v>
      </c>
    </row>
    <row r="588" spans="1:2">
      <c r="A588">
        <v>14507024</v>
      </c>
      <c r="B588" t="s">
        <v>1665</v>
      </c>
    </row>
    <row r="589" spans="1:2">
      <c r="A589">
        <v>14507025</v>
      </c>
      <c r="B589" t="s">
        <v>1667</v>
      </c>
    </row>
    <row r="590" spans="1:2">
      <c r="A590">
        <v>14507110</v>
      </c>
      <c r="B590" t="s">
        <v>1687</v>
      </c>
    </row>
    <row r="591" spans="1:2">
      <c r="A591">
        <v>14507111</v>
      </c>
      <c r="B591" t="s">
        <v>1689</v>
      </c>
    </row>
    <row r="592" spans="1:2">
      <c r="A592">
        <v>14507112</v>
      </c>
      <c r="B592" t="s">
        <v>1691</v>
      </c>
    </row>
    <row r="593" spans="1:2">
      <c r="A593">
        <v>14507113</v>
      </c>
      <c r="B593" t="s">
        <v>1693</v>
      </c>
    </row>
    <row r="594" spans="1:2">
      <c r="A594">
        <v>14507114</v>
      </c>
      <c r="B594" t="s">
        <v>1695</v>
      </c>
    </row>
    <row r="595" spans="1:2">
      <c r="A595">
        <v>14507115</v>
      </c>
      <c r="B595" t="s">
        <v>1697</v>
      </c>
    </row>
    <row r="596" spans="1:2">
      <c r="A596">
        <v>14507116</v>
      </c>
      <c r="B596" t="s">
        <v>1699</v>
      </c>
    </row>
    <row r="597" spans="1:2">
      <c r="A597">
        <v>14507117</v>
      </c>
      <c r="B597" t="s">
        <v>1701</v>
      </c>
    </row>
    <row r="598" spans="1:2">
      <c r="A598">
        <v>14507118</v>
      </c>
      <c r="B598" t="s">
        <v>1703</v>
      </c>
    </row>
    <row r="599" spans="1:2">
      <c r="A599">
        <v>14507119</v>
      </c>
      <c r="B599" t="s">
        <v>1705</v>
      </c>
    </row>
    <row r="600" spans="1:2">
      <c r="A600">
        <v>14507120</v>
      </c>
      <c r="B600" t="s">
        <v>1707</v>
      </c>
    </row>
    <row r="601" spans="1:2">
      <c r="A601">
        <v>14507121</v>
      </c>
      <c r="B601" t="s">
        <v>1709</v>
      </c>
    </row>
    <row r="602" spans="1:2">
      <c r="A602">
        <v>14507122</v>
      </c>
      <c r="B602" t="s">
        <v>1711</v>
      </c>
    </row>
    <row r="603" spans="1:2">
      <c r="A603">
        <v>14507123</v>
      </c>
      <c r="B603" t="s">
        <v>1713</v>
      </c>
    </row>
    <row r="604" spans="1:2">
      <c r="A604">
        <v>14507124</v>
      </c>
      <c r="B604" t="s">
        <v>1715</v>
      </c>
    </row>
    <row r="605" spans="1:2">
      <c r="A605">
        <v>14507125</v>
      </c>
      <c r="B605" t="s">
        <v>1717</v>
      </c>
    </row>
    <row r="606" spans="1:2">
      <c r="A606">
        <v>14507210</v>
      </c>
      <c r="B606" t="s">
        <v>1737</v>
      </c>
    </row>
    <row r="607" spans="1:2">
      <c r="A607">
        <v>14507211</v>
      </c>
      <c r="B607" t="s">
        <v>1739</v>
      </c>
    </row>
    <row r="608" spans="1:2">
      <c r="A608">
        <v>14507212</v>
      </c>
      <c r="B608" t="s">
        <v>1741</v>
      </c>
    </row>
    <row r="609" spans="1:2">
      <c r="A609">
        <v>14507213</v>
      </c>
      <c r="B609" t="s">
        <v>1743</v>
      </c>
    </row>
    <row r="610" spans="1:2">
      <c r="A610">
        <v>14507214</v>
      </c>
      <c r="B610" t="s">
        <v>1745</v>
      </c>
    </row>
    <row r="611" spans="1:2">
      <c r="A611">
        <v>14507215</v>
      </c>
      <c r="B611" t="s">
        <v>1747</v>
      </c>
    </row>
    <row r="612" spans="1:2">
      <c r="A612">
        <v>14507216</v>
      </c>
      <c r="B612" t="s">
        <v>1749</v>
      </c>
    </row>
    <row r="613" spans="1:2">
      <c r="A613">
        <v>14507217</v>
      </c>
      <c r="B613" t="s">
        <v>1751</v>
      </c>
    </row>
    <row r="614" spans="1:2">
      <c r="A614">
        <v>14507218</v>
      </c>
      <c r="B614" t="s">
        <v>1753</v>
      </c>
    </row>
    <row r="615" spans="1:2">
      <c r="A615">
        <v>14507219</v>
      </c>
      <c r="B615" t="s">
        <v>1755</v>
      </c>
    </row>
    <row r="616" spans="1:2">
      <c r="A616">
        <v>14507220</v>
      </c>
      <c r="B616" t="s">
        <v>1757</v>
      </c>
    </row>
    <row r="617" spans="1:2">
      <c r="A617">
        <v>14507221</v>
      </c>
      <c r="B617" t="s">
        <v>1759</v>
      </c>
    </row>
    <row r="618" spans="1:2">
      <c r="A618">
        <v>14507222</v>
      </c>
      <c r="B618" t="s">
        <v>1761</v>
      </c>
    </row>
    <row r="619" spans="1:2">
      <c r="A619">
        <v>14507223</v>
      </c>
      <c r="B619" t="s">
        <v>1763</v>
      </c>
    </row>
    <row r="620" spans="1:2">
      <c r="A620">
        <v>14507224</v>
      </c>
      <c r="B620" t="s">
        <v>1765</v>
      </c>
    </row>
    <row r="621" spans="1:2">
      <c r="A621">
        <v>14507225</v>
      </c>
      <c r="B621" t="s">
        <v>1767</v>
      </c>
    </row>
    <row r="622" spans="1:2">
      <c r="A622">
        <v>14507310</v>
      </c>
      <c r="B622" t="s">
        <v>1787</v>
      </c>
    </row>
    <row r="623" spans="1:2">
      <c r="A623">
        <v>14507311</v>
      </c>
      <c r="B623" t="s">
        <v>1789</v>
      </c>
    </row>
    <row r="624" spans="1:2">
      <c r="A624">
        <v>14507312</v>
      </c>
      <c r="B624" t="s">
        <v>1791</v>
      </c>
    </row>
    <row r="625" spans="1:2">
      <c r="A625">
        <v>14507313</v>
      </c>
      <c r="B625" t="s">
        <v>1793</v>
      </c>
    </row>
    <row r="626" spans="1:2">
      <c r="A626">
        <v>14507314</v>
      </c>
      <c r="B626" t="s">
        <v>1795</v>
      </c>
    </row>
    <row r="627" spans="1:2">
      <c r="A627">
        <v>14507315</v>
      </c>
      <c r="B627" t="s">
        <v>1797</v>
      </c>
    </row>
    <row r="628" spans="1:2">
      <c r="A628">
        <v>14507316</v>
      </c>
      <c r="B628" t="s">
        <v>1799</v>
      </c>
    </row>
    <row r="629" spans="1:2">
      <c r="A629">
        <v>14507317</v>
      </c>
      <c r="B629" t="s">
        <v>1801</v>
      </c>
    </row>
    <row r="630" spans="1:2">
      <c r="A630">
        <v>14507318</v>
      </c>
      <c r="B630" t="s">
        <v>1803</v>
      </c>
    </row>
    <row r="631" spans="1:2">
      <c r="A631">
        <v>14507319</v>
      </c>
      <c r="B631" t="s">
        <v>1805</v>
      </c>
    </row>
    <row r="632" spans="1:2">
      <c r="A632">
        <v>14507320</v>
      </c>
      <c r="B632" t="s">
        <v>1807</v>
      </c>
    </row>
    <row r="633" spans="1:2">
      <c r="A633">
        <v>14507321</v>
      </c>
      <c r="B633" t="s">
        <v>1809</v>
      </c>
    </row>
    <row r="634" spans="1:2">
      <c r="A634">
        <v>14507322</v>
      </c>
      <c r="B634" t="s">
        <v>1811</v>
      </c>
    </row>
    <row r="635" spans="1:2">
      <c r="A635">
        <v>14507323</v>
      </c>
      <c r="B635" t="s">
        <v>1813</v>
      </c>
    </row>
    <row r="636" spans="1:2">
      <c r="A636">
        <v>14507324</v>
      </c>
      <c r="B636" t="s">
        <v>1815</v>
      </c>
    </row>
    <row r="637" spans="1:2">
      <c r="A637">
        <v>14507325</v>
      </c>
      <c r="B637" t="s">
        <v>1817</v>
      </c>
    </row>
    <row r="638" spans="1:2">
      <c r="A638">
        <v>14507410</v>
      </c>
      <c r="B638" t="s">
        <v>1837</v>
      </c>
    </row>
    <row r="639" spans="1:2">
      <c r="A639">
        <v>14507411</v>
      </c>
      <c r="B639" t="s">
        <v>1839</v>
      </c>
    </row>
    <row r="640" spans="1:2">
      <c r="A640">
        <v>14507412</v>
      </c>
      <c r="B640" t="s">
        <v>1841</v>
      </c>
    </row>
    <row r="641" spans="1:2">
      <c r="A641">
        <v>14507413</v>
      </c>
      <c r="B641" t="s">
        <v>1843</v>
      </c>
    </row>
    <row r="642" spans="1:2">
      <c r="A642">
        <v>14507414</v>
      </c>
      <c r="B642" t="s">
        <v>1845</v>
      </c>
    </row>
    <row r="643" spans="1:2">
      <c r="A643">
        <v>14507415</v>
      </c>
      <c r="B643" t="s">
        <v>1847</v>
      </c>
    </row>
    <row r="644" spans="1:2">
      <c r="A644">
        <v>14507416</v>
      </c>
      <c r="B644" t="s">
        <v>1849</v>
      </c>
    </row>
    <row r="645" spans="1:2">
      <c r="A645">
        <v>14507417</v>
      </c>
      <c r="B645" t="s">
        <v>1851</v>
      </c>
    </row>
    <row r="646" spans="1:2">
      <c r="A646">
        <v>14507418</v>
      </c>
      <c r="B646" t="s">
        <v>1853</v>
      </c>
    </row>
    <row r="647" spans="1:2">
      <c r="A647">
        <v>14507419</v>
      </c>
      <c r="B647" t="s">
        <v>1855</v>
      </c>
    </row>
    <row r="648" spans="1:2">
      <c r="A648">
        <v>14507420</v>
      </c>
      <c r="B648" t="s">
        <v>1857</v>
      </c>
    </row>
    <row r="649" spans="1:2">
      <c r="A649">
        <v>14507421</v>
      </c>
      <c r="B649" t="s">
        <v>1859</v>
      </c>
    </row>
    <row r="650" spans="1:2">
      <c r="A650">
        <v>14507422</v>
      </c>
      <c r="B650" t="s">
        <v>1861</v>
      </c>
    </row>
    <row r="651" spans="1:2">
      <c r="A651">
        <v>14507423</v>
      </c>
      <c r="B651" t="s">
        <v>1863</v>
      </c>
    </row>
    <row r="652" spans="1:2">
      <c r="A652">
        <v>14507424</v>
      </c>
      <c r="B652" t="s">
        <v>1865</v>
      </c>
    </row>
    <row r="653" spans="1:2">
      <c r="A653">
        <v>14507425</v>
      </c>
      <c r="B653" t="s">
        <v>1867</v>
      </c>
    </row>
    <row r="654" spans="1:2">
      <c r="A654">
        <v>14507510</v>
      </c>
      <c r="B654" t="s">
        <v>1887</v>
      </c>
    </row>
    <row r="655" spans="1:2">
      <c r="A655">
        <v>14507511</v>
      </c>
      <c r="B655" t="s">
        <v>1889</v>
      </c>
    </row>
    <row r="656" spans="1:2">
      <c r="A656">
        <v>14507512</v>
      </c>
      <c r="B656" t="s">
        <v>1891</v>
      </c>
    </row>
    <row r="657" spans="1:2">
      <c r="A657">
        <v>14507513</v>
      </c>
      <c r="B657" t="s">
        <v>1893</v>
      </c>
    </row>
    <row r="658" spans="1:2">
      <c r="A658">
        <v>14507514</v>
      </c>
      <c r="B658" t="s">
        <v>1895</v>
      </c>
    </row>
    <row r="659" spans="1:2">
      <c r="A659">
        <v>14507515</v>
      </c>
      <c r="B659" t="s">
        <v>1897</v>
      </c>
    </row>
    <row r="660" spans="1:2">
      <c r="A660">
        <v>14507516</v>
      </c>
      <c r="B660" t="s">
        <v>1899</v>
      </c>
    </row>
    <row r="661" spans="1:2">
      <c r="A661">
        <v>14507517</v>
      </c>
      <c r="B661" t="s">
        <v>1901</v>
      </c>
    </row>
    <row r="662" spans="1:2">
      <c r="A662">
        <v>14507518</v>
      </c>
      <c r="B662" t="s">
        <v>1903</v>
      </c>
    </row>
    <row r="663" spans="1:2">
      <c r="A663">
        <v>14507519</v>
      </c>
      <c r="B663" t="s">
        <v>1905</v>
      </c>
    </row>
    <row r="664" spans="1:2">
      <c r="A664">
        <v>14507520</v>
      </c>
      <c r="B664" t="s">
        <v>1907</v>
      </c>
    </row>
    <row r="665" spans="1:2">
      <c r="A665">
        <v>14507521</v>
      </c>
      <c r="B665" t="s">
        <v>1909</v>
      </c>
    </row>
    <row r="666" spans="1:2">
      <c r="A666">
        <v>14507522</v>
      </c>
      <c r="B666" t="s">
        <v>1911</v>
      </c>
    </row>
    <row r="667" spans="1:2">
      <c r="A667">
        <v>14507523</v>
      </c>
      <c r="B667" t="s">
        <v>1913</v>
      </c>
    </row>
    <row r="668" spans="1:2">
      <c r="A668">
        <v>14507524</v>
      </c>
      <c r="B668" t="s">
        <v>1915</v>
      </c>
    </row>
    <row r="669" spans="1:2">
      <c r="A669">
        <v>14507525</v>
      </c>
      <c r="B669" t="s">
        <v>1917</v>
      </c>
    </row>
    <row r="670" spans="1:2">
      <c r="A670">
        <v>14599928</v>
      </c>
      <c r="B670" t="s">
        <v>1973</v>
      </c>
    </row>
    <row r="671" spans="1:2">
      <c r="A671">
        <v>14599929</v>
      </c>
      <c r="B671" t="s">
        <v>1975</v>
      </c>
    </row>
    <row r="672" spans="1:2">
      <c r="A672">
        <v>14599930</v>
      </c>
      <c r="B672" t="s">
        <v>1977</v>
      </c>
    </row>
    <row r="673" spans="1:2">
      <c r="A673">
        <v>14599931</v>
      </c>
      <c r="B673" t="s">
        <v>1979</v>
      </c>
    </row>
    <row r="674" spans="1:2">
      <c r="A674">
        <v>14599932</v>
      </c>
      <c r="B674" t="s">
        <v>1981</v>
      </c>
    </row>
    <row r="675" spans="1:2">
      <c r="A675">
        <v>14599933</v>
      </c>
      <c r="B675" t="s">
        <v>1983</v>
      </c>
    </row>
    <row r="676" spans="1:2">
      <c r="A676">
        <v>14599934</v>
      </c>
      <c r="B676" t="s">
        <v>1985</v>
      </c>
    </row>
    <row r="677" spans="1:2">
      <c r="A677">
        <v>14599935</v>
      </c>
      <c r="B677" t="s">
        <v>1987</v>
      </c>
    </row>
    <row r="678" spans="1:2">
      <c r="A678">
        <v>14599936</v>
      </c>
      <c r="B678" t="s">
        <v>1989</v>
      </c>
    </row>
    <row r="679" spans="1:2">
      <c r="A679">
        <v>14599937</v>
      </c>
      <c r="B679" t="s">
        <v>1991</v>
      </c>
    </row>
    <row r="680" spans="1:2">
      <c r="A680">
        <v>14599938</v>
      </c>
      <c r="B680" t="s">
        <v>1993</v>
      </c>
    </row>
    <row r="681" spans="1:2">
      <c r="A681">
        <v>14599939</v>
      </c>
      <c r="B681" t="s">
        <v>1995</v>
      </c>
    </row>
    <row r="682" spans="1:2">
      <c r="A682">
        <v>14599940</v>
      </c>
      <c r="B682" t="s">
        <v>1997</v>
      </c>
    </row>
    <row r="683" spans="1:2">
      <c r="A683">
        <v>14599941</v>
      </c>
      <c r="B683" t="s">
        <v>1999</v>
      </c>
    </row>
    <row r="684" spans="1:2">
      <c r="A684">
        <v>14599942</v>
      </c>
      <c r="B684" t="s">
        <v>2001</v>
      </c>
    </row>
    <row r="685" spans="1:2">
      <c r="A685">
        <v>14599943</v>
      </c>
      <c r="B685" t="s">
        <v>2003</v>
      </c>
    </row>
    <row r="686" spans="1:2">
      <c r="A686">
        <v>15007601</v>
      </c>
      <c r="B686" t="s">
        <v>2005</v>
      </c>
    </row>
    <row r="687" spans="1:2">
      <c r="A687" t="s">
        <v>3722</v>
      </c>
      <c r="B687" t="s">
        <v>3723</v>
      </c>
    </row>
    <row r="688" spans="1:2">
      <c r="A688" t="s">
        <v>3724</v>
      </c>
      <c r="B688" t="s">
        <v>3725</v>
      </c>
    </row>
    <row r="689" spans="1:2">
      <c r="A689" t="s">
        <v>3726</v>
      </c>
      <c r="B689" t="s">
        <v>3727</v>
      </c>
    </row>
    <row r="690" spans="1:2">
      <c r="A690" t="s">
        <v>3728</v>
      </c>
      <c r="B690" t="s">
        <v>3729</v>
      </c>
    </row>
    <row r="691" spans="1:2">
      <c r="A691" t="s">
        <v>3730</v>
      </c>
      <c r="B691" t="s">
        <v>3731</v>
      </c>
    </row>
    <row r="692" spans="1:2">
      <c r="A692" t="s">
        <v>3732</v>
      </c>
      <c r="B692" t="s">
        <v>3733</v>
      </c>
    </row>
    <row r="693" spans="1:2">
      <c r="A693" t="s">
        <v>3734</v>
      </c>
      <c r="B693" t="s">
        <v>3735</v>
      </c>
    </row>
    <row r="694" spans="1:2">
      <c r="A694" t="s">
        <v>3736</v>
      </c>
      <c r="B694" t="s">
        <v>3737</v>
      </c>
    </row>
    <row r="695" spans="1:2">
      <c r="A695" t="s">
        <v>3738</v>
      </c>
      <c r="B695" t="s">
        <v>3739</v>
      </c>
    </row>
    <row r="696" spans="1:2">
      <c r="A696" t="s">
        <v>3740</v>
      </c>
      <c r="B696" t="s">
        <v>3741</v>
      </c>
    </row>
    <row r="697" spans="1:2">
      <c r="A697" t="s">
        <v>3742</v>
      </c>
      <c r="B697" t="s">
        <v>3743</v>
      </c>
    </row>
    <row r="698" spans="1:2">
      <c r="A698" t="s">
        <v>3744</v>
      </c>
      <c r="B698" t="s">
        <v>3745</v>
      </c>
    </row>
    <row r="699" spans="1:2">
      <c r="A699" t="s">
        <v>3746</v>
      </c>
      <c r="B699" t="s">
        <v>3747</v>
      </c>
    </row>
    <row r="700" spans="1:2">
      <c r="A700" t="s">
        <v>3748</v>
      </c>
      <c r="B700" t="s">
        <v>3749</v>
      </c>
    </row>
    <row r="701" spans="1:2">
      <c r="A701" t="s">
        <v>3750</v>
      </c>
      <c r="B701" t="s">
        <v>3751</v>
      </c>
    </row>
    <row r="702" spans="1:2">
      <c r="A702" t="s">
        <v>3752</v>
      </c>
      <c r="B702" t="s">
        <v>3753</v>
      </c>
    </row>
    <row r="703" spans="1:2">
      <c r="A703" t="s">
        <v>3754</v>
      </c>
      <c r="B703" t="s">
        <v>3755</v>
      </c>
    </row>
    <row r="704" spans="1:2">
      <c r="A704" t="s">
        <v>3756</v>
      </c>
      <c r="B704" t="s">
        <v>3757</v>
      </c>
    </row>
    <row r="705" spans="1:2">
      <c r="A705">
        <v>20100101</v>
      </c>
      <c r="B705" t="s">
        <v>2007</v>
      </c>
    </row>
    <row r="706" spans="1:2">
      <c r="A706">
        <v>20100201</v>
      </c>
      <c r="B706" t="s">
        <v>2009</v>
      </c>
    </row>
    <row r="707" spans="1:2">
      <c r="A707">
        <v>20199901</v>
      </c>
      <c r="B707" t="s">
        <v>2011</v>
      </c>
    </row>
    <row r="708" spans="1:2">
      <c r="A708">
        <v>20500301</v>
      </c>
      <c r="B708" t="s">
        <v>2013</v>
      </c>
    </row>
    <row r="709" spans="1:2">
      <c r="A709">
        <v>20500302</v>
      </c>
      <c r="B709" t="s">
        <v>2015</v>
      </c>
    </row>
    <row r="710" spans="1:2">
      <c r="A710">
        <v>20500303</v>
      </c>
      <c r="B710" t="s">
        <v>2017</v>
      </c>
    </row>
    <row r="711" spans="1:2">
      <c r="A711">
        <v>20500304</v>
      </c>
      <c r="B711" t="s">
        <v>2019</v>
      </c>
    </row>
    <row r="712" spans="1:2">
      <c r="A712">
        <v>20500305</v>
      </c>
      <c r="B712" t="s">
        <v>2021</v>
      </c>
    </row>
    <row r="713" spans="1:2">
      <c r="A713">
        <v>20500306</v>
      </c>
      <c r="B713" t="s">
        <v>2023</v>
      </c>
    </row>
    <row r="714" spans="1:2">
      <c r="A714">
        <v>20500307</v>
      </c>
      <c r="B714" t="s">
        <v>2021</v>
      </c>
    </row>
    <row r="715" spans="1:2">
      <c r="A715">
        <v>20500308</v>
      </c>
      <c r="B715" t="s">
        <v>2026</v>
      </c>
    </row>
    <row r="716" spans="1:2">
      <c r="A716">
        <v>20500309</v>
      </c>
      <c r="B716" t="s">
        <v>2028</v>
      </c>
    </row>
    <row r="717" spans="1:2">
      <c r="A717">
        <v>20500401</v>
      </c>
      <c r="B717" t="s">
        <v>2046</v>
      </c>
    </row>
    <row r="718" spans="1:2">
      <c r="A718">
        <v>20500402</v>
      </c>
      <c r="B718" t="s">
        <v>2048</v>
      </c>
    </row>
    <row r="719" spans="1:2">
      <c r="A719">
        <v>20500403</v>
      </c>
      <c r="B719" t="s">
        <v>2050</v>
      </c>
    </row>
    <row r="720" spans="1:2">
      <c r="A720">
        <v>20500404</v>
      </c>
      <c r="B720" t="s">
        <v>2052</v>
      </c>
    </row>
    <row r="721" spans="1:2">
      <c r="A721">
        <v>20500405</v>
      </c>
      <c r="B721" t="s">
        <v>2054</v>
      </c>
    </row>
    <row r="722" spans="1:2">
      <c r="A722">
        <v>20500406</v>
      </c>
      <c r="B722" t="s">
        <v>2056</v>
      </c>
    </row>
    <row r="723" spans="1:2">
      <c r="A723">
        <v>20500407</v>
      </c>
      <c r="B723" t="s">
        <v>2058</v>
      </c>
    </row>
    <row r="724" spans="1:2">
      <c r="A724">
        <v>20500408</v>
      </c>
      <c r="B724" t="s">
        <v>2060</v>
      </c>
    </row>
    <row r="725" spans="1:2">
      <c r="A725">
        <v>20500409</v>
      </c>
      <c r="B725" t="s">
        <v>2062</v>
      </c>
    </row>
    <row r="726" spans="1:2">
      <c r="A726">
        <v>20599901</v>
      </c>
      <c r="B726" t="s">
        <v>2080</v>
      </c>
    </row>
    <row r="727" spans="1:2">
      <c r="A727">
        <v>20599902</v>
      </c>
      <c r="B727" t="s">
        <v>2082</v>
      </c>
    </row>
    <row r="728" spans="1:2">
      <c r="A728">
        <v>20599903</v>
      </c>
      <c r="B728" t="s">
        <v>2084</v>
      </c>
    </row>
    <row r="729" spans="1:2">
      <c r="A729">
        <v>20599904</v>
      </c>
      <c r="B729" t="s">
        <v>2086</v>
      </c>
    </row>
    <row r="730" spans="1:2">
      <c r="A730">
        <v>20599905</v>
      </c>
      <c r="B730" t="s">
        <v>2088</v>
      </c>
    </row>
    <row r="731" spans="1:2">
      <c r="A731">
        <v>20599906</v>
      </c>
      <c r="B731" t="s">
        <v>2090</v>
      </c>
    </row>
    <row r="732" spans="1:2">
      <c r="A732">
        <v>20599907</v>
      </c>
      <c r="B732" t="s">
        <v>2092</v>
      </c>
    </row>
    <row r="733" spans="1:2">
      <c r="A733">
        <v>20599908</v>
      </c>
      <c r="B733" t="s">
        <v>2094</v>
      </c>
    </row>
    <row r="734" spans="1:2">
      <c r="A734">
        <v>20599909</v>
      </c>
      <c r="B734" t="s">
        <v>2096</v>
      </c>
    </row>
    <row r="735" spans="1:2">
      <c r="A735">
        <v>20599910</v>
      </c>
      <c r="B735" t="s">
        <v>2098</v>
      </c>
    </row>
    <row r="736" spans="1:2">
      <c r="A736">
        <v>20599911</v>
      </c>
      <c r="B736" t="s">
        <v>2100</v>
      </c>
    </row>
    <row r="737" spans="1:2">
      <c r="A737">
        <v>20599912</v>
      </c>
      <c r="B737" t="s">
        <v>2102</v>
      </c>
    </row>
    <row r="738" spans="1:2">
      <c r="A738">
        <v>20599913</v>
      </c>
      <c r="B738" t="s">
        <v>2104</v>
      </c>
    </row>
    <row r="739" spans="1:2">
      <c r="A739">
        <v>20599914</v>
      </c>
      <c r="B739" t="s">
        <v>2106</v>
      </c>
    </row>
    <row r="740" spans="1:2">
      <c r="A740">
        <v>20599915</v>
      </c>
      <c r="B740" t="s">
        <v>2108</v>
      </c>
    </row>
    <row r="741" spans="1:2">
      <c r="A741">
        <v>20599916</v>
      </c>
      <c r="B741" t="s">
        <v>2110</v>
      </c>
    </row>
    <row r="742" spans="1:2">
      <c r="A742">
        <v>20599917</v>
      </c>
      <c r="B742" t="s">
        <v>2112</v>
      </c>
    </row>
    <row r="743" spans="1:2">
      <c r="A743">
        <v>20599918</v>
      </c>
      <c r="B743" t="s">
        <v>2114</v>
      </c>
    </row>
    <row r="744" spans="1:2">
      <c r="A744">
        <v>20599919</v>
      </c>
      <c r="B744" t="s">
        <v>2116</v>
      </c>
    </row>
    <row r="745" spans="1:2">
      <c r="A745">
        <v>20599920</v>
      </c>
      <c r="B745" t="s">
        <v>2118</v>
      </c>
    </row>
    <row r="746" spans="1:2">
      <c r="A746">
        <v>20599921</v>
      </c>
      <c r="B746" t="s">
        <v>2120</v>
      </c>
    </row>
    <row r="747" spans="1:2">
      <c r="A747">
        <v>20599922</v>
      </c>
      <c r="B747" t="s">
        <v>2122</v>
      </c>
    </row>
    <row r="748" spans="1:2">
      <c r="A748">
        <v>20599923</v>
      </c>
      <c r="B748" t="s">
        <v>2124</v>
      </c>
    </row>
    <row r="749" spans="1:2">
      <c r="A749">
        <v>20599924</v>
      </c>
      <c r="B749" t="s">
        <v>2126</v>
      </c>
    </row>
    <row r="750" spans="1:2">
      <c r="A750">
        <v>20599925</v>
      </c>
      <c r="B750" t="s">
        <v>2128</v>
      </c>
    </row>
    <row r="751" spans="1:2">
      <c r="A751">
        <v>20599926</v>
      </c>
      <c r="B751" t="s">
        <v>2130</v>
      </c>
    </row>
    <row r="752" spans="1:2">
      <c r="A752">
        <v>20599927</v>
      </c>
      <c r="B752" t="s">
        <v>2132</v>
      </c>
    </row>
    <row r="753" spans="1:2">
      <c r="A753">
        <v>20500310</v>
      </c>
      <c r="B753" t="s">
        <v>2030</v>
      </c>
    </row>
    <row r="754" spans="1:2">
      <c r="A754">
        <v>20500311</v>
      </c>
      <c r="B754" t="s">
        <v>2032</v>
      </c>
    </row>
    <row r="755" spans="1:2">
      <c r="A755">
        <v>20500312</v>
      </c>
      <c r="B755" t="s">
        <v>2034</v>
      </c>
    </row>
    <row r="756" spans="1:2">
      <c r="A756">
        <v>20500313</v>
      </c>
      <c r="B756" t="s">
        <v>2036</v>
      </c>
    </row>
    <row r="757" spans="1:2">
      <c r="A757">
        <v>20500314</v>
      </c>
      <c r="B757" t="s">
        <v>2038</v>
      </c>
    </row>
    <row r="758" spans="1:2">
      <c r="A758">
        <v>20500315</v>
      </c>
      <c r="B758" t="s">
        <v>2040</v>
      </c>
    </row>
    <row r="759" spans="1:2">
      <c r="A759">
        <v>20500316</v>
      </c>
      <c r="B759" t="s">
        <v>2042</v>
      </c>
    </row>
    <row r="760" spans="1:2">
      <c r="A760">
        <v>20500317</v>
      </c>
      <c r="B760" t="s">
        <v>2044</v>
      </c>
    </row>
    <row r="761" spans="1:2">
      <c r="A761">
        <v>20500410</v>
      </c>
      <c r="B761" t="s">
        <v>2064</v>
      </c>
    </row>
    <row r="762" spans="1:2">
      <c r="A762">
        <v>20500411</v>
      </c>
      <c r="B762" t="s">
        <v>2066</v>
      </c>
    </row>
    <row r="763" spans="1:2">
      <c r="A763">
        <v>20500412</v>
      </c>
      <c r="B763" t="s">
        <v>2068</v>
      </c>
    </row>
    <row r="764" spans="1:2">
      <c r="A764">
        <v>20500413</v>
      </c>
      <c r="B764" t="s">
        <v>2070</v>
      </c>
    </row>
    <row r="765" spans="1:2">
      <c r="A765">
        <v>20500414</v>
      </c>
      <c r="B765" t="s">
        <v>2072</v>
      </c>
    </row>
    <row r="766" spans="1:2">
      <c r="A766">
        <v>20500415</v>
      </c>
      <c r="B766" t="s">
        <v>2074</v>
      </c>
    </row>
    <row r="767" spans="1:2">
      <c r="A767">
        <v>20500416</v>
      </c>
      <c r="B767" t="s">
        <v>2076</v>
      </c>
    </row>
    <row r="768" spans="1:2">
      <c r="A768">
        <v>20500417</v>
      </c>
      <c r="B768" t="s">
        <v>2078</v>
      </c>
    </row>
    <row r="769" spans="1:2">
      <c r="A769">
        <v>20599928</v>
      </c>
      <c r="B769" t="s">
        <v>2134</v>
      </c>
    </row>
    <row r="770" spans="1:2">
      <c r="A770">
        <v>20599929</v>
      </c>
      <c r="B770" t="s">
        <v>2136</v>
      </c>
    </row>
    <row r="771" spans="1:2">
      <c r="A771">
        <v>20599930</v>
      </c>
      <c r="B771" t="s">
        <v>2138</v>
      </c>
    </row>
    <row r="772" spans="1:2">
      <c r="A772">
        <v>20599931</v>
      </c>
      <c r="B772" t="s">
        <v>2140</v>
      </c>
    </row>
    <row r="773" spans="1:2">
      <c r="A773">
        <v>20599932</v>
      </c>
      <c r="B773" t="s">
        <v>2142</v>
      </c>
    </row>
    <row r="774" spans="1:2">
      <c r="A774">
        <v>20599933</v>
      </c>
      <c r="B774" t="s">
        <v>2144</v>
      </c>
    </row>
    <row r="775" spans="1:2">
      <c r="A775">
        <v>20599934</v>
      </c>
      <c r="B775" t="s">
        <v>2146</v>
      </c>
    </row>
    <row r="776" spans="1:2">
      <c r="A776">
        <v>20599935</v>
      </c>
      <c r="B776" t="s">
        <v>2148</v>
      </c>
    </row>
    <row r="777" spans="1:2">
      <c r="A777">
        <v>21000501</v>
      </c>
      <c r="B777" t="s">
        <v>2150</v>
      </c>
    </row>
    <row r="778" spans="1:2">
      <c r="A778">
        <v>21000502</v>
      </c>
      <c r="B778" t="s">
        <v>2152</v>
      </c>
    </row>
    <row r="779" spans="1:2">
      <c r="A779">
        <v>21000503</v>
      </c>
      <c r="B779" t="s">
        <v>2154</v>
      </c>
    </row>
    <row r="780" spans="1:2">
      <c r="A780">
        <v>21000504</v>
      </c>
      <c r="B780" t="s">
        <v>2156</v>
      </c>
    </row>
    <row r="781" spans="1:2">
      <c r="A781">
        <v>21000505</v>
      </c>
      <c r="B781" t="s">
        <v>2158</v>
      </c>
    </row>
    <row r="782" spans="1:2">
      <c r="A782">
        <v>21000506</v>
      </c>
      <c r="B782" t="s">
        <v>2160</v>
      </c>
    </row>
    <row r="783" spans="1:2">
      <c r="A783">
        <v>21000507</v>
      </c>
      <c r="B783" t="s">
        <v>2162</v>
      </c>
    </row>
    <row r="784" spans="1:2">
      <c r="A784">
        <v>21000508</v>
      </c>
      <c r="B784" t="s">
        <v>2164</v>
      </c>
    </row>
    <row r="785" spans="1:2">
      <c r="A785">
        <v>21000509</v>
      </c>
      <c r="B785" t="s">
        <v>2166</v>
      </c>
    </row>
    <row r="786" spans="1:2">
      <c r="A786">
        <v>21000510</v>
      </c>
      <c r="B786" t="s">
        <v>2168</v>
      </c>
    </row>
    <row r="787" spans="1:2">
      <c r="A787">
        <v>21000511</v>
      </c>
      <c r="B787" t="s">
        <v>2170</v>
      </c>
    </row>
    <row r="788" spans="1:2">
      <c r="A788">
        <v>21000512</v>
      </c>
      <c r="B788" t="s">
        <v>2172</v>
      </c>
    </row>
    <row r="789" spans="1:2">
      <c r="A789">
        <v>21000513</v>
      </c>
      <c r="B789" t="s">
        <v>2174</v>
      </c>
    </row>
    <row r="790" spans="1:2">
      <c r="A790">
        <v>21000514</v>
      </c>
      <c r="B790" t="s">
        <v>2176</v>
      </c>
    </row>
    <row r="791" spans="1:2">
      <c r="A791">
        <v>21000515</v>
      </c>
      <c r="B791" t="s">
        <v>2178</v>
      </c>
    </row>
    <row r="792" spans="1:2">
      <c r="A792">
        <v>21000516</v>
      </c>
      <c r="B792" t="s">
        <v>2180</v>
      </c>
    </row>
    <row r="793" spans="1:2">
      <c r="A793">
        <v>21000517</v>
      </c>
      <c r="B793" t="s">
        <v>2182</v>
      </c>
    </row>
    <row r="794" spans="1:2">
      <c r="A794">
        <v>21000518</v>
      </c>
      <c r="B794" t="s">
        <v>2184</v>
      </c>
    </row>
    <row r="795" spans="1:2">
      <c r="A795">
        <v>21000519</v>
      </c>
      <c r="B795" t="s">
        <v>2186</v>
      </c>
    </row>
    <row r="796" spans="1:2">
      <c r="A796">
        <v>21000520</v>
      </c>
      <c r="B796" t="s">
        <v>2188</v>
      </c>
    </row>
    <row r="797" spans="1:2">
      <c r="A797">
        <v>21000521</v>
      </c>
      <c r="B797" t="s">
        <v>2190</v>
      </c>
    </row>
    <row r="798" spans="1:2">
      <c r="A798">
        <v>21000522</v>
      </c>
      <c r="B798" t="s">
        <v>2192</v>
      </c>
    </row>
    <row r="799" spans="1:2">
      <c r="A799">
        <v>21000523</v>
      </c>
      <c r="B799" t="s">
        <v>2194</v>
      </c>
    </row>
    <row r="800" spans="1:2">
      <c r="A800">
        <v>21000524</v>
      </c>
      <c r="B800" t="s">
        <v>2196</v>
      </c>
    </row>
    <row r="801" spans="1:2">
      <c r="A801">
        <v>21000525</v>
      </c>
      <c r="B801" t="s">
        <v>2198</v>
      </c>
    </row>
    <row r="802" spans="1:2">
      <c r="A802">
        <v>21000526</v>
      </c>
      <c r="B802" t="s">
        <v>2200</v>
      </c>
    </row>
    <row r="803" spans="1:2">
      <c r="A803">
        <v>21000527</v>
      </c>
      <c r="B803" t="s">
        <v>2202</v>
      </c>
    </row>
    <row r="804" spans="1:2">
      <c r="A804">
        <v>21000528</v>
      </c>
      <c r="B804" t="s">
        <v>2204</v>
      </c>
    </row>
    <row r="805" spans="1:2">
      <c r="A805">
        <v>21000529</v>
      </c>
      <c r="B805" t="s">
        <v>2206</v>
      </c>
    </row>
    <row r="806" spans="1:2">
      <c r="A806">
        <v>21000530</v>
      </c>
      <c r="B806" t="s">
        <v>2208</v>
      </c>
    </row>
    <row r="807" spans="1:2">
      <c r="A807">
        <v>21000531</v>
      </c>
      <c r="B807" t="s">
        <v>2210</v>
      </c>
    </row>
    <row r="808" spans="1:2">
      <c r="A808">
        <v>21000532</v>
      </c>
      <c r="B808" t="s">
        <v>2212</v>
      </c>
    </row>
    <row r="809" spans="1:2">
      <c r="A809">
        <v>22000601</v>
      </c>
      <c r="B809" t="s">
        <v>2214</v>
      </c>
    </row>
    <row r="810" spans="1:2">
      <c r="A810">
        <v>22000602</v>
      </c>
      <c r="B810" t="s">
        <v>2216</v>
      </c>
    </row>
    <row r="811" spans="1:2">
      <c r="A811">
        <v>22000603</v>
      </c>
      <c r="B811" t="s">
        <v>2218</v>
      </c>
    </row>
    <row r="812" spans="1:2">
      <c r="A812">
        <v>22000604</v>
      </c>
      <c r="B812" t="s">
        <v>2220</v>
      </c>
    </row>
    <row r="813" spans="1:2">
      <c r="A813">
        <v>22000605</v>
      </c>
      <c r="B813" t="s">
        <v>2222</v>
      </c>
    </row>
    <row r="814" spans="1:2">
      <c r="A814">
        <v>22000606</v>
      </c>
      <c r="B814" t="s">
        <v>2224</v>
      </c>
    </row>
    <row r="815" spans="1:2">
      <c r="A815">
        <v>22000607</v>
      </c>
      <c r="B815" t="s">
        <v>2226</v>
      </c>
    </row>
    <row r="816" spans="1:2">
      <c r="A816">
        <v>22000608</v>
      </c>
      <c r="B816" t="s">
        <v>2228</v>
      </c>
    </row>
    <row r="817" spans="1:2">
      <c r="A817">
        <v>22000609</v>
      </c>
      <c r="B817" t="s">
        <v>2230</v>
      </c>
    </row>
    <row r="818" spans="1:2">
      <c r="A818">
        <v>22000610</v>
      </c>
      <c r="B818" t="s">
        <v>2232</v>
      </c>
    </row>
    <row r="819" spans="1:2">
      <c r="A819">
        <v>22000611</v>
      </c>
      <c r="B819" t="s">
        <v>2234</v>
      </c>
    </row>
    <row r="820" spans="1:2">
      <c r="A820">
        <v>22000612</v>
      </c>
      <c r="B820" t="s">
        <v>2236</v>
      </c>
    </row>
    <row r="821" spans="1:2">
      <c r="A821">
        <v>22000613</v>
      </c>
      <c r="B821" t="s">
        <v>2238</v>
      </c>
    </row>
    <row r="822" spans="1:2">
      <c r="A822">
        <v>22000614</v>
      </c>
      <c r="B822" t="s">
        <v>2240</v>
      </c>
    </row>
    <row r="823" spans="1:2">
      <c r="A823">
        <v>22000615</v>
      </c>
      <c r="B823" t="s">
        <v>2242</v>
      </c>
    </row>
    <row r="824" spans="1:2">
      <c r="A824">
        <v>22000616</v>
      </c>
      <c r="B824" t="s">
        <v>2244</v>
      </c>
    </row>
    <row r="825" spans="1:2">
      <c r="A825">
        <v>22000617</v>
      </c>
      <c r="B825" t="s">
        <v>2246</v>
      </c>
    </row>
    <row r="826" spans="1:2">
      <c r="A826">
        <v>22500701</v>
      </c>
      <c r="B826" t="s">
        <v>2248</v>
      </c>
    </row>
    <row r="827" spans="1:2">
      <c r="A827">
        <v>22500702</v>
      </c>
      <c r="B827" t="s">
        <v>2250</v>
      </c>
    </row>
    <row r="828" spans="1:2">
      <c r="A828">
        <v>22500703</v>
      </c>
      <c r="B828" t="s">
        <v>2252</v>
      </c>
    </row>
    <row r="829" spans="1:2">
      <c r="A829">
        <v>22500704</v>
      </c>
      <c r="B829" t="s">
        <v>2254</v>
      </c>
    </row>
    <row r="830" spans="1:2">
      <c r="A830">
        <v>22500705</v>
      </c>
      <c r="B830" t="s">
        <v>2256</v>
      </c>
    </row>
    <row r="831" spans="1:2">
      <c r="A831">
        <v>22500706</v>
      </c>
      <c r="B831" t="s">
        <v>2258</v>
      </c>
    </row>
    <row r="832" spans="1:2">
      <c r="A832">
        <v>22500707</v>
      </c>
      <c r="B832" t="s">
        <v>2260</v>
      </c>
    </row>
    <row r="833" spans="1:2">
      <c r="A833">
        <v>22500708</v>
      </c>
      <c r="B833" t="s">
        <v>2262</v>
      </c>
    </row>
    <row r="834" spans="1:2">
      <c r="A834">
        <v>22500709</v>
      </c>
      <c r="B834" t="s">
        <v>2264</v>
      </c>
    </row>
    <row r="835" spans="1:2">
      <c r="A835">
        <v>22500710</v>
      </c>
      <c r="B835" t="s">
        <v>2250</v>
      </c>
    </row>
    <row r="836" spans="1:2">
      <c r="A836">
        <v>22500711</v>
      </c>
      <c r="B836" t="s">
        <v>2267</v>
      </c>
    </row>
    <row r="837" spans="1:2">
      <c r="A837">
        <v>22500712</v>
      </c>
      <c r="B837" t="s">
        <v>2269</v>
      </c>
    </row>
    <row r="838" spans="1:2">
      <c r="A838">
        <v>22500713</v>
      </c>
      <c r="B838" t="s">
        <v>2252</v>
      </c>
    </row>
    <row r="839" spans="1:2">
      <c r="A839">
        <v>22500714</v>
      </c>
      <c r="B839" t="s">
        <v>2254</v>
      </c>
    </row>
    <row r="840" spans="1:2">
      <c r="A840">
        <v>22500715</v>
      </c>
      <c r="B840" t="s">
        <v>2256</v>
      </c>
    </row>
    <row r="841" spans="1:2">
      <c r="A841">
        <v>22500716</v>
      </c>
      <c r="B841" t="s">
        <v>2258</v>
      </c>
    </row>
    <row r="842" spans="1:2">
      <c r="A842">
        <v>22500801</v>
      </c>
      <c r="B842" t="s">
        <v>2275</v>
      </c>
    </row>
    <row r="843" spans="1:2">
      <c r="A843">
        <v>22500802</v>
      </c>
      <c r="B843" t="s">
        <v>2277</v>
      </c>
    </row>
    <row r="844" spans="1:2">
      <c r="A844">
        <v>22500803</v>
      </c>
      <c r="B844" t="s">
        <v>2279</v>
      </c>
    </row>
    <row r="845" spans="1:2">
      <c r="A845">
        <v>22500804</v>
      </c>
      <c r="B845" t="s">
        <v>2281</v>
      </c>
    </row>
    <row r="846" spans="1:2">
      <c r="A846">
        <v>22500805</v>
      </c>
      <c r="B846" t="s">
        <v>2283</v>
      </c>
    </row>
    <row r="847" spans="1:2">
      <c r="A847">
        <v>22500806</v>
      </c>
      <c r="B847" t="s">
        <v>2285</v>
      </c>
    </row>
    <row r="848" spans="1:2">
      <c r="A848">
        <v>23000901</v>
      </c>
      <c r="B848" t="s">
        <v>2287</v>
      </c>
    </row>
    <row r="849" spans="1:2">
      <c r="A849">
        <v>23000902</v>
      </c>
      <c r="B849" t="s">
        <v>2289</v>
      </c>
    </row>
    <row r="850" spans="1:2">
      <c r="A850">
        <v>23000903</v>
      </c>
      <c r="B850" t="s">
        <v>2291</v>
      </c>
    </row>
    <row r="851" spans="1:2">
      <c r="A851">
        <v>23000904</v>
      </c>
      <c r="B851" t="s">
        <v>2293</v>
      </c>
    </row>
    <row r="852" spans="1:2">
      <c r="A852">
        <v>23000905</v>
      </c>
      <c r="B852" t="s">
        <v>2295</v>
      </c>
    </row>
    <row r="853" spans="1:2">
      <c r="A853">
        <v>23000906</v>
      </c>
      <c r="B853" t="s">
        <v>2297</v>
      </c>
    </row>
    <row r="854" spans="1:2">
      <c r="A854">
        <v>29901001</v>
      </c>
      <c r="B854" t="s">
        <v>2299</v>
      </c>
    </row>
    <row r="855" spans="1:2">
      <c r="A855" t="s">
        <v>3758</v>
      </c>
      <c r="B855" t="s">
        <v>3759</v>
      </c>
    </row>
    <row r="856" spans="1:2">
      <c r="A856" t="s">
        <v>3760</v>
      </c>
      <c r="B856" t="s">
        <v>3761</v>
      </c>
    </row>
    <row r="857" spans="1:2">
      <c r="A857" t="s">
        <v>3762</v>
      </c>
      <c r="B857" t="s">
        <v>3763</v>
      </c>
    </row>
    <row r="858" spans="1:2">
      <c r="A858" t="s">
        <v>3764</v>
      </c>
      <c r="B858" t="s">
        <v>3765</v>
      </c>
    </row>
    <row r="859" spans="1:2">
      <c r="A859" t="s">
        <v>3766</v>
      </c>
      <c r="B859" t="s">
        <v>3767</v>
      </c>
    </row>
    <row r="860" spans="1:2">
      <c r="A860" t="s">
        <v>3768</v>
      </c>
      <c r="B860" t="s">
        <v>3769</v>
      </c>
    </row>
    <row r="861" spans="1:2">
      <c r="A861" t="s">
        <v>3770</v>
      </c>
      <c r="B861" t="s">
        <v>3771</v>
      </c>
    </row>
    <row r="862" spans="1:2">
      <c r="A862" t="s">
        <v>3772</v>
      </c>
      <c r="B862" t="s">
        <v>3773</v>
      </c>
    </row>
    <row r="863" spans="1:2">
      <c r="A863" t="s">
        <v>3774</v>
      </c>
      <c r="B863" t="s">
        <v>3775</v>
      </c>
    </row>
    <row r="864" spans="1:2">
      <c r="A864" t="s">
        <v>3776</v>
      </c>
      <c r="B864" t="s">
        <v>3777</v>
      </c>
    </row>
    <row r="865" spans="1:2">
      <c r="A865" t="s">
        <v>3778</v>
      </c>
      <c r="B865" t="s">
        <v>3779</v>
      </c>
    </row>
    <row r="866" spans="1:2">
      <c r="A866" t="s">
        <v>3780</v>
      </c>
      <c r="B866" t="s">
        <v>3781</v>
      </c>
    </row>
    <row r="867" spans="1:2">
      <c r="A867" t="s">
        <v>3782</v>
      </c>
      <c r="B867" t="s">
        <v>3783</v>
      </c>
    </row>
    <row r="868" spans="1:2">
      <c r="A868" t="s">
        <v>3784</v>
      </c>
      <c r="B868" t="s">
        <v>3785</v>
      </c>
    </row>
    <row r="869" spans="1:2">
      <c r="A869" t="s">
        <v>3786</v>
      </c>
      <c r="B869" t="s">
        <v>3787</v>
      </c>
    </row>
    <row r="870" spans="1:2">
      <c r="A870" t="s">
        <v>3788</v>
      </c>
      <c r="B870" t="s">
        <v>3789</v>
      </c>
    </row>
    <row r="871" spans="1:2">
      <c r="A871" t="s">
        <v>3790</v>
      </c>
      <c r="B871" t="s">
        <v>3791</v>
      </c>
    </row>
    <row r="872" spans="1:2">
      <c r="A872" t="s">
        <v>3792</v>
      </c>
      <c r="B872" t="s">
        <v>3793</v>
      </c>
    </row>
    <row r="873" spans="1:2">
      <c r="A873">
        <v>30100101</v>
      </c>
      <c r="B873" t="s">
        <v>2301</v>
      </c>
    </row>
    <row r="874" spans="1:2">
      <c r="A874">
        <v>30100201</v>
      </c>
      <c r="B874" t="s">
        <v>2303</v>
      </c>
    </row>
    <row r="875" spans="1:2">
      <c r="A875">
        <v>30199901</v>
      </c>
      <c r="B875" t="s">
        <v>2305</v>
      </c>
    </row>
    <row r="876" spans="1:2">
      <c r="A876">
        <v>30500301</v>
      </c>
      <c r="B876" t="s">
        <v>2307</v>
      </c>
    </row>
    <row r="877" spans="1:2">
      <c r="A877">
        <v>30500302</v>
      </c>
      <c r="B877" t="s">
        <v>2309</v>
      </c>
    </row>
    <row r="878" spans="1:2">
      <c r="A878">
        <v>30500303</v>
      </c>
      <c r="B878" t="s">
        <v>2311</v>
      </c>
    </row>
    <row r="879" spans="1:2">
      <c r="A879">
        <v>30500304</v>
      </c>
      <c r="B879" t="s">
        <v>2313</v>
      </c>
    </row>
    <row r="880" spans="1:2">
      <c r="A880">
        <v>30500305</v>
      </c>
      <c r="B880" t="s">
        <v>2315</v>
      </c>
    </row>
    <row r="881" spans="1:2">
      <c r="A881">
        <v>30500306</v>
      </c>
      <c r="B881" t="s">
        <v>2317</v>
      </c>
    </row>
    <row r="882" spans="1:2">
      <c r="A882">
        <v>30500307</v>
      </c>
      <c r="B882" t="s">
        <v>2315</v>
      </c>
    </row>
    <row r="883" spans="1:2">
      <c r="A883">
        <v>30500308</v>
      </c>
      <c r="B883" t="s">
        <v>2320</v>
      </c>
    </row>
    <row r="884" spans="1:2">
      <c r="A884">
        <v>30500309</v>
      </c>
      <c r="B884" t="s">
        <v>2322</v>
      </c>
    </row>
    <row r="885" spans="1:2">
      <c r="A885">
        <v>30500401</v>
      </c>
      <c r="B885" t="s">
        <v>2340</v>
      </c>
    </row>
    <row r="886" spans="1:2">
      <c r="A886">
        <v>30500402</v>
      </c>
      <c r="B886" t="s">
        <v>2342</v>
      </c>
    </row>
    <row r="887" spans="1:2">
      <c r="A887">
        <v>30500403</v>
      </c>
      <c r="B887" t="s">
        <v>2344</v>
      </c>
    </row>
    <row r="888" spans="1:2">
      <c r="A888">
        <v>30500404</v>
      </c>
      <c r="B888" t="s">
        <v>2346</v>
      </c>
    </row>
    <row r="889" spans="1:2">
      <c r="A889">
        <v>30500405</v>
      </c>
      <c r="B889" t="s">
        <v>2348</v>
      </c>
    </row>
    <row r="890" spans="1:2">
      <c r="A890">
        <v>30500406</v>
      </c>
      <c r="B890" t="s">
        <v>2350</v>
      </c>
    </row>
    <row r="891" spans="1:2">
      <c r="A891">
        <v>30500407</v>
      </c>
      <c r="B891" t="s">
        <v>2352</v>
      </c>
    </row>
    <row r="892" spans="1:2">
      <c r="A892">
        <v>30500408</v>
      </c>
      <c r="B892" t="s">
        <v>2354</v>
      </c>
    </row>
    <row r="893" spans="1:2">
      <c r="A893">
        <v>30500409</v>
      </c>
      <c r="B893" t="s">
        <v>2356</v>
      </c>
    </row>
    <row r="894" spans="1:2">
      <c r="A894">
        <v>30599901</v>
      </c>
      <c r="B894" t="s">
        <v>2374</v>
      </c>
    </row>
    <row r="895" spans="1:2">
      <c r="A895">
        <v>30599902</v>
      </c>
      <c r="B895" t="s">
        <v>2376</v>
      </c>
    </row>
    <row r="896" spans="1:2">
      <c r="A896">
        <v>30599903</v>
      </c>
      <c r="B896" t="s">
        <v>2378</v>
      </c>
    </row>
    <row r="897" spans="1:2">
      <c r="A897">
        <v>30599904</v>
      </c>
      <c r="B897" t="s">
        <v>2380</v>
      </c>
    </row>
    <row r="898" spans="1:2">
      <c r="A898">
        <v>30599905</v>
      </c>
      <c r="B898" t="s">
        <v>2382</v>
      </c>
    </row>
    <row r="899" spans="1:2">
      <c r="A899">
        <v>30599906</v>
      </c>
      <c r="B899" t="s">
        <v>2384</v>
      </c>
    </row>
    <row r="900" spans="1:2">
      <c r="A900">
        <v>30599907</v>
      </c>
      <c r="B900" t="s">
        <v>2386</v>
      </c>
    </row>
    <row r="901" spans="1:2">
      <c r="A901">
        <v>30599908</v>
      </c>
      <c r="B901" t="s">
        <v>2388</v>
      </c>
    </row>
    <row r="902" spans="1:2">
      <c r="A902">
        <v>30599909</v>
      </c>
      <c r="B902" t="s">
        <v>2390</v>
      </c>
    </row>
    <row r="903" spans="1:2">
      <c r="A903">
        <v>30599910</v>
      </c>
      <c r="B903" t="s">
        <v>2392</v>
      </c>
    </row>
    <row r="904" spans="1:2">
      <c r="A904">
        <v>30599911</v>
      </c>
      <c r="B904" t="s">
        <v>2394</v>
      </c>
    </row>
    <row r="905" spans="1:2">
      <c r="A905">
        <v>30599912</v>
      </c>
      <c r="B905" t="s">
        <v>2396</v>
      </c>
    </row>
    <row r="906" spans="1:2">
      <c r="A906">
        <v>30599913</v>
      </c>
      <c r="B906" t="s">
        <v>2398</v>
      </c>
    </row>
    <row r="907" spans="1:2">
      <c r="A907">
        <v>30599914</v>
      </c>
      <c r="B907" t="s">
        <v>2400</v>
      </c>
    </row>
    <row r="908" spans="1:2">
      <c r="A908">
        <v>30599915</v>
      </c>
      <c r="B908" t="s">
        <v>2402</v>
      </c>
    </row>
    <row r="909" spans="1:2">
      <c r="A909">
        <v>30599916</v>
      </c>
      <c r="B909" t="s">
        <v>2404</v>
      </c>
    </row>
    <row r="910" spans="1:2">
      <c r="A910">
        <v>30599917</v>
      </c>
      <c r="B910" t="s">
        <v>2406</v>
      </c>
    </row>
    <row r="911" spans="1:2">
      <c r="A911">
        <v>30599918</v>
      </c>
      <c r="B911" t="s">
        <v>2408</v>
      </c>
    </row>
    <row r="912" spans="1:2">
      <c r="A912">
        <v>30599919</v>
      </c>
      <c r="B912" t="s">
        <v>2410</v>
      </c>
    </row>
    <row r="913" spans="1:2">
      <c r="A913">
        <v>30599920</v>
      </c>
      <c r="B913" t="s">
        <v>2412</v>
      </c>
    </row>
    <row r="914" spans="1:2">
      <c r="A914">
        <v>30599921</v>
      </c>
      <c r="B914" t="s">
        <v>2414</v>
      </c>
    </row>
    <row r="915" spans="1:2">
      <c r="A915">
        <v>30599922</v>
      </c>
      <c r="B915" t="s">
        <v>2416</v>
      </c>
    </row>
    <row r="916" spans="1:2">
      <c r="A916">
        <v>30599923</v>
      </c>
      <c r="B916" t="s">
        <v>2418</v>
      </c>
    </row>
    <row r="917" spans="1:2">
      <c r="A917">
        <v>30599924</v>
      </c>
      <c r="B917" t="s">
        <v>2420</v>
      </c>
    </row>
    <row r="918" spans="1:2">
      <c r="A918">
        <v>30599925</v>
      </c>
      <c r="B918" t="s">
        <v>2422</v>
      </c>
    </row>
    <row r="919" spans="1:2">
      <c r="A919">
        <v>30599926</v>
      </c>
      <c r="B919" t="s">
        <v>2424</v>
      </c>
    </row>
    <row r="920" spans="1:2">
      <c r="A920">
        <v>30599927</v>
      </c>
      <c r="B920" t="s">
        <v>2426</v>
      </c>
    </row>
    <row r="921" spans="1:2">
      <c r="A921">
        <v>30500310</v>
      </c>
      <c r="B921" t="s">
        <v>2324</v>
      </c>
    </row>
    <row r="922" spans="1:2">
      <c r="A922">
        <v>30500311</v>
      </c>
      <c r="B922" t="s">
        <v>2326</v>
      </c>
    </row>
    <row r="923" spans="1:2">
      <c r="A923">
        <v>30500312</v>
      </c>
      <c r="B923" t="s">
        <v>2328</v>
      </c>
    </row>
    <row r="924" spans="1:2">
      <c r="A924">
        <v>30500313</v>
      </c>
      <c r="B924" t="s">
        <v>2330</v>
      </c>
    </row>
    <row r="925" spans="1:2">
      <c r="A925">
        <v>30500314</v>
      </c>
      <c r="B925" t="s">
        <v>2332</v>
      </c>
    </row>
    <row r="926" spans="1:2">
      <c r="A926">
        <v>30500315</v>
      </c>
      <c r="B926" t="s">
        <v>2334</v>
      </c>
    </row>
    <row r="927" spans="1:2">
      <c r="A927">
        <v>30500316</v>
      </c>
      <c r="B927" t="s">
        <v>2336</v>
      </c>
    </row>
    <row r="928" spans="1:2">
      <c r="A928">
        <v>30500317</v>
      </c>
      <c r="B928" t="s">
        <v>2338</v>
      </c>
    </row>
    <row r="929" spans="1:2">
      <c r="A929">
        <v>30500410</v>
      </c>
      <c r="B929" t="s">
        <v>2358</v>
      </c>
    </row>
    <row r="930" spans="1:2">
      <c r="A930">
        <v>30500411</v>
      </c>
      <c r="B930" t="s">
        <v>2360</v>
      </c>
    </row>
    <row r="931" spans="1:2">
      <c r="A931">
        <v>30500412</v>
      </c>
      <c r="B931" t="s">
        <v>2362</v>
      </c>
    </row>
    <row r="932" spans="1:2">
      <c r="A932">
        <v>30500413</v>
      </c>
      <c r="B932" t="s">
        <v>2364</v>
      </c>
    </row>
    <row r="933" spans="1:2">
      <c r="A933">
        <v>30500414</v>
      </c>
      <c r="B933" t="s">
        <v>2366</v>
      </c>
    </row>
    <row r="934" spans="1:2">
      <c r="A934">
        <v>30500415</v>
      </c>
      <c r="B934" t="s">
        <v>2368</v>
      </c>
    </row>
    <row r="935" spans="1:2">
      <c r="A935">
        <v>30500416</v>
      </c>
      <c r="B935" t="s">
        <v>2370</v>
      </c>
    </row>
    <row r="936" spans="1:2">
      <c r="A936">
        <v>30500417</v>
      </c>
      <c r="B936" t="s">
        <v>2372</v>
      </c>
    </row>
    <row r="937" spans="1:2">
      <c r="A937">
        <v>30599928</v>
      </c>
      <c r="B937" t="s">
        <v>2428</v>
      </c>
    </row>
    <row r="938" spans="1:2">
      <c r="A938">
        <v>30599929</v>
      </c>
      <c r="B938" t="s">
        <v>2430</v>
      </c>
    </row>
    <row r="939" spans="1:2">
      <c r="A939">
        <v>30599930</v>
      </c>
      <c r="B939" t="s">
        <v>2432</v>
      </c>
    </row>
    <row r="940" spans="1:2">
      <c r="A940">
        <v>30599931</v>
      </c>
      <c r="B940" t="s">
        <v>2434</v>
      </c>
    </row>
    <row r="941" spans="1:2">
      <c r="A941">
        <v>30599932</v>
      </c>
      <c r="B941" t="s">
        <v>2436</v>
      </c>
    </row>
    <row r="942" spans="1:2">
      <c r="A942">
        <v>30599933</v>
      </c>
      <c r="B942" t="s">
        <v>2438</v>
      </c>
    </row>
    <row r="943" spans="1:2">
      <c r="A943">
        <v>30599934</v>
      </c>
      <c r="B943" t="s">
        <v>2440</v>
      </c>
    </row>
    <row r="944" spans="1:2">
      <c r="A944">
        <v>30599935</v>
      </c>
      <c r="B944" t="s">
        <v>2442</v>
      </c>
    </row>
    <row r="945" spans="1:2">
      <c r="A945">
        <v>31000501</v>
      </c>
      <c r="B945" t="s">
        <v>2444</v>
      </c>
    </row>
    <row r="946" spans="1:2">
      <c r="A946">
        <v>31000502</v>
      </c>
      <c r="B946" t="s">
        <v>2446</v>
      </c>
    </row>
    <row r="947" spans="1:2">
      <c r="A947">
        <v>31000503</v>
      </c>
      <c r="B947" t="s">
        <v>2448</v>
      </c>
    </row>
    <row r="948" spans="1:2">
      <c r="A948">
        <v>31000504</v>
      </c>
      <c r="B948" t="s">
        <v>2450</v>
      </c>
    </row>
    <row r="949" spans="1:2">
      <c r="A949">
        <v>31000505</v>
      </c>
      <c r="B949" t="s">
        <v>2452</v>
      </c>
    </row>
    <row r="950" spans="1:2">
      <c r="A950">
        <v>31000506</v>
      </c>
      <c r="B950" t="s">
        <v>2454</v>
      </c>
    </row>
    <row r="951" spans="1:2">
      <c r="A951">
        <v>31000507</v>
      </c>
      <c r="B951" t="s">
        <v>2456</v>
      </c>
    </row>
    <row r="952" spans="1:2">
      <c r="A952">
        <v>31000508</v>
      </c>
      <c r="B952" t="s">
        <v>2458</v>
      </c>
    </row>
    <row r="953" spans="1:2">
      <c r="A953">
        <v>31000509</v>
      </c>
      <c r="B953" t="s">
        <v>2460</v>
      </c>
    </row>
    <row r="954" spans="1:2">
      <c r="A954">
        <v>31000510</v>
      </c>
      <c r="B954" t="s">
        <v>2462</v>
      </c>
    </row>
    <row r="955" spans="1:2">
      <c r="A955">
        <v>31000511</v>
      </c>
      <c r="B955" t="s">
        <v>2464</v>
      </c>
    </row>
    <row r="956" spans="1:2">
      <c r="A956">
        <v>31000512</v>
      </c>
      <c r="B956" t="s">
        <v>2466</v>
      </c>
    </row>
    <row r="957" spans="1:2">
      <c r="A957">
        <v>31000513</v>
      </c>
      <c r="B957" t="s">
        <v>2468</v>
      </c>
    </row>
    <row r="958" spans="1:2">
      <c r="A958">
        <v>31000514</v>
      </c>
      <c r="B958" t="s">
        <v>2470</v>
      </c>
    </row>
    <row r="959" spans="1:2">
      <c r="A959">
        <v>31000515</v>
      </c>
      <c r="B959" t="s">
        <v>2472</v>
      </c>
    </row>
    <row r="960" spans="1:2">
      <c r="A960">
        <v>31000516</v>
      </c>
      <c r="B960" t="s">
        <v>2474</v>
      </c>
    </row>
    <row r="961" spans="1:2">
      <c r="A961">
        <v>31000517</v>
      </c>
      <c r="B961" t="s">
        <v>2476</v>
      </c>
    </row>
    <row r="962" spans="1:2">
      <c r="A962">
        <v>31000518</v>
      </c>
      <c r="B962" t="s">
        <v>2478</v>
      </c>
    </row>
    <row r="963" spans="1:2">
      <c r="A963">
        <v>31000519</v>
      </c>
      <c r="B963" t="s">
        <v>2480</v>
      </c>
    </row>
    <row r="964" spans="1:2">
      <c r="A964">
        <v>31000520</v>
      </c>
      <c r="B964" t="s">
        <v>2482</v>
      </c>
    </row>
    <row r="965" spans="1:2">
      <c r="A965">
        <v>31000521</v>
      </c>
      <c r="B965" t="s">
        <v>2484</v>
      </c>
    </row>
    <row r="966" spans="1:2">
      <c r="A966">
        <v>31000522</v>
      </c>
      <c r="B966" t="s">
        <v>2486</v>
      </c>
    </row>
    <row r="967" spans="1:2">
      <c r="A967">
        <v>31000523</v>
      </c>
      <c r="B967" t="s">
        <v>2488</v>
      </c>
    </row>
    <row r="968" spans="1:2">
      <c r="A968">
        <v>31000524</v>
      </c>
      <c r="B968" t="s">
        <v>2490</v>
      </c>
    </row>
    <row r="969" spans="1:2">
      <c r="A969">
        <v>31000525</v>
      </c>
      <c r="B969" t="s">
        <v>2492</v>
      </c>
    </row>
    <row r="970" spans="1:2">
      <c r="A970">
        <v>31000526</v>
      </c>
      <c r="B970" t="s">
        <v>2494</v>
      </c>
    </row>
    <row r="971" spans="1:2">
      <c r="A971">
        <v>31000527</v>
      </c>
      <c r="B971" t="s">
        <v>2496</v>
      </c>
    </row>
    <row r="972" spans="1:2">
      <c r="A972">
        <v>31000528</v>
      </c>
      <c r="B972" t="s">
        <v>2498</v>
      </c>
    </row>
    <row r="973" spans="1:2">
      <c r="A973">
        <v>31000529</v>
      </c>
      <c r="B973" t="s">
        <v>2500</v>
      </c>
    </row>
    <row r="974" spans="1:2">
      <c r="A974">
        <v>31000530</v>
      </c>
      <c r="B974" t="s">
        <v>2502</v>
      </c>
    </row>
    <row r="975" spans="1:2">
      <c r="A975">
        <v>31000531</v>
      </c>
      <c r="B975" t="s">
        <v>2504</v>
      </c>
    </row>
    <row r="976" spans="1:2">
      <c r="A976">
        <v>31000532</v>
      </c>
      <c r="B976" t="s">
        <v>2506</v>
      </c>
    </row>
    <row r="977" spans="1:2">
      <c r="A977">
        <v>32000601</v>
      </c>
      <c r="B977" t="s">
        <v>2508</v>
      </c>
    </row>
    <row r="978" spans="1:2">
      <c r="A978">
        <v>32000602</v>
      </c>
      <c r="B978" t="s">
        <v>2510</v>
      </c>
    </row>
    <row r="979" spans="1:2">
      <c r="A979">
        <v>32000603</v>
      </c>
      <c r="B979" t="s">
        <v>2512</v>
      </c>
    </row>
    <row r="980" spans="1:2">
      <c r="A980">
        <v>32000604</v>
      </c>
      <c r="B980" t="s">
        <v>2514</v>
      </c>
    </row>
    <row r="981" spans="1:2">
      <c r="A981">
        <v>32000605</v>
      </c>
      <c r="B981" t="s">
        <v>2516</v>
      </c>
    </row>
    <row r="982" spans="1:2">
      <c r="A982">
        <v>32000606</v>
      </c>
      <c r="B982" t="s">
        <v>2518</v>
      </c>
    </row>
    <row r="983" spans="1:2">
      <c r="A983">
        <v>32000607</v>
      </c>
      <c r="B983" t="s">
        <v>2520</v>
      </c>
    </row>
    <row r="984" spans="1:2">
      <c r="A984">
        <v>32000608</v>
      </c>
      <c r="B984" t="s">
        <v>2522</v>
      </c>
    </row>
    <row r="985" spans="1:2">
      <c r="A985">
        <v>32000609</v>
      </c>
      <c r="B985" t="s">
        <v>2524</v>
      </c>
    </row>
    <row r="986" spans="1:2">
      <c r="A986">
        <v>32000610</v>
      </c>
      <c r="B986" t="s">
        <v>2526</v>
      </c>
    </row>
    <row r="987" spans="1:2">
      <c r="A987">
        <v>32000611</v>
      </c>
      <c r="B987" t="s">
        <v>2528</v>
      </c>
    </row>
    <row r="988" spans="1:2">
      <c r="A988">
        <v>32000612</v>
      </c>
      <c r="B988" t="s">
        <v>2530</v>
      </c>
    </row>
    <row r="989" spans="1:2">
      <c r="A989">
        <v>32000613</v>
      </c>
      <c r="B989" t="s">
        <v>2532</v>
      </c>
    </row>
    <row r="990" spans="1:2">
      <c r="A990">
        <v>32000614</v>
      </c>
      <c r="B990" t="s">
        <v>2534</v>
      </c>
    </row>
    <row r="991" spans="1:2">
      <c r="A991">
        <v>32000615</v>
      </c>
      <c r="B991" t="s">
        <v>2536</v>
      </c>
    </row>
    <row r="992" spans="1:2">
      <c r="A992">
        <v>32000616</v>
      </c>
      <c r="B992" t="s">
        <v>2538</v>
      </c>
    </row>
    <row r="993" spans="1:2">
      <c r="A993">
        <v>32000617</v>
      </c>
      <c r="B993" t="s">
        <v>2540</v>
      </c>
    </row>
    <row r="994" spans="1:2">
      <c r="A994">
        <v>32500701</v>
      </c>
      <c r="B994" t="s">
        <v>2542</v>
      </c>
    </row>
    <row r="995" spans="1:2">
      <c r="A995">
        <v>32500702</v>
      </c>
      <c r="B995" t="s">
        <v>2544</v>
      </c>
    </row>
    <row r="996" spans="1:2">
      <c r="A996">
        <v>32500703</v>
      </c>
      <c r="B996" t="s">
        <v>2546</v>
      </c>
    </row>
    <row r="997" spans="1:2">
      <c r="A997">
        <v>32500704</v>
      </c>
      <c r="B997" t="s">
        <v>2548</v>
      </c>
    </row>
    <row r="998" spans="1:2">
      <c r="A998">
        <v>32500705</v>
      </c>
      <c r="B998" t="s">
        <v>2550</v>
      </c>
    </row>
    <row r="999" spans="1:2">
      <c r="A999">
        <v>32500706</v>
      </c>
      <c r="B999" t="s">
        <v>2552</v>
      </c>
    </row>
    <row r="1000" spans="1:2">
      <c r="A1000">
        <v>32500707</v>
      </c>
      <c r="B1000" t="s">
        <v>2554</v>
      </c>
    </row>
    <row r="1001" spans="1:2">
      <c r="A1001">
        <v>32500708</v>
      </c>
      <c r="B1001" t="s">
        <v>2556</v>
      </c>
    </row>
    <row r="1002" spans="1:2">
      <c r="A1002">
        <v>32500709</v>
      </c>
      <c r="B1002" t="s">
        <v>2558</v>
      </c>
    </row>
    <row r="1003" spans="1:2">
      <c r="A1003">
        <v>32500710</v>
      </c>
      <c r="B1003" t="s">
        <v>2544</v>
      </c>
    </row>
    <row r="1004" spans="1:2">
      <c r="A1004">
        <v>32500711</v>
      </c>
      <c r="B1004" t="s">
        <v>2561</v>
      </c>
    </row>
    <row r="1005" spans="1:2">
      <c r="A1005">
        <v>32500712</v>
      </c>
      <c r="B1005" t="s">
        <v>2563</v>
      </c>
    </row>
    <row r="1006" spans="1:2">
      <c r="A1006">
        <v>32500713</v>
      </c>
      <c r="B1006" t="s">
        <v>2546</v>
      </c>
    </row>
    <row r="1007" spans="1:2">
      <c r="A1007">
        <v>32500714</v>
      </c>
      <c r="B1007" t="s">
        <v>2548</v>
      </c>
    </row>
    <row r="1008" spans="1:2">
      <c r="A1008">
        <v>32500715</v>
      </c>
      <c r="B1008" t="s">
        <v>2550</v>
      </c>
    </row>
    <row r="1009" spans="1:2">
      <c r="A1009">
        <v>32500716</v>
      </c>
      <c r="B1009" t="s">
        <v>2552</v>
      </c>
    </row>
    <row r="1010" spans="1:2">
      <c r="A1010">
        <v>32500801</v>
      </c>
      <c r="B1010" t="s">
        <v>2569</v>
      </c>
    </row>
    <row r="1011" spans="1:2">
      <c r="A1011">
        <v>32500802</v>
      </c>
      <c r="B1011" t="s">
        <v>2571</v>
      </c>
    </row>
    <row r="1012" spans="1:2">
      <c r="A1012">
        <v>32500803</v>
      </c>
      <c r="B1012" t="s">
        <v>2573</v>
      </c>
    </row>
    <row r="1013" spans="1:2">
      <c r="A1013">
        <v>32500804</v>
      </c>
      <c r="B1013" t="s">
        <v>2575</v>
      </c>
    </row>
    <row r="1014" spans="1:2">
      <c r="A1014">
        <v>32500805</v>
      </c>
      <c r="B1014" t="s">
        <v>2577</v>
      </c>
    </row>
    <row r="1015" spans="1:2">
      <c r="A1015">
        <v>32500806</v>
      </c>
      <c r="B1015" t="s">
        <v>2579</v>
      </c>
    </row>
    <row r="1016" spans="1:2">
      <c r="A1016">
        <v>33000901</v>
      </c>
      <c r="B1016" t="s">
        <v>2581</v>
      </c>
    </row>
    <row r="1017" spans="1:2">
      <c r="A1017">
        <v>33000902</v>
      </c>
      <c r="B1017" t="s">
        <v>2583</v>
      </c>
    </row>
    <row r="1018" spans="1:2">
      <c r="A1018">
        <v>33000903</v>
      </c>
      <c r="B1018" t="s">
        <v>2585</v>
      </c>
    </row>
    <row r="1019" spans="1:2">
      <c r="A1019">
        <v>33000904</v>
      </c>
      <c r="B1019" t="s">
        <v>2587</v>
      </c>
    </row>
    <row r="1020" spans="1:2">
      <c r="A1020">
        <v>33000905</v>
      </c>
      <c r="B1020" t="s">
        <v>2589</v>
      </c>
    </row>
    <row r="1021" spans="1:2">
      <c r="A1021">
        <v>33000906</v>
      </c>
      <c r="B1021" t="s">
        <v>2591</v>
      </c>
    </row>
    <row r="1022" spans="1:2">
      <c r="A1022">
        <v>39901001</v>
      </c>
      <c r="B1022" t="s">
        <v>2593</v>
      </c>
    </row>
    <row r="1023" spans="1:2">
      <c r="A1023" t="s">
        <v>3794</v>
      </c>
      <c r="B1023" t="s">
        <v>3795</v>
      </c>
    </row>
    <row r="1024" spans="1:2">
      <c r="A1024" t="s">
        <v>3796</v>
      </c>
      <c r="B1024" t="s">
        <v>3797</v>
      </c>
    </row>
    <row r="1025" spans="1:2">
      <c r="A1025" t="s">
        <v>3798</v>
      </c>
      <c r="B1025" t="s">
        <v>3799</v>
      </c>
    </row>
    <row r="1026" spans="1:2">
      <c r="A1026" t="s">
        <v>3800</v>
      </c>
      <c r="B1026" t="s">
        <v>3801</v>
      </c>
    </row>
    <row r="1027" spans="1:2">
      <c r="A1027" t="s">
        <v>3802</v>
      </c>
      <c r="B1027" t="s">
        <v>3803</v>
      </c>
    </row>
    <row r="1028" spans="1:2">
      <c r="A1028" t="s">
        <v>3804</v>
      </c>
      <c r="B1028" t="s">
        <v>3805</v>
      </c>
    </row>
    <row r="1029" spans="1:2">
      <c r="A1029" t="s">
        <v>3806</v>
      </c>
      <c r="B1029" t="s">
        <v>3807</v>
      </c>
    </row>
    <row r="1030" spans="1:2">
      <c r="A1030" t="s">
        <v>3808</v>
      </c>
      <c r="B1030" t="s">
        <v>3809</v>
      </c>
    </row>
    <row r="1031" spans="1:2">
      <c r="A1031" t="s">
        <v>3810</v>
      </c>
      <c r="B1031" t="s">
        <v>3811</v>
      </c>
    </row>
    <row r="1032" spans="1:2">
      <c r="A1032" t="s">
        <v>3812</v>
      </c>
      <c r="B1032" t="s">
        <v>3813</v>
      </c>
    </row>
    <row r="1033" spans="1:2">
      <c r="A1033" t="s">
        <v>3814</v>
      </c>
      <c r="B1033" t="s">
        <v>3815</v>
      </c>
    </row>
    <row r="1034" spans="1:2">
      <c r="A1034" t="s">
        <v>3816</v>
      </c>
      <c r="B1034" t="s">
        <v>3817</v>
      </c>
    </row>
    <row r="1035" spans="1:2">
      <c r="A1035" t="s">
        <v>3818</v>
      </c>
      <c r="B1035" t="s">
        <v>3819</v>
      </c>
    </row>
    <row r="1036" spans="1:2">
      <c r="A1036" t="s">
        <v>3820</v>
      </c>
      <c r="B1036" t="s">
        <v>3821</v>
      </c>
    </row>
    <row r="1037" spans="1:2">
      <c r="A1037" t="s">
        <v>3822</v>
      </c>
      <c r="B1037" t="s">
        <v>3823</v>
      </c>
    </row>
    <row r="1038" spans="1:2">
      <c r="A1038" t="s">
        <v>3824</v>
      </c>
      <c r="B1038" t="s">
        <v>3825</v>
      </c>
    </row>
    <row r="1039" spans="1:2">
      <c r="A1039" t="s">
        <v>3826</v>
      </c>
      <c r="B1039" t="s">
        <v>3827</v>
      </c>
    </row>
    <row r="1040" spans="1:2">
      <c r="A1040" t="s">
        <v>3828</v>
      </c>
      <c r="B1040" t="s">
        <v>3829</v>
      </c>
    </row>
    <row r="1041" spans="1:2">
      <c r="A1041">
        <v>40100101</v>
      </c>
      <c r="B1041" t="s">
        <v>2595</v>
      </c>
    </row>
    <row r="1042" spans="1:2">
      <c r="A1042">
        <v>40100201</v>
      </c>
      <c r="B1042" t="s">
        <v>2597</v>
      </c>
    </row>
    <row r="1043" spans="1:2">
      <c r="A1043">
        <v>40199901</v>
      </c>
      <c r="B1043" t="s">
        <v>2599</v>
      </c>
    </row>
    <row r="1044" spans="1:2">
      <c r="A1044">
        <v>40500301</v>
      </c>
      <c r="B1044" t="s">
        <v>2601</v>
      </c>
    </row>
    <row r="1045" spans="1:2">
      <c r="A1045">
        <v>40500302</v>
      </c>
      <c r="B1045" t="s">
        <v>2603</v>
      </c>
    </row>
    <row r="1046" spans="1:2">
      <c r="A1046">
        <v>40500303</v>
      </c>
      <c r="B1046" t="s">
        <v>2605</v>
      </c>
    </row>
    <row r="1047" spans="1:2">
      <c r="A1047">
        <v>40500304</v>
      </c>
      <c r="B1047" t="s">
        <v>2607</v>
      </c>
    </row>
    <row r="1048" spans="1:2">
      <c r="A1048">
        <v>40500305</v>
      </c>
      <c r="B1048" t="s">
        <v>2609</v>
      </c>
    </row>
    <row r="1049" spans="1:2">
      <c r="A1049">
        <v>40500306</v>
      </c>
      <c r="B1049" t="s">
        <v>2611</v>
      </c>
    </row>
    <row r="1050" spans="1:2">
      <c r="A1050">
        <v>40500307</v>
      </c>
      <c r="B1050" t="s">
        <v>2609</v>
      </c>
    </row>
    <row r="1051" spans="1:2">
      <c r="A1051">
        <v>40500308</v>
      </c>
      <c r="B1051" t="s">
        <v>2614</v>
      </c>
    </row>
    <row r="1052" spans="1:2">
      <c r="A1052">
        <v>40500309</v>
      </c>
      <c r="B1052" t="s">
        <v>2616</v>
      </c>
    </row>
    <row r="1053" spans="1:2">
      <c r="A1053">
        <v>40500401</v>
      </c>
      <c r="B1053" t="s">
        <v>2634</v>
      </c>
    </row>
    <row r="1054" spans="1:2">
      <c r="A1054">
        <v>40500402</v>
      </c>
      <c r="B1054" t="s">
        <v>2636</v>
      </c>
    </row>
    <row r="1055" spans="1:2">
      <c r="A1055">
        <v>40500403</v>
      </c>
      <c r="B1055" t="s">
        <v>2638</v>
      </c>
    </row>
    <row r="1056" spans="1:2">
      <c r="A1056">
        <v>40500404</v>
      </c>
      <c r="B1056" t="s">
        <v>2640</v>
      </c>
    </row>
    <row r="1057" spans="1:2">
      <c r="A1057">
        <v>40500405</v>
      </c>
      <c r="B1057" t="s">
        <v>2642</v>
      </c>
    </row>
    <row r="1058" spans="1:2">
      <c r="A1058">
        <v>40500406</v>
      </c>
      <c r="B1058" t="s">
        <v>2644</v>
      </c>
    </row>
    <row r="1059" spans="1:2">
      <c r="A1059">
        <v>40500407</v>
      </c>
      <c r="B1059" t="s">
        <v>2646</v>
      </c>
    </row>
    <row r="1060" spans="1:2">
      <c r="A1060">
        <v>40500408</v>
      </c>
      <c r="B1060" t="s">
        <v>2648</v>
      </c>
    </row>
    <row r="1061" spans="1:2">
      <c r="A1061">
        <v>40500409</v>
      </c>
      <c r="B1061" t="s">
        <v>2650</v>
      </c>
    </row>
    <row r="1062" spans="1:2">
      <c r="A1062">
        <v>40599901</v>
      </c>
      <c r="B1062" t="s">
        <v>2668</v>
      </c>
    </row>
    <row r="1063" spans="1:2">
      <c r="A1063">
        <v>40599902</v>
      </c>
      <c r="B1063" t="s">
        <v>2670</v>
      </c>
    </row>
    <row r="1064" spans="1:2">
      <c r="A1064">
        <v>40599903</v>
      </c>
      <c r="B1064" t="s">
        <v>2672</v>
      </c>
    </row>
    <row r="1065" spans="1:2">
      <c r="A1065">
        <v>40599904</v>
      </c>
      <c r="B1065" t="s">
        <v>2674</v>
      </c>
    </row>
    <row r="1066" spans="1:2">
      <c r="A1066">
        <v>40599905</v>
      </c>
      <c r="B1066" t="s">
        <v>2676</v>
      </c>
    </row>
    <row r="1067" spans="1:2">
      <c r="A1067">
        <v>40599906</v>
      </c>
      <c r="B1067" t="s">
        <v>2678</v>
      </c>
    </row>
    <row r="1068" spans="1:2">
      <c r="A1068">
        <v>40599907</v>
      </c>
      <c r="B1068" t="s">
        <v>2680</v>
      </c>
    </row>
    <row r="1069" spans="1:2">
      <c r="A1069">
        <v>40599908</v>
      </c>
      <c r="B1069" t="s">
        <v>2682</v>
      </c>
    </row>
    <row r="1070" spans="1:2">
      <c r="A1070">
        <v>40599909</v>
      </c>
      <c r="B1070" t="s">
        <v>2684</v>
      </c>
    </row>
    <row r="1071" spans="1:2">
      <c r="A1071">
        <v>40599910</v>
      </c>
      <c r="B1071" t="s">
        <v>2686</v>
      </c>
    </row>
    <row r="1072" spans="1:2">
      <c r="A1072">
        <v>40599911</v>
      </c>
      <c r="B1072" t="s">
        <v>2688</v>
      </c>
    </row>
    <row r="1073" spans="1:2">
      <c r="A1073">
        <v>40599912</v>
      </c>
      <c r="B1073" t="s">
        <v>2690</v>
      </c>
    </row>
    <row r="1074" spans="1:2">
      <c r="A1074">
        <v>40599913</v>
      </c>
      <c r="B1074" t="s">
        <v>2692</v>
      </c>
    </row>
    <row r="1075" spans="1:2">
      <c r="A1075">
        <v>40599914</v>
      </c>
      <c r="B1075" t="s">
        <v>2694</v>
      </c>
    </row>
    <row r="1076" spans="1:2">
      <c r="A1076">
        <v>40599915</v>
      </c>
      <c r="B1076" t="s">
        <v>2696</v>
      </c>
    </row>
    <row r="1077" spans="1:2">
      <c r="A1077">
        <v>40599916</v>
      </c>
      <c r="B1077" t="s">
        <v>2698</v>
      </c>
    </row>
    <row r="1078" spans="1:2">
      <c r="A1078">
        <v>40599917</v>
      </c>
      <c r="B1078" t="s">
        <v>2700</v>
      </c>
    </row>
    <row r="1079" spans="1:2">
      <c r="A1079">
        <v>40599918</v>
      </c>
      <c r="B1079" t="s">
        <v>2702</v>
      </c>
    </row>
    <row r="1080" spans="1:2">
      <c r="A1080">
        <v>40599919</v>
      </c>
      <c r="B1080" t="s">
        <v>2704</v>
      </c>
    </row>
    <row r="1081" spans="1:2">
      <c r="A1081">
        <v>40599920</v>
      </c>
      <c r="B1081" t="s">
        <v>2706</v>
      </c>
    </row>
    <row r="1082" spans="1:2">
      <c r="A1082">
        <v>40599921</v>
      </c>
      <c r="B1082" t="s">
        <v>2708</v>
      </c>
    </row>
    <row r="1083" spans="1:2">
      <c r="A1083">
        <v>40599922</v>
      </c>
      <c r="B1083" t="s">
        <v>2710</v>
      </c>
    </row>
    <row r="1084" spans="1:2">
      <c r="A1084">
        <v>40599923</v>
      </c>
      <c r="B1084" t="s">
        <v>2712</v>
      </c>
    </row>
    <row r="1085" spans="1:2">
      <c r="A1085">
        <v>40599924</v>
      </c>
      <c r="B1085" t="s">
        <v>2714</v>
      </c>
    </row>
    <row r="1086" spans="1:2">
      <c r="A1086">
        <v>40599925</v>
      </c>
      <c r="B1086" t="s">
        <v>2716</v>
      </c>
    </row>
    <row r="1087" spans="1:2">
      <c r="A1087">
        <v>40599926</v>
      </c>
      <c r="B1087" t="s">
        <v>2718</v>
      </c>
    </row>
    <row r="1088" spans="1:2">
      <c r="A1088">
        <v>40599927</v>
      </c>
      <c r="B1088" t="s">
        <v>2720</v>
      </c>
    </row>
    <row r="1089" spans="1:2">
      <c r="A1089">
        <v>40500310</v>
      </c>
      <c r="B1089" t="s">
        <v>2618</v>
      </c>
    </row>
    <row r="1090" spans="1:2">
      <c r="A1090">
        <v>40500311</v>
      </c>
      <c r="B1090" t="s">
        <v>2620</v>
      </c>
    </row>
    <row r="1091" spans="1:2">
      <c r="A1091">
        <v>40500312</v>
      </c>
      <c r="B1091" t="s">
        <v>2622</v>
      </c>
    </row>
    <row r="1092" spans="1:2">
      <c r="A1092">
        <v>40500313</v>
      </c>
      <c r="B1092" t="s">
        <v>2624</v>
      </c>
    </row>
    <row r="1093" spans="1:2">
      <c r="A1093">
        <v>40500314</v>
      </c>
      <c r="B1093" t="s">
        <v>2626</v>
      </c>
    </row>
    <row r="1094" spans="1:2">
      <c r="A1094">
        <v>40500315</v>
      </c>
      <c r="B1094" t="s">
        <v>2628</v>
      </c>
    </row>
    <row r="1095" spans="1:2">
      <c r="A1095">
        <v>40500316</v>
      </c>
      <c r="B1095" t="s">
        <v>2630</v>
      </c>
    </row>
    <row r="1096" spans="1:2">
      <c r="A1096">
        <v>40500317</v>
      </c>
      <c r="B1096" t="s">
        <v>2632</v>
      </c>
    </row>
    <row r="1097" spans="1:2">
      <c r="A1097">
        <v>40500410</v>
      </c>
      <c r="B1097" t="s">
        <v>2652</v>
      </c>
    </row>
    <row r="1098" spans="1:2">
      <c r="A1098">
        <v>40500411</v>
      </c>
      <c r="B1098" t="s">
        <v>2654</v>
      </c>
    </row>
    <row r="1099" spans="1:2">
      <c r="A1099">
        <v>40500412</v>
      </c>
      <c r="B1099" t="s">
        <v>2656</v>
      </c>
    </row>
    <row r="1100" spans="1:2">
      <c r="A1100">
        <v>40500413</v>
      </c>
      <c r="B1100" t="s">
        <v>2658</v>
      </c>
    </row>
    <row r="1101" spans="1:2">
      <c r="A1101">
        <v>40500414</v>
      </c>
      <c r="B1101" t="s">
        <v>2660</v>
      </c>
    </row>
    <row r="1102" spans="1:2">
      <c r="A1102">
        <v>40500415</v>
      </c>
      <c r="B1102" t="s">
        <v>2662</v>
      </c>
    </row>
    <row r="1103" spans="1:2">
      <c r="A1103">
        <v>40500416</v>
      </c>
      <c r="B1103" t="s">
        <v>2664</v>
      </c>
    </row>
    <row r="1104" spans="1:2">
      <c r="A1104">
        <v>40500417</v>
      </c>
      <c r="B1104" t="s">
        <v>2666</v>
      </c>
    </row>
    <row r="1105" spans="1:2">
      <c r="A1105">
        <v>40599928</v>
      </c>
      <c r="B1105" t="s">
        <v>2722</v>
      </c>
    </row>
    <row r="1106" spans="1:2">
      <c r="A1106">
        <v>40599929</v>
      </c>
      <c r="B1106" t="s">
        <v>2724</v>
      </c>
    </row>
    <row r="1107" spans="1:2">
      <c r="A1107">
        <v>40599930</v>
      </c>
      <c r="B1107" t="s">
        <v>2726</v>
      </c>
    </row>
    <row r="1108" spans="1:2">
      <c r="A1108">
        <v>40599931</v>
      </c>
      <c r="B1108" t="s">
        <v>2728</v>
      </c>
    </row>
    <row r="1109" spans="1:2">
      <c r="A1109">
        <v>40599932</v>
      </c>
      <c r="B1109" t="s">
        <v>2730</v>
      </c>
    </row>
    <row r="1110" spans="1:2">
      <c r="A1110">
        <v>40599933</v>
      </c>
      <c r="B1110" t="s">
        <v>2732</v>
      </c>
    </row>
    <row r="1111" spans="1:2">
      <c r="A1111">
        <v>40599934</v>
      </c>
      <c r="B1111" t="s">
        <v>2734</v>
      </c>
    </row>
    <row r="1112" spans="1:2">
      <c r="A1112">
        <v>40599935</v>
      </c>
      <c r="B1112" t="s">
        <v>2736</v>
      </c>
    </row>
    <row r="1113" spans="1:2">
      <c r="A1113">
        <v>41000501</v>
      </c>
      <c r="B1113" t="s">
        <v>2738</v>
      </c>
    </row>
    <row r="1114" spans="1:2">
      <c r="A1114">
        <v>41000502</v>
      </c>
      <c r="B1114" t="s">
        <v>2740</v>
      </c>
    </row>
    <row r="1115" spans="1:2">
      <c r="A1115">
        <v>41000503</v>
      </c>
      <c r="B1115" t="s">
        <v>2742</v>
      </c>
    </row>
    <row r="1116" spans="1:2">
      <c r="A1116">
        <v>41000504</v>
      </c>
      <c r="B1116" t="s">
        <v>2744</v>
      </c>
    </row>
    <row r="1117" spans="1:2">
      <c r="A1117">
        <v>41000505</v>
      </c>
      <c r="B1117" t="s">
        <v>2746</v>
      </c>
    </row>
    <row r="1118" spans="1:2">
      <c r="A1118">
        <v>41000506</v>
      </c>
      <c r="B1118" t="s">
        <v>2748</v>
      </c>
    </row>
    <row r="1119" spans="1:2">
      <c r="A1119">
        <v>41000507</v>
      </c>
      <c r="B1119" t="s">
        <v>2750</v>
      </c>
    </row>
    <row r="1120" spans="1:2">
      <c r="A1120">
        <v>41000508</v>
      </c>
      <c r="B1120" t="s">
        <v>2752</v>
      </c>
    </row>
    <row r="1121" spans="1:2">
      <c r="A1121">
        <v>41000509</v>
      </c>
      <c r="B1121" t="s">
        <v>2754</v>
      </c>
    </row>
    <row r="1122" spans="1:2">
      <c r="A1122">
        <v>41000510</v>
      </c>
      <c r="B1122" t="s">
        <v>2756</v>
      </c>
    </row>
    <row r="1123" spans="1:2">
      <c r="A1123">
        <v>41000511</v>
      </c>
      <c r="B1123" t="s">
        <v>2758</v>
      </c>
    </row>
    <row r="1124" spans="1:2">
      <c r="A1124">
        <v>41000512</v>
      </c>
      <c r="B1124" t="s">
        <v>2760</v>
      </c>
    </row>
    <row r="1125" spans="1:2">
      <c r="A1125">
        <v>41000513</v>
      </c>
      <c r="B1125" t="s">
        <v>2762</v>
      </c>
    </row>
    <row r="1126" spans="1:2">
      <c r="A1126">
        <v>41000514</v>
      </c>
      <c r="B1126" t="s">
        <v>2764</v>
      </c>
    </row>
    <row r="1127" spans="1:2">
      <c r="A1127">
        <v>41000515</v>
      </c>
      <c r="B1127" t="s">
        <v>2766</v>
      </c>
    </row>
    <row r="1128" spans="1:2">
      <c r="A1128">
        <v>41000516</v>
      </c>
      <c r="B1128" t="s">
        <v>2768</v>
      </c>
    </row>
    <row r="1129" spans="1:2">
      <c r="A1129">
        <v>41000517</v>
      </c>
      <c r="B1129" t="s">
        <v>2770</v>
      </c>
    </row>
    <row r="1130" spans="1:2">
      <c r="A1130">
        <v>41000518</v>
      </c>
      <c r="B1130" t="s">
        <v>2772</v>
      </c>
    </row>
    <row r="1131" spans="1:2">
      <c r="A1131">
        <v>41000519</v>
      </c>
      <c r="B1131" t="s">
        <v>2774</v>
      </c>
    </row>
    <row r="1132" spans="1:2">
      <c r="A1132">
        <v>41000520</v>
      </c>
      <c r="B1132" t="s">
        <v>2776</v>
      </c>
    </row>
    <row r="1133" spans="1:2">
      <c r="A1133">
        <v>41000521</v>
      </c>
      <c r="B1133" t="s">
        <v>2778</v>
      </c>
    </row>
    <row r="1134" spans="1:2">
      <c r="A1134">
        <v>41000522</v>
      </c>
      <c r="B1134" t="s">
        <v>2780</v>
      </c>
    </row>
    <row r="1135" spans="1:2">
      <c r="A1135">
        <v>41000523</v>
      </c>
      <c r="B1135" t="s">
        <v>2782</v>
      </c>
    </row>
    <row r="1136" spans="1:2">
      <c r="A1136">
        <v>41000524</v>
      </c>
      <c r="B1136" t="s">
        <v>2784</v>
      </c>
    </row>
    <row r="1137" spans="1:2">
      <c r="A1137">
        <v>41000525</v>
      </c>
      <c r="B1137" t="s">
        <v>2786</v>
      </c>
    </row>
    <row r="1138" spans="1:2">
      <c r="A1138">
        <v>41000526</v>
      </c>
      <c r="B1138" t="s">
        <v>2788</v>
      </c>
    </row>
    <row r="1139" spans="1:2">
      <c r="A1139">
        <v>41000527</v>
      </c>
      <c r="B1139" t="s">
        <v>2790</v>
      </c>
    </row>
    <row r="1140" spans="1:2">
      <c r="A1140">
        <v>41000528</v>
      </c>
      <c r="B1140" t="s">
        <v>2792</v>
      </c>
    </row>
    <row r="1141" spans="1:2">
      <c r="A1141">
        <v>41000529</v>
      </c>
      <c r="B1141" t="s">
        <v>2794</v>
      </c>
    </row>
    <row r="1142" spans="1:2">
      <c r="A1142">
        <v>41000530</v>
      </c>
      <c r="B1142" t="s">
        <v>2796</v>
      </c>
    </row>
    <row r="1143" spans="1:2">
      <c r="A1143">
        <v>41000531</v>
      </c>
      <c r="B1143" t="s">
        <v>2798</v>
      </c>
    </row>
    <row r="1144" spans="1:2">
      <c r="A1144">
        <v>41000532</v>
      </c>
      <c r="B1144" t="s">
        <v>2800</v>
      </c>
    </row>
    <row r="1145" spans="1:2">
      <c r="A1145">
        <v>42000601</v>
      </c>
      <c r="B1145" t="s">
        <v>2802</v>
      </c>
    </row>
    <row r="1146" spans="1:2">
      <c r="A1146">
        <v>42000602</v>
      </c>
      <c r="B1146" t="s">
        <v>2804</v>
      </c>
    </row>
    <row r="1147" spans="1:2">
      <c r="A1147">
        <v>42000603</v>
      </c>
      <c r="B1147" t="s">
        <v>2806</v>
      </c>
    </row>
    <row r="1148" spans="1:2">
      <c r="A1148">
        <v>42000604</v>
      </c>
      <c r="B1148" t="s">
        <v>2808</v>
      </c>
    </row>
    <row r="1149" spans="1:2">
      <c r="A1149">
        <v>42000605</v>
      </c>
      <c r="B1149" t="s">
        <v>2810</v>
      </c>
    </row>
    <row r="1150" spans="1:2">
      <c r="A1150">
        <v>42000606</v>
      </c>
      <c r="B1150" t="s">
        <v>2812</v>
      </c>
    </row>
    <row r="1151" spans="1:2">
      <c r="A1151">
        <v>42000607</v>
      </c>
      <c r="B1151" t="s">
        <v>2814</v>
      </c>
    </row>
    <row r="1152" spans="1:2">
      <c r="A1152">
        <v>42000608</v>
      </c>
      <c r="B1152" t="s">
        <v>2816</v>
      </c>
    </row>
    <row r="1153" spans="1:2">
      <c r="A1153">
        <v>42000609</v>
      </c>
      <c r="B1153" t="s">
        <v>2818</v>
      </c>
    </row>
    <row r="1154" spans="1:2">
      <c r="A1154">
        <v>42000610</v>
      </c>
      <c r="B1154" t="s">
        <v>2820</v>
      </c>
    </row>
    <row r="1155" spans="1:2">
      <c r="A1155">
        <v>42000611</v>
      </c>
      <c r="B1155" t="s">
        <v>2822</v>
      </c>
    </row>
    <row r="1156" spans="1:2">
      <c r="A1156">
        <v>42000612</v>
      </c>
      <c r="B1156" t="s">
        <v>2824</v>
      </c>
    </row>
    <row r="1157" spans="1:2">
      <c r="A1157">
        <v>42000613</v>
      </c>
      <c r="B1157" t="s">
        <v>2826</v>
      </c>
    </row>
    <row r="1158" spans="1:2">
      <c r="A1158">
        <v>42000614</v>
      </c>
      <c r="B1158" t="s">
        <v>2828</v>
      </c>
    </row>
    <row r="1159" spans="1:2">
      <c r="A1159">
        <v>42000615</v>
      </c>
      <c r="B1159" t="s">
        <v>2830</v>
      </c>
    </row>
    <row r="1160" spans="1:2">
      <c r="A1160">
        <v>42000616</v>
      </c>
      <c r="B1160" t="s">
        <v>2832</v>
      </c>
    </row>
    <row r="1161" spans="1:2">
      <c r="A1161">
        <v>42000617</v>
      </c>
      <c r="B1161" t="s">
        <v>2834</v>
      </c>
    </row>
    <row r="1162" spans="1:2">
      <c r="A1162">
        <v>42500701</v>
      </c>
      <c r="B1162" t="s">
        <v>2836</v>
      </c>
    </row>
    <row r="1163" spans="1:2">
      <c r="A1163">
        <v>42500702</v>
      </c>
      <c r="B1163" t="s">
        <v>2838</v>
      </c>
    </row>
    <row r="1164" spans="1:2">
      <c r="A1164">
        <v>42500703</v>
      </c>
      <c r="B1164" t="s">
        <v>2840</v>
      </c>
    </row>
    <row r="1165" spans="1:2">
      <c r="A1165">
        <v>42500704</v>
      </c>
      <c r="B1165" t="s">
        <v>2842</v>
      </c>
    </row>
    <row r="1166" spans="1:2">
      <c r="A1166">
        <v>42500705</v>
      </c>
      <c r="B1166" t="s">
        <v>2844</v>
      </c>
    </row>
    <row r="1167" spans="1:2">
      <c r="A1167">
        <v>42500706</v>
      </c>
      <c r="B1167" t="s">
        <v>2846</v>
      </c>
    </row>
    <row r="1168" spans="1:2">
      <c r="A1168">
        <v>42500707</v>
      </c>
      <c r="B1168" t="s">
        <v>2848</v>
      </c>
    </row>
    <row r="1169" spans="1:2">
      <c r="A1169">
        <v>42500708</v>
      </c>
      <c r="B1169" t="s">
        <v>2850</v>
      </c>
    </row>
    <row r="1170" spans="1:2">
      <c r="A1170">
        <v>42500709</v>
      </c>
      <c r="B1170" t="s">
        <v>2852</v>
      </c>
    </row>
    <row r="1171" spans="1:2">
      <c r="A1171">
        <v>42500710</v>
      </c>
      <c r="B1171" t="s">
        <v>2838</v>
      </c>
    </row>
    <row r="1172" spans="1:2">
      <c r="A1172">
        <v>42500711</v>
      </c>
      <c r="B1172" t="s">
        <v>2855</v>
      </c>
    </row>
    <row r="1173" spans="1:2">
      <c r="A1173">
        <v>42500712</v>
      </c>
      <c r="B1173" t="s">
        <v>2857</v>
      </c>
    </row>
    <row r="1174" spans="1:2">
      <c r="A1174">
        <v>42500713</v>
      </c>
      <c r="B1174" t="s">
        <v>2840</v>
      </c>
    </row>
    <row r="1175" spans="1:2">
      <c r="A1175">
        <v>42500714</v>
      </c>
      <c r="B1175" t="s">
        <v>2842</v>
      </c>
    </row>
    <row r="1176" spans="1:2">
      <c r="A1176">
        <v>42500715</v>
      </c>
      <c r="B1176" t="s">
        <v>2844</v>
      </c>
    </row>
    <row r="1177" spans="1:2">
      <c r="A1177">
        <v>42500716</v>
      </c>
      <c r="B1177" t="s">
        <v>2846</v>
      </c>
    </row>
    <row r="1178" spans="1:2">
      <c r="A1178">
        <v>42500801</v>
      </c>
      <c r="B1178" t="s">
        <v>2863</v>
      </c>
    </row>
    <row r="1179" spans="1:2">
      <c r="A1179">
        <v>42500802</v>
      </c>
      <c r="B1179" t="s">
        <v>2865</v>
      </c>
    </row>
    <row r="1180" spans="1:2">
      <c r="A1180">
        <v>42500803</v>
      </c>
      <c r="B1180" t="s">
        <v>2867</v>
      </c>
    </row>
    <row r="1181" spans="1:2">
      <c r="A1181">
        <v>42500804</v>
      </c>
      <c r="B1181" t="s">
        <v>2869</v>
      </c>
    </row>
    <row r="1182" spans="1:2">
      <c r="A1182">
        <v>42500805</v>
      </c>
      <c r="B1182" t="s">
        <v>2871</v>
      </c>
    </row>
    <row r="1183" spans="1:2">
      <c r="A1183">
        <v>42500806</v>
      </c>
      <c r="B1183" t="s">
        <v>2873</v>
      </c>
    </row>
    <row r="1184" spans="1:2">
      <c r="A1184">
        <v>43000901</v>
      </c>
      <c r="B1184" t="s">
        <v>2875</v>
      </c>
    </row>
    <row r="1185" spans="1:2">
      <c r="A1185">
        <v>43000902</v>
      </c>
      <c r="B1185" t="s">
        <v>2877</v>
      </c>
    </row>
    <row r="1186" spans="1:2">
      <c r="A1186">
        <v>43000903</v>
      </c>
      <c r="B1186" t="s">
        <v>2879</v>
      </c>
    </row>
    <row r="1187" spans="1:2">
      <c r="A1187">
        <v>43000904</v>
      </c>
      <c r="B1187" t="s">
        <v>2881</v>
      </c>
    </row>
    <row r="1188" spans="1:2">
      <c r="A1188">
        <v>43000905</v>
      </c>
      <c r="B1188" t="s">
        <v>2883</v>
      </c>
    </row>
    <row r="1189" spans="1:2">
      <c r="A1189">
        <v>43000906</v>
      </c>
      <c r="B1189" t="s">
        <v>2885</v>
      </c>
    </row>
    <row r="1190" spans="1:2">
      <c r="A1190">
        <v>49901001</v>
      </c>
      <c r="B1190" t="s">
        <v>2887</v>
      </c>
    </row>
    <row r="1191" spans="1:2">
      <c r="A1191" t="s">
        <v>3830</v>
      </c>
      <c r="B1191" t="s">
        <v>3831</v>
      </c>
    </row>
    <row r="1192" spans="1:2">
      <c r="A1192" t="s">
        <v>3832</v>
      </c>
      <c r="B1192" t="s">
        <v>3833</v>
      </c>
    </row>
    <row r="1193" spans="1:2">
      <c r="A1193" t="s">
        <v>3834</v>
      </c>
      <c r="B1193" t="s">
        <v>3835</v>
      </c>
    </row>
    <row r="1194" spans="1:2">
      <c r="A1194" t="s">
        <v>3836</v>
      </c>
      <c r="B1194" t="s">
        <v>3837</v>
      </c>
    </row>
    <row r="1195" spans="1:2">
      <c r="A1195" t="s">
        <v>3838</v>
      </c>
      <c r="B1195" t="s">
        <v>3839</v>
      </c>
    </row>
    <row r="1196" spans="1:2">
      <c r="A1196" t="s">
        <v>3840</v>
      </c>
      <c r="B1196" t="s">
        <v>3841</v>
      </c>
    </row>
    <row r="1197" spans="1:2">
      <c r="A1197" t="s">
        <v>3842</v>
      </c>
      <c r="B1197" t="s">
        <v>3843</v>
      </c>
    </row>
    <row r="1198" spans="1:2">
      <c r="A1198" t="s">
        <v>3844</v>
      </c>
      <c r="B1198" t="s">
        <v>3845</v>
      </c>
    </row>
    <row r="1199" spans="1:2">
      <c r="A1199" t="s">
        <v>3846</v>
      </c>
      <c r="B1199" t="s">
        <v>3847</v>
      </c>
    </row>
    <row r="1200" spans="1:2">
      <c r="A1200" t="s">
        <v>3848</v>
      </c>
      <c r="B1200" t="s">
        <v>3849</v>
      </c>
    </row>
    <row r="1201" spans="1:2">
      <c r="A1201" t="s">
        <v>3850</v>
      </c>
      <c r="B1201" t="s">
        <v>3851</v>
      </c>
    </row>
    <row r="1202" spans="1:2">
      <c r="A1202" t="s">
        <v>3852</v>
      </c>
      <c r="B1202" t="s">
        <v>3853</v>
      </c>
    </row>
    <row r="1203" spans="1:2">
      <c r="A1203" t="s">
        <v>3854</v>
      </c>
      <c r="B1203" t="s">
        <v>3855</v>
      </c>
    </row>
    <row r="1204" spans="1:2">
      <c r="A1204" t="s">
        <v>3856</v>
      </c>
      <c r="B1204" t="s">
        <v>3857</v>
      </c>
    </row>
    <row r="1205" spans="1:2">
      <c r="A1205" t="s">
        <v>3858</v>
      </c>
      <c r="B1205" t="s">
        <v>3859</v>
      </c>
    </row>
    <row r="1206" spans="1:2">
      <c r="A1206" t="s">
        <v>3860</v>
      </c>
      <c r="B1206" t="s">
        <v>3861</v>
      </c>
    </row>
    <row r="1207" spans="1:2">
      <c r="A1207" t="s">
        <v>3862</v>
      </c>
      <c r="B1207" t="s">
        <v>3863</v>
      </c>
    </row>
    <row r="1208" spans="1:2">
      <c r="A1208" t="s">
        <v>3864</v>
      </c>
      <c r="B1208" t="s">
        <v>3865</v>
      </c>
    </row>
    <row r="1209" spans="1:2">
      <c r="A1209">
        <v>50100101</v>
      </c>
      <c r="B1209" t="s">
        <v>2889</v>
      </c>
    </row>
    <row r="1210" spans="1:2">
      <c r="A1210">
        <v>50100201</v>
      </c>
      <c r="B1210" t="s">
        <v>2891</v>
      </c>
    </row>
    <row r="1211" spans="1:2">
      <c r="A1211">
        <v>50199901</v>
      </c>
      <c r="B1211" t="s">
        <v>2893</v>
      </c>
    </row>
    <row r="1212" spans="1:2">
      <c r="A1212">
        <v>50500301</v>
      </c>
      <c r="B1212" t="s">
        <v>2895</v>
      </c>
    </row>
    <row r="1213" spans="1:2">
      <c r="A1213">
        <v>50500302</v>
      </c>
      <c r="B1213" t="s">
        <v>2897</v>
      </c>
    </row>
    <row r="1214" spans="1:2">
      <c r="A1214">
        <v>50500303</v>
      </c>
      <c r="B1214" t="s">
        <v>2899</v>
      </c>
    </row>
    <row r="1215" spans="1:2">
      <c r="A1215">
        <v>50500304</v>
      </c>
      <c r="B1215" t="s">
        <v>2901</v>
      </c>
    </row>
    <row r="1216" spans="1:2">
      <c r="A1216">
        <v>50500305</v>
      </c>
      <c r="B1216" t="s">
        <v>2903</v>
      </c>
    </row>
    <row r="1217" spans="1:2">
      <c r="A1217">
        <v>50500306</v>
      </c>
      <c r="B1217" t="s">
        <v>2905</v>
      </c>
    </row>
    <row r="1218" spans="1:2">
      <c r="A1218">
        <v>50500307</v>
      </c>
      <c r="B1218" t="s">
        <v>2903</v>
      </c>
    </row>
    <row r="1219" spans="1:2">
      <c r="A1219">
        <v>50500308</v>
      </c>
      <c r="B1219" t="s">
        <v>2908</v>
      </c>
    </row>
    <row r="1220" spans="1:2">
      <c r="A1220">
        <v>50500309</v>
      </c>
      <c r="B1220" t="s">
        <v>2910</v>
      </c>
    </row>
    <row r="1221" spans="1:2">
      <c r="A1221">
        <v>50500401</v>
      </c>
      <c r="B1221" t="s">
        <v>2928</v>
      </c>
    </row>
    <row r="1222" spans="1:2">
      <c r="A1222">
        <v>50500402</v>
      </c>
      <c r="B1222" t="s">
        <v>2930</v>
      </c>
    </row>
    <row r="1223" spans="1:2">
      <c r="A1223">
        <v>50500403</v>
      </c>
      <c r="B1223" t="s">
        <v>2932</v>
      </c>
    </row>
    <row r="1224" spans="1:2">
      <c r="A1224">
        <v>50500404</v>
      </c>
      <c r="B1224" t="s">
        <v>2934</v>
      </c>
    </row>
    <row r="1225" spans="1:2">
      <c r="A1225">
        <v>50500405</v>
      </c>
      <c r="B1225" t="s">
        <v>2936</v>
      </c>
    </row>
    <row r="1226" spans="1:2">
      <c r="A1226">
        <v>50500406</v>
      </c>
      <c r="B1226" t="s">
        <v>2938</v>
      </c>
    </row>
    <row r="1227" spans="1:2">
      <c r="A1227">
        <v>50500407</v>
      </c>
      <c r="B1227" t="s">
        <v>2940</v>
      </c>
    </row>
    <row r="1228" spans="1:2">
      <c r="A1228">
        <v>50500408</v>
      </c>
      <c r="B1228" t="s">
        <v>2942</v>
      </c>
    </row>
    <row r="1229" spans="1:2">
      <c r="A1229">
        <v>50500409</v>
      </c>
      <c r="B1229" t="s">
        <v>2944</v>
      </c>
    </row>
    <row r="1230" spans="1:2">
      <c r="A1230">
        <v>50599901</v>
      </c>
      <c r="B1230" t="s">
        <v>2962</v>
      </c>
    </row>
    <row r="1231" spans="1:2">
      <c r="A1231">
        <v>50599902</v>
      </c>
      <c r="B1231" t="s">
        <v>2964</v>
      </c>
    </row>
    <row r="1232" spans="1:2">
      <c r="A1232">
        <v>50599903</v>
      </c>
      <c r="B1232" t="s">
        <v>2966</v>
      </c>
    </row>
    <row r="1233" spans="1:2">
      <c r="A1233">
        <v>50599904</v>
      </c>
      <c r="B1233" t="s">
        <v>2968</v>
      </c>
    </row>
    <row r="1234" spans="1:2">
      <c r="A1234">
        <v>50599905</v>
      </c>
      <c r="B1234" t="s">
        <v>2970</v>
      </c>
    </row>
    <row r="1235" spans="1:2">
      <c r="A1235">
        <v>50599906</v>
      </c>
      <c r="B1235" t="s">
        <v>2972</v>
      </c>
    </row>
    <row r="1236" spans="1:2">
      <c r="A1236">
        <v>50599907</v>
      </c>
      <c r="B1236" t="s">
        <v>2974</v>
      </c>
    </row>
    <row r="1237" spans="1:2">
      <c r="A1237">
        <v>50599908</v>
      </c>
      <c r="B1237" t="s">
        <v>2976</v>
      </c>
    </row>
    <row r="1238" spans="1:2">
      <c r="A1238">
        <v>50599909</v>
      </c>
      <c r="B1238" t="s">
        <v>2978</v>
      </c>
    </row>
    <row r="1239" spans="1:2">
      <c r="A1239">
        <v>50599910</v>
      </c>
      <c r="B1239" t="s">
        <v>2980</v>
      </c>
    </row>
    <row r="1240" spans="1:2">
      <c r="A1240">
        <v>50599911</v>
      </c>
      <c r="B1240" t="s">
        <v>2982</v>
      </c>
    </row>
    <row r="1241" spans="1:2">
      <c r="A1241">
        <v>50599912</v>
      </c>
      <c r="B1241" t="s">
        <v>2984</v>
      </c>
    </row>
    <row r="1242" spans="1:2">
      <c r="A1242">
        <v>50599913</v>
      </c>
      <c r="B1242" t="s">
        <v>2986</v>
      </c>
    </row>
    <row r="1243" spans="1:2">
      <c r="A1243">
        <v>50599914</v>
      </c>
      <c r="B1243" t="s">
        <v>2988</v>
      </c>
    </row>
    <row r="1244" spans="1:2">
      <c r="A1244">
        <v>50599915</v>
      </c>
      <c r="B1244" t="s">
        <v>2990</v>
      </c>
    </row>
    <row r="1245" spans="1:2">
      <c r="A1245">
        <v>50599916</v>
      </c>
      <c r="B1245" t="s">
        <v>2992</v>
      </c>
    </row>
    <row r="1246" spans="1:2">
      <c r="A1246">
        <v>50599917</v>
      </c>
      <c r="B1246" t="s">
        <v>2994</v>
      </c>
    </row>
    <row r="1247" spans="1:2">
      <c r="A1247">
        <v>50599918</v>
      </c>
      <c r="B1247" t="s">
        <v>2996</v>
      </c>
    </row>
    <row r="1248" spans="1:2">
      <c r="A1248">
        <v>50599919</v>
      </c>
      <c r="B1248" t="s">
        <v>2998</v>
      </c>
    </row>
    <row r="1249" spans="1:2">
      <c r="A1249">
        <v>50599920</v>
      </c>
      <c r="B1249" t="s">
        <v>3000</v>
      </c>
    </row>
    <row r="1250" spans="1:2">
      <c r="A1250">
        <v>50599921</v>
      </c>
      <c r="B1250" t="s">
        <v>3002</v>
      </c>
    </row>
    <row r="1251" spans="1:2">
      <c r="A1251">
        <v>50599922</v>
      </c>
      <c r="B1251" t="s">
        <v>3004</v>
      </c>
    </row>
    <row r="1252" spans="1:2">
      <c r="A1252">
        <v>50599923</v>
      </c>
      <c r="B1252" t="s">
        <v>3006</v>
      </c>
    </row>
    <row r="1253" spans="1:2">
      <c r="A1253">
        <v>50599924</v>
      </c>
      <c r="B1253" t="s">
        <v>3008</v>
      </c>
    </row>
    <row r="1254" spans="1:2">
      <c r="A1254">
        <v>50599925</v>
      </c>
      <c r="B1254" t="s">
        <v>3010</v>
      </c>
    </row>
    <row r="1255" spans="1:2">
      <c r="A1255">
        <v>50599926</v>
      </c>
      <c r="B1255" t="s">
        <v>3012</v>
      </c>
    </row>
    <row r="1256" spans="1:2">
      <c r="A1256">
        <v>50599927</v>
      </c>
      <c r="B1256" t="s">
        <v>3014</v>
      </c>
    </row>
    <row r="1257" spans="1:2">
      <c r="A1257">
        <v>50500310</v>
      </c>
      <c r="B1257" t="s">
        <v>2912</v>
      </c>
    </row>
    <row r="1258" spans="1:2">
      <c r="A1258">
        <v>50500311</v>
      </c>
      <c r="B1258" t="s">
        <v>2914</v>
      </c>
    </row>
    <row r="1259" spans="1:2">
      <c r="A1259">
        <v>50500312</v>
      </c>
      <c r="B1259" t="s">
        <v>2916</v>
      </c>
    </row>
    <row r="1260" spans="1:2">
      <c r="A1260">
        <v>50500313</v>
      </c>
      <c r="B1260" t="s">
        <v>2918</v>
      </c>
    </row>
    <row r="1261" spans="1:2">
      <c r="A1261">
        <v>50500314</v>
      </c>
      <c r="B1261" t="s">
        <v>2920</v>
      </c>
    </row>
    <row r="1262" spans="1:2">
      <c r="A1262">
        <v>50500315</v>
      </c>
      <c r="B1262" t="s">
        <v>2922</v>
      </c>
    </row>
    <row r="1263" spans="1:2">
      <c r="A1263">
        <v>50500316</v>
      </c>
      <c r="B1263" t="s">
        <v>2924</v>
      </c>
    </row>
    <row r="1264" spans="1:2">
      <c r="A1264">
        <v>50500317</v>
      </c>
      <c r="B1264" t="s">
        <v>2926</v>
      </c>
    </row>
    <row r="1265" spans="1:2">
      <c r="A1265">
        <v>50500410</v>
      </c>
      <c r="B1265" t="s">
        <v>2946</v>
      </c>
    </row>
    <row r="1266" spans="1:2">
      <c r="A1266">
        <v>50500411</v>
      </c>
      <c r="B1266" t="s">
        <v>2948</v>
      </c>
    </row>
    <row r="1267" spans="1:2">
      <c r="A1267">
        <v>50500412</v>
      </c>
      <c r="B1267" t="s">
        <v>2950</v>
      </c>
    </row>
    <row r="1268" spans="1:2">
      <c r="A1268">
        <v>50500413</v>
      </c>
      <c r="B1268" t="s">
        <v>2952</v>
      </c>
    </row>
    <row r="1269" spans="1:2">
      <c r="A1269">
        <v>50500414</v>
      </c>
      <c r="B1269" t="s">
        <v>2954</v>
      </c>
    </row>
    <row r="1270" spans="1:2">
      <c r="A1270">
        <v>50500415</v>
      </c>
      <c r="B1270" t="s">
        <v>2956</v>
      </c>
    </row>
    <row r="1271" spans="1:2">
      <c r="A1271">
        <v>50500416</v>
      </c>
      <c r="B1271" t="s">
        <v>2958</v>
      </c>
    </row>
    <row r="1272" spans="1:2">
      <c r="A1272">
        <v>50500417</v>
      </c>
      <c r="B1272" t="s">
        <v>2960</v>
      </c>
    </row>
    <row r="1273" spans="1:2">
      <c r="A1273">
        <v>50599928</v>
      </c>
      <c r="B1273" t="s">
        <v>3016</v>
      </c>
    </row>
    <row r="1274" spans="1:2">
      <c r="A1274">
        <v>50599929</v>
      </c>
      <c r="B1274" t="s">
        <v>3018</v>
      </c>
    </row>
    <row r="1275" spans="1:2">
      <c r="A1275">
        <v>50599930</v>
      </c>
      <c r="B1275" t="s">
        <v>3020</v>
      </c>
    </row>
    <row r="1276" spans="1:2">
      <c r="A1276">
        <v>50599931</v>
      </c>
      <c r="B1276" t="s">
        <v>3022</v>
      </c>
    </row>
    <row r="1277" spans="1:2">
      <c r="A1277">
        <v>50599932</v>
      </c>
      <c r="B1277" t="s">
        <v>3024</v>
      </c>
    </row>
    <row r="1278" spans="1:2">
      <c r="A1278">
        <v>50599933</v>
      </c>
      <c r="B1278" t="s">
        <v>3026</v>
      </c>
    </row>
    <row r="1279" spans="1:2">
      <c r="A1279">
        <v>50599934</v>
      </c>
      <c r="B1279" t="s">
        <v>3028</v>
      </c>
    </row>
    <row r="1280" spans="1:2">
      <c r="A1280">
        <v>50599935</v>
      </c>
      <c r="B1280" t="s">
        <v>3030</v>
      </c>
    </row>
    <row r="1281" spans="1:2">
      <c r="A1281">
        <v>51000501</v>
      </c>
      <c r="B1281" t="s">
        <v>3032</v>
      </c>
    </row>
    <row r="1282" spans="1:2">
      <c r="A1282">
        <v>51000502</v>
      </c>
      <c r="B1282" t="s">
        <v>3034</v>
      </c>
    </row>
    <row r="1283" spans="1:2">
      <c r="A1283">
        <v>51000503</v>
      </c>
      <c r="B1283" t="s">
        <v>3036</v>
      </c>
    </row>
    <row r="1284" spans="1:2">
      <c r="A1284">
        <v>51000504</v>
      </c>
      <c r="B1284" t="s">
        <v>3038</v>
      </c>
    </row>
    <row r="1285" spans="1:2">
      <c r="A1285">
        <v>51000505</v>
      </c>
      <c r="B1285" t="s">
        <v>3040</v>
      </c>
    </row>
    <row r="1286" spans="1:2">
      <c r="A1286">
        <v>51000506</v>
      </c>
      <c r="B1286" t="s">
        <v>3042</v>
      </c>
    </row>
    <row r="1287" spans="1:2">
      <c r="A1287">
        <v>51000507</v>
      </c>
      <c r="B1287" t="s">
        <v>3044</v>
      </c>
    </row>
    <row r="1288" spans="1:2">
      <c r="A1288">
        <v>51000508</v>
      </c>
      <c r="B1288" t="s">
        <v>3046</v>
      </c>
    </row>
    <row r="1289" spans="1:2">
      <c r="A1289">
        <v>51000509</v>
      </c>
      <c r="B1289" t="s">
        <v>3048</v>
      </c>
    </row>
    <row r="1290" spans="1:2">
      <c r="A1290">
        <v>51000510</v>
      </c>
      <c r="B1290" t="s">
        <v>3050</v>
      </c>
    </row>
    <row r="1291" spans="1:2">
      <c r="A1291">
        <v>51000511</v>
      </c>
      <c r="B1291" t="s">
        <v>3052</v>
      </c>
    </row>
    <row r="1292" spans="1:2">
      <c r="A1292">
        <v>51000512</v>
      </c>
      <c r="B1292" t="s">
        <v>3054</v>
      </c>
    </row>
    <row r="1293" spans="1:2">
      <c r="A1293">
        <v>51000513</v>
      </c>
      <c r="B1293" t="s">
        <v>3056</v>
      </c>
    </row>
    <row r="1294" spans="1:2">
      <c r="A1294">
        <v>51000514</v>
      </c>
      <c r="B1294" t="s">
        <v>3058</v>
      </c>
    </row>
    <row r="1295" spans="1:2">
      <c r="A1295">
        <v>51000515</v>
      </c>
      <c r="B1295" t="s">
        <v>3060</v>
      </c>
    </row>
    <row r="1296" spans="1:2">
      <c r="A1296">
        <v>51000516</v>
      </c>
      <c r="B1296" t="s">
        <v>3062</v>
      </c>
    </row>
    <row r="1297" spans="1:2">
      <c r="A1297">
        <v>51000517</v>
      </c>
      <c r="B1297" t="s">
        <v>3064</v>
      </c>
    </row>
    <row r="1298" spans="1:2">
      <c r="A1298">
        <v>51000518</v>
      </c>
      <c r="B1298" t="s">
        <v>3066</v>
      </c>
    </row>
    <row r="1299" spans="1:2">
      <c r="A1299">
        <v>51000519</v>
      </c>
      <c r="B1299" t="s">
        <v>3068</v>
      </c>
    </row>
    <row r="1300" spans="1:2">
      <c r="A1300">
        <v>51000520</v>
      </c>
      <c r="B1300" t="s">
        <v>3070</v>
      </c>
    </row>
    <row r="1301" spans="1:2">
      <c r="A1301">
        <v>51000521</v>
      </c>
      <c r="B1301" t="s">
        <v>3072</v>
      </c>
    </row>
    <row r="1302" spans="1:2">
      <c r="A1302">
        <v>51000522</v>
      </c>
      <c r="B1302" t="s">
        <v>3074</v>
      </c>
    </row>
    <row r="1303" spans="1:2">
      <c r="A1303">
        <v>51000523</v>
      </c>
      <c r="B1303" t="s">
        <v>3076</v>
      </c>
    </row>
    <row r="1304" spans="1:2">
      <c r="A1304">
        <v>51000524</v>
      </c>
      <c r="B1304" t="s">
        <v>3078</v>
      </c>
    </row>
    <row r="1305" spans="1:2">
      <c r="A1305">
        <v>51000525</v>
      </c>
      <c r="B1305" t="s">
        <v>3080</v>
      </c>
    </row>
    <row r="1306" spans="1:2">
      <c r="A1306">
        <v>51000526</v>
      </c>
      <c r="B1306" t="s">
        <v>3082</v>
      </c>
    </row>
    <row r="1307" spans="1:2">
      <c r="A1307">
        <v>51000527</v>
      </c>
      <c r="B1307" t="s">
        <v>3084</v>
      </c>
    </row>
    <row r="1308" spans="1:2">
      <c r="A1308">
        <v>51000528</v>
      </c>
      <c r="B1308" t="s">
        <v>3086</v>
      </c>
    </row>
    <row r="1309" spans="1:2">
      <c r="A1309">
        <v>51000529</v>
      </c>
      <c r="B1309" t="s">
        <v>3088</v>
      </c>
    </row>
    <row r="1310" spans="1:2">
      <c r="A1310">
        <v>51000530</v>
      </c>
      <c r="B1310" t="s">
        <v>3090</v>
      </c>
    </row>
    <row r="1311" spans="1:2">
      <c r="A1311">
        <v>51000531</v>
      </c>
      <c r="B1311" t="s">
        <v>3092</v>
      </c>
    </row>
    <row r="1312" spans="1:2">
      <c r="A1312">
        <v>51000532</v>
      </c>
      <c r="B1312" t="s">
        <v>3094</v>
      </c>
    </row>
    <row r="1313" spans="1:2">
      <c r="A1313">
        <v>52000601</v>
      </c>
      <c r="B1313" t="s">
        <v>3096</v>
      </c>
    </row>
    <row r="1314" spans="1:2">
      <c r="A1314">
        <v>52000602</v>
      </c>
      <c r="B1314" t="s">
        <v>3098</v>
      </c>
    </row>
    <row r="1315" spans="1:2">
      <c r="A1315">
        <v>52000603</v>
      </c>
      <c r="B1315" t="s">
        <v>3100</v>
      </c>
    </row>
    <row r="1316" spans="1:2">
      <c r="A1316">
        <v>52000604</v>
      </c>
      <c r="B1316" t="s">
        <v>3102</v>
      </c>
    </row>
    <row r="1317" spans="1:2">
      <c r="A1317">
        <v>52000605</v>
      </c>
      <c r="B1317" t="s">
        <v>3104</v>
      </c>
    </row>
    <row r="1318" spans="1:2">
      <c r="A1318">
        <v>52000606</v>
      </c>
      <c r="B1318" t="s">
        <v>3106</v>
      </c>
    </row>
    <row r="1319" spans="1:2">
      <c r="A1319">
        <v>52000607</v>
      </c>
      <c r="B1319" t="s">
        <v>3108</v>
      </c>
    </row>
    <row r="1320" spans="1:2">
      <c r="A1320">
        <v>52000608</v>
      </c>
      <c r="B1320" t="s">
        <v>3110</v>
      </c>
    </row>
    <row r="1321" spans="1:2">
      <c r="A1321">
        <v>52000609</v>
      </c>
      <c r="B1321" t="s">
        <v>3112</v>
      </c>
    </row>
    <row r="1322" spans="1:2">
      <c r="A1322">
        <v>52000610</v>
      </c>
      <c r="B1322" t="s">
        <v>3114</v>
      </c>
    </row>
    <row r="1323" spans="1:2">
      <c r="A1323">
        <v>52000611</v>
      </c>
      <c r="B1323" t="s">
        <v>3116</v>
      </c>
    </row>
    <row r="1324" spans="1:2">
      <c r="A1324">
        <v>52000612</v>
      </c>
      <c r="B1324" t="s">
        <v>3118</v>
      </c>
    </row>
    <row r="1325" spans="1:2">
      <c r="A1325">
        <v>52000613</v>
      </c>
      <c r="B1325" t="s">
        <v>3120</v>
      </c>
    </row>
    <row r="1326" spans="1:2">
      <c r="A1326">
        <v>52000614</v>
      </c>
      <c r="B1326" t="s">
        <v>3122</v>
      </c>
    </row>
    <row r="1327" spans="1:2">
      <c r="A1327">
        <v>52000615</v>
      </c>
      <c r="B1327" t="s">
        <v>3124</v>
      </c>
    </row>
    <row r="1328" spans="1:2">
      <c r="A1328">
        <v>52000616</v>
      </c>
      <c r="B1328" t="s">
        <v>3126</v>
      </c>
    </row>
    <row r="1329" spans="1:2">
      <c r="A1329">
        <v>52000617</v>
      </c>
      <c r="B1329" t="s">
        <v>3128</v>
      </c>
    </row>
    <row r="1330" spans="1:2">
      <c r="A1330">
        <v>52500701</v>
      </c>
      <c r="B1330" t="s">
        <v>3130</v>
      </c>
    </row>
    <row r="1331" spans="1:2">
      <c r="A1331">
        <v>52500702</v>
      </c>
      <c r="B1331" t="s">
        <v>3132</v>
      </c>
    </row>
    <row r="1332" spans="1:2">
      <c r="A1332">
        <v>52500703</v>
      </c>
      <c r="B1332" t="s">
        <v>3134</v>
      </c>
    </row>
    <row r="1333" spans="1:2">
      <c r="A1333">
        <v>52500704</v>
      </c>
      <c r="B1333" t="s">
        <v>3136</v>
      </c>
    </row>
    <row r="1334" spans="1:2">
      <c r="A1334">
        <v>52500705</v>
      </c>
      <c r="B1334" t="s">
        <v>3138</v>
      </c>
    </row>
    <row r="1335" spans="1:2">
      <c r="A1335">
        <v>52500706</v>
      </c>
      <c r="B1335" t="s">
        <v>3140</v>
      </c>
    </row>
    <row r="1336" spans="1:2">
      <c r="A1336">
        <v>52500707</v>
      </c>
      <c r="B1336" t="s">
        <v>3142</v>
      </c>
    </row>
    <row r="1337" spans="1:2">
      <c r="A1337">
        <v>52500708</v>
      </c>
      <c r="B1337" t="s">
        <v>3144</v>
      </c>
    </row>
    <row r="1338" spans="1:2">
      <c r="A1338">
        <v>52500709</v>
      </c>
      <c r="B1338" t="s">
        <v>3146</v>
      </c>
    </row>
    <row r="1339" spans="1:2">
      <c r="A1339">
        <v>52500710</v>
      </c>
      <c r="B1339" t="s">
        <v>3132</v>
      </c>
    </row>
    <row r="1340" spans="1:2">
      <c r="A1340">
        <v>52500711</v>
      </c>
      <c r="B1340" t="s">
        <v>3149</v>
      </c>
    </row>
    <row r="1341" spans="1:2">
      <c r="A1341">
        <v>52500712</v>
      </c>
      <c r="B1341" t="s">
        <v>3151</v>
      </c>
    </row>
    <row r="1342" spans="1:2">
      <c r="A1342">
        <v>52500713</v>
      </c>
      <c r="B1342" t="s">
        <v>3134</v>
      </c>
    </row>
    <row r="1343" spans="1:2">
      <c r="A1343">
        <v>52500714</v>
      </c>
      <c r="B1343" t="s">
        <v>3136</v>
      </c>
    </row>
    <row r="1344" spans="1:2">
      <c r="A1344">
        <v>52500715</v>
      </c>
      <c r="B1344" t="s">
        <v>3138</v>
      </c>
    </row>
    <row r="1345" spans="1:2">
      <c r="A1345">
        <v>52500716</v>
      </c>
      <c r="B1345" t="s">
        <v>3140</v>
      </c>
    </row>
    <row r="1346" spans="1:2">
      <c r="A1346">
        <v>52500801</v>
      </c>
      <c r="B1346" t="s">
        <v>3157</v>
      </c>
    </row>
    <row r="1347" spans="1:2">
      <c r="A1347">
        <v>52500802</v>
      </c>
      <c r="B1347" t="s">
        <v>3159</v>
      </c>
    </row>
    <row r="1348" spans="1:2">
      <c r="A1348">
        <v>52500803</v>
      </c>
      <c r="B1348" t="s">
        <v>3161</v>
      </c>
    </row>
    <row r="1349" spans="1:2">
      <c r="A1349">
        <v>52500804</v>
      </c>
      <c r="B1349" t="s">
        <v>3163</v>
      </c>
    </row>
    <row r="1350" spans="1:2">
      <c r="A1350">
        <v>52500805</v>
      </c>
      <c r="B1350" t="s">
        <v>3165</v>
      </c>
    </row>
    <row r="1351" spans="1:2">
      <c r="A1351">
        <v>52500806</v>
      </c>
      <c r="B1351" t="s">
        <v>3167</v>
      </c>
    </row>
    <row r="1352" spans="1:2">
      <c r="A1352">
        <v>53000901</v>
      </c>
      <c r="B1352" t="s">
        <v>3169</v>
      </c>
    </row>
    <row r="1353" spans="1:2">
      <c r="A1353">
        <v>53000902</v>
      </c>
      <c r="B1353" t="s">
        <v>3171</v>
      </c>
    </row>
    <row r="1354" spans="1:2">
      <c r="A1354">
        <v>53000903</v>
      </c>
      <c r="B1354" t="s">
        <v>3173</v>
      </c>
    </row>
    <row r="1355" spans="1:2">
      <c r="A1355">
        <v>53000904</v>
      </c>
      <c r="B1355" t="s">
        <v>3175</v>
      </c>
    </row>
    <row r="1356" spans="1:2">
      <c r="A1356">
        <v>53000905</v>
      </c>
      <c r="B1356" t="s">
        <v>3177</v>
      </c>
    </row>
    <row r="1357" spans="1:2">
      <c r="A1357">
        <v>53000906</v>
      </c>
      <c r="B1357" t="s">
        <v>3179</v>
      </c>
    </row>
    <row r="1358" spans="1:2">
      <c r="A1358">
        <v>59901001</v>
      </c>
      <c r="B1358" t="s">
        <v>3181</v>
      </c>
    </row>
    <row r="1359" spans="1:2">
      <c r="A1359" t="s">
        <v>3866</v>
      </c>
      <c r="B1359" t="s">
        <v>3867</v>
      </c>
    </row>
    <row r="1360" spans="1:2">
      <c r="A1360" t="s">
        <v>3868</v>
      </c>
      <c r="B1360" t="s">
        <v>3869</v>
      </c>
    </row>
    <row r="1361" spans="1:2">
      <c r="A1361" t="s">
        <v>3870</v>
      </c>
      <c r="B1361" t="s">
        <v>3871</v>
      </c>
    </row>
    <row r="1362" spans="1:2">
      <c r="A1362" t="s">
        <v>3872</v>
      </c>
      <c r="B1362" t="s">
        <v>3873</v>
      </c>
    </row>
    <row r="1363" spans="1:2">
      <c r="A1363" t="s">
        <v>3874</v>
      </c>
      <c r="B1363" t="s">
        <v>3875</v>
      </c>
    </row>
    <row r="1364" spans="1:2">
      <c r="A1364" t="s">
        <v>3876</v>
      </c>
      <c r="B1364" t="s">
        <v>3877</v>
      </c>
    </row>
    <row r="1365" spans="1:2">
      <c r="A1365" t="s">
        <v>3878</v>
      </c>
      <c r="B1365" t="s">
        <v>3879</v>
      </c>
    </row>
    <row r="1366" spans="1:2">
      <c r="A1366" t="s">
        <v>3880</v>
      </c>
      <c r="B1366" t="s">
        <v>3881</v>
      </c>
    </row>
    <row r="1367" spans="1:2">
      <c r="A1367" t="s">
        <v>3882</v>
      </c>
      <c r="B1367" t="s">
        <v>3883</v>
      </c>
    </row>
    <row r="1368" spans="1:2">
      <c r="A1368" t="s">
        <v>3884</v>
      </c>
      <c r="B1368" t="s">
        <v>3885</v>
      </c>
    </row>
    <row r="1369" spans="1:2">
      <c r="A1369" t="s">
        <v>3886</v>
      </c>
      <c r="B1369" t="s">
        <v>3887</v>
      </c>
    </row>
    <row r="1370" spans="1:2">
      <c r="A1370" t="s">
        <v>3888</v>
      </c>
      <c r="B1370" t="s">
        <v>3889</v>
      </c>
    </row>
    <row r="1371" spans="1:2">
      <c r="A1371" t="s">
        <v>3890</v>
      </c>
      <c r="B1371" t="s">
        <v>3891</v>
      </c>
    </row>
    <row r="1372" spans="1:2">
      <c r="A1372" t="s">
        <v>3892</v>
      </c>
      <c r="B1372" t="s">
        <v>3893</v>
      </c>
    </row>
    <row r="1373" spans="1:2">
      <c r="A1373" t="s">
        <v>3894</v>
      </c>
      <c r="B1373" t="s">
        <v>3895</v>
      </c>
    </row>
    <row r="1374" spans="1:2">
      <c r="A1374" t="s">
        <v>3896</v>
      </c>
      <c r="B1374" t="s">
        <v>3897</v>
      </c>
    </row>
    <row r="1375" spans="1:2">
      <c r="A1375" t="s">
        <v>3898</v>
      </c>
      <c r="B1375" t="s">
        <v>3899</v>
      </c>
    </row>
    <row r="1376" spans="1:2">
      <c r="A1376" t="s">
        <v>3900</v>
      </c>
      <c r="B1376" t="s">
        <v>3901</v>
      </c>
    </row>
    <row r="1377" spans="1:2">
      <c r="A1377">
        <v>60000001</v>
      </c>
      <c r="B1377" t="s">
        <v>3183</v>
      </c>
    </row>
    <row r="1378" spans="1:2">
      <c r="A1378">
        <v>70100101</v>
      </c>
      <c r="B1378" t="s">
        <v>3185</v>
      </c>
    </row>
    <row r="1379" spans="1:2">
      <c r="A1379">
        <v>70100201</v>
      </c>
      <c r="B1379" t="s">
        <v>3187</v>
      </c>
    </row>
    <row r="1380" spans="1:2">
      <c r="A1380">
        <v>70100301</v>
      </c>
      <c r="B1380" t="s">
        <v>3189</v>
      </c>
    </row>
    <row r="1381" spans="1:2">
      <c r="A1381">
        <v>70500101</v>
      </c>
      <c r="B1381" t="s">
        <v>3191</v>
      </c>
    </row>
    <row r="1382" spans="1:2">
      <c r="A1382">
        <v>70500201</v>
      </c>
      <c r="B1382" t="s">
        <v>3193</v>
      </c>
    </row>
    <row r="1383" spans="1:2">
      <c r="A1383">
        <v>70500301</v>
      </c>
      <c r="B1383" t="s">
        <v>4657</v>
      </c>
    </row>
    <row r="1384" spans="1:2">
      <c r="A1384">
        <v>71000101</v>
      </c>
      <c r="B1384" t="s">
        <v>3197</v>
      </c>
    </row>
    <row r="1385" spans="1:2">
      <c r="A1385">
        <v>71000201</v>
      </c>
      <c r="B1385" t="s">
        <v>3199</v>
      </c>
    </row>
    <row r="1386" spans="1:2">
      <c r="A1386">
        <v>71000301</v>
      </c>
      <c r="B1386" t="s">
        <v>3201</v>
      </c>
    </row>
    <row r="1387" spans="1:2">
      <c r="A1387">
        <v>71500101</v>
      </c>
      <c r="B1387" t="s">
        <v>3203</v>
      </c>
    </row>
    <row r="1388" spans="1:2">
      <c r="A1388">
        <v>71500201</v>
      </c>
      <c r="B1388" t="s">
        <v>3205</v>
      </c>
    </row>
    <row r="1389" spans="1:2">
      <c r="A1389">
        <v>71500301</v>
      </c>
      <c r="B1389" t="s">
        <v>3207</v>
      </c>
    </row>
    <row r="1390" spans="1:2">
      <c r="A1390">
        <v>72000101</v>
      </c>
      <c r="B1390" t="s">
        <v>3209</v>
      </c>
    </row>
    <row r="1391" spans="1:2">
      <c r="A1391">
        <v>72000201</v>
      </c>
      <c r="B1391" t="s">
        <v>3211</v>
      </c>
    </row>
    <row r="1392" spans="1:2">
      <c r="A1392">
        <v>72000301</v>
      </c>
      <c r="B1392" t="s">
        <v>3213</v>
      </c>
    </row>
    <row r="1393" spans="1:2">
      <c r="A1393">
        <v>72500101</v>
      </c>
      <c r="B1393" t="s">
        <v>4658</v>
      </c>
    </row>
    <row r="1394" spans="1:2">
      <c r="A1394">
        <v>72500201</v>
      </c>
      <c r="B1394" t="s">
        <v>4659</v>
      </c>
    </row>
    <row r="1395" spans="1:2">
      <c r="A1395">
        <v>72500301</v>
      </c>
      <c r="B1395" t="s">
        <v>3219</v>
      </c>
    </row>
    <row r="1396" spans="1:2">
      <c r="A1396">
        <v>90100401</v>
      </c>
      <c r="B1396" t="s">
        <v>3221</v>
      </c>
    </row>
    <row r="1397" spans="1:2">
      <c r="A1397">
        <v>90100501</v>
      </c>
      <c r="B1397" t="s">
        <v>3223</v>
      </c>
    </row>
    <row r="1398" spans="1:2">
      <c r="A1398">
        <v>90100601</v>
      </c>
      <c r="B1398" t="s">
        <v>3225</v>
      </c>
    </row>
    <row r="1399" spans="1:2">
      <c r="A1399">
        <v>90199901</v>
      </c>
      <c r="B1399" t="s">
        <v>3227</v>
      </c>
    </row>
    <row r="1400" spans="1:2">
      <c r="A1400">
        <v>90501001</v>
      </c>
      <c r="B1400" t="s">
        <v>3229</v>
      </c>
    </row>
    <row r="1401" spans="1:2">
      <c r="A1401">
        <v>90501002</v>
      </c>
      <c r="B1401" t="s">
        <v>3231</v>
      </c>
    </row>
    <row r="1402" spans="1:2">
      <c r="A1402">
        <v>90501003</v>
      </c>
      <c r="B1402" t="s">
        <v>3233</v>
      </c>
    </row>
    <row r="1403" spans="1:2">
      <c r="A1403">
        <v>90501004</v>
      </c>
      <c r="B1403" t="s">
        <v>3235</v>
      </c>
    </row>
    <row r="1404" spans="1:2">
      <c r="A1404">
        <v>90501005</v>
      </c>
      <c r="B1404" t="s">
        <v>3237</v>
      </c>
    </row>
    <row r="1405" spans="1:2">
      <c r="A1405">
        <v>90501006</v>
      </c>
      <c r="B1405" t="s">
        <v>3239</v>
      </c>
    </row>
    <row r="1406" spans="1:2">
      <c r="A1406">
        <v>90501007</v>
      </c>
      <c r="B1406" t="s">
        <v>3241</v>
      </c>
    </row>
    <row r="1407" spans="1:2">
      <c r="A1407">
        <v>90501008</v>
      </c>
      <c r="B1407" t="s">
        <v>3243</v>
      </c>
    </row>
    <row r="1408" spans="1:2">
      <c r="A1408">
        <v>90501009</v>
      </c>
      <c r="B1408" t="s">
        <v>3245</v>
      </c>
    </row>
    <row r="1409" spans="1:2">
      <c r="A1409">
        <v>90501101</v>
      </c>
      <c r="B1409" t="s">
        <v>3279</v>
      </c>
    </row>
    <row r="1410" spans="1:2">
      <c r="A1410">
        <v>90501102</v>
      </c>
      <c r="B1410" t="s">
        <v>3281</v>
      </c>
    </row>
    <row r="1411" spans="1:2">
      <c r="A1411">
        <v>90501103</v>
      </c>
      <c r="B1411" t="s">
        <v>3283</v>
      </c>
    </row>
    <row r="1412" spans="1:2">
      <c r="A1412">
        <v>90501104</v>
      </c>
      <c r="B1412" t="s">
        <v>3285</v>
      </c>
    </row>
    <row r="1413" spans="1:2">
      <c r="A1413">
        <v>90501105</v>
      </c>
      <c r="B1413" t="s">
        <v>3287</v>
      </c>
    </row>
    <row r="1414" spans="1:2">
      <c r="A1414">
        <v>90501106</v>
      </c>
      <c r="B1414" t="s">
        <v>3289</v>
      </c>
    </row>
    <row r="1415" spans="1:2">
      <c r="A1415">
        <v>90501107</v>
      </c>
      <c r="B1415" t="s">
        <v>3291</v>
      </c>
    </row>
    <row r="1416" spans="1:2">
      <c r="A1416">
        <v>90501108</v>
      </c>
      <c r="B1416" t="s">
        <v>3293</v>
      </c>
    </row>
    <row r="1417" spans="1:2">
      <c r="A1417">
        <v>90501109</v>
      </c>
      <c r="B1417" t="s">
        <v>3295</v>
      </c>
    </row>
    <row r="1418" spans="1:2">
      <c r="A1418">
        <v>90501201</v>
      </c>
      <c r="B1418" t="s">
        <v>3314</v>
      </c>
    </row>
    <row r="1419" spans="1:2">
      <c r="A1419">
        <v>90501202</v>
      </c>
      <c r="B1419" t="s">
        <v>3316</v>
      </c>
    </row>
    <row r="1420" spans="1:2">
      <c r="A1420">
        <v>90501203</v>
      </c>
      <c r="B1420" t="s">
        <v>3318</v>
      </c>
    </row>
    <row r="1421" spans="1:2">
      <c r="A1421">
        <v>90501204</v>
      </c>
      <c r="B1421" t="s">
        <v>3320</v>
      </c>
    </row>
    <row r="1422" spans="1:2">
      <c r="A1422">
        <v>90501205</v>
      </c>
      <c r="B1422" t="s">
        <v>3322</v>
      </c>
    </row>
    <row r="1423" spans="1:2">
      <c r="A1423">
        <v>90501206</v>
      </c>
      <c r="B1423" t="s">
        <v>3324</v>
      </c>
    </row>
    <row r="1424" spans="1:2">
      <c r="A1424">
        <v>90501207</v>
      </c>
      <c r="B1424" t="s">
        <v>3326</v>
      </c>
    </row>
    <row r="1425" spans="1:2">
      <c r="A1425">
        <v>90501208</v>
      </c>
      <c r="B1425" t="s">
        <v>3328</v>
      </c>
    </row>
    <row r="1426" spans="1:2">
      <c r="A1426">
        <v>90501209</v>
      </c>
      <c r="B1426" t="s">
        <v>3330</v>
      </c>
    </row>
    <row r="1427" spans="1:2">
      <c r="A1427">
        <v>90501301</v>
      </c>
      <c r="B1427" t="s">
        <v>3348</v>
      </c>
    </row>
    <row r="1428" spans="1:2">
      <c r="A1428">
        <v>90501302</v>
      </c>
      <c r="B1428" t="s">
        <v>3350</v>
      </c>
    </row>
    <row r="1429" spans="1:2">
      <c r="A1429">
        <v>90501303</v>
      </c>
      <c r="B1429" t="s">
        <v>3352</v>
      </c>
    </row>
    <row r="1430" spans="1:2">
      <c r="A1430">
        <v>90501304</v>
      </c>
      <c r="B1430" t="s">
        <v>3354</v>
      </c>
    </row>
    <row r="1431" spans="1:2">
      <c r="A1431">
        <v>90501305</v>
      </c>
      <c r="B1431" t="s">
        <v>3356</v>
      </c>
    </row>
    <row r="1432" spans="1:2">
      <c r="A1432">
        <v>90501306</v>
      </c>
      <c r="B1432" t="s">
        <v>3358</v>
      </c>
    </row>
    <row r="1433" spans="1:2">
      <c r="A1433">
        <v>90501307</v>
      </c>
      <c r="B1433" t="s">
        <v>3360</v>
      </c>
    </row>
    <row r="1434" spans="1:2">
      <c r="A1434">
        <v>90501308</v>
      </c>
      <c r="B1434" t="s">
        <v>3362</v>
      </c>
    </row>
    <row r="1435" spans="1:2">
      <c r="A1435">
        <v>90501309</v>
      </c>
      <c r="B1435" t="s">
        <v>3364</v>
      </c>
    </row>
    <row r="1436" spans="1:2">
      <c r="A1436">
        <v>90599901</v>
      </c>
      <c r="B1436" t="s">
        <v>3383</v>
      </c>
    </row>
    <row r="1437" spans="1:2">
      <c r="A1437">
        <v>90599902</v>
      </c>
      <c r="B1437" t="s">
        <v>3385</v>
      </c>
    </row>
    <row r="1438" spans="1:2">
      <c r="A1438">
        <v>90599903</v>
      </c>
      <c r="B1438" t="s">
        <v>3387</v>
      </c>
    </row>
    <row r="1439" spans="1:2">
      <c r="A1439">
        <v>90599904</v>
      </c>
      <c r="B1439" t="s">
        <v>3389</v>
      </c>
    </row>
    <row r="1440" spans="1:2">
      <c r="A1440">
        <v>90599905</v>
      </c>
      <c r="B1440" t="s">
        <v>3391</v>
      </c>
    </row>
    <row r="1441" spans="1:2">
      <c r="A1441">
        <v>90599906</v>
      </c>
      <c r="B1441" t="s">
        <v>3393</v>
      </c>
    </row>
    <row r="1442" spans="1:2">
      <c r="A1442">
        <v>90599907</v>
      </c>
      <c r="B1442" t="s">
        <v>3395</v>
      </c>
    </row>
    <row r="1443" spans="1:2">
      <c r="A1443">
        <v>90599908</v>
      </c>
      <c r="B1443" t="s">
        <v>3397</v>
      </c>
    </row>
    <row r="1444" spans="1:2">
      <c r="A1444">
        <v>90599909</v>
      </c>
      <c r="B1444" t="s">
        <v>3399</v>
      </c>
    </row>
    <row r="1445" spans="1:2">
      <c r="A1445">
        <v>90599910</v>
      </c>
      <c r="B1445" t="s">
        <v>3401</v>
      </c>
    </row>
    <row r="1446" spans="1:2">
      <c r="A1446">
        <v>90599911</v>
      </c>
      <c r="B1446" t="s">
        <v>3403</v>
      </c>
    </row>
    <row r="1447" spans="1:2">
      <c r="A1447">
        <v>90599912</v>
      </c>
      <c r="B1447" t="s">
        <v>3405</v>
      </c>
    </row>
    <row r="1448" spans="1:2">
      <c r="A1448">
        <v>90599913</v>
      </c>
      <c r="B1448" t="s">
        <v>3407</v>
      </c>
    </row>
    <row r="1449" spans="1:2">
      <c r="A1449">
        <v>90599914</v>
      </c>
      <c r="B1449" t="s">
        <v>3409</v>
      </c>
    </row>
    <row r="1450" spans="1:2">
      <c r="A1450">
        <v>90599915</v>
      </c>
      <c r="B1450" t="s">
        <v>3411</v>
      </c>
    </row>
    <row r="1451" spans="1:2">
      <c r="A1451">
        <v>90599916</v>
      </c>
      <c r="B1451" t="s">
        <v>3413</v>
      </c>
    </row>
    <row r="1452" spans="1:2">
      <c r="A1452">
        <v>90599917</v>
      </c>
      <c r="B1452" t="s">
        <v>3415</v>
      </c>
    </row>
    <row r="1453" spans="1:2">
      <c r="A1453">
        <v>90599918</v>
      </c>
      <c r="B1453" t="s">
        <v>3417</v>
      </c>
    </row>
    <row r="1454" spans="1:2">
      <c r="A1454">
        <v>90599919</v>
      </c>
      <c r="B1454" t="s">
        <v>3419</v>
      </c>
    </row>
    <row r="1455" spans="1:2">
      <c r="A1455">
        <v>90599920</v>
      </c>
      <c r="B1455" t="s">
        <v>3421</v>
      </c>
    </row>
    <row r="1456" spans="1:2">
      <c r="A1456">
        <v>90599921</v>
      </c>
      <c r="B1456" t="s">
        <v>3423</v>
      </c>
    </row>
    <row r="1457" spans="1:2">
      <c r="A1457">
        <v>90599922</v>
      </c>
      <c r="B1457" t="s">
        <v>3425</v>
      </c>
    </row>
    <row r="1458" spans="1:2">
      <c r="A1458">
        <v>90599923</v>
      </c>
      <c r="B1458" t="s">
        <v>3427</v>
      </c>
    </row>
    <row r="1459" spans="1:2">
      <c r="A1459">
        <v>90599924</v>
      </c>
      <c r="B1459" t="s">
        <v>3429</v>
      </c>
    </row>
    <row r="1460" spans="1:2">
      <c r="A1460">
        <v>90599925</v>
      </c>
      <c r="B1460" t="s">
        <v>3431</v>
      </c>
    </row>
    <row r="1461" spans="1:2">
      <c r="A1461">
        <v>90599926</v>
      </c>
      <c r="B1461" t="s">
        <v>3433</v>
      </c>
    </row>
    <row r="1462" spans="1:2">
      <c r="A1462">
        <v>90599927</v>
      </c>
      <c r="B1462" t="s">
        <v>3435</v>
      </c>
    </row>
    <row r="1463" spans="1:2">
      <c r="A1463">
        <v>90501010</v>
      </c>
      <c r="B1463" t="s">
        <v>3247</v>
      </c>
    </row>
    <row r="1464" spans="1:2">
      <c r="A1464">
        <v>90501011</v>
      </c>
      <c r="B1464" t="s">
        <v>3249</v>
      </c>
    </row>
    <row r="1465" spans="1:2">
      <c r="A1465">
        <v>90501012</v>
      </c>
      <c r="B1465" t="s">
        <v>3251</v>
      </c>
    </row>
    <row r="1466" spans="1:2">
      <c r="A1466">
        <v>90501013</v>
      </c>
      <c r="B1466" t="s">
        <v>3253</v>
      </c>
    </row>
    <row r="1467" spans="1:2">
      <c r="A1467">
        <v>90501014</v>
      </c>
      <c r="B1467" t="s">
        <v>3255</v>
      </c>
    </row>
    <row r="1468" spans="1:2">
      <c r="A1468">
        <v>90501015</v>
      </c>
      <c r="B1468" t="s">
        <v>3257</v>
      </c>
    </row>
    <row r="1469" spans="1:2">
      <c r="A1469">
        <v>90501016</v>
      </c>
      <c r="B1469" t="s">
        <v>3259</v>
      </c>
    </row>
    <row r="1470" spans="1:2">
      <c r="A1470">
        <v>90501017</v>
      </c>
      <c r="B1470" t="s">
        <v>3261</v>
      </c>
    </row>
    <row r="1471" spans="1:2">
      <c r="A1471">
        <v>90501018</v>
      </c>
      <c r="B1471" t="s">
        <v>3263</v>
      </c>
    </row>
    <row r="1472" spans="1:2">
      <c r="A1472">
        <v>90501019</v>
      </c>
      <c r="B1472" t="s">
        <v>3265</v>
      </c>
    </row>
    <row r="1473" spans="1:2">
      <c r="A1473">
        <v>90501020</v>
      </c>
      <c r="B1473" t="s">
        <v>3267</v>
      </c>
    </row>
    <row r="1474" spans="1:2">
      <c r="A1474">
        <v>90501021</v>
      </c>
      <c r="B1474" t="s">
        <v>3269</v>
      </c>
    </row>
    <row r="1475" spans="1:2">
      <c r="A1475">
        <v>90501022</v>
      </c>
      <c r="B1475" t="s">
        <v>3271</v>
      </c>
    </row>
    <row r="1476" spans="1:2">
      <c r="A1476">
        <v>90501023</v>
      </c>
      <c r="B1476" t="s">
        <v>3273</v>
      </c>
    </row>
    <row r="1477" spans="1:2">
      <c r="A1477">
        <v>90501024</v>
      </c>
      <c r="B1477" t="s">
        <v>3275</v>
      </c>
    </row>
    <row r="1478" spans="1:2">
      <c r="A1478">
        <v>90501025</v>
      </c>
      <c r="B1478" t="s">
        <v>3277</v>
      </c>
    </row>
    <row r="1479" spans="1:2">
      <c r="A1479">
        <v>90501110</v>
      </c>
      <c r="B1479" t="s">
        <v>3247</v>
      </c>
    </row>
    <row r="1480" spans="1:2">
      <c r="A1480">
        <v>90501111</v>
      </c>
      <c r="B1480" t="s">
        <v>3249</v>
      </c>
    </row>
    <row r="1481" spans="1:2">
      <c r="A1481">
        <v>90501112</v>
      </c>
      <c r="B1481" t="s">
        <v>3251</v>
      </c>
    </row>
    <row r="1482" spans="1:2">
      <c r="A1482">
        <v>90501113</v>
      </c>
      <c r="B1482" t="s">
        <v>3300</v>
      </c>
    </row>
    <row r="1483" spans="1:2">
      <c r="A1483">
        <v>90501114</v>
      </c>
      <c r="B1483" t="s">
        <v>3255</v>
      </c>
    </row>
    <row r="1484" spans="1:2">
      <c r="A1484">
        <v>90501115</v>
      </c>
      <c r="B1484" t="s">
        <v>3257</v>
      </c>
    </row>
    <row r="1485" spans="1:2">
      <c r="A1485">
        <v>90501116</v>
      </c>
      <c r="B1485" t="s">
        <v>3259</v>
      </c>
    </row>
    <row r="1486" spans="1:2">
      <c r="A1486">
        <v>90501117</v>
      </c>
      <c r="B1486" t="s">
        <v>3261</v>
      </c>
    </row>
    <row r="1487" spans="1:2">
      <c r="A1487">
        <v>90501118</v>
      </c>
      <c r="B1487" t="s">
        <v>3263</v>
      </c>
    </row>
    <row r="1488" spans="1:2">
      <c r="A1488">
        <v>90501119</v>
      </c>
      <c r="B1488" t="s">
        <v>3265</v>
      </c>
    </row>
    <row r="1489" spans="1:2">
      <c r="A1489">
        <v>90501120</v>
      </c>
      <c r="B1489" t="s">
        <v>3267</v>
      </c>
    </row>
    <row r="1490" spans="1:2">
      <c r="A1490">
        <v>90501121</v>
      </c>
      <c r="B1490" t="s">
        <v>3269</v>
      </c>
    </row>
    <row r="1491" spans="1:2">
      <c r="A1491">
        <v>90501122</v>
      </c>
      <c r="B1491" t="s">
        <v>3271</v>
      </c>
    </row>
    <row r="1492" spans="1:2">
      <c r="A1492">
        <v>90501123</v>
      </c>
      <c r="B1492" t="s">
        <v>3273</v>
      </c>
    </row>
    <row r="1493" spans="1:2">
      <c r="A1493">
        <v>90501124</v>
      </c>
      <c r="B1493" t="s">
        <v>3275</v>
      </c>
    </row>
    <row r="1494" spans="1:2">
      <c r="A1494">
        <v>90501125</v>
      </c>
      <c r="B1494" t="s">
        <v>3277</v>
      </c>
    </row>
    <row r="1495" spans="1:2">
      <c r="A1495">
        <v>90501210</v>
      </c>
      <c r="B1495" t="s">
        <v>3247</v>
      </c>
    </row>
    <row r="1496" spans="1:2">
      <c r="A1496">
        <v>90501211</v>
      </c>
      <c r="B1496" t="s">
        <v>3249</v>
      </c>
    </row>
    <row r="1497" spans="1:2">
      <c r="A1497">
        <v>90501212</v>
      </c>
      <c r="B1497" t="s">
        <v>3251</v>
      </c>
    </row>
    <row r="1498" spans="1:2">
      <c r="A1498">
        <v>90501213</v>
      </c>
      <c r="B1498" t="s">
        <v>3300</v>
      </c>
    </row>
    <row r="1499" spans="1:2">
      <c r="A1499">
        <v>90501214</v>
      </c>
      <c r="B1499" t="s">
        <v>3255</v>
      </c>
    </row>
    <row r="1500" spans="1:2">
      <c r="A1500">
        <v>90501215</v>
      </c>
      <c r="B1500" t="s">
        <v>3257</v>
      </c>
    </row>
    <row r="1501" spans="1:2">
      <c r="A1501">
        <v>90501216</v>
      </c>
      <c r="B1501" t="s">
        <v>3259</v>
      </c>
    </row>
    <row r="1502" spans="1:2">
      <c r="A1502">
        <v>90501217</v>
      </c>
      <c r="B1502" t="s">
        <v>3261</v>
      </c>
    </row>
    <row r="1503" spans="1:2">
      <c r="A1503">
        <v>90501218</v>
      </c>
      <c r="B1503" t="s">
        <v>3263</v>
      </c>
    </row>
    <row r="1504" spans="1:2">
      <c r="A1504">
        <v>90501219</v>
      </c>
      <c r="B1504" t="s">
        <v>3265</v>
      </c>
    </row>
    <row r="1505" spans="1:2">
      <c r="A1505">
        <v>90501220</v>
      </c>
      <c r="B1505" t="s">
        <v>3267</v>
      </c>
    </row>
    <row r="1506" spans="1:2">
      <c r="A1506">
        <v>90501221</v>
      </c>
      <c r="B1506" t="s">
        <v>3269</v>
      </c>
    </row>
    <row r="1507" spans="1:2">
      <c r="A1507">
        <v>90501222</v>
      </c>
      <c r="B1507" t="s">
        <v>3271</v>
      </c>
    </row>
    <row r="1508" spans="1:2">
      <c r="A1508">
        <v>90501223</v>
      </c>
      <c r="B1508" t="s">
        <v>3273</v>
      </c>
    </row>
    <row r="1509" spans="1:2">
      <c r="A1509">
        <v>90501224</v>
      </c>
      <c r="B1509" t="s">
        <v>3275</v>
      </c>
    </row>
    <row r="1510" spans="1:2">
      <c r="A1510">
        <v>90501225</v>
      </c>
      <c r="B1510" t="s">
        <v>3277</v>
      </c>
    </row>
    <row r="1511" spans="1:2">
      <c r="A1511">
        <v>90501310</v>
      </c>
      <c r="B1511" t="s">
        <v>3247</v>
      </c>
    </row>
    <row r="1512" spans="1:2">
      <c r="A1512">
        <v>90501311</v>
      </c>
      <c r="B1512" t="s">
        <v>3249</v>
      </c>
    </row>
    <row r="1513" spans="1:2">
      <c r="A1513">
        <v>90501312</v>
      </c>
      <c r="B1513" t="s">
        <v>3251</v>
      </c>
    </row>
    <row r="1514" spans="1:2">
      <c r="A1514">
        <v>90501313</v>
      </c>
      <c r="B1514" t="s">
        <v>3369</v>
      </c>
    </row>
    <row r="1515" spans="1:2">
      <c r="A1515">
        <v>90501314</v>
      </c>
      <c r="B1515" t="s">
        <v>3255</v>
      </c>
    </row>
    <row r="1516" spans="1:2">
      <c r="A1516">
        <v>90501315</v>
      </c>
      <c r="B1516" t="s">
        <v>3257</v>
      </c>
    </row>
    <row r="1517" spans="1:2">
      <c r="A1517">
        <v>90501316</v>
      </c>
      <c r="B1517" t="s">
        <v>3259</v>
      </c>
    </row>
    <row r="1518" spans="1:2">
      <c r="A1518">
        <v>90501317</v>
      </c>
      <c r="B1518" t="s">
        <v>3261</v>
      </c>
    </row>
    <row r="1519" spans="1:2">
      <c r="A1519">
        <v>90501318</v>
      </c>
      <c r="B1519" t="s">
        <v>3263</v>
      </c>
    </row>
    <row r="1520" spans="1:2">
      <c r="A1520">
        <v>90501319</v>
      </c>
      <c r="B1520" t="s">
        <v>3265</v>
      </c>
    </row>
    <row r="1521" spans="1:2">
      <c r="A1521">
        <v>90501320</v>
      </c>
      <c r="B1521" t="s">
        <v>3267</v>
      </c>
    </row>
    <row r="1522" spans="1:2">
      <c r="A1522">
        <v>90501321</v>
      </c>
      <c r="B1522" t="s">
        <v>3269</v>
      </c>
    </row>
    <row r="1523" spans="1:2">
      <c r="A1523">
        <v>90501322</v>
      </c>
      <c r="B1523" t="s">
        <v>3271</v>
      </c>
    </row>
    <row r="1524" spans="1:2">
      <c r="A1524">
        <v>90501323</v>
      </c>
      <c r="B1524" t="s">
        <v>3273</v>
      </c>
    </row>
    <row r="1525" spans="1:2">
      <c r="A1525">
        <v>90501324</v>
      </c>
      <c r="B1525" t="s">
        <v>3275</v>
      </c>
    </row>
    <row r="1526" spans="1:2">
      <c r="A1526">
        <v>90501325</v>
      </c>
      <c r="B1526" t="s">
        <v>3277</v>
      </c>
    </row>
    <row r="1527" spans="1:2">
      <c r="A1527">
        <v>90599928</v>
      </c>
      <c r="B1527" t="s">
        <v>4660</v>
      </c>
    </row>
    <row r="1528" spans="1:2">
      <c r="A1528">
        <v>90599929</v>
      </c>
      <c r="B1528" t="s">
        <v>3439</v>
      </c>
    </row>
    <row r="1529" spans="1:2">
      <c r="A1529">
        <v>90599930</v>
      </c>
      <c r="B1529" t="s">
        <v>3441</v>
      </c>
    </row>
    <row r="1530" spans="1:2">
      <c r="A1530">
        <v>90599931</v>
      </c>
      <c r="B1530" t="s">
        <v>3443</v>
      </c>
    </row>
    <row r="1531" spans="1:2">
      <c r="A1531">
        <v>90599932</v>
      </c>
      <c r="B1531" t="s">
        <v>3445</v>
      </c>
    </row>
    <row r="1532" spans="1:2">
      <c r="A1532">
        <v>90599933</v>
      </c>
      <c r="B1532" t="s">
        <v>3447</v>
      </c>
    </row>
    <row r="1533" spans="1:2">
      <c r="A1533">
        <v>90599934</v>
      </c>
      <c r="B1533" t="s">
        <v>3449</v>
      </c>
    </row>
    <row r="1534" spans="1:2">
      <c r="A1534">
        <v>90599935</v>
      </c>
      <c r="B1534" t="s">
        <v>3451</v>
      </c>
    </row>
    <row r="1535" spans="1:2">
      <c r="A1535">
        <v>90599936</v>
      </c>
      <c r="B1535" t="s">
        <v>3453</v>
      </c>
    </row>
    <row r="1536" spans="1:2">
      <c r="A1536">
        <v>90599937</v>
      </c>
      <c r="B1536" t="s">
        <v>3455</v>
      </c>
    </row>
    <row r="1537" spans="1:2">
      <c r="A1537">
        <v>90599938</v>
      </c>
      <c r="B1537" t="s">
        <v>3457</v>
      </c>
    </row>
    <row r="1538" spans="1:2">
      <c r="A1538">
        <v>90599939</v>
      </c>
      <c r="B1538" t="s">
        <v>3459</v>
      </c>
    </row>
    <row r="1539" spans="1:2">
      <c r="A1539">
        <v>90599940</v>
      </c>
      <c r="B1539" t="s">
        <v>3461</v>
      </c>
    </row>
    <row r="1540" spans="1:2">
      <c r="A1540">
        <v>90599941</v>
      </c>
      <c r="B1540" t="s">
        <v>3463</v>
      </c>
    </row>
    <row r="1541" spans="1:2">
      <c r="A1541">
        <v>90599942</v>
      </c>
      <c r="B1541" t="s">
        <v>3465</v>
      </c>
    </row>
    <row r="1542" spans="1:2">
      <c r="A1542">
        <v>90599943</v>
      </c>
      <c r="B1542" t="s">
        <v>3467</v>
      </c>
    </row>
    <row r="1543" spans="1:2">
      <c r="A1543">
        <v>91002501</v>
      </c>
      <c r="B1543" t="s">
        <v>3469</v>
      </c>
    </row>
    <row r="1544" spans="1:2">
      <c r="A1544">
        <v>91002601</v>
      </c>
      <c r="B1544" t="s">
        <v>3471</v>
      </c>
    </row>
    <row r="1545" spans="1:2">
      <c r="A1545">
        <v>91002701</v>
      </c>
      <c r="B1545" t="s">
        <v>3473</v>
      </c>
    </row>
    <row r="1546" spans="1:2">
      <c r="A1546">
        <v>91002801</v>
      </c>
      <c r="B1546" t="s">
        <v>3475</v>
      </c>
    </row>
    <row r="1547" spans="1:2">
      <c r="A1547">
        <v>91002901</v>
      </c>
      <c r="B1547" t="s">
        <v>3477</v>
      </c>
    </row>
    <row r="1548" spans="1:2">
      <c r="A1548">
        <v>91004101</v>
      </c>
      <c r="B1548" t="s">
        <v>3479</v>
      </c>
    </row>
    <row r="1549" spans="1:2">
      <c r="A1549">
        <v>91004601</v>
      </c>
      <c r="B1549" t="s">
        <v>3481</v>
      </c>
    </row>
    <row r="1550" spans="1:2">
      <c r="A1550">
        <v>91004803</v>
      </c>
      <c r="B1550" t="s">
        <v>3483</v>
      </c>
    </row>
    <row r="1551" spans="1:2">
      <c r="A1551">
        <v>91004804</v>
      </c>
      <c r="B1551" t="s">
        <v>3485</v>
      </c>
    </row>
    <row r="1552" spans="1:2">
      <c r="A1552">
        <v>92005601</v>
      </c>
      <c r="B1552" t="s">
        <v>3487</v>
      </c>
    </row>
    <row r="1553" spans="1:2">
      <c r="A1553">
        <v>92099901</v>
      </c>
      <c r="B1553" t="s">
        <v>3489</v>
      </c>
    </row>
    <row r="1554" spans="1:2">
      <c r="A1554">
        <v>92099902</v>
      </c>
      <c r="B1554" t="s">
        <v>3491</v>
      </c>
    </row>
    <row r="1555" spans="1:2">
      <c r="A1555">
        <v>92505901</v>
      </c>
      <c r="B1555" t="s">
        <v>3493</v>
      </c>
    </row>
    <row r="1556" spans="1:2">
      <c r="A1556">
        <v>92505902</v>
      </c>
      <c r="B1556" t="s">
        <v>3495</v>
      </c>
    </row>
    <row r="1557" spans="1:2">
      <c r="A1557">
        <v>92505903</v>
      </c>
      <c r="B1557" t="s">
        <v>3497</v>
      </c>
    </row>
    <row r="1558" spans="1:2">
      <c r="A1558">
        <v>92505904</v>
      </c>
      <c r="B1558" t="s">
        <v>3499</v>
      </c>
    </row>
    <row r="1559" spans="1:2">
      <c r="A1559">
        <v>92505905</v>
      </c>
      <c r="B1559" t="s">
        <v>3501</v>
      </c>
    </row>
    <row r="1560" spans="1:2">
      <c r="A1560">
        <v>92505906</v>
      </c>
      <c r="B1560" t="s">
        <v>3503</v>
      </c>
    </row>
    <row r="1561" spans="1:2">
      <c r="A1561">
        <v>92505907</v>
      </c>
      <c r="B1561" t="s">
        <v>3505</v>
      </c>
    </row>
    <row r="1562" spans="1:2">
      <c r="A1562">
        <v>92505908</v>
      </c>
      <c r="B1562" t="s">
        <v>3507</v>
      </c>
    </row>
    <row r="1563" spans="1:2">
      <c r="A1563">
        <v>92505909</v>
      </c>
      <c r="B1563" t="s">
        <v>3509</v>
      </c>
    </row>
    <row r="1564" spans="1:2">
      <c r="A1564">
        <v>92505910</v>
      </c>
      <c r="B1564" t="s">
        <v>3511</v>
      </c>
    </row>
    <row r="1565" spans="1:2">
      <c r="A1565">
        <v>92505911</v>
      </c>
      <c r="B1565" t="s">
        <v>3513</v>
      </c>
    </row>
    <row r="1566" spans="1:2">
      <c r="A1566">
        <v>92505912</v>
      </c>
      <c r="B1566" t="s">
        <v>3515</v>
      </c>
    </row>
    <row r="1567" spans="1:2">
      <c r="A1567">
        <v>92505913</v>
      </c>
      <c r="B1567" t="s">
        <v>3517</v>
      </c>
    </row>
    <row r="1568" spans="1:2">
      <c r="A1568">
        <v>92505914</v>
      </c>
      <c r="B1568" t="s">
        <v>3519</v>
      </c>
    </row>
    <row r="1569" spans="1:2">
      <c r="A1569">
        <v>92505915</v>
      </c>
      <c r="B1569" t="s">
        <v>3521</v>
      </c>
    </row>
    <row r="1570" spans="1:2">
      <c r="A1570">
        <v>92505916</v>
      </c>
      <c r="B1570" t="s">
        <v>3523</v>
      </c>
    </row>
    <row r="1571" spans="1:2">
      <c r="A1571">
        <v>92505917</v>
      </c>
      <c r="B1571" t="s">
        <v>3525</v>
      </c>
    </row>
    <row r="1572" spans="1:2">
      <c r="A1572">
        <v>92505918</v>
      </c>
      <c r="B1572" t="s">
        <v>3527</v>
      </c>
    </row>
    <row r="1573" spans="1:2">
      <c r="A1573">
        <v>92505919</v>
      </c>
      <c r="B1573" t="s">
        <v>3529</v>
      </c>
    </row>
    <row r="1574" spans="1:2">
      <c r="A1574">
        <v>92505920</v>
      </c>
      <c r="B1574" t="s">
        <v>3531</v>
      </c>
    </row>
    <row r="1575" spans="1:2">
      <c r="A1575">
        <v>92505921</v>
      </c>
      <c r="B1575" t="s">
        <v>3533</v>
      </c>
    </row>
    <row r="1576" spans="1:2">
      <c r="A1576">
        <v>92505922</v>
      </c>
      <c r="B1576" t="s">
        <v>3535</v>
      </c>
    </row>
    <row r="1577" spans="1:2">
      <c r="A1577">
        <v>92505923</v>
      </c>
      <c r="B1577" t="s">
        <v>3537</v>
      </c>
    </row>
    <row r="1578" spans="1:2">
      <c r="A1578">
        <v>92505924</v>
      </c>
      <c r="B1578" t="s">
        <v>3539</v>
      </c>
    </row>
    <row r="1579" spans="1:2">
      <c r="A1579">
        <v>92505925</v>
      </c>
      <c r="B1579" t="s">
        <v>3541</v>
      </c>
    </row>
    <row r="1580" spans="1:2">
      <c r="A1580">
        <v>92505926</v>
      </c>
      <c r="B1580" t="s">
        <v>3543</v>
      </c>
    </row>
    <row r="1581" spans="1:2">
      <c r="A1581">
        <v>92505927</v>
      </c>
      <c r="B1581" t="s">
        <v>3545</v>
      </c>
    </row>
    <row r="1582" spans="1:2">
      <c r="A1582">
        <v>92505928</v>
      </c>
      <c r="B1582" t="s">
        <v>3547</v>
      </c>
    </row>
    <row r="1583" spans="1:2">
      <c r="A1583">
        <v>92505929</v>
      </c>
      <c r="B1583" t="s">
        <v>3549</v>
      </c>
    </row>
    <row r="1584" spans="1:2">
      <c r="A1584">
        <v>92505930</v>
      </c>
      <c r="B1584" t="s">
        <v>3551</v>
      </c>
    </row>
    <row r="1585" spans="1:2">
      <c r="A1585">
        <v>92505931</v>
      </c>
      <c r="B1585" t="s">
        <v>3553</v>
      </c>
    </row>
    <row r="1586" spans="1:2">
      <c r="A1586">
        <v>92505932</v>
      </c>
      <c r="B1586" t="s">
        <v>3555</v>
      </c>
    </row>
    <row r="1587" spans="1:2">
      <c r="A1587">
        <v>92505933</v>
      </c>
      <c r="B1587" t="s">
        <v>3557</v>
      </c>
    </row>
    <row r="1588" spans="1:2">
      <c r="A1588">
        <v>92505934</v>
      </c>
      <c r="B1588" t="s">
        <v>3559</v>
      </c>
    </row>
    <row r="1589" spans="1:2">
      <c r="A1589">
        <v>92505935</v>
      </c>
      <c r="B1589" t="s">
        <v>3561</v>
      </c>
    </row>
    <row r="1590" spans="1:2">
      <c r="A1590">
        <v>92505936</v>
      </c>
      <c r="B1590" t="s">
        <v>3563</v>
      </c>
    </row>
    <row r="1591" spans="1:2">
      <c r="A1591">
        <v>92505937</v>
      </c>
      <c r="B1591" t="s">
        <v>3565</v>
      </c>
    </row>
    <row r="1592" spans="1:2">
      <c r="A1592">
        <v>92505938</v>
      </c>
      <c r="B1592" t="s">
        <v>3567</v>
      </c>
    </row>
    <row r="1593" spans="1:2">
      <c r="A1593">
        <v>92505939</v>
      </c>
      <c r="B1593" t="s">
        <v>3569</v>
      </c>
    </row>
    <row r="1594" spans="1:2">
      <c r="A1594">
        <v>92505940</v>
      </c>
      <c r="B1594" t="s">
        <v>3571</v>
      </c>
    </row>
    <row r="1595" spans="1:2">
      <c r="A1595">
        <v>92505941</v>
      </c>
      <c r="B1595" t="s">
        <v>3573</v>
      </c>
    </row>
    <row r="1596" spans="1:2">
      <c r="A1596">
        <v>92505942</v>
      </c>
      <c r="B1596" t="s">
        <v>3575</v>
      </c>
    </row>
    <row r="1597" spans="1:2">
      <c r="A1597">
        <v>92505943</v>
      </c>
      <c r="B1597" t="s">
        <v>3577</v>
      </c>
    </row>
    <row r="1598" spans="1:2">
      <c r="A1598">
        <v>92505944</v>
      </c>
      <c r="B1598" t="s">
        <v>3579</v>
      </c>
    </row>
    <row r="1599" spans="1:2">
      <c r="A1599">
        <v>92505945</v>
      </c>
      <c r="B1599" t="s">
        <v>3581</v>
      </c>
    </row>
    <row r="1600" spans="1:2">
      <c r="A1600">
        <v>92505946</v>
      </c>
      <c r="B1600" t="s">
        <v>3583</v>
      </c>
    </row>
    <row r="1601" spans="1:2">
      <c r="A1601">
        <v>92505947</v>
      </c>
      <c r="B1601" t="s">
        <v>3585</v>
      </c>
    </row>
    <row r="1602" spans="1:2">
      <c r="A1602">
        <v>92505948</v>
      </c>
      <c r="B1602" t="s">
        <v>3587</v>
      </c>
    </row>
    <row r="1603" spans="1:2">
      <c r="A1603">
        <v>92505949</v>
      </c>
      <c r="B1603" t="s">
        <v>3589</v>
      </c>
    </row>
    <row r="1604" spans="1:2">
      <c r="A1604">
        <v>92505950</v>
      </c>
      <c r="B1604" t="s">
        <v>3591</v>
      </c>
    </row>
    <row r="1605" spans="1:2">
      <c r="A1605">
        <v>92505951</v>
      </c>
      <c r="B1605" t="s">
        <v>3593</v>
      </c>
    </row>
    <row r="1606" spans="1:2">
      <c r="A1606">
        <v>92505952</v>
      </c>
      <c r="B1606" t="s">
        <v>3595</v>
      </c>
    </row>
    <row r="1607" spans="1:2">
      <c r="A1607">
        <v>92505953</v>
      </c>
      <c r="B1607" t="s">
        <v>3597</v>
      </c>
    </row>
    <row r="1608" spans="1:2">
      <c r="A1608">
        <v>92505954</v>
      </c>
      <c r="B1608" t="s">
        <v>3599</v>
      </c>
    </row>
    <row r="1609" spans="1:2">
      <c r="A1609">
        <v>92505955</v>
      </c>
      <c r="B1609" t="s">
        <v>3601</v>
      </c>
    </row>
    <row r="1610" spans="1:2">
      <c r="A1610">
        <v>92505956</v>
      </c>
      <c r="B1610" t="s">
        <v>3603</v>
      </c>
    </row>
    <row r="1611" spans="1:2">
      <c r="A1611">
        <v>92505957</v>
      </c>
      <c r="B1611" t="s">
        <v>3605</v>
      </c>
    </row>
    <row r="1612" spans="1:2">
      <c r="A1612">
        <v>92505958</v>
      </c>
      <c r="B1612" t="s">
        <v>3607</v>
      </c>
    </row>
    <row r="1613" spans="1:2">
      <c r="A1613">
        <v>92505959</v>
      </c>
      <c r="B1613" t="s">
        <v>3609</v>
      </c>
    </row>
    <row r="1614" spans="1:2">
      <c r="A1614">
        <v>92505960</v>
      </c>
      <c r="B1614" t="s">
        <v>3611</v>
      </c>
    </row>
    <row r="1615" spans="1:2">
      <c r="A1615">
        <v>92505961</v>
      </c>
      <c r="B1615" t="s">
        <v>3613</v>
      </c>
    </row>
    <row r="1616" spans="1:2">
      <c r="A1616">
        <v>92505962</v>
      </c>
      <c r="B1616" t="s">
        <v>3615</v>
      </c>
    </row>
    <row r="1617" spans="1:2">
      <c r="A1617">
        <v>92505963</v>
      </c>
      <c r="B1617" t="s">
        <v>3617</v>
      </c>
    </row>
    <row r="1618" spans="1:2">
      <c r="A1618">
        <v>92505964</v>
      </c>
      <c r="B1618" t="s">
        <v>3619</v>
      </c>
    </row>
    <row r="1619" spans="1:2">
      <c r="A1619">
        <v>92505965</v>
      </c>
      <c r="B1619" t="s">
        <v>3621</v>
      </c>
    </row>
    <row r="1620" spans="1:2">
      <c r="A1620">
        <v>92505966</v>
      </c>
      <c r="B1620" t="s">
        <v>3623</v>
      </c>
    </row>
    <row r="1621" spans="1:2">
      <c r="A1621">
        <v>92505967</v>
      </c>
      <c r="B1621" t="s">
        <v>3625</v>
      </c>
    </row>
    <row r="1622" spans="1:2">
      <c r="A1622">
        <v>92505968</v>
      </c>
      <c r="B1622" t="s">
        <v>3627</v>
      </c>
    </row>
    <row r="1623" spans="1:2">
      <c r="A1623">
        <v>92505969</v>
      </c>
      <c r="B1623" t="s">
        <v>3629</v>
      </c>
    </row>
    <row r="1624" spans="1:2">
      <c r="A1624">
        <v>92505970</v>
      </c>
      <c r="B1624" t="s">
        <v>3631</v>
      </c>
    </row>
    <row r="1625" spans="1:2">
      <c r="A1625">
        <v>92505971</v>
      </c>
      <c r="B1625" t="s">
        <v>3633</v>
      </c>
    </row>
    <row r="1626" spans="1:2">
      <c r="A1626">
        <v>92505972</v>
      </c>
      <c r="B1626" t="s">
        <v>3635</v>
      </c>
    </row>
    <row r="1627" spans="1:2">
      <c r="A1627">
        <v>92505973</v>
      </c>
      <c r="B1627" t="s">
        <v>3637</v>
      </c>
    </row>
    <row r="1628" spans="1:2">
      <c r="A1628">
        <v>92505974</v>
      </c>
      <c r="B1628" t="s">
        <v>3639</v>
      </c>
    </row>
    <row r="1629" spans="1:2">
      <c r="A1629">
        <v>92505975</v>
      </c>
      <c r="B1629" t="s">
        <v>3641</v>
      </c>
    </row>
    <row r="1630" spans="1:2">
      <c r="A1630">
        <v>92505976</v>
      </c>
      <c r="B1630" t="s">
        <v>3643</v>
      </c>
    </row>
    <row r="1631" spans="1:2">
      <c r="A1631">
        <v>92505977</v>
      </c>
      <c r="B1631" t="s">
        <v>3645</v>
      </c>
    </row>
    <row r="1632" spans="1:2">
      <c r="A1632">
        <v>92505978</v>
      </c>
      <c r="B1632" t="s">
        <v>3647</v>
      </c>
    </row>
    <row r="1633" spans="1:2">
      <c r="A1633">
        <v>92505979</v>
      </c>
      <c r="B1633" t="s">
        <v>3649</v>
      </c>
    </row>
    <row r="1634" spans="1:2">
      <c r="A1634">
        <v>92505980</v>
      </c>
      <c r="B1634" t="s">
        <v>3651</v>
      </c>
    </row>
    <row r="1635" spans="1:2">
      <c r="A1635">
        <v>92505981</v>
      </c>
      <c r="B1635" t="s">
        <v>3653</v>
      </c>
    </row>
    <row r="1636" spans="1:2">
      <c r="A1636">
        <v>92505982</v>
      </c>
      <c r="B1636" t="s">
        <v>3655</v>
      </c>
    </row>
    <row r="1637" spans="1:2">
      <c r="A1637">
        <v>92505983</v>
      </c>
      <c r="B1637" t="s">
        <v>3657</v>
      </c>
    </row>
    <row r="1638" spans="1:2">
      <c r="A1638">
        <v>92505984</v>
      </c>
      <c r="B1638" t="s">
        <v>3659</v>
      </c>
    </row>
    <row r="1639" spans="1:2">
      <c r="A1639">
        <v>92505985</v>
      </c>
      <c r="B1639" t="s">
        <v>3661</v>
      </c>
    </row>
    <row r="1640" spans="1:2">
      <c r="A1640">
        <v>92505986</v>
      </c>
      <c r="B1640" t="s">
        <v>3663</v>
      </c>
    </row>
    <row r="1641" spans="1:2">
      <c r="A1641">
        <v>92505987</v>
      </c>
      <c r="B1641" t="s">
        <v>3665</v>
      </c>
    </row>
    <row r="1642" spans="1:2">
      <c r="A1642">
        <v>92505988</v>
      </c>
      <c r="B1642" t="s">
        <v>3667</v>
      </c>
    </row>
    <row r="1643" spans="1:2">
      <c r="A1643">
        <v>92505989</v>
      </c>
      <c r="B1643" t="s">
        <v>3669</v>
      </c>
    </row>
    <row r="1644" spans="1:2">
      <c r="A1644">
        <v>92505990</v>
      </c>
      <c r="B1644" t="s">
        <v>3671</v>
      </c>
    </row>
    <row r="1645" spans="1:2">
      <c r="A1645">
        <v>92505991</v>
      </c>
      <c r="B1645" t="s">
        <v>3673</v>
      </c>
    </row>
    <row r="1646" spans="1:2">
      <c r="A1646">
        <v>92505992</v>
      </c>
      <c r="B1646" t="s">
        <v>4661</v>
      </c>
    </row>
    <row r="1647" spans="1:2">
      <c r="A1647">
        <v>92505993</v>
      </c>
      <c r="B1647" t="s">
        <v>4662</v>
      </c>
    </row>
    <row r="1648" spans="1:2">
      <c r="A1648">
        <v>92505994</v>
      </c>
      <c r="B1648" t="s">
        <v>4663</v>
      </c>
    </row>
    <row r="1649" spans="1:2">
      <c r="A1649">
        <v>92506001</v>
      </c>
      <c r="B1649" t="s">
        <v>3681</v>
      </c>
    </row>
    <row r="1650" spans="1:2">
      <c r="A1650">
        <v>92506002</v>
      </c>
      <c r="B1650" t="s">
        <v>3683</v>
      </c>
    </row>
    <row r="1651" spans="1:2">
      <c r="A1651">
        <v>92506003</v>
      </c>
      <c r="B1651" t="s">
        <v>3685</v>
      </c>
    </row>
    <row r="1652" spans="1:2">
      <c r="A1652">
        <v>92506004</v>
      </c>
      <c r="B1652" t="s">
        <v>3687</v>
      </c>
    </row>
    <row r="1653" spans="1:2">
      <c r="A1653">
        <v>92506005</v>
      </c>
      <c r="B1653" t="s">
        <v>3689</v>
      </c>
    </row>
    <row r="1654" spans="1:2">
      <c r="A1654">
        <v>92506006</v>
      </c>
      <c r="B1654" t="s">
        <v>3691</v>
      </c>
    </row>
    <row r="1655" spans="1:2">
      <c r="A1655">
        <v>92506007</v>
      </c>
      <c r="B1655" t="s">
        <v>3693</v>
      </c>
    </row>
    <row r="1656" spans="1:2">
      <c r="A1656">
        <v>92506008</v>
      </c>
      <c r="B1656" t="s">
        <v>3695</v>
      </c>
    </row>
    <row r="1657" spans="1:2">
      <c r="A1657">
        <v>92506009</v>
      </c>
      <c r="B1657" t="s">
        <v>3697</v>
      </c>
    </row>
    <row r="1658" spans="1:2">
      <c r="A1658">
        <v>92506010</v>
      </c>
      <c r="B1658" t="s">
        <v>3699</v>
      </c>
    </row>
    <row r="1659" spans="1:2">
      <c r="A1659">
        <v>92506011</v>
      </c>
      <c r="B1659" t="s">
        <v>3701</v>
      </c>
    </row>
    <row r="1660" spans="1:2">
      <c r="A1660">
        <v>92506012</v>
      </c>
      <c r="B1660" t="s">
        <v>3703</v>
      </c>
    </row>
    <row r="1661" spans="1:2">
      <c r="A1661">
        <v>92506013</v>
      </c>
      <c r="B1661" t="s">
        <v>3705</v>
      </c>
    </row>
    <row r="1662" spans="1:2">
      <c r="A1662">
        <v>92506014</v>
      </c>
      <c r="B1662" t="s">
        <v>3707</v>
      </c>
    </row>
    <row r="1663" spans="1:2">
      <c r="A1663">
        <v>93006101</v>
      </c>
      <c r="B1663" t="s">
        <v>3709</v>
      </c>
    </row>
    <row r="1664" spans="1:2">
      <c r="A1664">
        <v>93006102</v>
      </c>
      <c r="B1664" t="s">
        <v>3711</v>
      </c>
    </row>
    <row r="1665" spans="1:2">
      <c r="A1665">
        <v>93006103</v>
      </c>
      <c r="B1665" t="s">
        <v>3713</v>
      </c>
    </row>
    <row r="1666" spans="1:2">
      <c r="A1666">
        <v>93006104</v>
      </c>
      <c r="B1666" t="s">
        <v>3715</v>
      </c>
    </row>
    <row r="1667" spans="1:2">
      <c r="A1667">
        <v>93006105</v>
      </c>
      <c r="B1667" t="s">
        <v>3717</v>
      </c>
    </row>
    <row r="1668" spans="1:2">
      <c r="A1668">
        <v>93006106</v>
      </c>
      <c r="B1668" t="s">
        <v>3719</v>
      </c>
    </row>
    <row r="1669" spans="1:2">
      <c r="A1669">
        <v>99906201</v>
      </c>
      <c r="B1669" t="s">
        <v>3721</v>
      </c>
    </row>
    <row r="1670" spans="1:2">
      <c r="A1670" t="s">
        <v>3902</v>
      </c>
      <c r="B1670" t="s">
        <v>3903</v>
      </c>
    </row>
    <row r="1671" spans="1:2">
      <c r="A1671" t="s">
        <v>3904</v>
      </c>
      <c r="B1671" t="s">
        <v>4664</v>
      </c>
    </row>
    <row r="1672" spans="1:2">
      <c r="A1672" t="s">
        <v>3906</v>
      </c>
      <c r="B1672" t="s">
        <v>4665</v>
      </c>
    </row>
    <row r="1673" spans="1:2">
      <c r="A1673" t="s">
        <v>3908</v>
      </c>
      <c r="B1673" t="s">
        <v>4666</v>
      </c>
    </row>
    <row r="1674" spans="1:2">
      <c r="A1674" t="s">
        <v>3910</v>
      </c>
      <c r="B1674" t="s">
        <v>3911</v>
      </c>
    </row>
    <row r="1675" spans="1:2">
      <c r="A1675" t="s">
        <v>3912</v>
      </c>
      <c r="B1675" t="s">
        <v>3913</v>
      </c>
    </row>
    <row r="1676" spans="1:2">
      <c r="A1676" t="s">
        <v>3914</v>
      </c>
      <c r="B1676" t="s">
        <v>3915</v>
      </c>
    </row>
    <row r="1677" spans="1:2">
      <c r="A1677" t="s">
        <v>3916</v>
      </c>
      <c r="B1677" t="s">
        <v>3917</v>
      </c>
    </row>
    <row r="1678" spans="1:2">
      <c r="A1678" t="s">
        <v>3918</v>
      </c>
      <c r="B1678" t="s">
        <v>3919</v>
      </c>
    </row>
    <row r="1679" spans="1:2">
      <c r="A1679" t="s">
        <v>3920</v>
      </c>
      <c r="B1679" t="s">
        <v>3921</v>
      </c>
    </row>
    <row r="1680" spans="1:2">
      <c r="A1680" t="s">
        <v>3922</v>
      </c>
      <c r="B1680" t="s">
        <v>3923</v>
      </c>
    </row>
    <row r="1681" spans="1:2">
      <c r="A1681" t="s">
        <v>3924</v>
      </c>
      <c r="B1681" t="s">
        <v>3925</v>
      </c>
    </row>
    <row r="1682" spans="1:2">
      <c r="A1682" t="s">
        <v>3926</v>
      </c>
      <c r="B1682" t="s">
        <v>3927</v>
      </c>
    </row>
    <row r="1683" spans="1:2">
      <c r="A1683" t="s">
        <v>3928</v>
      </c>
      <c r="B1683" t="s">
        <v>3929</v>
      </c>
    </row>
    <row r="1684" spans="1:2">
      <c r="A1684" t="s">
        <v>3930</v>
      </c>
      <c r="B1684" t="s">
        <v>3931</v>
      </c>
    </row>
    <row r="1685" spans="1:2">
      <c r="A1685" t="s">
        <v>3932</v>
      </c>
      <c r="B1685" t="s">
        <v>3933</v>
      </c>
    </row>
    <row r="1686" spans="1:2">
      <c r="A1686" t="s">
        <v>3934</v>
      </c>
      <c r="B1686" t="s">
        <v>3935</v>
      </c>
    </row>
    <row r="1687" spans="1:2">
      <c r="A1687" t="s">
        <v>3936</v>
      </c>
      <c r="B1687" t="s">
        <v>3937</v>
      </c>
    </row>
  </sheetData>
  <phoneticPr fontId="2"/>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FFFF00"/>
  </sheetPr>
  <dimension ref="A1:IV212"/>
  <sheetViews>
    <sheetView view="pageBreakPreview" zoomScale="85" zoomScaleNormal="100" zoomScaleSheetLayoutView="85" workbookViewId="0"/>
  </sheetViews>
  <sheetFormatPr defaultColWidth="8.875" defaultRowHeight="13.5" customHeight="1"/>
  <cols>
    <col min="1" max="1" width="2.5" style="1122" customWidth="1"/>
    <col min="2" max="2" width="2.875" style="1122" customWidth="1"/>
    <col min="3" max="3" width="21.625" style="1122" customWidth="1"/>
    <col min="4" max="4" width="3.5" style="1122" customWidth="1"/>
    <col min="5" max="5" width="5.625" style="1122" customWidth="1"/>
    <col min="6" max="6" width="15.125" style="1122" customWidth="1"/>
    <col min="7" max="12" width="14.375" style="1596" customWidth="1"/>
    <col min="13" max="256" width="9" style="1122"/>
    <col min="257" max="257" width="2.5" style="1122" customWidth="1"/>
    <col min="258" max="258" width="2.875" style="1122" customWidth="1"/>
    <col min="259" max="259" width="21.625" style="1122" customWidth="1"/>
    <col min="260" max="260" width="3.5" style="1122" customWidth="1"/>
    <col min="261" max="261" width="5.625" style="1122" customWidth="1"/>
    <col min="262" max="262" width="15.125" style="1122" customWidth="1"/>
    <col min="263" max="268" width="14.375" style="1122" customWidth="1"/>
    <col min="269" max="512" width="9" style="1122"/>
    <col min="513" max="513" width="2.5" style="1122" customWidth="1"/>
    <col min="514" max="514" width="2.875" style="1122" customWidth="1"/>
    <col min="515" max="515" width="21.625" style="1122" customWidth="1"/>
    <col min="516" max="516" width="3.5" style="1122" customWidth="1"/>
    <col min="517" max="517" width="5.625" style="1122" customWidth="1"/>
    <col min="518" max="518" width="15.125" style="1122" customWidth="1"/>
    <col min="519" max="524" width="14.375" style="1122" customWidth="1"/>
    <col min="525" max="768" width="9" style="1122"/>
    <col min="769" max="769" width="2.5" style="1122" customWidth="1"/>
    <col min="770" max="770" width="2.875" style="1122" customWidth="1"/>
    <col min="771" max="771" width="21.625" style="1122" customWidth="1"/>
    <col min="772" max="772" width="3.5" style="1122" customWidth="1"/>
    <col min="773" max="773" width="5.625" style="1122" customWidth="1"/>
    <col min="774" max="774" width="15.125" style="1122" customWidth="1"/>
    <col min="775" max="780" width="14.375" style="1122" customWidth="1"/>
    <col min="781" max="1024" width="9" style="1122"/>
    <col min="1025" max="1025" width="2.5" style="1122" customWidth="1"/>
    <col min="1026" max="1026" width="2.875" style="1122" customWidth="1"/>
    <col min="1027" max="1027" width="21.625" style="1122" customWidth="1"/>
    <col min="1028" max="1028" width="3.5" style="1122" customWidth="1"/>
    <col min="1029" max="1029" width="5.625" style="1122" customWidth="1"/>
    <col min="1030" max="1030" width="15.125" style="1122" customWidth="1"/>
    <col min="1031" max="1036" width="14.375" style="1122" customWidth="1"/>
    <col min="1037" max="1280" width="9" style="1122"/>
    <col min="1281" max="1281" width="2.5" style="1122" customWidth="1"/>
    <col min="1282" max="1282" width="2.875" style="1122" customWidth="1"/>
    <col min="1283" max="1283" width="21.625" style="1122" customWidth="1"/>
    <col min="1284" max="1284" width="3.5" style="1122" customWidth="1"/>
    <col min="1285" max="1285" width="5.625" style="1122" customWidth="1"/>
    <col min="1286" max="1286" width="15.125" style="1122" customWidth="1"/>
    <col min="1287" max="1292" width="14.375" style="1122" customWidth="1"/>
    <col min="1293" max="1536" width="9" style="1122"/>
    <col min="1537" max="1537" width="2.5" style="1122" customWidth="1"/>
    <col min="1538" max="1538" width="2.875" style="1122" customWidth="1"/>
    <col min="1539" max="1539" width="21.625" style="1122" customWidth="1"/>
    <col min="1540" max="1540" width="3.5" style="1122" customWidth="1"/>
    <col min="1541" max="1541" width="5.625" style="1122" customWidth="1"/>
    <col min="1542" max="1542" width="15.125" style="1122" customWidth="1"/>
    <col min="1543" max="1548" width="14.375" style="1122" customWidth="1"/>
    <col min="1549" max="1792" width="9" style="1122"/>
    <col min="1793" max="1793" width="2.5" style="1122" customWidth="1"/>
    <col min="1794" max="1794" width="2.875" style="1122" customWidth="1"/>
    <col min="1795" max="1795" width="21.625" style="1122" customWidth="1"/>
    <col min="1796" max="1796" width="3.5" style="1122" customWidth="1"/>
    <col min="1797" max="1797" width="5.625" style="1122" customWidth="1"/>
    <col min="1798" max="1798" width="15.125" style="1122" customWidth="1"/>
    <col min="1799" max="1804" width="14.375" style="1122" customWidth="1"/>
    <col min="1805" max="2048" width="9" style="1122"/>
    <col min="2049" max="2049" width="2.5" style="1122" customWidth="1"/>
    <col min="2050" max="2050" width="2.875" style="1122" customWidth="1"/>
    <col min="2051" max="2051" width="21.625" style="1122" customWidth="1"/>
    <col min="2052" max="2052" width="3.5" style="1122" customWidth="1"/>
    <col min="2053" max="2053" width="5.625" style="1122" customWidth="1"/>
    <col min="2054" max="2054" width="15.125" style="1122" customWidth="1"/>
    <col min="2055" max="2060" width="14.375" style="1122" customWidth="1"/>
    <col min="2061" max="2304" width="9" style="1122"/>
    <col min="2305" max="2305" width="2.5" style="1122" customWidth="1"/>
    <col min="2306" max="2306" width="2.875" style="1122" customWidth="1"/>
    <col min="2307" max="2307" width="21.625" style="1122" customWidth="1"/>
    <col min="2308" max="2308" width="3.5" style="1122" customWidth="1"/>
    <col min="2309" max="2309" width="5.625" style="1122" customWidth="1"/>
    <col min="2310" max="2310" width="15.125" style="1122" customWidth="1"/>
    <col min="2311" max="2316" width="14.375" style="1122" customWidth="1"/>
    <col min="2317" max="2560" width="9" style="1122"/>
    <col min="2561" max="2561" width="2.5" style="1122" customWidth="1"/>
    <col min="2562" max="2562" width="2.875" style="1122" customWidth="1"/>
    <col min="2563" max="2563" width="21.625" style="1122" customWidth="1"/>
    <col min="2564" max="2564" width="3.5" style="1122" customWidth="1"/>
    <col min="2565" max="2565" width="5.625" style="1122" customWidth="1"/>
    <col min="2566" max="2566" width="15.125" style="1122" customWidth="1"/>
    <col min="2567" max="2572" width="14.375" style="1122" customWidth="1"/>
    <col min="2573" max="2816" width="9" style="1122"/>
    <col min="2817" max="2817" width="2.5" style="1122" customWidth="1"/>
    <col min="2818" max="2818" width="2.875" style="1122" customWidth="1"/>
    <col min="2819" max="2819" width="21.625" style="1122" customWidth="1"/>
    <col min="2820" max="2820" width="3.5" style="1122" customWidth="1"/>
    <col min="2821" max="2821" width="5.625" style="1122" customWidth="1"/>
    <col min="2822" max="2822" width="15.125" style="1122" customWidth="1"/>
    <col min="2823" max="2828" width="14.375" style="1122" customWidth="1"/>
    <col min="2829" max="3072" width="9" style="1122"/>
    <col min="3073" max="3073" width="2.5" style="1122" customWidth="1"/>
    <col min="3074" max="3074" width="2.875" style="1122" customWidth="1"/>
    <col min="3075" max="3075" width="21.625" style="1122" customWidth="1"/>
    <col min="3076" max="3076" width="3.5" style="1122" customWidth="1"/>
    <col min="3077" max="3077" width="5.625" style="1122" customWidth="1"/>
    <col min="3078" max="3078" width="15.125" style="1122" customWidth="1"/>
    <col min="3079" max="3084" width="14.375" style="1122" customWidth="1"/>
    <col min="3085" max="3328" width="9" style="1122"/>
    <col min="3329" max="3329" width="2.5" style="1122" customWidth="1"/>
    <col min="3330" max="3330" width="2.875" style="1122" customWidth="1"/>
    <col min="3331" max="3331" width="21.625" style="1122" customWidth="1"/>
    <col min="3332" max="3332" width="3.5" style="1122" customWidth="1"/>
    <col min="3333" max="3333" width="5.625" style="1122" customWidth="1"/>
    <col min="3334" max="3334" width="15.125" style="1122" customWidth="1"/>
    <col min="3335" max="3340" width="14.375" style="1122" customWidth="1"/>
    <col min="3341" max="3584" width="9" style="1122"/>
    <col min="3585" max="3585" width="2.5" style="1122" customWidth="1"/>
    <col min="3586" max="3586" width="2.875" style="1122" customWidth="1"/>
    <col min="3587" max="3587" width="21.625" style="1122" customWidth="1"/>
    <col min="3588" max="3588" width="3.5" style="1122" customWidth="1"/>
    <col min="3589" max="3589" width="5.625" style="1122" customWidth="1"/>
    <col min="3590" max="3590" width="15.125" style="1122" customWidth="1"/>
    <col min="3591" max="3596" width="14.375" style="1122" customWidth="1"/>
    <col min="3597" max="3840" width="9" style="1122"/>
    <col min="3841" max="3841" width="2.5" style="1122" customWidth="1"/>
    <col min="3842" max="3842" width="2.875" style="1122" customWidth="1"/>
    <col min="3843" max="3843" width="21.625" style="1122" customWidth="1"/>
    <col min="3844" max="3844" width="3.5" style="1122" customWidth="1"/>
    <col min="3845" max="3845" width="5.625" style="1122" customWidth="1"/>
    <col min="3846" max="3846" width="15.125" style="1122" customWidth="1"/>
    <col min="3847" max="3852" width="14.375" style="1122" customWidth="1"/>
    <col min="3853" max="4096" width="9" style="1122"/>
    <col min="4097" max="4097" width="2.5" style="1122" customWidth="1"/>
    <col min="4098" max="4098" width="2.875" style="1122" customWidth="1"/>
    <col min="4099" max="4099" width="21.625" style="1122" customWidth="1"/>
    <col min="4100" max="4100" width="3.5" style="1122" customWidth="1"/>
    <col min="4101" max="4101" width="5.625" style="1122" customWidth="1"/>
    <col min="4102" max="4102" width="15.125" style="1122" customWidth="1"/>
    <col min="4103" max="4108" width="14.375" style="1122" customWidth="1"/>
    <col min="4109" max="4352" width="9" style="1122"/>
    <col min="4353" max="4353" width="2.5" style="1122" customWidth="1"/>
    <col min="4354" max="4354" width="2.875" style="1122" customWidth="1"/>
    <col min="4355" max="4355" width="21.625" style="1122" customWidth="1"/>
    <col min="4356" max="4356" width="3.5" style="1122" customWidth="1"/>
    <col min="4357" max="4357" width="5.625" style="1122" customWidth="1"/>
    <col min="4358" max="4358" width="15.125" style="1122" customWidth="1"/>
    <col min="4359" max="4364" width="14.375" style="1122" customWidth="1"/>
    <col min="4365" max="4608" width="9" style="1122"/>
    <col min="4609" max="4609" width="2.5" style="1122" customWidth="1"/>
    <col min="4610" max="4610" width="2.875" style="1122" customWidth="1"/>
    <col min="4611" max="4611" width="21.625" style="1122" customWidth="1"/>
    <col min="4612" max="4612" width="3.5" style="1122" customWidth="1"/>
    <col min="4613" max="4613" width="5.625" style="1122" customWidth="1"/>
    <col min="4614" max="4614" width="15.125" style="1122" customWidth="1"/>
    <col min="4615" max="4620" width="14.375" style="1122" customWidth="1"/>
    <col min="4621" max="4864" width="9" style="1122"/>
    <col min="4865" max="4865" width="2.5" style="1122" customWidth="1"/>
    <col min="4866" max="4866" width="2.875" style="1122" customWidth="1"/>
    <col min="4867" max="4867" width="21.625" style="1122" customWidth="1"/>
    <col min="4868" max="4868" width="3.5" style="1122" customWidth="1"/>
    <col min="4869" max="4869" width="5.625" style="1122" customWidth="1"/>
    <col min="4870" max="4870" width="15.125" style="1122" customWidth="1"/>
    <col min="4871" max="4876" width="14.375" style="1122" customWidth="1"/>
    <col min="4877" max="5120" width="9" style="1122"/>
    <col min="5121" max="5121" width="2.5" style="1122" customWidth="1"/>
    <col min="5122" max="5122" width="2.875" style="1122" customWidth="1"/>
    <col min="5123" max="5123" width="21.625" style="1122" customWidth="1"/>
    <col min="5124" max="5124" width="3.5" style="1122" customWidth="1"/>
    <col min="5125" max="5125" width="5.625" style="1122" customWidth="1"/>
    <col min="5126" max="5126" width="15.125" style="1122" customWidth="1"/>
    <col min="5127" max="5132" width="14.375" style="1122" customWidth="1"/>
    <col min="5133" max="5376" width="9" style="1122"/>
    <col min="5377" max="5377" width="2.5" style="1122" customWidth="1"/>
    <col min="5378" max="5378" width="2.875" style="1122" customWidth="1"/>
    <col min="5379" max="5379" width="21.625" style="1122" customWidth="1"/>
    <col min="5380" max="5380" width="3.5" style="1122" customWidth="1"/>
    <col min="5381" max="5381" width="5.625" style="1122" customWidth="1"/>
    <col min="5382" max="5382" width="15.125" style="1122" customWidth="1"/>
    <col min="5383" max="5388" width="14.375" style="1122" customWidth="1"/>
    <col min="5389" max="5632" width="9" style="1122"/>
    <col min="5633" max="5633" width="2.5" style="1122" customWidth="1"/>
    <col min="5634" max="5634" width="2.875" style="1122" customWidth="1"/>
    <col min="5635" max="5635" width="21.625" style="1122" customWidth="1"/>
    <col min="5636" max="5636" width="3.5" style="1122" customWidth="1"/>
    <col min="5637" max="5637" width="5.625" style="1122" customWidth="1"/>
    <col min="5638" max="5638" width="15.125" style="1122" customWidth="1"/>
    <col min="5639" max="5644" width="14.375" style="1122" customWidth="1"/>
    <col min="5645" max="5888" width="9" style="1122"/>
    <col min="5889" max="5889" width="2.5" style="1122" customWidth="1"/>
    <col min="5890" max="5890" width="2.875" style="1122" customWidth="1"/>
    <col min="5891" max="5891" width="21.625" style="1122" customWidth="1"/>
    <col min="5892" max="5892" width="3.5" style="1122" customWidth="1"/>
    <col min="5893" max="5893" width="5.625" style="1122" customWidth="1"/>
    <col min="5894" max="5894" width="15.125" style="1122" customWidth="1"/>
    <col min="5895" max="5900" width="14.375" style="1122" customWidth="1"/>
    <col min="5901" max="6144" width="9" style="1122"/>
    <col min="6145" max="6145" width="2.5" style="1122" customWidth="1"/>
    <col min="6146" max="6146" width="2.875" style="1122" customWidth="1"/>
    <col min="6147" max="6147" width="21.625" style="1122" customWidth="1"/>
    <col min="6148" max="6148" width="3.5" style="1122" customWidth="1"/>
    <col min="6149" max="6149" width="5.625" style="1122" customWidth="1"/>
    <col min="6150" max="6150" width="15.125" style="1122" customWidth="1"/>
    <col min="6151" max="6156" width="14.375" style="1122" customWidth="1"/>
    <col min="6157" max="6400" width="9" style="1122"/>
    <col min="6401" max="6401" width="2.5" style="1122" customWidth="1"/>
    <col min="6402" max="6402" width="2.875" style="1122" customWidth="1"/>
    <col min="6403" max="6403" width="21.625" style="1122" customWidth="1"/>
    <col min="6404" max="6404" width="3.5" style="1122" customWidth="1"/>
    <col min="6405" max="6405" width="5.625" style="1122" customWidth="1"/>
    <col min="6406" max="6406" width="15.125" style="1122" customWidth="1"/>
    <col min="6407" max="6412" width="14.375" style="1122" customWidth="1"/>
    <col min="6413" max="6656" width="9" style="1122"/>
    <col min="6657" max="6657" width="2.5" style="1122" customWidth="1"/>
    <col min="6658" max="6658" width="2.875" style="1122" customWidth="1"/>
    <col min="6659" max="6659" width="21.625" style="1122" customWidth="1"/>
    <col min="6660" max="6660" width="3.5" style="1122" customWidth="1"/>
    <col min="6661" max="6661" width="5.625" style="1122" customWidth="1"/>
    <col min="6662" max="6662" width="15.125" style="1122" customWidth="1"/>
    <col min="6663" max="6668" width="14.375" style="1122" customWidth="1"/>
    <col min="6669" max="6912" width="9" style="1122"/>
    <col min="6913" max="6913" width="2.5" style="1122" customWidth="1"/>
    <col min="6914" max="6914" width="2.875" style="1122" customWidth="1"/>
    <col min="6915" max="6915" width="21.625" style="1122" customWidth="1"/>
    <col min="6916" max="6916" width="3.5" style="1122" customWidth="1"/>
    <col min="6917" max="6917" width="5.625" style="1122" customWidth="1"/>
    <col min="6918" max="6918" width="15.125" style="1122" customWidth="1"/>
    <col min="6919" max="6924" width="14.375" style="1122" customWidth="1"/>
    <col min="6925" max="7168" width="9" style="1122"/>
    <col min="7169" max="7169" width="2.5" style="1122" customWidth="1"/>
    <col min="7170" max="7170" width="2.875" style="1122" customWidth="1"/>
    <col min="7171" max="7171" width="21.625" style="1122" customWidth="1"/>
    <col min="7172" max="7172" width="3.5" style="1122" customWidth="1"/>
    <col min="7173" max="7173" width="5.625" style="1122" customWidth="1"/>
    <col min="7174" max="7174" width="15.125" style="1122" customWidth="1"/>
    <col min="7175" max="7180" width="14.375" style="1122" customWidth="1"/>
    <col min="7181" max="7424" width="9" style="1122"/>
    <col min="7425" max="7425" width="2.5" style="1122" customWidth="1"/>
    <col min="7426" max="7426" width="2.875" style="1122" customWidth="1"/>
    <col min="7427" max="7427" width="21.625" style="1122" customWidth="1"/>
    <col min="7428" max="7428" width="3.5" style="1122" customWidth="1"/>
    <col min="7429" max="7429" width="5.625" style="1122" customWidth="1"/>
    <col min="7430" max="7430" width="15.125" style="1122" customWidth="1"/>
    <col min="7431" max="7436" width="14.375" style="1122" customWidth="1"/>
    <col min="7437" max="7680" width="9" style="1122"/>
    <col min="7681" max="7681" width="2.5" style="1122" customWidth="1"/>
    <col min="7682" max="7682" width="2.875" style="1122" customWidth="1"/>
    <col min="7683" max="7683" width="21.625" style="1122" customWidth="1"/>
    <col min="7684" max="7684" width="3.5" style="1122" customWidth="1"/>
    <col min="7685" max="7685" width="5.625" style="1122" customWidth="1"/>
    <col min="7686" max="7686" width="15.125" style="1122" customWidth="1"/>
    <col min="7687" max="7692" width="14.375" style="1122" customWidth="1"/>
    <col min="7693" max="7936" width="9" style="1122"/>
    <col min="7937" max="7937" width="2.5" style="1122" customWidth="1"/>
    <col min="7938" max="7938" width="2.875" style="1122" customWidth="1"/>
    <col min="7939" max="7939" width="21.625" style="1122" customWidth="1"/>
    <col min="7940" max="7940" width="3.5" style="1122" customWidth="1"/>
    <col min="7941" max="7941" width="5.625" style="1122" customWidth="1"/>
    <col min="7942" max="7942" width="15.125" style="1122" customWidth="1"/>
    <col min="7943" max="7948" width="14.375" style="1122" customWidth="1"/>
    <col min="7949" max="8192" width="9" style="1122"/>
    <col min="8193" max="8193" width="2.5" style="1122" customWidth="1"/>
    <col min="8194" max="8194" width="2.875" style="1122" customWidth="1"/>
    <col min="8195" max="8195" width="21.625" style="1122" customWidth="1"/>
    <col min="8196" max="8196" width="3.5" style="1122" customWidth="1"/>
    <col min="8197" max="8197" width="5.625" style="1122" customWidth="1"/>
    <col min="8198" max="8198" width="15.125" style="1122" customWidth="1"/>
    <col min="8199" max="8204" width="14.375" style="1122" customWidth="1"/>
    <col min="8205" max="8448" width="9" style="1122"/>
    <col min="8449" max="8449" width="2.5" style="1122" customWidth="1"/>
    <col min="8450" max="8450" width="2.875" style="1122" customWidth="1"/>
    <col min="8451" max="8451" width="21.625" style="1122" customWidth="1"/>
    <col min="8452" max="8452" width="3.5" style="1122" customWidth="1"/>
    <col min="8453" max="8453" width="5.625" style="1122" customWidth="1"/>
    <col min="8454" max="8454" width="15.125" style="1122" customWidth="1"/>
    <col min="8455" max="8460" width="14.375" style="1122" customWidth="1"/>
    <col min="8461" max="8704" width="9" style="1122"/>
    <col min="8705" max="8705" width="2.5" style="1122" customWidth="1"/>
    <col min="8706" max="8706" width="2.875" style="1122" customWidth="1"/>
    <col min="8707" max="8707" width="21.625" style="1122" customWidth="1"/>
    <col min="8708" max="8708" width="3.5" style="1122" customWidth="1"/>
    <col min="8709" max="8709" width="5.625" style="1122" customWidth="1"/>
    <col min="8710" max="8710" width="15.125" style="1122" customWidth="1"/>
    <col min="8711" max="8716" width="14.375" style="1122" customWidth="1"/>
    <col min="8717" max="8960" width="9" style="1122"/>
    <col min="8961" max="8961" width="2.5" style="1122" customWidth="1"/>
    <col min="8962" max="8962" width="2.875" style="1122" customWidth="1"/>
    <col min="8963" max="8963" width="21.625" style="1122" customWidth="1"/>
    <col min="8964" max="8964" width="3.5" style="1122" customWidth="1"/>
    <col min="8965" max="8965" width="5.625" style="1122" customWidth="1"/>
    <col min="8966" max="8966" width="15.125" style="1122" customWidth="1"/>
    <col min="8967" max="8972" width="14.375" style="1122" customWidth="1"/>
    <col min="8973" max="9216" width="9" style="1122"/>
    <col min="9217" max="9217" width="2.5" style="1122" customWidth="1"/>
    <col min="9218" max="9218" width="2.875" style="1122" customWidth="1"/>
    <col min="9219" max="9219" width="21.625" style="1122" customWidth="1"/>
    <col min="9220" max="9220" width="3.5" style="1122" customWidth="1"/>
    <col min="9221" max="9221" width="5.625" style="1122" customWidth="1"/>
    <col min="9222" max="9222" width="15.125" style="1122" customWidth="1"/>
    <col min="9223" max="9228" width="14.375" style="1122" customWidth="1"/>
    <col min="9229" max="9472" width="9" style="1122"/>
    <col min="9473" max="9473" width="2.5" style="1122" customWidth="1"/>
    <col min="9474" max="9474" width="2.875" style="1122" customWidth="1"/>
    <col min="9475" max="9475" width="21.625" style="1122" customWidth="1"/>
    <col min="9476" max="9476" width="3.5" style="1122" customWidth="1"/>
    <col min="9477" max="9477" width="5.625" style="1122" customWidth="1"/>
    <col min="9478" max="9478" width="15.125" style="1122" customWidth="1"/>
    <col min="9479" max="9484" width="14.375" style="1122" customWidth="1"/>
    <col min="9485" max="9728" width="9" style="1122"/>
    <col min="9729" max="9729" width="2.5" style="1122" customWidth="1"/>
    <col min="9730" max="9730" width="2.875" style="1122" customWidth="1"/>
    <col min="9731" max="9731" width="21.625" style="1122" customWidth="1"/>
    <col min="9732" max="9732" width="3.5" style="1122" customWidth="1"/>
    <col min="9733" max="9733" width="5.625" style="1122" customWidth="1"/>
    <col min="9734" max="9734" width="15.125" style="1122" customWidth="1"/>
    <col min="9735" max="9740" width="14.375" style="1122" customWidth="1"/>
    <col min="9741" max="9984" width="9" style="1122"/>
    <col min="9985" max="9985" width="2.5" style="1122" customWidth="1"/>
    <col min="9986" max="9986" width="2.875" style="1122" customWidth="1"/>
    <col min="9987" max="9987" width="21.625" style="1122" customWidth="1"/>
    <col min="9988" max="9988" width="3.5" style="1122" customWidth="1"/>
    <col min="9989" max="9989" width="5.625" style="1122" customWidth="1"/>
    <col min="9990" max="9990" width="15.125" style="1122" customWidth="1"/>
    <col min="9991" max="9996" width="14.375" style="1122" customWidth="1"/>
    <col min="9997" max="10240" width="9" style="1122"/>
    <col min="10241" max="10241" width="2.5" style="1122" customWidth="1"/>
    <col min="10242" max="10242" width="2.875" style="1122" customWidth="1"/>
    <col min="10243" max="10243" width="21.625" style="1122" customWidth="1"/>
    <col min="10244" max="10244" width="3.5" style="1122" customWidth="1"/>
    <col min="10245" max="10245" width="5.625" style="1122" customWidth="1"/>
    <col min="10246" max="10246" width="15.125" style="1122" customWidth="1"/>
    <col min="10247" max="10252" width="14.375" style="1122" customWidth="1"/>
    <col min="10253" max="10496" width="9" style="1122"/>
    <col min="10497" max="10497" width="2.5" style="1122" customWidth="1"/>
    <col min="10498" max="10498" width="2.875" style="1122" customWidth="1"/>
    <col min="10499" max="10499" width="21.625" style="1122" customWidth="1"/>
    <col min="10500" max="10500" width="3.5" style="1122" customWidth="1"/>
    <col min="10501" max="10501" width="5.625" style="1122" customWidth="1"/>
    <col min="10502" max="10502" width="15.125" style="1122" customWidth="1"/>
    <col min="10503" max="10508" width="14.375" style="1122" customWidth="1"/>
    <col min="10509" max="10752" width="9" style="1122"/>
    <col min="10753" max="10753" width="2.5" style="1122" customWidth="1"/>
    <col min="10754" max="10754" width="2.875" style="1122" customWidth="1"/>
    <col min="10755" max="10755" width="21.625" style="1122" customWidth="1"/>
    <col min="10756" max="10756" width="3.5" style="1122" customWidth="1"/>
    <col min="10757" max="10757" width="5.625" style="1122" customWidth="1"/>
    <col min="10758" max="10758" width="15.125" style="1122" customWidth="1"/>
    <col min="10759" max="10764" width="14.375" style="1122" customWidth="1"/>
    <col min="10765" max="11008" width="9" style="1122"/>
    <col min="11009" max="11009" width="2.5" style="1122" customWidth="1"/>
    <col min="11010" max="11010" width="2.875" style="1122" customWidth="1"/>
    <col min="11011" max="11011" width="21.625" style="1122" customWidth="1"/>
    <col min="11012" max="11012" width="3.5" style="1122" customWidth="1"/>
    <col min="11013" max="11013" width="5.625" style="1122" customWidth="1"/>
    <col min="11014" max="11014" width="15.125" style="1122" customWidth="1"/>
    <col min="11015" max="11020" width="14.375" style="1122" customWidth="1"/>
    <col min="11021" max="11264" width="9" style="1122"/>
    <col min="11265" max="11265" width="2.5" style="1122" customWidth="1"/>
    <col min="11266" max="11266" width="2.875" style="1122" customWidth="1"/>
    <col min="11267" max="11267" width="21.625" style="1122" customWidth="1"/>
    <col min="11268" max="11268" width="3.5" style="1122" customWidth="1"/>
    <col min="11269" max="11269" width="5.625" style="1122" customWidth="1"/>
    <col min="11270" max="11270" width="15.125" style="1122" customWidth="1"/>
    <col min="11271" max="11276" width="14.375" style="1122" customWidth="1"/>
    <col min="11277" max="11520" width="9" style="1122"/>
    <col min="11521" max="11521" width="2.5" style="1122" customWidth="1"/>
    <col min="11522" max="11522" width="2.875" style="1122" customWidth="1"/>
    <col min="11523" max="11523" width="21.625" style="1122" customWidth="1"/>
    <col min="11524" max="11524" width="3.5" style="1122" customWidth="1"/>
    <col min="11525" max="11525" width="5.625" style="1122" customWidth="1"/>
    <col min="11526" max="11526" width="15.125" style="1122" customWidth="1"/>
    <col min="11527" max="11532" width="14.375" style="1122" customWidth="1"/>
    <col min="11533" max="11776" width="9" style="1122"/>
    <col min="11777" max="11777" width="2.5" style="1122" customWidth="1"/>
    <col min="11778" max="11778" width="2.875" style="1122" customWidth="1"/>
    <col min="11779" max="11779" width="21.625" style="1122" customWidth="1"/>
    <col min="11780" max="11780" width="3.5" style="1122" customWidth="1"/>
    <col min="11781" max="11781" width="5.625" style="1122" customWidth="1"/>
    <col min="11782" max="11782" width="15.125" style="1122" customWidth="1"/>
    <col min="11783" max="11788" width="14.375" style="1122" customWidth="1"/>
    <col min="11789" max="12032" width="9" style="1122"/>
    <col min="12033" max="12033" width="2.5" style="1122" customWidth="1"/>
    <col min="12034" max="12034" width="2.875" style="1122" customWidth="1"/>
    <col min="12035" max="12035" width="21.625" style="1122" customWidth="1"/>
    <col min="12036" max="12036" width="3.5" style="1122" customWidth="1"/>
    <col min="12037" max="12037" width="5.625" style="1122" customWidth="1"/>
    <col min="12038" max="12038" width="15.125" style="1122" customWidth="1"/>
    <col min="12039" max="12044" width="14.375" style="1122" customWidth="1"/>
    <col min="12045" max="12288" width="9" style="1122"/>
    <col min="12289" max="12289" width="2.5" style="1122" customWidth="1"/>
    <col min="12290" max="12290" width="2.875" style="1122" customWidth="1"/>
    <col min="12291" max="12291" width="21.625" style="1122" customWidth="1"/>
    <col min="12292" max="12292" width="3.5" style="1122" customWidth="1"/>
    <col min="12293" max="12293" width="5.625" style="1122" customWidth="1"/>
    <col min="12294" max="12294" width="15.125" style="1122" customWidth="1"/>
    <col min="12295" max="12300" width="14.375" style="1122" customWidth="1"/>
    <col min="12301" max="12544" width="9" style="1122"/>
    <col min="12545" max="12545" width="2.5" style="1122" customWidth="1"/>
    <col min="12546" max="12546" width="2.875" style="1122" customWidth="1"/>
    <col min="12547" max="12547" width="21.625" style="1122" customWidth="1"/>
    <col min="12548" max="12548" width="3.5" style="1122" customWidth="1"/>
    <col min="12549" max="12549" width="5.625" style="1122" customWidth="1"/>
    <col min="12550" max="12550" width="15.125" style="1122" customWidth="1"/>
    <col min="12551" max="12556" width="14.375" style="1122" customWidth="1"/>
    <col min="12557" max="12800" width="9" style="1122"/>
    <col min="12801" max="12801" width="2.5" style="1122" customWidth="1"/>
    <col min="12802" max="12802" width="2.875" style="1122" customWidth="1"/>
    <col min="12803" max="12803" width="21.625" style="1122" customWidth="1"/>
    <col min="12804" max="12804" width="3.5" style="1122" customWidth="1"/>
    <col min="12805" max="12805" width="5.625" style="1122" customWidth="1"/>
    <col min="12806" max="12806" width="15.125" style="1122" customWidth="1"/>
    <col min="12807" max="12812" width="14.375" style="1122" customWidth="1"/>
    <col min="12813" max="13056" width="9" style="1122"/>
    <col min="13057" max="13057" width="2.5" style="1122" customWidth="1"/>
    <col min="13058" max="13058" width="2.875" style="1122" customWidth="1"/>
    <col min="13059" max="13059" width="21.625" style="1122" customWidth="1"/>
    <col min="13060" max="13060" width="3.5" style="1122" customWidth="1"/>
    <col min="13061" max="13061" width="5.625" style="1122" customWidth="1"/>
    <col min="13062" max="13062" width="15.125" style="1122" customWidth="1"/>
    <col min="13063" max="13068" width="14.375" style="1122" customWidth="1"/>
    <col min="13069" max="13312" width="9" style="1122"/>
    <col min="13313" max="13313" width="2.5" style="1122" customWidth="1"/>
    <col min="13314" max="13314" width="2.875" style="1122" customWidth="1"/>
    <col min="13315" max="13315" width="21.625" style="1122" customWidth="1"/>
    <col min="13316" max="13316" width="3.5" style="1122" customWidth="1"/>
    <col min="13317" max="13317" width="5.625" style="1122" customWidth="1"/>
    <col min="13318" max="13318" width="15.125" style="1122" customWidth="1"/>
    <col min="13319" max="13324" width="14.375" style="1122" customWidth="1"/>
    <col min="13325" max="13568" width="9" style="1122"/>
    <col min="13569" max="13569" width="2.5" style="1122" customWidth="1"/>
    <col min="13570" max="13570" width="2.875" style="1122" customWidth="1"/>
    <col min="13571" max="13571" width="21.625" style="1122" customWidth="1"/>
    <col min="13572" max="13572" width="3.5" style="1122" customWidth="1"/>
    <col min="13573" max="13573" width="5.625" style="1122" customWidth="1"/>
    <col min="13574" max="13574" width="15.125" style="1122" customWidth="1"/>
    <col min="13575" max="13580" width="14.375" style="1122" customWidth="1"/>
    <col min="13581" max="13824" width="9" style="1122"/>
    <col min="13825" max="13825" width="2.5" style="1122" customWidth="1"/>
    <col min="13826" max="13826" width="2.875" style="1122" customWidth="1"/>
    <col min="13827" max="13827" width="21.625" style="1122" customWidth="1"/>
    <col min="13828" max="13828" width="3.5" style="1122" customWidth="1"/>
    <col min="13829" max="13829" width="5.625" style="1122" customWidth="1"/>
    <col min="13830" max="13830" width="15.125" style="1122" customWidth="1"/>
    <col min="13831" max="13836" width="14.375" style="1122" customWidth="1"/>
    <col min="13837" max="14080" width="9" style="1122"/>
    <col min="14081" max="14081" width="2.5" style="1122" customWidth="1"/>
    <col min="14082" max="14082" width="2.875" style="1122" customWidth="1"/>
    <col min="14083" max="14083" width="21.625" style="1122" customWidth="1"/>
    <col min="14084" max="14084" width="3.5" style="1122" customWidth="1"/>
    <col min="14085" max="14085" width="5.625" style="1122" customWidth="1"/>
    <col min="14086" max="14086" width="15.125" style="1122" customWidth="1"/>
    <col min="14087" max="14092" width="14.375" style="1122" customWidth="1"/>
    <col min="14093" max="14336" width="9" style="1122"/>
    <col min="14337" max="14337" width="2.5" style="1122" customWidth="1"/>
    <col min="14338" max="14338" width="2.875" style="1122" customWidth="1"/>
    <col min="14339" max="14339" width="21.625" style="1122" customWidth="1"/>
    <col min="14340" max="14340" width="3.5" style="1122" customWidth="1"/>
    <col min="14341" max="14341" width="5.625" style="1122" customWidth="1"/>
    <col min="14342" max="14342" width="15.125" style="1122" customWidth="1"/>
    <col min="14343" max="14348" width="14.375" style="1122" customWidth="1"/>
    <col min="14349" max="14592" width="9" style="1122"/>
    <col min="14593" max="14593" width="2.5" style="1122" customWidth="1"/>
    <col min="14594" max="14594" width="2.875" style="1122" customWidth="1"/>
    <col min="14595" max="14595" width="21.625" style="1122" customWidth="1"/>
    <col min="14596" max="14596" width="3.5" style="1122" customWidth="1"/>
    <col min="14597" max="14597" width="5.625" style="1122" customWidth="1"/>
    <col min="14598" max="14598" width="15.125" style="1122" customWidth="1"/>
    <col min="14599" max="14604" width="14.375" style="1122" customWidth="1"/>
    <col min="14605" max="14848" width="9" style="1122"/>
    <col min="14849" max="14849" width="2.5" style="1122" customWidth="1"/>
    <col min="14850" max="14850" width="2.875" style="1122" customWidth="1"/>
    <col min="14851" max="14851" width="21.625" style="1122" customWidth="1"/>
    <col min="14852" max="14852" width="3.5" style="1122" customWidth="1"/>
    <col min="14853" max="14853" width="5.625" style="1122" customWidth="1"/>
    <col min="14854" max="14854" width="15.125" style="1122" customWidth="1"/>
    <col min="14855" max="14860" width="14.375" style="1122" customWidth="1"/>
    <col min="14861" max="15104" width="9" style="1122"/>
    <col min="15105" max="15105" width="2.5" style="1122" customWidth="1"/>
    <col min="15106" max="15106" width="2.875" style="1122" customWidth="1"/>
    <col min="15107" max="15107" width="21.625" style="1122" customWidth="1"/>
    <col min="15108" max="15108" width="3.5" style="1122" customWidth="1"/>
    <col min="15109" max="15109" width="5.625" style="1122" customWidth="1"/>
    <col min="15110" max="15110" width="15.125" style="1122" customWidth="1"/>
    <col min="15111" max="15116" width="14.375" style="1122" customWidth="1"/>
    <col min="15117" max="15360" width="9" style="1122"/>
    <col min="15361" max="15361" width="2.5" style="1122" customWidth="1"/>
    <col min="15362" max="15362" width="2.875" style="1122" customWidth="1"/>
    <col min="15363" max="15363" width="21.625" style="1122" customWidth="1"/>
    <col min="15364" max="15364" width="3.5" style="1122" customWidth="1"/>
    <col min="15365" max="15365" width="5.625" style="1122" customWidth="1"/>
    <col min="15366" max="15366" width="15.125" style="1122" customWidth="1"/>
    <col min="15367" max="15372" width="14.375" style="1122" customWidth="1"/>
    <col min="15373" max="15616" width="9" style="1122"/>
    <col min="15617" max="15617" width="2.5" style="1122" customWidth="1"/>
    <col min="15618" max="15618" width="2.875" style="1122" customWidth="1"/>
    <col min="15619" max="15619" width="21.625" style="1122" customWidth="1"/>
    <col min="15620" max="15620" width="3.5" style="1122" customWidth="1"/>
    <col min="15621" max="15621" width="5.625" style="1122" customWidth="1"/>
    <col min="15622" max="15622" width="15.125" style="1122" customWidth="1"/>
    <col min="15623" max="15628" width="14.375" style="1122" customWidth="1"/>
    <col min="15629" max="15872" width="9" style="1122"/>
    <col min="15873" max="15873" width="2.5" style="1122" customWidth="1"/>
    <col min="15874" max="15874" width="2.875" style="1122" customWidth="1"/>
    <col min="15875" max="15875" width="21.625" style="1122" customWidth="1"/>
    <col min="15876" max="15876" width="3.5" style="1122" customWidth="1"/>
    <col min="15877" max="15877" width="5.625" style="1122" customWidth="1"/>
    <col min="15878" max="15878" width="15.125" style="1122" customWidth="1"/>
    <col min="15879" max="15884" width="14.375" style="1122" customWidth="1"/>
    <col min="15885" max="16128" width="9" style="1122"/>
    <col min="16129" max="16129" width="2.5" style="1122" customWidth="1"/>
    <col min="16130" max="16130" width="2.875" style="1122" customWidth="1"/>
    <col min="16131" max="16131" width="21.625" style="1122" customWidth="1"/>
    <col min="16132" max="16132" width="3.5" style="1122" customWidth="1"/>
    <col min="16133" max="16133" width="5.625" style="1122" customWidth="1"/>
    <col min="16134" max="16134" width="15.125" style="1122" customWidth="1"/>
    <col min="16135" max="16140" width="14.375" style="1122" customWidth="1"/>
    <col min="16141" max="16384" width="9" style="1122"/>
  </cols>
  <sheetData>
    <row r="1" spans="1:12" ht="13.5" customHeight="1">
      <c r="A1" s="1114"/>
      <c r="B1" s="1114"/>
      <c r="C1" s="1115"/>
      <c r="D1" s="1115"/>
      <c r="E1" s="1116" t="s">
        <v>242</v>
      </c>
      <c r="F1" s="1117" t="s">
        <v>4667</v>
      </c>
      <c r="G1" s="1118"/>
      <c r="H1" s="1118"/>
      <c r="I1" s="1119"/>
      <c r="J1" s="1119"/>
      <c r="K1" s="1120" t="s">
        <v>4668</v>
      </c>
      <c r="L1" s="1121" t="s">
        <v>3939</v>
      </c>
    </row>
    <row r="2" spans="1:12" ht="13.5" customHeight="1">
      <c r="A2" s="1114"/>
      <c r="B2" s="1114"/>
      <c r="C2" s="1123" t="s">
        <v>4669</v>
      </c>
      <c r="D2" s="1124"/>
      <c r="E2" s="1115"/>
      <c r="F2" s="1115"/>
      <c r="G2" s="1121"/>
      <c r="H2" s="1119"/>
      <c r="I2" s="1119"/>
      <c r="J2" s="1119"/>
      <c r="K2" s="1114"/>
      <c r="L2" s="1125" t="s">
        <v>4670</v>
      </c>
    </row>
    <row r="3" spans="1:12" ht="13.5" customHeight="1">
      <c r="A3" s="1126"/>
      <c r="B3" s="1127"/>
      <c r="C3" s="1128" t="s">
        <v>3941</v>
      </c>
      <c r="D3" s="1129"/>
      <c r="E3" s="1130"/>
      <c r="F3" s="1131" t="s">
        <v>3942</v>
      </c>
      <c r="G3" s="1132"/>
      <c r="H3" s="1132"/>
      <c r="I3" s="1132"/>
      <c r="J3" s="1133"/>
      <c r="K3" s="1133"/>
      <c r="L3" s="1134"/>
    </row>
    <row r="4" spans="1:12" ht="13.5" customHeight="1">
      <c r="A4" s="1135"/>
      <c r="B4" s="1136"/>
      <c r="C4" s="1137" t="s">
        <v>3943</v>
      </c>
      <c r="D4" s="1138"/>
      <c r="E4" s="1079"/>
      <c r="F4" s="1139" t="s">
        <v>3944</v>
      </c>
      <c r="G4" s="1140" t="s">
        <v>4094</v>
      </c>
      <c r="H4" s="1140" t="s">
        <v>4094</v>
      </c>
      <c r="I4" s="1140" t="s">
        <v>4094</v>
      </c>
      <c r="J4" s="1140" t="s">
        <v>4094</v>
      </c>
      <c r="K4" s="1140" t="s">
        <v>4094</v>
      </c>
      <c r="L4" s="1141" t="s">
        <v>4094</v>
      </c>
    </row>
    <row r="5" spans="1:12" ht="13.5" customHeight="1">
      <c r="A5" s="1142"/>
      <c r="B5" s="1143"/>
      <c r="C5" s="1143" t="s">
        <v>4671</v>
      </c>
      <c r="D5" s="1143"/>
      <c r="E5" s="1144" t="s">
        <v>40</v>
      </c>
      <c r="F5" s="1145" t="s">
        <v>3979</v>
      </c>
      <c r="G5" s="1146" t="s">
        <v>4672</v>
      </c>
      <c r="H5" s="1146" t="s">
        <v>4673</v>
      </c>
      <c r="I5" s="1146" t="s">
        <v>4674</v>
      </c>
      <c r="J5" s="1147" t="s">
        <v>4675</v>
      </c>
      <c r="K5" s="1147" t="s">
        <v>4676</v>
      </c>
      <c r="L5" s="1148" t="s">
        <v>4677</v>
      </c>
    </row>
    <row r="6" spans="1:12" ht="13.5" customHeight="1">
      <c r="A6" s="1149"/>
      <c r="B6" s="1150"/>
      <c r="C6" s="2479" t="s">
        <v>3948</v>
      </c>
      <c r="D6" s="2479"/>
      <c r="E6" s="1151" t="s">
        <v>40</v>
      </c>
      <c r="F6" s="1152" t="s">
        <v>3949</v>
      </c>
      <c r="G6" s="1153"/>
      <c r="H6" s="1153"/>
      <c r="I6" s="1153"/>
      <c r="J6" s="1153"/>
      <c r="K6" s="1153"/>
      <c r="L6" s="1154"/>
    </row>
    <row r="7" spans="1:12" ht="13.5" customHeight="1">
      <c r="A7" s="1149"/>
      <c r="B7" s="1150"/>
      <c r="C7" s="2796" t="s">
        <v>3950</v>
      </c>
      <c r="D7" s="2796"/>
      <c r="E7" s="2796"/>
      <c r="F7" s="2797"/>
      <c r="G7" s="1155" t="s">
        <v>3951</v>
      </c>
      <c r="H7" s="1155" t="s">
        <v>3951</v>
      </c>
      <c r="I7" s="1155" t="s">
        <v>3951</v>
      </c>
      <c r="J7" s="1155" t="s">
        <v>3951</v>
      </c>
      <c r="K7" s="1155" t="s">
        <v>3951</v>
      </c>
      <c r="L7" s="1156" t="s">
        <v>3951</v>
      </c>
    </row>
    <row r="8" spans="1:12" ht="30" customHeight="1">
      <c r="A8" s="2640" t="s">
        <v>3952</v>
      </c>
      <c r="B8" s="2641"/>
      <c r="C8" s="2641"/>
      <c r="D8" s="2641"/>
      <c r="E8" s="2641"/>
      <c r="F8" s="2642"/>
      <c r="G8" s="690" t="s">
        <v>3953</v>
      </c>
      <c r="H8" s="690" t="s">
        <v>3953</v>
      </c>
      <c r="I8" s="690" t="s">
        <v>3953</v>
      </c>
      <c r="J8" s="690" t="s">
        <v>3953</v>
      </c>
      <c r="K8" s="690" t="s">
        <v>3953</v>
      </c>
      <c r="L8" s="1157" t="s">
        <v>3953</v>
      </c>
    </row>
    <row r="9" spans="1:12" ht="30" customHeight="1">
      <c r="A9" s="2643" t="s">
        <v>3954</v>
      </c>
      <c r="B9" s="2644"/>
      <c r="C9" s="2644"/>
      <c r="D9" s="2644"/>
      <c r="E9" s="2644"/>
      <c r="F9" s="2645"/>
      <c r="G9" s="692" t="s">
        <v>65</v>
      </c>
      <c r="H9" s="692" t="s">
        <v>65</v>
      </c>
      <c r="I9" s="692" t="s">
        <v>65</v>
      </c>
      <c r="J9" s="692" t="s">
        <v>65</v>
      </c>
      <c r="K9" s="692" t="s">
        <v>65</v>
      </c>
      <c r="L9" s="693" t="s">
        <v>65</v>
      </c>
    </row>
    <row r="10" spans="1:12" ht="13.5" customHeight="1">
      <c r="A10" s="1142"/>
      <c r="B10" s="1158" t="s">
        <v>4678</v>
      </c>
      <c r="C10" s="1159"/>
      <c r="D10" s="1159"/>
      <c r="E10" s="1160"/>
      <c r="F10" s="1161">
        <f t="shared" ref="F10:F21" si="0">SUM(G10:L10)</f>
        <v>0</v>
      </c>
      <c r="G10" s="1162"/>
      <c r="H10" s="1162"/>
      <c r="I10" s="1162"/>
      <c r="J10" s="1163"/>
      <c r="K10" s="1163"/>
      <c r="L10" s="1164"/>
    </row>
    <row r="11" spans="1:12" ht="13.5" customHeight="1">
      <c r="A11" s="1149"/>
      <c r="B11" s="1165" t="s">
        <v>3960</v>
      </c>
      <c r="C11" s="1166"/>
      <c r="D11" s="1167"/>
      <c r="E11" s="1168"/>
      <c r="F11" s="1169">
        <f t="shared" si="0"/>
        <v>0</v>
      </c>
      <c r="G11" s="1170">
        <f t="shared" ref="G11:L11" si="1">SUM(G12:G13)</f>
        <v>0</v>
      </c>
      <c r="H11" s="1170">
        <f t="shared" si="1"/>
        <v>0</v>
      </c>
      <c r="I11" s="1170">
        <f t="shared" si="1"/>
        <v>0</v>
      </c>
      <c r="J11" s="1170">
        <f t="shared" si="1"/>
        <v>0</v>
      </c>
      <c r="K11" s="1170">
        <f t="shared" si="1"/>
        <v>0</v>
      </c>
      <c r="L11" s="1171">
        <f t="shared" si="1"/>
        <v>0</v>
      </c>
    </row>
    <row r="12" spans="1:12" ht="13.5" customHeight="1">
      <c r="A12" s="1149"/>
      <c r="B12" s="1172" t="s">
        <v>3961</v>
      </c>
      <c r="C12" s="2479"/>
      <c r="D12" s="2479"/>
      <c r="E12" s="1173"/>
      <c r="F12" s="1174">
        <f t="shared" si="0"/>
        <v>0</v>
      </c>
      <c r="G12" s="1175">
        <f t="shared" ref="G12:L12" si="2">G88</f>
        <v>0</v>
      </c>
      <c r="H12" s="1175">
        <f t="shared" si="2"/>
        <v>0</v>
      </c>
      <c r="I12" s="1175">
        <f t="shared" si="2"/>
        <v>0</v>
      </c>
      <c r="J12" s="1175">
        <f t="shared" si="2"/>
        <v>0</v>
      </c>
      <c r="K12" s="1175">
        <f t="shared" si="2"/>
        <v>0</v>
      </c>
      <c r="L12" s="1176">
        <f t="shared" si="2"/>
        <v>0</v>
      </c>
    </row>
    <row r="13" spans="1:12" ht="13.5" customHeight="1">
      <c r="A13" s="1149"/>
      <c r="B13" s="1172" t="s">
        <v>3962</v>
      </c>
      <c r="C13" s="2479"/>
      <c r="D13" s="2479"/>
      <c r="E13" s="1173"/>
      <c r="F13" s="1177">
        <f t="shared" si="0"/>
        <v>0</v>
      </c>
      <c r="G13" s="1178"/>
      <c r="H13" s="1178"/>
      <c r="I13" s="1178"/>
      <c r="J13" s="1179"/>
      <c r="K13" s="1179"/>
      <c r="L13" s="1180"/>
    </row>
    <row r="14" spans="1:12" ht="13.5" customHeight="1">
      <c r="A14" s="1149"/>
      <c r="C14" s="1181" t="s">
        <v>4679</v>
      </c>
      <c r="D14" s="1182"/>
      <c r="E14" s="1183"/>
      <c r="F14" s="1184">
        <f t="shared" si="0"/>
        <v>0</v>
      </c>
      <c r="G14" s="1185"/>
      <c r="H14" s="1185"/>
      <c r="I14" s="1185"/>
      <c r="J14" s="1186"/>
      <c r="K14" s="1186"/>
      <c r="L14" s="1187"/>
    </row>
    <row r="15" spans="1:12" ht="13.5" hidden="1" customHeight="1">
      <c r="A15" s="1188"/>
      <c r="B15" s="1189"/>
      <c r="C15" s="2009" t="s">
        <v>4680</v>
      </c>
      <c r="D15" s="1190"/>
      <c r="E15" s="1191"/>
      <c r="F15" s="1192">
        <f>SUM(G15:L15)</f>
        <v>0</v>
      </c>
      <c r="G15" s="1193"/>
      <c r="H15" s="1193"/>
      <c r="I15" s="1193"/>
      <c r="J15" s="1194"/>
      <c r="K15" s="1194"/>
      <c r="L15" s="1195"/>
    </row>
    <row r="16" spans="1:12" ht="13.5" hidden="1" customHeight="1">
      <c r="A16" s="1188"/>
      <c r="B16" s="1189"/>
      <c r="C16" s="2009" t="s">
        <v>4681</v>
      </c>
      <c r="D16" s="1190"/>
      <c r="E16" s="1191"/>
      <c r="F16" s="1192">
        <f t="shared" si="0"/>
        <v>0</v>
      </c>
      <c r="G16" s="1193"/>
      <c r="H16" s="1193"/>
      <c r="I16" s="1193"/>
      <c r="J16" s="1194"/>
      <c r="K16" s="1194"/>
      <c r="L16" s="1195"/>
    </row>
    <row r="17" spans="1:256" ht="13.5" hidden="1" customHeight="1">
      <c r="A17" s="1188"/>
      <c r="B17" s="1189"/>
      <c r="C17" s="2009" t="s">
        <v>3964</v>
      </c>
      <c r="D17" s="1190"/>
      <c r="E17" s="1191"/>
      <c r="F17" s="1192">
        <f t="shared" si="0"/>
        <v>0</v>
      </c>
      <c r="G17" s="1193"/>
      <c r="H17" s="1193"/>
      <c r="I17" s="1193"/>
      <c r="J17" s="1194"/>
      <c r="K17" s="1194"/>
      <c r="L17" s="1195"/>
    </row>
    <row r="18" spans="1:256" ht="13.5" hidden="1" customHeight="1">
      <c r="A18" s="2480"/>
      <c r="B18" s="1196"/>
      <c r="C18" s="1197" t="s">
        <v>4682</v>
      </c>
      <c r="D18" s="1198"/>
      <c r="E18" s="1183"/>
      <c r="F18" s="1199">
        <f t="shared" si="0"/>
        <v>0</v>
      </c>
      <c r="G18" s="1185"/>
      <c r="H18" s="1185"/>
      <c r="I18" s="1185"/>
      <c r="J18" s="1186"/>
      <c r="K18" s="1186"/>
      <c r="L18" s="1187"/>
    </row>
    <row r="19" spans="1:256" ht="13.5" hidden="1" customHeight="1">
      <c r="A19" s="1200"/>
      <c r="B19" s="1201"/>
      <c r="C19" s="1202" t="s">
        <v>3965</v>
      </c>
      <c r="D19" s="1203"/>
      <c r="E19" s="1204"/>
      <c r="F19" s="1205">
        <f t="shared" si="0"/>
        <v>0</v>
      </c>
      <c r="G19" s="1206"/>
      <c r="H19" s="1206"/>
      <c r="I19" s="1206"/>
      <c r="J19" s="1207"/>
      <c r="K19" s="1207"/>
      <c r="L19" s="1208"/>
    </row>
    <row r="20" spans="1:256" ht="13.5" customHeight="1">
      <c r="A20" s="1142"/>
      <c r="B20" s="1209" t="s">
        <v>4683</v>
      </c>
      <c r="C20" s="1210"/>
      <c r="D20" s="1210"/>
      <c r="E20" s="1211"/>
      <c r="F20" s="1161">
        <f t="shared" si="0"/>
        <v>0</v>
      </c>
      <c r="G20" s="1212">
        <f t="shared" ref="G20:L20" si="3">SUM(G95:G110)</f>
        <v>0</v>
      </c>
      <c r="H20" s="1212">
        <f t="shared" si="3"/>
        <v>0</v>
      </c>
      <c r="I20" s="1212">
        <f t="shared" si="3"/>
        <v>0</v>
      </c>
      <c r="J20" s="1212">
        <f t="shared" si="3"/>
        <v>0</v>
      </c>
      <c r="K20" s="1212">
        <f t="shared" si="3"/>
        <v>0</v>
      </c>
      <c r="L20" s="1212">
        <f t="shared" si="3"/>
        <v>0</v>
      </c>
    </row>
    <row r="21" spans="1:256" ht="13.5" customHeight="1">
      <c r="A21" s="1149"/>
      <c r="B21" s="1150"/>
      <c r="C21" s="1213" t="s">
        <v>4684</v>
      </c>
      <c r="D21" s="1214"/>
      <c r="E21" s="1215"/>
      <c r="F21" s="1169">
        <f t="shared" si="0"/>
        <v>0</v>
      </c>
      <c r="G21" s="1216">
        <f t="shared" ref="G21:L21" si="4">G20-G24</f>
        <v>0</v>
      </c>
      <c r="H21" s="1216">
        <f t="shared" si="4"/>
        <v>0</v>
      </c>
      <c r="I21" s="1216">
        <f t="shared" si="4"/>
        <v>0</v>
      </c>
      <c r="J21" s="1216">
        <f t="shared" si="4"/>
        <v>0</v>
      </c>
      <c r="K21" s="1216">
        <f t="shared" si="4"/>
        <v>0</v>
      </c>
      <c r="L21" s="1216">
        <f t="shared" si="4"/>
        <v>0</v>
      </c>
    </row>
    <row r="22" spans="1:256" ht="13.5" customHeight="1">
      <c r="A22" s="1149"/>
      <c r="B22" s="1150"/>
      <c r="C22" s="1217"/>
      <c r="D22" s="1217"/>
      <c r="E22" s="1218"/>
      <c r="F22" s="1219" t="s">
        <v>4685</v>
      </c>
      <c r="G22" s="1220">
        <f t="shared" ref="G22:L22" si="5">SUM(G99:G110)</f>
        <v>0</v>
      </c>
      <c r="H22" s="1220">
        <f t="shared" si="5"/>
        <v>0</v>
      </c>
      <c r="I22" s="1220">
        <f t="shared" si="5"/>
        <v>0</v>
      </c>
      <c r="J22" s="1220">
        <f t="shared" si="5"/>
        <v>0</v>
      </c>
      <c r="K22" s="1220">
        <f t="shared" si="5"/>
        <v>0</v>
      </c>
      <c r="L22" s="1221">
        <f t="shared" si="5"/>
        <v>0</v>
      </c>
    </row>
    <row r="23" spans="1:256" ht="13.5" customHeight="1">
      <c r="A23" s="1149"/>
      <c r="B23" s="1150"/>
      <c r="C23" s="1217"/>
      <c r="D23" s="1217"/>
      <c r="E23" s="1218"/>
      <c r="F23" s="1219" t="s">
        <v>3958</v>
      </c>
      <c r="G23" s="1220">
        <f t="shared" ref="G23:L23" si="6">SUM(G99:G106,G58)</f>
        <v>0</v>
      </c>
      <c r="H23" s="1220">
        <f t="shared" si="6"/>
        <v>0</v>
      </c>
      <c r="I23" s="1220">
        <f t="shared" si="6"/>
        <v>0</v>
      </c>
      <c r="J23" s="1220">
        <f t="shared" si="6"/>
        <v>0</v>
      </c>
      <c r="K23" s="1220">
        <f t="shared" si="6"/>
        <v>0</v>
      </c>
      <c r="L23" s="1221">
        <f t="shared" si="6"/>
        <v>0</v>
      </c>
    </row>
    <row r="24" spans="1:256" ht="13.5" customHeight="1">
      <c r="A24" s="1222"/>
      <c r="B24" s="1223"/>
      <c r="C24" s="1224" t="s">
        <v>4686</v>
      </c>
      <c r="D24" s="1224"/>
      <c r="E24" s="1225"/>
      <c r="F24" s="1226">
        <f>SUM(G24:L24)</f>
        <v>0</v>
      </c>
      <c r="G24" s="1227">
        <f t="shared" ref="G24:L24" si="7">G14+G53+G54+G55+G58+G57+G98+G99</f>
        <v>0</v>
      </c>
      <c r="H24" s="1227">
        <f t="shared" si="7"/>
        <v>0</v>
      </c>
      <c r="I24" s="1227">
        <f t="shared" si="7"/>
        <v>0</v>
      </c>
      <c r="J24" s="1227">
        <f t="shared" si="7"/>
        <v>0</v>
      </c>
      <c r="K24" s="1227">
        <f t="shared" si="7"/>
        <v>0</v>
      </c>
      <c r="L24" s="1228">
        <f t="shared" si="7"/>
        <v>0</v>
      </c>
    </row>
    <row r="25" spans="1:256" ht="13.5" customHeight="1">
      <c r="A25" s="1149"/>
      <c r="B25" s="1229" t="s">
        <v>4687</v>
      </c>
      <c r="C25" s="1229"/>
      <c r="D25" s="1229"/>
      <c r="E25" s="1230"/>
      <c r="F25" s="1231">
        <f t="shared" ref="F25:F31" si="8">SUM(G25:L25)</f>
        <v>0</v>
      </c>
      <c r="G25" s="1232">
        <f t="shared" ref="G25:L25" si="9">G26+G29</f>
        <v>0</v>
      </c>
      <c r="H25" s="1232">
        <f t="shared" si="9"/>
        <v>0</v>
      </c>
      <c r="I25" s="1232">
        <f t="shared" si="9"/>
        <v>0</v>
      </c>
      <c r="J25" s="1232">
        <f t="shared" si="9"/>
        <v>0</v>
      </c>
      <c r="K25" s="1232">
        <f t="shared" si="9"/>
        <v>0</v>
      </c>
      <c r="L25" s="1232">
        <f t="shared" si="9"/>
        <v>0</v>
      </c>
    </row>
    <row r="26" spans="1:256" ht="13.5" customHeight="1">
      <c r="A26" s="1149"/>
      <c r="B26" s="1150"/>
      <c r="C26" s="1233" t="s">
        <v>3967</v>
      </c>
      <c r="D26" s="1233"/>
      <c r="E26" s="1234"/>
      <c r="F26" s="1169">
        <f>SUM(G26:L26)</f>
        <v>0</v>
      </c>
      <c r="G26" s="1216">
        <f t="shared" ref="G26:L26" si="10">SUM(G27:G28)</f>
        <v>0</v>
      </c>
      <c r="H26" s="1216">
        <f t="shared" si="10"/>
        <v>0</v>
      </c>
      <c r="I26" s="1216">
        <f t="shared" si="10"/>
        <v>0</v>
      </c>
      <c r="J26" s="1216">
        <f t="shared" si="10"/>
        <v>0</v>
      </c>
      <c r="K26" s="1216">
        <f t="shared" si="10"/>
        <v>0</v>
      </c>
      <c r="L26" s="1216">
        <f t="shared" si="10"/>
        <v>0</v>
      </c>
    </row>
    <row r="27" spans="1:256" ht="13.5" customHeight="1">
      <c r="A27" s="1149"/>
      <c r="B27" s="1150"/>
      <c r="C27" s="1235" t="s">
        <v>3969</v>
      </c>
      <c r="D27" s="1235"/>
      <c r="E27" s="1218"/>
      <c r="F27" s="1236">
        <f t="shared" si="8"/>
        <v>0</v>
      </c>
      <c r="G27" s="1220">
        <f t="shared" ref="G27:L27" si="11">+G113+G115+G117+G118</f>
        <v>0</v>
      </c>
      <c r="H27" s="1220">
        <f t="shared" si="11"/>
        <v>0</v>
      </c>
      <c r="I27" s="1220">
        <f t="shared" si="11"/>
        <v>0</v>
      </c>
      <c r="J27" s="1220">
        <f t="shared" si="11"/>
        <v>0</v>
      </c>
      <c r="K27" s="1220">
        <f t="shared" si="11"/>
        <v>0</v>
      </c>
      <c r="L27" s="1221">
        <f t="shared" si="11"/>
        <v>0</v>
      </c>
    </row>
    <row r="28" spans="1:256" s="1237" customFormat="1" ht="13.5" customHeight="1">
      <c r="A28" s="1149"/>
      <c r="B28" s="1150"/>
      <c r="C28" s="1235" t="s">
        <v>3974</v>
      </c>
      <c r="D28" s="1235"/>
      <c r="E28" s="1218"/>
      <c r="F28" s="1236">
        <f t="shared" si="8"/>
        <v>0</v>
      </c>
      <c r="G28" s="1220">
        <f t="shared" ref="G28:L28" si="12">SUM(G119:G132)</f>
        <v>0</v>
      </c>
      <c r="H28" s="1220">
        <f t="shared" si="12"/>
        <v>0</v>
      </c>
      <c r="I28" s="1220">
        <f t="shared" si="12"/>
        <v>0</v>
      </c>
      <c r="J28" s="1220">
        <f t="shared" si="12"/>
        <v>0</v>
      </c>
      <c r="K28" s="1220">
        <f t="shared" si="12"/>
        <v>0</v>
      </c>
      <c r="L28" s="1221">
        <f t="shared" si="12"/>
        <v>0</v>
      </c>
      <c r="M28" s="1122"/>
      <c r="N28" s="1122"/>
      <c r="O28" s="1122"/>
      <c r="P28" s="1122"/>
      <c r="Q28" s="1122"/>
      <c r="R28" s="1122"/>
      <c r="S28" s="1122"/>
      <c r="T28" s="1122"/>
      <c r="U28" s="1122"/>
      <c r="V28" s="1122"/>
      <c r="W28" s="1122"/>
      <c r="X28" s="1122"/>
      <c r="Y28" s="1122"/>
      <c r="Z28" s="1122"/>
      <c r="AA28" s="1122"/>
      <c r="AB28" s="1122"/>
      <c r="AC28" s="1122"/>
      <c r="AD28" s="1122"/>
      <c r="AE28" s="1122"/>
      <c r="AF28" s="1122"/>
      <c r="AG28" s="1122"/>
      <c r="AH28" s="1122"/>
      <c r="AI28" s="1122"/>
      <c r="AJ28" s="1122"/>
      <c r="AK28" s="1122"/>
      <c r="AL28" s="1122"/>
      <c r="AM28" s="1122"/>
      <c r="AN28" s="1122"/>
      <c r="AO28" s="1122"/>
      <c r="AP28" s="1122"/>
      <c r="AQ28" s="1122"/>
      <c r="AR28" s="1122"/>
      <c r="AS28" s="1122"/>
      <c r="AT28" s="1122"/>
      <c r="AU28" s="1122"/>
      <c r="AV28" s="1122"/>
      <c r="AW28" s="1122"/>
      <c r="AX28" s="1122"/>
      <c r="AY28" s="1122"/>
      <c r="AZ28" s="1122"/>
      <c r="BA28" s="1122"/>
      <c r="BB28" s="1122"/>
      <c r="BC28" s="1122"/>
      <c r="BD28" s="1122"/>
      <c r="BE28" s="1122"/>
      <c r="BF28" s="1122"/>
      <c r="BG28" s="1122"/>
      <c r="BH28" s="1122"/>
      <c r="BI28" s="1122"/>
      <c r="BJ28" s="1122"/>
      <c r="BK28" s="1122"/>
      <c r="BL28" s="1122"/>
      <c r="BM28" s="1122"/>
      <c r="BN28" s="1122"/>
      <c r="BO28" s="1122"/>
      <c r="BP28" s="1122"/>
      <c r="BQ28" s="1122"/>
      <c r="BR28" s="1122"/>
      <c r="BS28" s="1122"/>
      <c r="BT28" s="1122"/>
      <c r="BU28" s="1122"/>
      <c r="BV28" s="1122"/>
      <c r="BW28" s="1122"/>
      <c r="BX28" s="1122"/>
      <c r="BY28" s="1122"/>
      <c r="BZ28" s="1122"/>
      <c r="CA28" s="1122"/>
      <c r="CB28" s="1122"/>
      <c r="CC28" s="1122"/>
      <c r="CD28" s="1122"/>
      <c r="CE28" s="1122"/>
      <c r="CF28" s="1122"/>
      <c r="CG28" s="1122"/>
      <c r="CH28" s="1122"/>
      <c r="CI28" s="1122"/>
      <c r="CJ28" s="1122"/>
      <c r="CK28" s="1122"/>
      <c r="CL28" s="1122"/>
      <c r="CM28" s="1122"/>
      <c r="CN28" s="1122"/>
      <c r="CO28" s="1122"/>
      <c r="CP28" s="1122"/>
      <c r="CQ28" s="1122"/>
      <c r="CR28" s="1122"/>
      <c r="CS28" s="1122"/>
      <c r="CT28" s="1122"/>
      <c r="CU28" s="1122"/>
      <c r="CV28" s="1122"/>
      <c r="CW28" s="1122"/>
      <c r="CX28" s="1122"/>
      <c r="CY28" s="1122"/>
      <c r="CZ28" s="1122"/>
      <c r="DA28" s="1122"/>
      <c r="DB28" s="1122"/>
      <c r="DC28" s="1122"/>
      <c r="DD28" s="1122"/>
      <c r="DE28" s="1122"/>
      <c r="DF28" s="1122"/>
      <c r="DG28" s="1122"/>
      <c r="DH28" s="1122"/>
      <c r="DI28" s="1122"/>
      <c r="DJ28" s="1122"/>
      <c r="DK28" s="1122"/>
      <c r="DL28" s="1122"/>
      <c r="DM28" s="1122"/>
      <c r="DN28" s="1122"/>
      <c r="DO28" s="1122"/>
      <c r="DP28" s="1122"/>
      <c r="DQ28" s="1122"/>
      <c r="DR28" s="1122"/>
      <c r="DS28" s="1122"/>
      <c r="DT28" s="1122"/>
      <c r="DU28" s="1122"/>
      <c r="DV28" s="1122"/>
      <c r="DW28" s="1122"/>
      <c r="DX28" s="1122"/>
      <c r="DY28" s="1122"/>
      <c r="DZ28" s="1122"/>
      <c r="EA28" s="1122"/>
      <c r="EB28" s="1122"/>
      <c r="EC28" s="1122"/>
      <c r="ED28" s="1122"/>
      <c r="EE28" s="1122"/>
      <c r="EF28" s="1122"/>
      <c r="EG28" s="1122"/>
      <c r="EH28" s="1122"/>
      <c r="EI28" s="1122"/>
      <c r="EJ28" s="1122"/>
      <c r="EK28" s="1122"/>
      <c r="EL28" s="1122"/>
      <c r="EM28" s="1122"/>
      <c r="EN28" s="1122"/>
      <c r="EO28" s="1122"/>
      <c r="EP28" s="1122"/>
      <c r="EQ28" s="1122"/>
      <c r="ER28" s="1122"/>
      <c r="ES28" s="1122"/>
      <c r="ET28" s="1122"/>
      <c r="EU28" s="1122"/>
      <c r="EV28" s="1122"/>
      <c r="EW28" s="1122"/>
      <c r="EX28" s="1122"/>
      <c r="EY28" s="1122"/>
      <c r="EZ28" s="1122"/>
      <c r="FA28" s="1122"/>
      <c r="FB28" s="1122"/>
      <c r="FC28" s="1122"/>
      <c r="FD28" s="1122"/>
      <c r="FE28" s="1122"/>
      <c r="FF28" s="1122"/>
      <c r="FG28" s="1122"/>
      <c r="FH28" s="1122"/>
      <c r="FI28" s="1122"/>
      <c r="FJ28" s="1122"/>
      <c r="FK28" s="1122"/>
      <c r="FL28" s="1122"/>
      <c r="FM28" s="1122"/>
      <c r="FN28" s="1122"/>
      <c r="FO28" s="1122"/>
      <c r="FP28" s="1122"/>
      <c r="FQ28" s="1122"/>
      <c r="FR28" s="1122"/>
      <c r="FS28" s="1122"/>
      <c r="FT28" s="1122"/>
      <c r="FU28" s="1122"/>
      <c r="FV28" s="1122"/>
      <c r="FW28" s="1122"/>
      <c r="FX28" s="1122"/>
      <c r="FY28" s="1122"/>
      <c r="FZ28" s="1122"/>
      <c r="GA28" s="1122"/>
      <c r="GB28" s="1122"/>
      <c r="GC28" s="1122"/>
      <c r="GD28" s="1122"/>
      <c r="GE28" s="1122"/>
      <c r="GF28" s="1122"/>
      <c r="GG28" s="1122"/>
      <c r="GH28" s="1122"/>
      <c r="GI28" s="1122"/>
      <c r="GJ28" s="1122"/>
      <c r="GK28" s="1122"/>
      <c r="GL28" s="1122"/>
      <c r="GM28" s="1122"/>
      <c r="GN28" s="1122"/>
      <c r="GO28" s="1122"/>
      <c r="GP28" s="1122"/>
      <c r="GQ28" s="1122"/>
      <c r="GR28" s="1122"/>
      <c r="GS28" s="1122"/>
      <c r="GT28" s="1122"/>
      <c r="GU28" s="1122"/>
      <c r="GV28" s="1122"/>
      <c r="GW28" s="1122"/>
      <c r="GX28" s="1122"/>
      <c r="GY28" s="1122"/>
      <c r="GZ28" s="1122"/>
      <c r="HA28" s="1122"/>
      <c r="HB28" s="1122"/>
      <c r="HC28" s="1122"/>
      <c r="HD28" s="1122"/>
      <c r="HE28" s="1122"/>
      <c r="HF28" s="1122"/>
      <c r="HG28" s="1122"/>
      <c r="HH28" s="1122"/>
      <c r="HI28" s="1122"/>
      <c r="HJ28" s="1122"/>
      <c r="HK28" s="1122"/>
      <c r="HL28" s="1122"/>
      <c r="HM28" s="1122"/>
      <c r="HN28" s="1122"/>
      <c r="HO28" s="1122"/>
      <c r="HP28" s="1122"/>
      <c r="HQ28" s="1122"/>
      <c r="HR28" s="1122"/>
      <c r="HS28" s="1122"/>
      <c r="HT28" s="1122"/>
      <c r="HU28" s="1122"/>
      <c r="HV28" s="1122"/>
      <c r="HW28" s="1122"/>
      <c r="HX28" s="1122"/>
      <c r="HY28" s="1122"/>
      <c r="HZ28" s="1122"/>
      <c r="IA28" s="1122"/>
      <c r="IB28" s="1122"/>
      <c r="IC28" s="1122"/>
      <c r="ID28" s="1122"/>
      <c r="IE28" s="1122"/>
      <c r="IF28" s="1122"/>
      <c r="IG28" s="1122"/>
      <c r="IH28" s="1122"/>
      <c r="II28" s="1122"/>
      <c r="IJ28" s="1122"/>
      <c r="IK28" s="1122"/>
      <c r="IL28" s="1122"/>
      <c r="IM28" s="1122"/>
      <c r="IN28" s="1122"/>
      <c r="IO28" s="1122"/>
      <c r="IP28" s="1122"/>
      <c r="IQ28" s="1122"/>
      <c r="IR28" s="1122"/>
      <c r="IS28" s="1122"/>
      <c r="IT28" s="1122"/>
      <c r="IU28" s="1122"/>
      <c r="IV28" s="1122"/>
    </row>
    <row r="29" spans="1:256" s="1237" customFormat="1" ht="13.5" customHeight="1">
      <c r="A29" s="1238"/>
      <c r="B29" s="1239"/>
      <c r="C29" s="1240" t="s">
        <v>3972</v>
      </c>
      <c r="D29" s="1240"/>
      <c r="E29" s="1241"/>
      <c r="F29" s="1242">
        <f>SUM(G29:L29)</f>
        <v>0</v>
      </c>
      <c r="G29" s="1243">
        <f t="shared" ref="G29:L29" si="13">SUM(G30:G32)</f>
        <v>0</v>
      </c>
      <c r="H29" s="1243">
        <f t="shared" si="13"/>
        <v>0</v>
      </c>
      <c r="I29" s="1243">
        <f t="shared" si="13"/>
        <v>0</v>
      </c>
      <c r="J29" s="1243">
        <f t="shared" si="13"/>
        <v>0</v>
      </c>
      <c r="K29" s="1243">
        <f t="shared" si="13"/>
        <v>0</v>
      </c>
      <c r="L29" s="1243">
        <f t="shared" si="13"/>
        <v>0</v>
      </c>
    </row>
    <row r="30" spans="1:256" s="1237" customFormat="1" ht="13.5" customHeight="1">
      <c r="A30" s="1238"/>
      <c r="B30" s="1239"/>
      <c r="C30" s="1244" t="s">
        <v>3969</v>
      </c>
      <c r="D30" s="1244"/>
      <c r="E30" s="1241"/>
      <c r="F30" s="1242">
        <f t="shared" si="8"/>
        <v>0</v>
      </c>
      <c r="G30" s="1243">
        <f t="shared" ref="G30:L30" si="14">+G155-G170</f>
        <v>0</v>
      </c>
      <c r="H30" s="1243">
        <f t="shared" si="14"/>
        <v>0</v>
      </c>
      <c r="I30" s="1243">
        <f t="shared" si="14"/>
        <v>0</v>
      </c>
      <c r="J30" s="1243">
        <f t="shared" si="14"/>
        <v>0</v>
      </c>
      <c r="K30" s="1243">
        <f t="shared" si="14"/>
        <v>0</v>
      </c>
      <c r="L30" s="1243">
        <f t="shared" si="14"/>
        <v>0</v>
      </c>
    </row>
    <row r="31" spans="1:256" s="1237" customFormat="1" ht="13.5" customHeight="1">
      <c r="A31" s="1238"/>
      <c r="B31" s="1239"/>
      <c r="C31" s="1244" t="s">
        <v>3973</v>
      </c>
      <c r="D31" s="1244"/>
      <c r="E31" s="1241"/>
      <c r="F31" s="1242">
        <f t="shared" si="8"/>
        <v>0</v>
      </c>
      <c r="G31" s="1243">
        <f t="shared" ref="G31:L31" si="15">+G156+G157</f>
        <v>0</v>
      </c>
      <c r="H31" s="1243">
        <f t="shared" si="15"/>
        <v>0</v>
      </c>
      <c r="I31" s="1243">
        <f t="shared" si="15"/>
        <v>0</v>
      </c>
      <c r="J31" s="1243">
        <f t="shared" si="15"/>
        <v>0</v>
      </c>
      <c r="K31" s="1243">
        <f t="shared" si="15"/>
        <v>0</v>
      </c>
      <c r="L31" s="1243">
        <f t="shared" si="15"/>
        <v>0</v>
      </c>
    </row>
    <row r="32" spans="1:256" ht="13.5" customHeight="1">
      <c r="A32" s="1238"/>
      <c r="B32" s="1245"/>
      <c r="C32" s="1182" t="s">
        <v>3974</v>
      </c>
      <c r="D32" s="1182"/>
      <c r="E32" s="1246"/>
      <c r="F32" s="1247">
        <f>SUM(G32:L32)</f>
        <v>0</v>
      </c>
      <c r="G32" s="1248">
        <f t="shared" ref="G32:L32" si="16">SUM(G158:G162)</f>
        <v>0</v>
      </c>
      <c r="H32" s="1248">
        <f t="shared" si="16"/>
        <v>0</v>
      </c>
      <c r="I32" s="1248">
        <f t="shared" si="16"/>
        <v>0</v>
      </c>
      <c r="J32" s="1248">
        <f t="shared" si="16"/>
        <v>0</v>
      </c>
      <c r="K32" s="1248">
        <f t="shared" si="16"/>
        <v>0</v>
      </c>
      <c r="L32" s="1248">
        <f t="shared" si="16"/>
        <v>0</v>
      </c>
      <c r="M32" s="1237"/>
      <c r="N32" s="1237"/>
      <c r="O32" s="1237"/>
      <c r="P32" s="1237"/>
      <c r="Q32" s="1237"/>
      <c r="R32" s="1237"/>
      <c r="S32" s="1237"/>
      <c r="T32" s="1237"/>
      <c r="U32" s="1237"/>
      <c r="V32" s="1237"/>
      <c r="W32" s="1237"/>
      <c r="X32" s="1237"/>
      <c r="Y32" s="1237"/>
      <c r="Z32" s="1237"/>
      <c r="AA32" s="1237"/>
      <c r="AB32" s="1237"/>
      <c r="AC32" s="1237"/>
      <c r="AD32" s="1237"/>
      <c r="AE32" s="1237"/>
      <c r="AF32" s="1237"/>
      <c r="AG32" s="1237"/>
      <c r="AH32" s="1237"/>
      <c r="AI32" s="1237"/>
      <c r="AJ32" s="1237"/>
      <c r="AK32" s="1237"/>
      <c r="AL32" s="1237"/>
      <c r="AM32" s="1237"/>
      <c r="AN32" s="1237"/>
      <c r="AO32" s="1237"/>
      <c r="AP32" s="1237"/>
      <c r="AQ32" s="1237"/>
      <c r="AR32" s="1237"/>
      <c r="AS32" s="1237"/>
      <c r="AT32" s="1237"/>
      <c r="AU32" s="1237"/>
      <c r="AV32" s="1237"/>
      <c r="AW32" s="1237"/>
      <c r="AX32" s="1237"/>
      <c r="AY32" s="1237"/>
      <c r="AZ32" s="1237"/>
      <c r="BA32" s="1237"/>
      <c r="BB32" s="1237"/>
      <c r="BC32" s="1237"/>
      <c r="BD32" s="1237"/>
      <c r="BE32" s="1237"/>
      <c r="BF32" s="1237"/>
      <c r="BG32" s="1237"/>
      <c r="BH32" s="1237"/>
      <c r="BI32" s="1237"/>
      <c r="BJ32" s="1237"/>
      <c r="BK32" s="1237"/>
      <c r="BL32" s="1237"/>
      <c r="BM32" s="1237"/>
      <c r="BN32" s="1237"/>
      <c r="BO32" s="1237"/>
      <c r="BP32" s="1237"/>
      <c r="BQ32" s="1237"/>
      <c r="BR32" s="1237"/>
      <c r="BS32" s="1237"/>
      <c r="BT32" s="1237"/>
      <c r="BU32" s="1237"/>
      <c r="BV32" s="1237"/>
      <c r="BW32" s="1237"/>
      <c r="BX32" s="1237"/>
      <c r="BY32" s="1237"/>
      <c r="BZ32" s="1237"/>
      <c r="CA32" s="1237"/>
      <c r="CB32" s="1237"/>
      <c r="CC32" s="1237"/>
      <c r="CD32" s="1237"/>
      <c r="CE32" s="1237"/>
      <c r="CF32" s="1237"/>
      <c r="CG32" s="1237"/>
      <c r="CH32" s="1237"/>
      <c r="CI32" s="1237"/>
      <c r="CJ32" s="1237"/>
      <c r="CK32" s="1237"/>
      <c r="CL32" s="1237"/>
      <c r="CM32" s="1237"/>
      <c r="CN32" s="1237"/>
      <c r="CO32" s="1237"/>
      <c r="CP32" s="1237"/>
      <c r="CQ32" s="1237"/>
      <c r="CR32" s="1237"/>
      <c r="CS32" s="1237"/>
      <c r="CT32" s="1237"/>
      <c r="CU32" s="1237"/>
      <c r="CV32" s="1237"/>
      <c r="CW32" s="1237"/>
      <c r="CX32" s="1237"/>
      <c r="CY32" s="1237"/>
      <c r="CZ32" s="1237"/>
      <c r="DA32" s="1237"/>
      <c r="DB32" s="1237"/>
      <c r="DC32" s="1237"/>
      <c r="DD32" s="1237"/>
      <c r="DE32" s="1237"/>
      <c r="DF32" s="1237"/>
      <c r="DG32" s="1237"/>
      <c r="DH32" s="1237"/>
      <c r="DI32" s="1237"/>
      <c r="DJ32" s="1237"/>
      <c r="DK32" s="1237"/>
      <c r="DL32" s="1237"/>
      <c r="DM32" s="1237"/>
      <c r="DN32" s="1237"/>
      <c r="DO32" s="1237"/>
      <c r="DP32" s="1237"/>
      <c r="DQ32" s="1237"/>
      <c r="DR32" s="1237"/>
      <c r="DS32" s="1237"/>
      <c r="DT32" s="1237"/>
      <c r="DU32" s="1237"/>
      <c r="DV32" s="1237"/>
      <c r="DW32" s="1237"/>
      <c r="DX32" s="1237"/>
      <c r="DY32" s="1237"/>
      <c r="DZ32" s="1237"/>
      <c r="EA32" s="1237"/>
      <c r="EB32" s="1237"/>
      <c r="EC32" s="1237"/>
      <c r="ED32" s="1237"/>
      <c r="EE32" s="1237"/>
      <c r="EF32" s="1237"/>
      <c r="EG32" s="1237"/>
      <c r="EH32" s="1237"/>
      <c r="EI32" s="1237"/>
      <c r="EJ32" s="1237"/>
      <c r="EK32" s="1237"/>
      <c r="EL32" s="1237"/>
      <c r="EM32" s="1237"/>
      <c r="EN32" s="1237"/>
      <c r="EO32" s="1237"/>
      <c r="EP32" s="1237"/>
      <c r="EQ32" s="1237"/>
      <c r="ER32" s="1237"/>
      <c r="ES32" s="1237"/>
      <c r="ET32" s="1237"/>
      <c r="EU32" s="1237"/>
      <c r="EV32" s="1237"/>
      <c r="EW32" s="1237"/>
      <c r="EX32" s="1237"/>
      <c r="EY32" s="1237"/>
      <c r="EZ32" s="1237"/>
      <c r="FA32" s="1237"/>
      <c r="FB32" s="1237"/>
      <c r="FC32" s="1237"/>
      <c r="FD32" s="1237"/>
      <c r="FE32" s="1237"/>
      <c r="FF32" s="1237"/>
      <c r="FG32" s="1237"/>
      <c r="FH32" s="1237"/>
      <c r="FI32" s="1237"/>
      <c r="FJ32" s="1237"/>
      <c r="FK32" s="1237"/>
      <c r="FL32" s="1237"/>
      <c r="FM32" s="1237"/>
      <c r="FN32" s="1237"/>
      <c r="FO32" s="1237"/>
      <c r="FP32" s="1237"/>
      <c r="FQ32" s="1237"/>
      <c r="FR32" s="1237"/>
      <c r="FS32" s="1237"/>
      <c r="FT32" s="1237"/>
      <c r="FU32" s="1237"/>
      <c r="FV32" s="1237"/>
      <c r="FW32" s="1237"/>
      <c r="FX32" s="1237"/>
      <c r="FY32" s="1237"/>
      <c r="FZ32" s="1237"/>
      <c r="GA32" s="1237"/>
      <c r="GB32" s="1237"/>
      <c r="GC32" s="1237"/>
      <c r="GD32" s="1237"/>
      <c r="GE32" s="1237"/>
      <c r="GF32" s="1237"/>
      <c r="GG32" s="1237"/>
      <c r="GH32" s="1237"/>
      <c r="GI32" s="1237"/>
      <c r="GJ32" s="1237"/>
      <c r="GK32" s="1237"/>
      <c r="GL32" s="1237"/>
      <c r="GM32" s="1237"/>
      <c r="GN32" s="1237"/>
      <c r="GO32" s="1237"/>
      <c r="GP32" s="1237"/>
      <c r="GQ32" s="1237"/>
      <c r="GR32" s="1237"/>
      <c r="GS32" s="1237"/>
      <c r="GT32" s="1237"/>
      <c r="GU32" s="1237"/>
      <c r="GV32" s="1237"/>
      <c r="GW32" s="1237"/>
      <c r="GX32" s="1237"/>
      <c r="GY32" s="1237"/>
      <c r="GZ32" s="1237"/>
      <c r="HA32" s="1237"/>
      <c r="HB32" s="1237"/>
      <c r="HC32" s="1237"/>
      <c r="HD32" s="1237"/>
      <c r="HE32" s="1237"/>
      <c r="HF32" s="1237"/>
      <c r="HG32" s="1237"/>
      <c r="HH32" s="1237"/>
      <c r="HI32" s="1237"/>
      <c r="HJ32" s="1237"/>
      <c r="HK32" s="1237"/>
      <c r="HL32" s="1237"/>
      <c r="HM32" s="1237"/>
      <c r="HN32" s="1237"/>
      <c r="HO32" s="1237"/>
      <c r="HP32" s="1237"/>
      <c r="HQ32" s="1237"/>
      <c r="HR32" s="1237"/>
      <c r="HS32" s="1237"/>
      <c r="HT32" s="1237"/>
      <c r="HU32" s="1237"/>
      <c r="HV32" s="1237"/>
      <c r="HW32" s="1237"/>
      <c r="HX32" s="1237"/>
      <c r="HY32" s="1237"/>
      <c r="HZ32" s="1237"/>
      <c r="IA32" s="1237"/>
      <c r="IB32" s="1237"/>
      <c r="IC32" s="1237"/>
      <c r="ID32" s="1237"/>
      <c r="IE32" s="1237"/>
      <c r="IF32" s="1237"/>
      <c r="IG32" s="1237"/>
      <c r="IH32" s="1237"/>
      <c r="II32" s="1237"/>
      <c r="IJ32" s="1237"/>
      <c r="IK32" s="1237"/>
      <c r="IL32" s="1237"/>
      <c r="IM32" s="1237"/>
      <c r="IN32" s="1237"/>
      <c r="IO32" s="1237"/>
      <c r="IP32" s="1237"/>
      <c r="IQ32" s="1237"/>
      <c r="IR32" s="1237"/>
      <c r="IS32" s="1237"/>
      <c r="IT32" s="1237"/>
      <c r="IU32" s="1237"/>
      <c r="IV32" s="1237"/>
    </row>
    <row r="33" spans="1:12" ht="13.5" customHeight="1">
      <c r="A33" s="1249"/>
      <c r="B33" s="1210" t="s">
        <v>3976</v>
      </c>
      <c r="C33" s="1250"/>
      <c r="D33" s="1210"/>
      <c r="E33" s="1251"/>
      <c r="F33" s="1161">
        <f>SUM(G33:L33)</f>
        <v>0</v>
      </c>
      <c r="G33" s="1252">
        <f t="shared" ref="G33:L33" si="17">G20+G25</f>
        <v>0</v>
      </c>
      <c r="H33" s="1252">
        <f t="shared" si="17"/>
        <v>0</v>
      </c>
      <c r="I33" s="1252">
        <f t="shared" si="17"/>
        <v>0</v>
      </c>
      <c r="J33" s="1252">
        <f t="shared" si="17"/>
        <v>0</v>
      </c>
      <c r="K33" s="1252">
        <f t="shared" si="17"/>
        <v>0</v>
      </c>
      <c r="L33" s="1253">
        <f t="shared" si="17"/>
        <v>0</v>
      </c>
    </row>
    <row r="34" spans="1:12" ht="13.5" customHeight="1">
      <c r="A34" s="1149"/>
      <c r="B34" s="1150"/>
      <c r="C34" s="1254" t="s">
        <v>4688</v>
      </c>
      <c r="D34" s="1254"/>
      <c r="E34" s="1255"/>
      <c r="F34" s="1256"/>
      <c r="G34" s="1257" t="s">
        <v>3978</v>
      </c>
      <c r="H34" s="1258"/>
      <c r="I34" s="1258"/>
      <c r="J34" s="1258"/>
      <c r="K34" s="1258"/>
      <c r="L34" s="1259"/>
    </row>
    <row r="35" spans="1:12" ht="13.5" customHeight="1">
      <c r="A35" s="1142"/>
      <c r="B35" s="1143"/>
      <c r="C35" s="1143"/>
      <c r="D35" s="1143"/>
      <c r="E35" s="1145"/>
      <c r="F35" s="1145" t="s">
        <v>3979</v>
      </c>
      <c r="G35" s="1147" t="str">
        <f t="shared" ref="G35:L35" si="18">+G5</f>
        <v>工事１</v>
      </c>
      <c r="H35" s="1147" t="str">
        <f t="shared" si="18"/>
        <v>工事２</v>
      </c>
      <c r="I35" s="1147" t="str">
        <f t="shared" si="18"/>
        <v>工事３</v>
      </c>
      <c r="J35" s="1147" t="str">
        <f t="shared" si="18"/>
        <v>工事４</v>
      </c>
      <c r="K35" s="1147" t="str">
        <f t="shared" si="18"/>
        <v>工事５</v>
      </c>
      <c r="L35" s="1148" t="str">
        <f t="shared" si="18"/>
        <v>工事６</v>
      </c>
    </row>
    <row r="36" spans="1:12" ht="13.5" customHeight="1">
      <c r="A36" s="1260" t="s">
        <v>4689</v>
      </c>
      <c r="B36" s="1261"/>
      <c r="C36" s="1262"/>
      <c r="D36" s="1262"/>
      <c r="E36" s="1263"/>
      <c r="F36" s="1264"/>
      <c r="G36" s="1265"/>
      <c r="H36" s="1265"/>
      <c r="I36" s="1265"/>
      <c r="J36" s="1265"/>
      <c r="K36" s="1265"/>
      <c r="L36" s="1266"/>
    </row>
    <row r="37" spans="1:12" ht="13.5" customHeight="1">
      <c r="A37" s="2798"/>
      <c r="B37" s="2801" t="s">
        <v>3981</v>
      </c>
      <c r="C37" s="1214" t="s">
        <v>3982</v>
      </c>
      <c r="D37" s="1214"/>
      <c r="E37" s="1234"/>
      <c r="F37" s="1169">
        <f t="shared" ref="F37:F58" si="19">SUM(G37:L37)</f>
        <v>0</v>
      </c>
      <c r="G37" s="1267">
        <f>IF(G4="新営",G10-SUM(G42:G48)-G52-G56,0)</f>
        <v>0</v>
      </c>
      <c r="H37" s="1267">
        <f t="shared" ref="H37:L37" si="20">IF(H4="新営",H10-SUM(H42:H48)-H52-H56,0)</f>
        <v>0</v>
      </c>
      <c r="I37" s="1267">
        <f t="shared" si="20"/>
        <v>0</v>
      </c>
      <c r="J37" s="1267">
        <f t="shared" si="20"/>
        <v>0</v>
      </c>
      <c r="K37" s="1267">
        <f t="shared" si="20"/>
        <v>0</v>
      </c>
      <c r="L37" s="1268">
        <f t="shared" si="20"/>
        <v>0</v>
      </c>
    </row>
    <row r="38" spans="1:12" ht="13.5" customHeight="1">
      <c r="A38" s="2799"/>
      <c r="B38" s="2802"/>
      <c r="C38" s="2481" t="s">
        <v>4690</v>
      </c>
      <c r="D38" s="2481"/>
      <c r="E38" s="1269"/>
      <c r="F38" s="1270">
        <f>SUM(G38:L38)</f>
        <v>0</v>
      </c>
      <c r="G38" s="1271">
        <f>IF(G4="改修",G10-SUM(G42:G48)-G52-G56,0)</f>
        <v>0</v>
      </c>
      <c r="H38" s="1271">
        <f t="shared" ref="H38:L38" si="21">IF(H4="改修",H10-SUM(H42:H48)-H52-H56,0)</f>
        <v>0</v>
      </c>
      <c r="I38" s="1271">
        <f t="shared" si="21"/>
        <v>0</v>
      </c>
      <c r="J38" s="1271">
        <f t="shared" si="21"/>
        <v>0</v>
      </c>
      <c r="K38" s="1271">
        <f t="shared" si="21"/>
        <v>0</v>
      </c>
      <c r="L38" s="1272">
        <f t="shared" si="21"/>
        <v>0</v>
      </c>
    </row>
    <row r="39" spans="1:12" ht="13.5" customHeight="1">
      <c r="A39" s="2799"/>
      <c r="B39" s="2802"/>
      <c r="C39" s="1273" t="s">
        <v>4691</v>
      </c>
      <c r="D39" s="1273"/>
      <c r="E39" s="1274"/>
      <c r="F39" s="1236">
        <f>SUM(G39:L39)</f>
        <v>0</v>
      </c>
      <c r="G39" s="1220">
        <f t="shared" ref="G39:L39" si="22">G14</f>
        <v>0</v>
      </c>
      <c r="H39" s="1220">
        <f t="shared" si="22"/>
        <v>0</v>
      </c>
      <c r="I39" s="1220">
        <f t="shared" si="22"/>
        <v>0</v>
      </c>
      <c r="J39" s="1220">
        <f t="shared" si="22"/>
        <v>0</v>
      </c>
      <c r="K39" s="1220">
        <f t="shared" si="22"/>
        <v>0</v>
      </c>
      <c r="L39" s="1221">
        <f t="shared" si="22"/>
        <v>0</v>
      </c>
    </row>
    <row r="40" spans="1:12" ht="13.5" customHeight="1">
      <c r="A40" s="2799"/>
      <c r="B40" s="2803"/>
      <c r="C40" s="1275" t="s">
        <v>4692</v>
      </c>
      <c r="D40" s="1276"/>
      <c r="E40" s="1218"/>
      <c r="F40" s="1219">
        <f t="shared" si="19"/>
        <v>0</v>
      </c>
      <c r="G40" s="1277">
        <f t="shared" ref="G40:L40" si="23">IF(G$7="積上げ",0,G88)</f>
        <v>0</v>
      </c>
      <c r="H40" s="1277">
        <f t="shared" si="23"/>
        <v>0</v>
      </c>
      <c r="I40" s="1277">
        <f t="shared" si="23"/>
        <v>0</v>
      </c>
      <c r="J40" s="1277">
        <f t="shared" si="23"/>
        <v>0</v>
      </c>
      <c r="K40" s="1277">
        <f t="shared" si="23"/>
        <v>0</v>
      </c>
      <c r="L40" s="1278">
        <f t="shared" si="23"/>
        <v>0</v>
      </c>
    </row>
    <row r="41" spans="1:12" ht="13.5" customHeight="1">
      <c r="A41" s="2799"/>
      <c r="B41" s="2804" t="s">
        <v>4693</v>
      </c>
      <c r="C41" s="2805" t="s">
        <v>4694</v>
      </c>
      <c r="D41" s="2806"/>
      <c r="E41" s="2807"/>
      <c r="F41" s="1236">
        <f>SUM(G41:L41)</f>
        <v>0</v>
      </c>
      <c r="G41" s="1279">
        <f t="shared" ref="G41:L41" si="24">G13-G14-G53-G54-G55-G57-G58</f>
        <v>0</v>
      </c>
      <c r="H41" s="1279">
        <f t="shared" si="24"/>
        <v>0</v>
      </c>
      <c r="I41" s="1279">
        <f t="shared" si="24"/>
        <v>0</v>
      </c>
      <c r="J41" s="1279">
        <f t="shared" si="24"/>
        <v>0</v>
      </c>
      <c r="K41" s="1279">
        <f t="shared" si="24"/>
        <v>0</v>
      </c>
      <c r="L41" s="1280">
        <f t="shared" si="24"/>
        <v>0</v>
      </c>
    </row>
    <row r="42" spans="1:12" ht="13.5" customHeight="1">
      <c r="A42" s="2799"/>
      <c r="B42" s="2802"/>
      <c r="C42" s="1276" t="s">
        <v>4695</v>
      </c>
      <c r="D42" s="1276"/>
      <c r="E42" s="1218"/>
      <c r="F42" s="1219">
        <f t="shared" si="19"/>
        <v>0</v>
      </c>
      <c r="G42" s="791"/>
      <c r="H42" s="791"/>
      <c r="I42" s="791"/>
      <c r="J42" s="1281"/>
      <c r="K42" s="1281"/>
      <c r="L42" s="1282"/>
    </row>
    <row r="43" spans="1:12" ht="13.5" customHeight="1">
      <c r="A43" s="2799"/>
      <c r="B43" s="2802"/>
      <c r="C43" s="1283" t="s">
        <v>4696</v>
      </c>
      <c r="D43" s="1276"/>
      <c r="E43" s="1218"/>
      <c r="F43" s="1219">
        <f t="shared" si="19"/>
        <v>0</v>
      </c>
      <c r="G43" s="791"/>
      <c r="H43" s="791"/>
      <c r="I43" s="791"/>
      <c r="J43" s="1281"/>
      <c r="K43" s="1281"/>
      <c r="L43" s="1282"/>
    </row>
    <row r="44" spans="1:12" ht="13.5" customHeight="1">
      <c r="A44" s="2799"/>
      <c r="B44" s="2802"/>
      <c r="C44" s="1276" t="s">
        <v>4697</v>
      </c>
      <c r="D44" s="1276"/>
      <c r="E44" s="1218"/>
      <c r="F44" s="1219">
        <f t="shared" si="19"/>
        <v>0</v>
      </c>
      <c r="G44" s="791"/>
      <c r="H44" s="791"/>
      <c r="I44" s="791"/>
      <c r="J44" s="1281"/>
      <c r="K44" s="1281"/>
      <c r="L44" s="1282"/>
    </row>
    <row r="45" spans="1:12" ht="13.5" customHeight="1">
      <c r="A45" s="2799"/>
      <c r="B45" s="2802"/>
      <c r="C45" s="1276" t="s">
        <v>4698</v>
      </c>
      <c r="D45" s="1276"/>
      <c r="E45" s="1218"/>
      <c r="F45" s="1219">
        <f t="shared" si="19"/>
        <v>0</v>
      </c>
      <c r="G45" s="791"/>
      <c r="H45" s="791"/>
      <c r="I45" s="791"/>
      <c r="J45" s="1281"/>
      <c r="K45" s="1281"/>
      <c r="L45" s="1282"/>
    </row>
    <row r="46" spans="1:12" ht="13.5" customHeight="1">
      <c r="A46" s="2799"/>
      <c r="B46" s="2802"/>
      <c r="C46" s="1284" t="s">
        <v>4699</v>
      </c>
      <c r="D46" s="1276"/>
      <c r="E46" s="1218"/>
      <c r="F46" s="1219">
        <f t="shared" si="19"/>
        <v>0</v>
      </c>
      <c r="G46" s="791"/>
      <c r="H46" s="791"/>
      <c r="I46" s="791"/>
      <c r="J46" s="1281"/>
      <c r="K46" s="1281"/>
      <c r="L46" s="1282"/>
    </row>
    <row r="47" spans="1:12" ht="13.5" customHeight="1">
      <c r="A47" s="2799"/>
      <c r="B47" s="2802"/>
      <c r="C47" s="1276"/>
      <c r="D47" s="1276"/>
      <c r="E47" s="1218"/>
      <c r="F47" s="1219">
        <f t="shared" si="19"/>
        <v>0</v>
      </c>
      <c r="G47" s="793"/>
      <c r="H47" s="793"/>
      <c r="I47" s="793"/>
      <c r="J47" s="1285"/>
      <c r="K47" s="1285"/>
      <c r="L47" s="1286"/>
    </row>
    <row r="48" spans="1:12" ht="13.5" customHeight="1">
      <c r="A48" s="2799"/>
      <c r="B48" s="2803"/>
      <c r="C48" s="1287"/>
      <c r="D48" s="1288"/>
      <c r="E48" s="1289"/>
      <c r="F48" s="1219">
        <f t="shared" si="19"/>
        <v>0</v>
      </c>
      <c r="G48" s="793"/>
      <c r="H48" s="793"/>
      <c r="I48" s="793"/>
      <c r="J48" s="1285"/>
      <c r="K48" s="1285"/>
      <c r="L48" s="1286"/>
    </row>
    <row r="49" spans="1:256" ht="13.5" customHeight="1">
      <c r="A49" s="2799"/>
      <c r="B49" s="2804" t="s">
        <v>335</v>
      </c>
      <c r="C49" s="1290" t="s">
        <v>4700</v>
      </c>
      <c r="D49" s="1276"/>
      <c r="E49" s="1218"/>
      <c r="F49" s="1219">
        <f t="shared" si="19"/>
        <v>0</v>
      </c>
      <c r="G49" s="791"/>
      <c r="H49" s="791"/>
      <c r="I49" s="791"/>
      <c r="J49" s="1281"/>
      <c r="K49" s="1281"/>
      <c r="L49" s="1282"/>
    </row>
    <row r="50" spans="1:256" ht="13.5" customHeight="1">
      <c r="A50" s="2799"/>
      <c r="B50" s="2802"/>
      <c r="C50" s="1291" t="s">
        <v>4701</v>
      </c>
      <c r="D50" s="1276"/>
      <c r="E50" s="1218"/>
      <c r="F50" s="1219">
        <f t="shared" si="19"/>
        <v>0</v>
      </c>
      <c r="G50" s="791"/>
      <c r="H50" s="791"/>
      <c r="I50" s="791"/>
      <c r="J50" s="1281"/>
      <c r="K50" s="1281"/>
      <c r="L50" s="1282"/>
    </row>
    <row r="51" spans="1:256" ht="13.5" customHeight="1">
      <c r="A51" s="2799"/>
      <c r="B51" s="2803"/>
      <c r="C51" s="1291" t="s">
        <v>4702</v>
      </c>
      <c r="D51" s="1276"/>
      <c r="E51" s="1218"/>
      <c r="F51" s="1219">
        <f t="shared" si="19"/>
        <v>0</v>
      </c>
      <c r="G51" s="791"/>
      <c r="H51" s="791"/>
      <c r="I51" s="791"/>
      <c r="J51" s="1281"/>
      <c r="K51" s="1281"/>
      <c r="L51" s="1282"/>
    </row>
    <row r="52" spans="1:256" ht="13.5" customHeight="1">
      <c r="A52" s="2799"/>
      <c r="B52" s="2808" t="s">
        <v>3996</v>
      </c>
      <c r="C52" s="1292" t="s">
        <v>4703</v>
      </c>
      <c r="D52" s="1276"/>
      <c r="E52" s="1218"/>
      <c r="F52" s="1219">
        <f t="shared" si="19"/>
        <v>0</v>
      </c>
      <c r="G52" s="791"/>
      <c r="H52" s="791"/>
      <c r="I52" s="791"/>
      <c r="J52" s="1281"/>
      <c r="K52" s="1281"/>
      <c r="L52" s="1282"/>
    </row>
    <row r="53" spans="1:256" ht="13.5" customHeight="1">
      <c r="A53" s="2799"/>
      <c r="B53" s="2808"/>
      <c r="C53" s="1293" t="s">
        <v>4704</v>
      </c>
      <c r="D53" s="1276"/>
      <c r="E53" s="1218"/>
      <c r="F53" s="1219">
        <f t="shared" si="19"/>
        <v>0</v>
      </c>
      <c r="G53" s="1294">
        <f t="shared" ref="G53:L53" si="25">G17</f>
        <v>0</v>
      </c>
      <c r="H53" s="1294">
        <f t="shared" si="25"/>
        <v>0</v>
      </c>
      <c r="I53" s="1294">
        <f t="shared" si="25"/>
        <v>0</v>
      </c>
      <c r="J53" s="1294">
        <f t="shared" si="25"/>
        <v>0</v>
      </c>
      <c r="K53" s="1294">
        <f t="shared" si="25"/>
        <v>0</v>
      </c>
      <c r="L53" s="1295">
        <f t="shared" si="25"/>
        <v>0</v>
      </c>
    </row>
    <row r="54" spans="1:256" ht="13.5" customHeight="1">
      <c r="A54" s="2799"/>
      <c r="B54" s="2808"/>
      <c r="C54" s="1290" t="s">
        <v>4705</v>
      </c>
      <c r="D54" s="1276"/>
      <c r="E54" s="1218"/>
      <c r="F54" s="1219">
        <f t="shared" si="19"/>
        <v>0</v>
      </c>
      <c r="G54" s="1294">
        <f t="shared" ref="G54:L55" si="26">G15</f>
        <v>0</v>
      </c>
      <c r="H54" s="1294">
        <f t="shared" si="26"/>
        <v>0</v>
      </c>
      <c r="I54" s="1294">
        <f t="shared" si="26"/>
        <v>0</v>
      </c>
      <c r="J54" s="1294">
        <f t="shared" si="26"/>
        <v>0</v>
      </c>
      <c r="K54" s="1294">
        <f t="shared" si="26"/>
        <v>0</v>
      </c>
      <c r="L54" s="1295">
        <f t="shared" si="26"/>
        <v>0</v>
      </c>
    </row>
    <row r="55" spans="1:256" ht="13.5" customHeight="1">
      <c r="A55" s="2799"/>
      <c r="B55" s="2808"/>
      <c r="C55" s="1290" t="s">
        <v>4706</v>
      </c>
      <c r="D55" s="1276"/>
      <c r="E55" s="1218"/>
      <c r="F55" s="1219">
        <f t="shared" si="19"/>
        <v>0</v>
      </c>
      <c r="G55" s="1294">
        <f t="shared" si="26"/>
        <v>0</v>
      </c>
      <c r="H55" s="1294">
        <f t="shared" si="26"/>
        <v>0</v>
      </c>
      <c r="I55" s="1294">
        <f t="shared" si="26"/>
        <v>0</v>
      </c>
      <c r="J55" s="1294">
        <f t="shared" si="26"/>
        <v>0</v>
      </c>
      <c r="K55" s="1294">
        <f t="shared" si="26"/>
        <v>0</v>
      </c>
      <c r="L55" s="1295">
        <f t="shared" si="26"/>
        <v>0</v>
      </c>
    </row>
    <row r="56" spans="1:256" ht="13.5" customHeight="1">
      <c r="A56" s="2799"/>
      <c r="B56" s="2804"/>
      <c r="C56" s="1296" t="s">
        <v>4707</v>
      </c>
      <c r="D56" s="1296"/>
      <c r="E56" s="1297"/>
      <c r="F56" s="1192">
        <f>SUM(G56:L56)</f>
        <v>0</v>
      </c>
      <c r="G56" s="1298"/>
      <c r="H56" s="1298"/>
      <c r="I56" s="1298"/>
      <c r="J56" s="1298"/>
      <c r="K56" s="1298"/>
      <c r="L56" s="1299"/>
    </row>
    <row r="57" spans="1:256" ht="13.5" customHeight="1">
      <c r="A57" s="2799"/>
      <c r="B57" s="2804"/>
      <c r="C57" s="1300" t="s">
        <v>4708</v>
      </c>
      <c r="D57" s="1296"/>
      <c r="E57" s="1297"/>
      <c r="F57" s="1192">
        <f>SUM(G57:L57)</f>
        <v>0</v>
      </c>
      <c r="G57" s="1294">
        <f t="shared" ref="G57:L57" si="27">G19</f>
        <v>0</v>
      </c>
      <c r="H57" s="1294">
        <f t="shared" si="27"/>
        <v>0</v>
      </c>
      <c r="I57" s="1294">
        <f t="shared" si="27"/>
        <v>0</v>
      </c>
      <c r="J57" s="1294">
        <f t="shared" si="27"/>
        <v>0</v>
      </c>
      <c r="K57" s="1294">
        <f t="shared" si="27"/>
        <v>0</v>
      </c>
      <c r="L57" s="1295">
        <f t="shared" si="27"/>
        <v>0</v>
      </c>
    </row>
    <row r="58" spans="1:256" s="1305" customFormat="1" ht="15" customHeight="1">
      <c r="A58" s="2800"/>
      <c r="B58" s="2809"/>
      <c r="C58" s="1301" t="s">
        <v>4709</v>
      </c>
      <c r="D58" s="1302"/>
      <c r="E58" s="1225"/>
      <c r="F58" s="1303">
        <f t="shared" si="19"/>
        <v>0</v>
      </c>
      <c r="G58" s="1304">
        <f t="shared" ref="G58:L58" si="28">G18</f>
        <v>0</v>
      </c>
      <c r="H58" s="1304">
        <f t="shared" si="28"/>
        <v>0</v>
      </c>
      <c r="I58" s="1304">
        <f t="shared" si="28"/>
        <v>0</v>
      </c>
      <c r="J58" s="1304">
        <f t="shared" si="28"/>
        <v>0</v>
      </c>
      <c r="K58" s="1304">
        <f t="shared" si="28"/>
        <v>0</v>
      </c>
      <c r="L58" s="1304">
        <f t="shared" si="28"/>
        <v>0</v>
      </c>
      <c r="M58" s="1122"/>
      <c r="N58" s="1122"/>
      <c r="O58" s="1122"/>
      <c r="P58" s="1122"/>
      <c r="Q58" s="1122"/>
      <c r="R58" s="1122"/>
      <c r="S58" s="1122"/>
      <c r="T58" s="1122"/>
      <c r="U58" s="1122"/>
      <c r="V58" s="1122"/>
      <c r="W58" s="1122"/>
      <c r="X58" s="1122"/>
      <c r="Y58" s="1122"/>
      <c r="Z58" s="1122"/>
      <c r="AA58" s="1122"/>
      <c r="AB58" s="1122"/>
      <c r="AC58" s="1122"/>
      <c r="AD58" s="1122"/>
      <c r="AE58" s="1122"/>
      <c r="AF58" s="1122"/>
      <c r="AG58" s="1122"/>
      <c r="AH58" s="1122"/>
      <c r="AI58" s="1122"/>
      <c r="AJ58" s="1122"/>
      <c r="AK58" s="1122"/>
      <c r="AL58" s="1122"/>
      <c r="AM58" s="1122"/>
      <c r="AN58" s="1122"/>
      <c r="AO58" s="1122"/>
      <c r="AP58" s="1122"/>
      <c r="AQ58" s="1122"/>
      <c r="AR58" s="1122"/>
      <c r="AS58" s="1122"/>
      <c r="AT58" s="1122"/>
      <c r="AU58" s="1122"/>
      <c r="AV58" s="1122"/>
      <c r="AW58" s="1122"/>
      <c r="AX58" s="1122"/>
      <c r="AY58" s="1122"/>
      <c r="AZ58" s="1122"/>
      <c r="BA58" s="1122"/>
      <c r="BB58" s="1122"/>
      <c r="BC58" s="1122"/>
      <c r="BD58" s="1122"/>
      <c r="BE58" s="1122"/>
      <c r="BF58" s="1122"/>
      <c r="BG58" s="1122"/>
      <c r="BH58" s="1122"/>
      <c r="BI58" s="1122"/>
      <c r="BJ58" s="1122"/>
      <c r="BK58" s="1122"/>
      <c r="BL58" s="1122"/>
      <c r="BM58" s="1122"/>
      <c r="BN58" s="1122"/>
      <c r="BO58" s="1122"/>
      <c r="BP58" s="1122"/>
      <c r="BQ58" s="1122"/>
      <c r="BR58" s="1122"/>
      <c r="BS58" s="1122"/>
      <c r="BT58" s="1122"/>
      <c r="BU58" s="1122"/>
      <c r="BV58" s="1122"/>
      <c r="BW58" s="1122"/>
      <c r="BX58" s="1122"/>
      <c r="BY58" s="1122"/>
      <c r="BZ58" s="1122"/>
      <c r="CA58" s="1122"/>
      <c r="CB58" s="1122"/>
      <c r="CC58" s="1122"/>
      <c r="CD58" s="1122"/>
      <c r="CE58" s="1122"/>
      <c r="CF58" s="1122"/>
      <c r="CG58" s="1122"/>
      <c r="CH58" s="1122"/>
      <c r="CI58" s="1122"/>
      <c r="CJ58" s="1122"/>
      <c r="CK58" s="1122"/>
      <c r="CL58" s="1122"/>
      <c r="CM58" s="1122"/>
      <c r="CN58" s="1122"/>
      <c r="CO58" s="1122"/>
      <c r="CP58" s="1122"/>
      <c r="CQ58" s="1122"/>
      <c r="CR58" s="1122"/>
      <c r="CS58" s="1122"/>
      <c r="CT58" s="1122"/>
      <c r="CU58" s="1122"/>
      <c r="CV58" s="1122"/>
      <c r="CW58" s="1122"/>
      <c r="CX58" s="1122"/>
      <c r="CY58" s="1122"/>
      <c r="CZ58" s="1122"/>
      <c r="DA58" s="1122"/>
      <c r="DB58" s="1122"/>
      <c r="DC58" s="1122"/>
      <c r="DD58" s="1122"/>
      <c r="DE58" s="1122"/>
      <c r="DF58" s="1122"/>
      <c r="DG58" s="1122"/>
      <c r="DH58" s="1122"/>
      <c r="DI58" s="1122"/>
      <c r="DJ58" s="1122"/>
      <c r="DK58" s="1122"/>
      <c r="DL58" s="1122"/>
      <c r="DM58" s="1122"/>
      <c r="DN58" s="1122"/>
      <c r="DO58" s="1122"/>
      <c r="DP58" s="1122"/>
      <c r="DQ58" s="1122"/>
      <c r="DR58" s="1122"/>
      <c r="DS58" s="1122"/>
      <c r="DT58" s="1122"/>
      <c r="DU58" s="1122"/>
      <c r="DV58" s="1122"/>
      <c r="DW58" s="1122"/>
      <c r="DX58" s="1122"/>
      <c r="DY58" s="1122"/>
      <c r="DZ58" s="1122"/>
      <c r="EA58" s="1122"/>
      <c r="EB58" s="1122"/>
      <c r="EC58" s="1122"/>
      <c r="ED58" s="1122"/>
      <c r="EE58" s="1122"/>
      <c r="EF58" s="1122"/>
      <c r="EG58" s="1122"/>
      <c r="EH58" s="1122"/>
      <c r="EI58" s="1122"/>
      <c r="EJ58" s="1122"/>
      <c r="EK58" s="1122"/>
      <c r="EL58" s="1122"/>
      <c r="EM58" s="1122"/>
      <c r="EN58" s="1122"/>
      <c r="EO58" s="1122"/>
      <c r="EP58" s="1122"/>
      <c r="EQ58" s="1122"/>
      <c r="ER58" s="1122"/>
      <c r="ES58" s="1122"/>
      <c r="ET58" s="1122"/>
      <c r="EU58" s="1122"/>
      <c r="EV58" s="1122"/>
      <c r="EW58" s="1122"/>
      <c r="EX58" s="1122"/>
      <c r="EY58" s="1122"/>
      <c r="EZ58" s="1122"/>
      <c r="FA58" s="1122"/>
      <c r="FB58" s="1122"/>
      <c r="FC58" s="1122"/>
      <c r="FD58" s="1122"/>
      <c r="FE58" s="1122"/>
      <c r="FF58" s="1122"/>
      <c r="FG58" s="1122"/>
      <c r="FH58" s="1122"/>
      <c r="FI58" s="1122"/>
      <c r="FJ58" s="1122"/>
      <c r="FK58" s="1122"/>
      <c r="FL58" s="1122"/>
      <c r="FM58" s="1122"/>
      <c r="FN58" s="1122"/>
      <c r="FO58" s="1122"/>
      <c r="FP58" s="1122"/>
      <c r="FQ58" s="1122"/>
      <c r="FR58" s="1122"/>
      <c r="FS58" s="1122"/>
      <c r="FT58" s="1122"/>
      <c r="FU58" s="1122"/>
      <c r="FV58" s="1122"/>
      <c r="FW58" s="1122"/>
      <c r="FX58" s="1122"/>
      <c r="FY58" s="1122"/>
      <c r="FZ58" s="1122"/>
      <c r="GA58" s="1122"/>
      <c r="GB58" s="1122"/>
      <c r="GC58" s="1122"/>
      <c r="GD58" s="1122"/>
      <c r="GE58" s="1122"/>
      <c r="GF58" s="1122"/>
      <c r="GG58" s="1122"/>
      <c r="GH58" s="1122"/>
      <c r="GI58" s="1122"/>
      <c r="GJ58" s="1122"/>
      <c r="GK58" s="1122"/>
      <c r="GL58" s="1122"/>
      <c r="GM58" s="1122"/>
      <c r="GN58" s="1122"/>
      <c r="GO58" s="1122"/>
      <c r="GP58" s="1122"/>
      <c r="GQ58" s="1122"/>
      <c r="GR58" s="1122"/>
      <c r="GS58" s="1122"/>
      <c r="GT58" s="1122"/>
      <c r="GU58" s="1122"/>
      <c r="GV58" s="1122"/>
      <c r="GW58" s="1122"/>
      <c r="GX58" s="1122"/>
      <c r="GY58" s="1122"/>
      <c r="GZ58" s="1122"/>
      <c r="HA58" s="1122"/>
      <c r="HB58" s="1122"/>
      <c r="HC58" s="1122"/>
      <c r="HD58" s="1122"/>
      <c r="HE58" s="1122"/>
      <c r="HF58" s="1122"/>
      <c r="HG58" s="1122"/>
      <c r="HH58" s="1122"/>
      <c r="HI58" s="1122"/>
      <c r="HJ58" s="1122"/>
      <c r="HK58" s="1122"/>
      <c r="HL58" s="1122"/>
      <c r="HM58" s="1122"/>
      <c r="HN58" s="1122"/>
      <c r="HO58" s="1122"/>
      <c r="HP58" s="1122"/>
      <c r="HQ58" s="1122"/>
      <c r="HR58" s="1122"/>
      <c r="HS58" s="1122"/>
      <c r="HT58" s="1122"/>
      <c r="HU58" s="1122"/>
      <c r="HV58" s="1122"/>
      <c r="HW58" s="1122"/>
      <c r="HX58" s="1122"/>
      <c r="HY58" s="1122"/>
      <c r="HZ58" s="1122"/>
      <c r="IA58" s="1122"/>
      <c r="IB58" s="1122"/>
      <c r="IC58" s="1122"/>
      <c r="ID58" s="1122"/>
      <c r="IE58" s="1122"/>
      <c r="IF58" s="1122"/>
      <c r="IG58" s="1122"/>
      <c r="IH58" s="1122"/>
      <c r="II58" s="1122"/>
      <c r="IJ58" s="1122"/>
      <c r="IK58" s="1122"/>
      <c r="IL58" s="1122"/>
      <c r="IM58" s="1122"/>
      <c r="IN58" s="1122"/>
      <c r="IO58" s="1122"/>
      <c r="IP58" s="1122"/>
      <c r="IQ58" s="1122"/>
      <c r="IR58" s="1122"/>
      <c r="IS58" s="1122"/>
      <c r="IT58" s="1122"/>
      <c r="IU58" s="1122"/>
      <c r="IV58" s="1122"/>
    </row>
    <row r="59" spans="1:256" s="1312" customFormat="1" ht="14.25" customHeight="1">
      <c r="A59" s="1306"/>
      <c r="B59" s="1306"/>
      <c r="C59" s="1307" t="s">
        <v>4004</v>
      </c>
      <c r="D59" s="1307"/>
      <c r="E59" s="1308"/>
      <c r="F59" s="1308"/>
      <c r="G59" s="1309"/>
      <c r="H59" s="1309"/>
      <c r="I59" s="1309"/>
      <c r="J59" s="1309"/>
      <c r="K59" s="1309"/>
      <c r="L59" s="1310" t="s">
        <v>4710</v>
      </c>
      <c r="M59" s="1309"/>
      <c r="N59" s="1311"/>
    </row>
    <row r="60" spans="1:256" s="1312" customFormat="1" ht="14.25" customHeight="1">
      <c r="A60" s="1306"/>
      <c r="B60" s="1306"/>
      <c r="C60" s="1313" t="s">
        <v>4006</v>
      </c>
      <c r="D60" s="1313"/>
      <c r="E60" s="1308"/>
      <c r="F60" s="1308"/>
      <c r="G60" s="1309"/>
      <c r="H60" s="1309"/>
      <c r="I60" s="1309"/>
      <c r="J60" s="1309"/>
      <c r="K60" s="1309"/>
      <c r="L60" s="1314"/>
      <c r="M60" s="1309"/>
      <c r="N60" s="1311"/>
    </row>
    <row r="61" spans="1:256" s="1312" customFormat="1" ht="14.25" customHeight="1">
      <c r="A61" s="1315"/>
      <c r="B61" s="1316"/>
      <c r="C61" s="1316"/>
      <c r="D61" s="2652" t="s">
        <v>4007</v>
      </c>
      <c r="E61" s="2652" t="s">
        <v>4008</v>
      </c>
      <c r="F61" s="1317" t="s">
        <v>3979</v>
      </c>
      <c r="G61" s="1318" t="str">
        <f t="shared" ref="G61:L61" si="29">G5</f>
        <v>工事１</v>
      </c>
      <c r="H61" s="1318" t="str">
        <f t="shared" si="29"/>
        <v>工事２</v>
      </c>
      <c r="I61" s="1318" t="str">
        <f t="shared" si="29"/>
        <v>工事３</v>
      </c>
      <c r="J61" s="1318" t="str">
        <f t="shared" si="29"/>
        <v>工事４</v>
      </c>
      <c r="K61" s="1318" t="str">
        <f t="shared" si="29"/>
        <v>工事５</v>
      </c>
      <c r="L61" s="1319" t="str">
        <f t="shared" si="29"/>
        <v>工事６</v>
      </c>
      <c r="M61" s="1311"/>
      <c r="N61" s="1311"/>
    </row>
    <row r="62" spans="1:256" s="1312" customFormat="1" ht="14.25" customHeight="1">
      <c r="A62" s="2810" t="s">
        <v>4009</v>
      </c>
      <c r="B62" s="2811"/>
      <c r="C62" s="2811"/>
      <c r="D62" s="2653"/>
      <c r="E62" s="2653"/>
      <c r="F62" s="1320"/>
      <c r="G62" s="1321"/>
      <c r="H62" s="1321"/>
      <c r="I62" s="1321"/>
      <c r="J62" s="1321"/>
      <c r="K62" s="1321"/>
      <c r="L62" s="1322"/>
      <c r="M62" s="1323"/>
      <c r="N62" s="1323"/>
    </row>
    <row r="63" spans="1:256" s="1312" customFormat="1" ht="14.25" customHeight="1">
      <c r="A63" s="2812"/>
      <c r="B63" s="1324" t="s">
        <v>4711</v>
      </c>
      <c r="C63" s="1325"/>
      <c r="D63" s="1325"/>
      <c r="E63" s="1326"/>
      <c r="F63" s="1327">
        <f>SUM(G63:L63)</f>
        <v>0</v>
      </c>
      <c r="G63" s="1328">
        <f t="shared" ref="G63:L63" si="30">SUM(G64:G70)+G54</f>
        <v>0</v>
      </c>
      <c r="H63" s="1328">
        <f t="shared" si="30"/>
        <v>0</v>
      </c>
      <c r="I63" s="1328">
        <f t="shared" si="30"/>
        <v>0</v>
      </c>
      <c r="J63" s="1328">
        <f t="shared" si="30"/>
        <v>0</v>
      </c>
      <c r="K63" s="1328">
        <f t="shared" si="30"/>
        <v>0</v>
      </c>
      <c r="L63" s="1329">
        <f t="shared" si="30"/>
        <v>0</v>
      </c>
      <c r="M63" s="1330"/>
      <c r="N63" s="1330"/>
    </row>
    <row r="64" spans="1:256" s="1312" customFormat="1" ht="14.25" customHeight="1">
      <c r="A64" s="2813"/>
      <c r="B64" s="2782" t="s">
        <v>3981</v>
      </c>
      <c r="C64" s="1331" t="s">
        <v>3982</v>
      </c>
      <c r="D64" s="1332">
        <v>1</v>
      </c>
      <c r="E64" s="1333" t="s">
        <v>4011</v>
      </c>
      <c r="F64" s="1334">
        <f>SUM(G64:L64)</f>
        <v>0</v>
      </c>
      <c r="G64" s="1335">
        <f>IF(G$7="積上げ",0,G37)</f>
        <v>0</v>
      </c>
      <c r="H64" s="1335">
        <f t="shared" ref="H64:L65" si="31">IF(H$7="積上げ",0,H37)</f>
        <v>0</v>
      </c>
      <c r="I64" s="1335">
        <f t="shared" si="31"/>
        <v>0</v>
      </c>
      <c r="J64" s="1335">
        <f t="shared" si="31"/>
        <v>0</v>
      </c>
      <c r="K64" s="1335">
        <f t="shared" si="31"/>
        <v>0</v>
      </c>
      <c r="L64" s="1336">
        <f t="shared" si="31"/>
        <v>0</v>
      </c>
      <c r="M64" s="1323"/>
      <c r="N64" s="1323"/>
    </row>
    <row r="65" spans="1:14" s="1312" customFormat="1" ht="14.25" customHeight="1">
      <c r="A65" s="2813"/>
      <c r="B65" s="2782"/>
      <c r="C65" s="1331" t="s">
        <v>3983</v>
      </c>
      <c r="D65" s="1332">
        <v>1</v>
      </c>
      <c r="E65" s="1333" t="s">
        <v>4011</v>
      </c>
      <c r="F65" s="1334">
        <f>SUM(G65:L65)</f>
        <v>0</v>
      </c>
      <c r="G65" s="1335">
        <f>IF(G$7="積上げ",0,G38)</f>
        <v>0</v>
      </c>
      <c r="H65" s="1335">
        <f t="shared" si="31"/>
        <v>0</v>
      </c>
      <c r="I65" s="1335">
        <f t="shared" si="31"/>
        <v>0</v>
      </c>
      <c r="J65" s="1335">
        <f t="shared" si="31"/>
        <v>0</v>
      </c>
      <c r="K65" s="1335">
        <f t="shared" si="31"/>
        <v>0</v>
      </c>
      <c r="L65" s="1336">
        <f t="shared" si="31"/>
        <v>0</v>
      </c>
      <c r="M65" s="1323"/>
      <c r="N65" s="1323"/>
    </row>
    <row r="66" spans="1:14" s="1312" customFormat="1" ht="14.25" customHeight="1">
      <c r="A66" s="2813"/>
      <c r="B66" s="2815" t="s">
        <v>4693</v>
      </c>
      <c r="C66" s="1276" t="s">
        <v>4712</v>
      </c>
      <c r="D66" s="1332">
        <v>1</v>
      </c>
      <c r="E66" s="1337">
        <v>0.2</v>
      </c>
      <c r="F66" s="1335">
        <f>INT(F42/(1+$E66))</f>
        <v>0</v>
      </c>
      <c r="G66" s="1335">
        <f t="shared" ref="G66:L70" si="32">IF(G$7="積上げ",0,G100)</f>
        <v>0</v>
      </c>
      <c r="H66" s="1335">
        <f t="shared" si="32"/>
        <v>0</v>
      </c>
      <c r="I66" s="1335">
        <f t="shared" si="32"/>
        <v>0</v>
      </c>
      <c r="J66" s="1335">
        <f t="shared" si="32"/>
        <v>0</v>
      </c>
      <c r="K66" s="1335">
        <f t="shared" si="32"/>
        <v>0</v>
      </c>
      <c r="L66" s="1336">
        <f t="shared" si="32"/>
        <v>0</v>
      </c>
      <c r="M66" s="1323"/>
      <c r="N66" s="1323"/>
    </row>
    <row r="67" spans="1:14" s="1312" customFormat="1" ht="14.25" customHeight="1">
      <c r="A67" s="2813"/>
      <c r="B67" s="2816"/>
      <c r="C67" s="1283" t="s">
        <v>4713</v>
      </c>
      <c r="D67" s="1332">
        <v>1</v>
      </c>
      <c r="E67" s="1338">
        <v>0.15</v>
      </c>
      <c r="F67" s="1335">
        <f>INT(F43/(1+$E67))</f>
        <v>0</v>
      </c>
      <c r="G67" s="1335">
        <f t="shared" si="32"/>
        <v>0</v>
      </c>
      <c r="H67" s="1335">
        <f t="shared" si="32"/>
        <v>0</v>
      </c>
      <c r="I67" s="1335">
        <f t="shared" si="32"/>
        <v>0</v>
      </c>
      <c r="J67" s="1335">
        <f t="shared" si="32"/>
        <v>0</v>
      </c>
      <c r="K67" s="1335">
        <f t="shared" si="32"/>
        <v>0</v>
      </c>
      <c r="L67" s="1336">
        <f t="shared" si="32"/>
        <v>0</v>
      </c>
      <c r="M67" s="1323"/>
      <c r="N67" s="1323"/>
    </row>
    <row r="68" spans="1:14" s="1312" customFormat="1" ht="14.25" customHeight="1">
      <c r="A68" s="2813"/>
      <c r="B68" s="2816"/>
      <c r="C68" s="1276" t="s">
        <v>4714</v>
      </c>
      <c r="D68" s="1332">
        <v>1</v>
      </c>
      <c r="E68" s="1337">
        <v>0.2</v>
      </c>
      <c r="F68" s="1335">
        <f>INT(F44/(1+$E68))</f>
        <v>0</v>
      </c>
      <c r="G68" s="1335">
        <f t="shared" si="32"/>
        <v>0</v>
      </c>
      <c r="H68" s="1335">
        <f t="shared" si="32"/>
        <v>0</v>
      </c>
      <c r="I68" s="1335">
        <f t="shared" si="32"/>
        <v>0</v>
      </c>
      <c r="J68" s="1335">
        <f t="shared" si="32"/>
        <v>0</v>
      </c>
      <c r="K68" s="1335">
        <f t="shared" si="32"/>
        <v>0</v>
      </c>
      <c r="L68" s="1336">
        <f t="shared" si="32"/>
        <v>0</v>
      </c>
      <c r="M68" s="1323"/>
      <c r="N68" s="1323"/>
    </row>
    <row r="69" spans="1:14" s="1312" customFormat="1" ht="14.25" customHeight="1">
      <c r="A69" s="2813"/>
      <c r="B69" s="2816"/>
      <c r="C69" s="1276" t="s">
        <v>4715</v>
      </c>
      <c r="D69" s="1332">
        <v>1</v>
      </c>
      <c r="E69" s="1337">
        <v>0.2</v>
      </c>
      <c r="F69" s="1335">
        <f>INT(F45/(1+$E69))</f>
        <v>0</v>
      </c>
      <c r="G69" s="1335">
        <f t="shared" si="32"/>
        <v>0</v>
      </c>
      <c r="H69" s="1335">
        <f t="shared" si="32"/>
        <v>0</v>
      </c>
      <c r="I69" s="1335">
        <f t="shared" si="32"/>
        <v>0</v>
      </c>
      <c r="J69" s="1335">
        <f t="shared" si="32"/>
        <v>0</v>
      </c>
      <c r="K69" s="1335">
        <f t="shared" si="32"/>
        <v>0</v>
      </c>
      <c r="L69" s="1336">
        <f t="shared" si="32"/>
        <v>0</v>
      </c>
      <c r="M69" s="1323"/>
      <c r="N69" s="1323"/>
    </row>
    <row r="70" spans="1:14" s="1312" customFormat="1" ht="14.25" customHeight="1">
      <c r="A70" s="2813"/>
      <c r="B70" s="2817"/>
      <c r="C70" s="1284" t="s">
        <v>4699</v>
      </c>
      <c r="D70" s="1339">
        <v>1</v>
      </c>
      <c r="E70" s="1337">
        <v>0.2</v>
      </c>
      <c r="F70" s="1335">
        <f>INT(F46/(1+$E70))</f>
        <v>0</v>
      </c>
      <c r="G70" s="1335">
        <f t="shared" si="32"/>
        <v>0</v>
      </c>
      <c r="H70" s="1335">
        <f t="shared" si="32"/>
        <v>0</v>
      </c>
      <c r="I70" s="1335">
        <f t="shared" si="32"/>
        <v>0</v>
      </c>
      <c r="J70" s="1335">
        <f t="shared" si="32"/>
        <v>0</v>
      </c>
      <c r="K70" s="1335">
        <f t="shared" si="32"/>
        <v>0</v>
      </c>
      <c r="L70" s="1336">
        <f t="shared" si="32"/>
        <v>0</v>
      </c>
      <c r="M70" s="1323"/>
      <c r="N70" s="1323"/>
    </row>
    <row r="71" spans="1:14" s="1312" customFormat="1" ht="14.25" customHeight="1">
      <c r="A71" s="2813"/>
      <c r="B71" s="2782"/>
      <c r="C71" s="1340" t="s">
        <v>3994</v>
      </c>
      <c r="D71" s="1332">
        <v>1</v>
      </c>
      <c r="E71" s="1341"/>
      <c r="F71" s="1335"/>
      <c r="G71" s="1335"/>
      <c r="H71" s="1335"/>
      <c r="I71" s="1342"/>
      <c r="J71" s="1342"/>
      <c r="K71" s="1342"/>
      <c r="L71" s="1343"/>
      <c r="M71" s="1323"/>
      <c r="N71" s="1323"/>
    </row>
    <row r="72" spans="1:14" s="1312" customFormat="1" ht="14.25" customHeight="1">
      <c r="A72" s="2813"/>
      <c r="B72" s="2782"/>
      <c r="C72" s="1340" t="s">
        <v>4716</v>
      </c>
      <c r="D72" s="1332">
        <v>1</v>
      </c>
      <c r="E72" s="1341"/>
      <c r="F72" s="1335"/>
      <c r="G72" s="1335"/>
      <c r="H72" s="1335"/>
      <c r="I72" s="1342"/>
      <c r="J72" s="1342"/>
      <c r="K72" s="1342"/>
      <c r="L72" s="1343"/>
      <c r="M72" s="1323"/>
      <c r="N72" s="1323"/>
    </row>
    <row r="73" spans="1:14" s="1312" customFormat="1" ht="14.25" customHeight="1">
      <c r="A73" s="2814"/>
      <c r="B73" s="835" t="s">
        <v>4016</v>
      </c>
      <c r="C73" s="1344" t="s">
        <v>4717</v>
      </c>
      <c r="D73" s="1345">
        <v>1</v>
      </c>
      <c r="E73" s="1346">
        <v>0</v>
      </c>
      <c r="F73" s="1347">
        <f>SUM(G73:L73)</f>
        <v>0</v>
      </c>
      <c r="G73" s="1348">
        <f>IF(G7="積上げ",0,SUM(G52:G54)+G56)</f>
        <v>0</v>
      </c>
      <c r="H73" s="1348">
        <f t="shared" ref="H73:L73" si="33">IF(H7="積上げ",0,SUM(H52:H54)+H56)</f>
        <v>0</v>
      </c>
      <c r="I73" s="1348">
        <f t="shared" si="33"/>
        <v>0</v>
      </c>
      <c r="J73" s="1348">
        <f t="shared" si="33"/>
        <v>0</v>
      </c>
      <c r="K73" s="1348">
        <f t="shared" si="33"/>
        <v>0</v>
      </c>
      <c r="L73" s="1349">
        <f t="shared" si="33"/>
        <v>0</v>
      </c>
      <c r="M73" s="1323"/>
      <c r="N73" s="1323"/>
    </row>
    <row r="74" spans="1:14" s="1312" customFormat="1" ht="14.25" customHeight="1">
      <c r="A74" s="1350"/>
      <c r="B74" s="843"/>
      <c r="C74" s="1351"/>
      <c r="D74" s="2660"/>
      <c r="E74" s="2660"/>
      <c r="F74" s="1352"/>
      <c r="G74" s="1353"/>
      <c r="H74" s="1353"/>
      <c r="I74" s="1353"/>
      <c r="J74" s="1353"/>
      <c r="K74" s="1353"/>
      <c r="L74" s="1354"/>
      <c r="M74" s="1323"/>
      <c r="N74" s="1323"/>
    </row>
    <row r="75" spans="1:14" s="1312" customFormat="1" ht="14.25" customHeight="1">
      <c r="A75" s="2818" t="s">
        <v>4018</v>
      </c>
      <c r="B75" s="2818"/>
      <c r="C75" s="2810"/>
      <c r="D75" s="2661"/>
      <c r="E75" s="2661"/>
      <c r="F75" s="1320"/>
      <c r="G75" s="1321"/>
      <c r="H75" s="1321"/>
      <c r="I75" s="1321"/>
      <c r="J75" s="1321"/>
      <c r="K75" s="1321"/>
      <c r="L75" s="1322"/>
      <c r="M75" s="1323"/>
      <c r="N75" s="1323"/>
    </row>
    <row r="76" spans="1:14" s="1312" customFormat="1" ht="14.25" customHeight="1">
      <c r="A76" s="2812"/>
      <c r="B76" s="2820" t="s">
        <v>3981</v>
      </c>
      <c r="C76" s="1355" t="s">
        <v>3982</v>
      </c>
      <c r="D76" s="848"/>
      <c r="E76" s="849" t="s">
        <v>4011</v>
      </c>
      <c r="F76" s="1356" t="s">
        <v>4019</v>
      </c>
      <c r="G76" s="851">
        <f>IF(G4="新営",IF(G9="有り",+G180/100,G181/100),0)</f>
        <v>0</v>
      </c>
      <c r="H76" s="851">
        <f t="shared" ref="H76:L76" si="34">IF(H4="新営",IF(H9="有り",+H180/100,H181/100),0)</f>
        <v>0</v>
      </c>
      <c r="I76" s="851">
        <f t="shared" si="34"/>
        <v>0</v>
      </c>
      <c r="J76" s="851">
        <f t="shared" si="34"/>
        <v>0</v>
      </c>
      <c r="K76" s="851">
        <f t="shared" si="34"/>
        <v>0</v>
      </c>
      <c r="L76" s="852">
        <f t="shared" si="34"/>
        <v>0</v>
      </c>
      <c r="M76" s="1357"/>
      <c r="N76" s="1357"/>
    </row>
    <row r="77" spans="1:14" s="1312" customFormat="1" ht="14.25" customHeight="1">
      <c r="A77" s="2813"/>
      <c r="B77" s="2816"/>
      <c r="C77" s="1358"/>
      <c r="D77" s="1359">
        <f>+D64</f>
        <v>1</v>
      </c>
      <c r="E77" s="855" t="s">
        <v>4011</v>
      </c>
      <c r="F77" s="1360">
        <f>SUM(G77:L77)</f>
        <v>0</v>
      </c>
      <c r="G77" s="1361">
        <f t="shared" ref="G77:L77" si="35">ROUNDDOWN(G64*G76*$D77,0)</f>
        <v>0</v>
      </c>
      <c r="H77" s="1361">
        <f t="shared" si="35"/>
        <v>0</v>
      </c>
      <c r="I77" s="1361">
        <f t="shared" si="35"/>
        <v>0</v>
      </c>
      <c r="J77" s="1361">
        <f t="shared" si="35"/>
        <v>0</v>
      </c>
      <c r="K77" s="1361">
        <f t="shared" si="35"/>
        <v>0</v>
      </c>
      <c r="L77" s="1343">
        <f t="shared" si="35"/>
        <v>0</v>
      </c>
      <c r="M77" s="1323"/>
      <c r="N77" s="1323"/>
    </row>
    <row r="78" spans="1:14" s="1312" customFormat="1" ht="14.25" customHeight="1">
      <c r="A78" s="2813"/>
      <c r="B78" s="2816"/>
      <c r="C78" s="1362" t="s">
        <v>3983</v>
      </c>
      <c r="D78" s="1363"/>
      <c r="E78" s="855" t="s">
        <v>4011</v>
      </c>
      <c r="F78" s="1364" t="s">
        <v>4019</v>
      </c>
      <c r="G78" s="1365">
        <f>IF(G4="改修",IF(G9="有り",+G189/100,G190/100),0)</f>
        <v>2.5099999999999997E-2</v>
      </c>
      <c r="H78" s="1365">
        <f t="shared" ref="H78:L78" si="36">IF(H4="改修",IF(H9="有り",+H189/100,H190/100),0)</f>
        <v>2.5099999999999997E-2</v>
      </c>
      <c r="I78" s="1365">
        <f t="shared" si="36"/>
        <v>2.5099999999999997E-2</v>
      </c>
      <c r="J78" s="1365">
        <f t="shared" si="36"/>
        <v>2.5099999999999997E-2</v>
      </c>
      <c r="K78" s="1365">
        <f t="shared" si="36"/>
        <v>2.5099999999999997E-2</v>
      </c>
      <c r="L78" s="1366">
        <f t="shared" si="36"/>
        <v>2.5099999999999997E-2</v>
      </c>
      <c r="M78" s="1357"/>
      <c r="N78" s="1357"/>
    </row>
    <row r="79" spans="1:14" s="1312" customFormat="1" ht="14.25" customHeight="1">
      <c r="A79" s="2813"/>
      <c r="B79" s="2821"/>
      <c r="C79" s="1358"/>
      <c r="D79" s="1359">
        <f>+D65</f>
        <v>1</v>
      </c>
      <c r="E79" s="855" t="s">
        <v>4011</v>
      </c>
      <c r="F79" s="1360">
        <f t="shared" ref="F79:F87" si="37">SUM(G79:L79)</f>
        <v>0</v>
      </c>
      <c r="G79" s="1361">
        <f t="shared" ref="G79:L79" si="38">ROUNDDOWN(G65*G78*$D79,0)</f>
        <v>0</v>
      </c>
      <c r="H79" s="1361">
        <f t="shared" si="38"/>
        <v>0</v>
      </c>
      <c r="I79" s="1361">
        <f t="shared" si="38"/>
        <v>0</v>
      </c>
      <c r="J79" s="1361">
        <f t="shared" si="38"/>
        <v>0</v>
      </c>
      <c r="K79" s="1361">
        <f t="shared" si="38"/>
        <v>0</v>
      </c>
      <c r="L79" s="1367">
        <f t="shared" si="38"/>
        <v>0</v>
      </c>
      <c r="M79" s="1323"/>
      <c r="N79" s="1323"/>
    </row>
    <row r="80" spans="1:14" s="1312" customFormat="1" ht="14.25" customHeight="1">
      <c r="A80" s="2813"/>
      <c r="B80" s="2815" t="s">
        <v>4693</v>
      </c>
      <c r="C80" s="1276" t="s">
        <v>4712</v>
      </c>
      <c r="D80" s="1359">
        <v>1</v>
      </c>
      <c r="E80" s="1368"/>
      <c r="F80" s="1360">
        <f t="shared" si="37"/>
        <v>0</v>
      </c>
      <c r="G80" s="1361">
        <f t="shared" ref="G80:L80" si="39">IF(G$4="改修",ROUNDDOWN(G66*G$78*$D80,0),ROUNDDOWN(G66*G$76*$D80,0))</f>
        <v>0</v>
      </c>
      <c r="H80" s="1361">
        <f t="shared" si="39"/>
        <v>0</v>
      </c>
      <c r="I80" s="1361">
        <f t="shared" si="39"/>
        <v>0</v>
      </c>
      <c r="J80" s="1361">
        <f t="shared" si="39"/>
        <v>0</v>
      </c>
      <c r="K80" s="1361">
        <f t="shared" si="39"/>
        <v>0</v>
      </c>
      <c r="L80" s="1367">
        <f t="shared" si="39"/>
        <v>0</v>
      </c>
      <c r="M80" s="1323"/>
      <c r="N80" s="1323"/>
    </row>
    <row r="81" spans="1:256" s="1312" customFormat="1" ht="14.25" customHeight="1">
      <c r="A81" s="2813"/>
      <c r="B81" s="2816"/>
      <c r="C81" s="1283" t="s">
        <v>4713</v>
      </c>
      <c r="D81" s="1359">
        <v>1</v>
      </c>
      <c r="E81" s="855"/>
      <c r="F81" s="1360">
        <f t="shared" si="37"/>
        <v>0</v>
      </c>
      <c r="G81" s="1361">
        <f t="shared" ref="G81:L81" si="40">IF(G$4="改修",ROUNDDOWN(G67*G$78*$D81,0),IF(G4="新営",ROUNDDOWN(G67*G$76*$D81,0),0))</f>
        <v>0</v>
      </c>
      <c r="H81" s="1361">
        <f t="shared" si="40"/>
        <v>0</v>
      </c>
      <c r="I81" s="1361">
        <f t="shared" si="40"/>
        <v>0</v>
      </c>
      <c r="J81" s="1361">
        <f t="shared" si="40"/>
        <v>0</v>
      </c>
      <c r="K81" s="1361">
        <f t="shared" si="40"/>
        <v>0</v>
      </c>
      <c r="L81" s="1361">
        <f t="shared" si="40"/>
        <v>0</v>
      </c>
      <c r="M81" s="1323"/>
      <c r="N81" s="1323"/>
    </row>
    <row r="82" spans="1:256" s="1312" customFormat="1" ht="14.25" customHeight="1">
      <c r="A82" s="2813"/>
      <c r="B82" s="2816"/>
      <c r="C82" s="1276" t="s">
        <v>4714</v>
      </c>
      <c r="D82" s="1359">
        <v>1</v>
      </c>
      <c r="E82" s="855"/>
      <c r="F82" s="1360">
        <f t="shared" si="37"/>
        <v>0</v>
      </c>
      <c r="G82" s="1361">
        <f t="shared" ref="G82:L82" si="41">IF(G$4="改修",ROUNDDOWN(G68*G$78*$D82,0),IF(G4="新営",ROUNDDOWN(G68*G$76*$D82,0),0))</f>
        <v>0</v>
      </c>
      <c r="H82" s="1361">
        <f t="shared" si="41"/>
        <v>0</v>
      </c>
      <c r="I82" s="1361">
        <f t="shared" si="41"/>
        <v>0</v>
      </c>
      <c r="J82" s="1361">
        <f t="shared" si="41"/>
        <v>0</v>
      </c>
      <c r="K82" s="1361">
        <f t="shared" si="41"/>
        <v>0</v>
      </c>
      <c r="L82" s="1361">
        <f t="shared" si="41"/>
        <v>0</v>
      </c>
      <c r="M82" s="1323"/>
      <c r="N82" s="1323"/>
    </row>
    <row r="83" spans="1:256" s="1312" customFormat="1" ht="14.25" customHeight="1">
      <c r="A83" s="2813"/>
      <c r="B83" s="2816"/>
      <c r="C83" s="1276" t="s">
        <v>4715</v>
      </c>
      <c r="D83" s="1359">
        <v>1</v>
      </c>
      <c r="E83" s="855"/>
      <c r="F83" s="1360">
        <f t="shared" si="37"/>
        <v>0</v>
      </c>
      <c r="G83" s="1361">
        <f t="shared" ref="G83:L84" si="42">IF(G$4="改修",ROUNDDOWN(G69*G$78*$D83,0),IF(G4="新営",ROUNDDOWN(G69*G$76*$D83,0),0))</f>
        <v>0</v>
      </c>
      <c r="H83" s="1361">
        <f t="shared" si="42"/>
        <v>0</v>
      </c>
      <c r="I83" s="1361">
        <f t="shared" si="42"/>
        <v>0</v>
      </c>
      <c r="J83" s="1361">
        <f t="shared" si="42"/>
        <v>0</v>
      </c>
      <c r="K83" s="1361">
        <f t="shared" si="42"/>
        <v>0</v>
      </c>
      <c r="L83" s="1361">
        <f t="shared" si="42"/>
        <v>0</v>
      </c>
      <c r="M83" s="1323"/>
      <c r="N83" s="1323"/>
    </row>
    <row r="84" spans="1:256" s="1312" customFormat="1" ht="14.25" customHeight="1">
      <c r="A84" s="2813"/>
      <c r="B84" s="1369"/>
      <c r="C84" s="1284" t="s">
        <v>4699</v>
      </c>
      <c r="D84" s="1339">
        <v>1</v>
      </c>
      <c r="E84" s="855"/>
      <c r="F84" s="1334">
        <f>SUM(G84:L84)</f>
        <v>0</v>
      </c>
      <c r="G84" s="1370">
        <f t="shared" si="42"/>
        <v>0</v>
      </c>
      <c r="H84" s="1370">
        <f t="shared" si="42"/>
        <v>0</v>
      </c>
      <c r="I84" s="1370">
        <f t="shared" si="42"/>
        <v>0</v>
      </c>
      <c r="J84" s="1370">
        <f t="shared" si="42"/>
        <v>0</v>
      </c>
      <c r="K84" s="1370">
        <f t="shared" si="42"/>
        <v>0</v>
      </c>
      <c r="L84" s="1370">
        <f t="shared" si="42"/>
        <v>0</v>
      </c>
      <c r="M84" s="1323"/>
      <c r="N84" s="1323"/>
    </row>
    <row r="85" spans="1:256" s="1312" customFormat="1" ht="14.25" customHeight="1">
      <c r="A85" s="2813"/>
      <c r="B85" s="2782"/>
      <c r="C85" s="1340" t="s">
        <v>4025</v>
      </c>
      <c r="D85" s="1371">
        <f t="shared" ref="D85:E87" si="43">+D71</f>
        <v>1</v>
      </c>
      <c r="E85" s="1341">
        <f t="shared" si="43"/>
        <v>0</v>
      </c>
      <c r="F85" s="1360">
        <f t="shared" si="37"/>
        <v>0</v>
      </c>
      <c r="G85" s="1361">
        <f>ROUNDDOWN(G71*$E85*$D85,0)</f>
        <v>0</v>
      </c>
      <c r="H85" s="1361">
        <f t="shared" ref="H85:L87" si="44">ROUNDDOWN(H71*$E85*$D85,0)</f>
        <v>0</v>
      </c>
      <c r="I85" s="1361">
        <f t="shared" si="44"/>
        <v>0</v>
      </c>
      <c r="J85" s="1361">
        <f t="shared" si="44"/>
        <v>0</v>
      </c>
      <c r="K85" s="1361">
        <f t="shared" si="44"/>
        <v>0</v>
      </c>
      <c r="L85" s="1361">
        <f t="shared" si="44"/>
        <v>0</v>
      </c>
      <c r="M85" s="1323"/>
      <c r="N85" s="1323"/>
    </row>
    <row r="86" spans="1:256" s="1312" customFormat="1" ht="14.25" customHeight="1">
      <c r="A86" s="2813"/>
      <c r="B86" s="2782"/>
      <c r="C86" s="1340" t="s">
        <v>4716</v>
      </c>
      <c r="D86" s="1371">
        <f t="shared" si="43"/>
        <v>1</v>
      </c>
      <c r="E86" s="1341">
        <f t="shared" si="43"/>
        <v>0</v>
      </c>
      <c r="F86" s="1360">
        <f t="shared" si="37"/>
        <v>0</v>
      </c>
      <c r="G86" s="1361">
        <f>ROUNDDOWN(G72*$E86*$D86,0)</f>
        <v>0</v>
      </c>
      <c r="H86" s="1361">
        <f t="shared" si="44"/>
        <v>0</v>
      </c>
      <c r="I86" s="1361">
        <f t="shared" si="44"/>
        <v>0</v>
      </c>
      <c r="J86" s="1361">
        <f t="shared" si="44"/>
        <v>0</v>
      </c>
      <c r="K86" s="1361">
        <f t="shared" si="44"/>
        <v>0</v>
      </c>
      <c r="L86" s="1361">
        <f t="shared" si="44"/>
        <v>0</v>
      </c>
      <c r="M86" s="1323"/>
      <c r="N86" s="1323"/>
    </row>
    <row r="87" spans="1:256" s="1312" customFormat="1" ht="14.25" customHeight="1" thickBot="1">
      <c r="A87" s="2819"/>
      <c r="B87" s="2438" t="s">
        <v>4016</v>
      </c>
      <c r="C87" s="1344" t="s">
        <v>4717</v>
      </c>
      <c r="D87" s="2482">
        <f t="shared" si="43"/>
        <v>1</v>
      </c>
      <c r="E87" s="2483">
        <f t="shared" si="43"/>
        <v>0</v>
      </c>
      <c r="F87" s="1360">
        <f t="shared" si="37"/>
        <v>0</v>
      </c>
      <c r="G87" s="1361">
        <f>ROUNDDOWN(G73*$E87*$D87,0)</f>
        <v>0</v>
      </c>
      <c r="H87" s="1361">
        <f t="shared" si="44"/>
        <v>0</v>
      </c>
      <c r="I87" s="1361">
        <f t="shared" si="44"/>
        <v>0</v>
      </c>
      <c r="J87" s="1361">
        <f t="shared" si="44"/>
        <v>0</v>
      </c>
      <c r="K87" s="1361">
        <f t="shared" si="44"/>
        <v>0</v>
      </c>
      <c r="L87" s="1361">
        <f t="shared" si="44"/>
        <v>0</v>
      </c>
      <c r="M87" s="1323"/>
      <c r="N87" s="1323"/>
    </row>
    <row r="88" spans="1:256" s="1312" customFormat="1" ht="14.25" customHeight="1" thickTop="1">
      <c r="A88" s="1372"/>
      <c r="B88" s="1373"/>
      <c r="C88" s="1374" t="s">
        <v>4027</v>
      </c>
      <c r="D88" s="1375"/>
      <c r="E88" s="1376"/>
      <c r="F88" s="1377">
        <f>SUM(G88:L88)</f>
        <v>0</v>
      </c>
      <c r="G88" s="1378">
        <f t="shared" ref="G88:L88" si="45">SUM(G79:G87)+G77</f>
        <v>0</v>
      </c>
      <c r="H88" s="1378">
        <f t="shared" si="45"/>
        <v>0</v>
      </c>
      <c r="I88" s="1378">
        <f t="shared" si="45"/>
        <v>0</v>
      </c>
      <c r="J88" s="1378">
        <f t="shared" si="45"/>
        <v>0</v>
      </c>
      <c r="K88" s="1378">
        <f t="shared" si="45"/>
        <v>0</v>
      </c>
      <c r="L88" s="1378">
        <f t="shared" si="45"/>
        <v>0</v>
      </c>
      <c r="M88" s="1323"/>
      <c r="N88" s="1323"/>
    </row>
    <row r="89" spans="1:256" s="1305" customFormat="1" ht="15" customHeight="1">
      <c r="A89" s="1256"/>
      <c r="B89" s="1379"/>
      <c r="C89" s="1380"/>
      <c r="D89" s="1257"/>
      <c r="E89" s="1150"/>
      <c r="F89" s="1381"/>
      <c r="G89" s="1382"/>
      <c r="H89" s="1382"/>
      <c r="I89" s="1382"/>
      <c r="J89" s="1382"/>
      <c r="K89" s="1382"/>
      <c r="L89" s="1382"/>
      <c r="M89" s="1122"/>
      <c r="N89" s="1122"/>
      <c r="O89" s="1122"/>
      <c r="P89" s="1122"/>
      <c r="Q89" s="1122"/>
      <c r="R89" s="1122"/>
      <c r="S89" s="1122"/>
      <c r="T89" s="1122"/>
      <c r="U89" s="1122"/>
      <c r="V89" s="1122"/>
      <c r="W89" s="1122"/>
      <c r="X89" s="1122"/>
      <c r="Y89" s="1122"/>
      <c r="Z89" s="1122"/>
      <c r="AA89" s="1122"/>
      <c r="AB89" s="1122"/>
      <c r="AC89" s="1122"/>
      <c r="AD89" s="1122"/>
      <c r="AE89" s="1122"/>
      <c r="AF89" s="1122"/>
      <c r="AG89" s="1122"/>
      <c r="AH89" s="1122"/>
      <c r="AI89" s="1122"/>
      <c r="AJ89" s="1122"/>
      <c r="AK89" s="1122"/>
      <c r="AL89" s="1122"/>
      <c r="AM89" s="1122"/>
      <c r="AN89" s="1122"/>
      <c r="AO89" s="1122"/>
      <c r="AP89" s="1122"/>
      <c r="AQ89" s="1122"/>
      <c r="AR89" s="1122"/>
      <c r="AS89" s="1122"/>
      <c r="AT89" s="1122"/>
      <c r="AU89" s="1122"/>
      <c r="AV89" s="1122"/>
      <c r="AW89" s="1122"/>
      <c r="AX89" s="1122"/>
      <c r="AY89" s="1122"/>
      <c r="AZ89" s="1122"/>
      <c r="BA89" s="1122"/>
      <c r="BB89" s="1122"/>
      <c r="BC89" s="1122"/>
      <c r="BD89" s="1122"/>
      <c r="BE89" s="1122"/>
      <c r="BF89" s="1122"/>
      <c r="BG89" s="1122"/>
      <c r="BH89" s="1122"/>
      <c r="BI89" s="1122"/>
      <c r="BJ89" s="1122"/>
      <c r="BK89" s="1122"/>
      <c r="BL89" s="1122"/>
      <c r="BM89" s="1122"/>
      <c r="BN89" s="1122"/>
      <c r="BO89" s="1122"/>
      <c r="BP89" s="1122"/>
      <c r="BQ89" s="1122"/>
      <c r="BR89" s="1122"/>
      <c r="BS89" s="1122"/>
      <c r="BT89" s="1122"/>
      <c r="BU89" s="1122"/>
      <c r="BV89" s="1122"/>
      <c r="BW89" s="1122"/>
      <c r="BX89" s="1122"/>
      <c r="BY89" s="1122"/>
      <c r="BZ89" s="1122"/>
      <c r="CA89" s="1122"/>
      <c r="CB89" s="1122"/>
      <c r="CC89" s="1122"/>
      <c r="CD89" s="1122"/>
      <c r="CE89" s="1122"/>
      <c r="CF89" s="1122"/>
      <c r="CG89" s="1122"/>
      <c r="CH89" s="1122"/>
      <c r="CI89" s="1122"/>
      <c r="CJ89" s="1122"/>
      <c r="CK89" s="1122"/>
      <c r="CL89" s="1122"/>
      <c r="CM89" s="1122"/>
      <c r="CN89" s="1122"/>
      <c r="CO89" s="1122"/>
      <c r="CP89" s="1122"/>
      <c r="CQ89" s="1122"/>
      <c r="CR89" s="1122"/>
      <c r="CS89" s="1122"/>
      <c r="CT89" s="1122"/>
      <c r="CU89" s="1122"/>
      <c r="CV89" s="1122"/>
      <c r="CW89" s="1122"/>
      <c r="CX89" s="1122"/>
      <c r="CY89" s="1122"/>
      <c r="CZ89" s="1122"/>
      <c r="DA89" s="1122"/>
      <c r="DB89" s="1122"/>
      <c r="DC89" s="1122"/>
      <c r="DD89" s="1122"/>
      <c r="DE89" s="1122"/>
      <c r="DF89" s="1122"/>
      <c r="DG89" s="1122"/>
      <c r="DH89" s="1122"/>
      <c r="DI89" s="1122"/>
      <c r="DJ89" s="1122"/>
      <c r="DK89" s="1122"/>
      <c r="DL89" s="1122"/>
      <c r="DM89" s="1122"/>
      <c r="DN89" s="1122"/>
      <c r="DO89" s="1122"/>
      <c r="DP89" s="1122"/>
      <c r="DQ89" s="1122"/>
      <c r="DR89" s="1122"/>
      <c r="DS89" s="1122"/>
      <c r="DT89" s="1122"/>
      <c r="DU89" s="1122"/>
      <c r="DV89" s="1122"/>
      <c r="DW89" s="1122"/>
      <c r="DX89" s="1122"/>
      <c r="DY89" s="1122"/>
      <c r="DZ89" s="1122"/>
      <c r="EA89" s="1122"/>
      <c r="EB89" s="1122"/>
      <c r="EC89" s="1122"/>
      <c r="ED89" s="1122"/>
      <c r="EE89" s="1122"/>
      <c r="EF89" s="1122"/>
      <c r="EG89" s="1122"/>
      <c r="EH89" s="1122"/>
      <c r="EI89" s="1122"/>
      <c r="EJ89" s="1122"/>
      <c r="EK89" s="1122"/>
      <c r="EL89" s="1122"/>
      <c r="EM89" s="1122"/>
      <c r="EN89" s="1122"/>
      <c r="EO89" s="1122"/>
      <c r="EP89" s="1122"/>
      <c r="EQ89" s="1122"/>
      <c r="ER89" s="1122"/>
      <c r="ES89" s="1122"/>
      <c r="ET89" s="1122"/>
      <c r="EU89" s="1122"/>
      <c r="EV89" s="1122"/>
      <c r="EW89" s="1122"/>
      <c r="EX89" s="1122"/>
      <c r="EY89" s="1122"/>
      <c r="EZ89" s="1122"/>
      <c r="FA89" s="1122"/>
      <c r="FB89" s="1122"/>
      <c r="FC89" s="1122"/>
      <c r="FD89" s="1122"/>
      <c r="FE89" s="1122"/>
      <c r="FF89" s="1122"/>
      <c r="FG89" s="1122"/>
      <c r="FH89" s="1122"/>
      <c r="FI89" s="1122"/>
      <c r="FJ89" s="1122"/>
      <c r="FK89" s="1122"/>
      <c r="FL89" s="1122"/>
      <c r="FM89" s="1122"/>
      <c r="FN89" s="1122"/>
      <c r="FO89" s="1122"/>
      <c r="FP89" s="1122"/>
      <c r="FQ89" s="1122"/>
      <c r="FR89" s="1122"/>
      <c r="FS89" s="1122"/>
      <c r="FT89" s="1122"/>
      <c r="FU89" s="1122"/>
      <c r="FV89" s="1122"/>
      <c r="FW89" s="1122"/>
      <c r="FX89" s="1122"/>
      <c r="FY89" s="1122"/>
      <c r="FZ89" s="1122"/>
      <c r="GA89" s="1122"/>
      <c r="GB89" s="1122"/>
      <c r="GC89" s="1122"/>
      <c r="GD89" s="1122"/>
      <c r="GE89" s="1122"/>
      <c r="GF89" s="1122"/>
      <c r="GG89" s="1122"/>
      <c r="GH89" s="1122"/>
      <c r="GI89" s="1122"/>
      <c r="GJ89" s="1122"/>
      <c r="GK89" s="1122"/>
      <c r="GL89" s="1122"/>
      <c r="GM89" s="1122"/>
      <c r="GN89" s="1122"/>
      <c r="GO89" s="1122"/>
      <c r="GP89" s="1122"/>
      <c r="GQ89" s="1122"/>
      <c r="GR89" s="1122"/>
      <c r="GS89" s="1122"/>
      <c r="GT89" s="1122"/>
      <c r="GU89" s="1122"/>
      <c r="GV89" s="1122"/>
      <c r="GW89" s="1122"/>
      <c r="GX89" s="1122"/>
      <c r="GY89" s="1122"/>
      <c r="GZ89" s="1122"/>
      <c r="HA89" s="1122"/>
      <c r="HB89" s="1122"/>
      <c r="HC89" s="1122"/>
      <c r="HD89" s="1122"/>
      <c r="HE89" s="1122"/>
      <c r="HF89" s="1122"/>
      <c r="HG89" s="1122"/>
      <c r="HH89" s="1122"/>
      <c r="HI89" s="1122"/>
      <c r="HJ89" s="1122"/>
      <c r="HK89" s="1122"/>
      <c r="HL89" s="1122"/>
      <c r="HM89" s="1122"/>
      <c r="HN89" s="1122"/>
      <c r="HO89" s="1122"/>
      <c r="HP89" s="1122"/>
      <c r="HQ89" s="1122"/>
      <c r="HR89" s="1122"/>
      <c r="HS89" s="1122"/>
      <c r="HT89" s="1122"/>
      <c r="HU89" s="1122"/>
      <c r="HV89" s="1122"/>
      <c r="HW89" s="1122"/>
      <c r="HX89" s="1122"/>
      <c r="HY89" s="1122"/>
      <c r="HZ89" s="1122"/>
      <c r="IA89" s="1122"/>
      <c r="IB89" s="1122"/>
      <c r="IC89" s="1122"/>
      <c r="ID89" s="1122"/>
      <c r="IE89" s="1122"/>
      <c r="IF89" s="1122"/>
      <c r="IG89" s="1122"/>
      <c r="IH89" s="1122"/>
      <c r="II89" s="1122"/>
      <c r="IJ89" s="1122"/>
      <c r="IK89" s="1122"/>
      <c r="IL89" s="1122"/>
      <c r="IM89" s="1122"/>
      <c r="IN89" s="1122"/>
      <c r="IO89" s="1122"/>
      <c r="IP89" s="1122"/>
      <c r="IQ89" s="1122"/>
      <c r="IR89" s="1122"/>
      <c r="IS89" s="1122"/>
      <c r="IT89" s="1122"/>
      <c r="IU89" s="1122"/>
      <c r="IV89" s="1122"/>
    </row>
    <row r="90" spans="1:256" s="1305" customFormat="1" ht="15" customHeight="1">
      <c r="A90" s="1114"/>
      <c r="B90" s="1114"/>
      <c r="C90" s="1124" t="s">
        <v>4718</v>
      </c>
      <c r="D90" s="1124"/>
      <c r="E90" s="1115"/>
      <c r="F90" s="1115"/>
      <c r="G90" s="1119"/>
      <c r="H90" s="1119"/>
      <c r="I90" s="1119"/>
      <c r="J90" s="1119"/>
      <c r="K90" s="1119"/>
      <c r="L90" s="1383" t="s">
        <v>4719</v>
      </c>
    </row>
    <row r="91" spans="1:256" s="1305" customFormat="1" ht="15" customHeight="1">
      <c r="A91" s="1114"/>
      <c r="B91" s="1114"/>
      <c r="C91" s="1384" t="s">
        <v>4030</v>
      </c>
      <c r="D91" s="1384"/>
      <c r="E91" s="1115"/>
      <c r="F91" s="1115"/>
      <c r="G91" s="1119"/>
      <c r="H91" s="1119"/>
      <c r="I91" s="1119"/>
      <c r="J91" s="1119"/>
      <c r="K91" s="1119"/>
      <c r="L91" s="1121"/>
    </row>
    <row r="92" spans="1:256" s="1305" customFormat="1" ht="15" customHeight="1">
      <c r="A92" s="1385"/>
      <c r="B92" s="1386"/>
      <c r="C92" s="1386"/>
      <c r="D92" s="2826"/>
      <c r="E92" s="2826" t="s">
        <v>4043</v>
      </c>
      <c r="F92" s="1387" t="s">
        <v>3979</v>
      </c>
      <c r="G92" s="1388" t="str">
        <f t="shared" ref="G92:L92" si="46">+G5</f>
        <v>工事１</v>
      </c>
      <c r="H92" s="1388" t="str">
        <f t="shared" si="46"/>
        <v>工事２</v>
      </c>
      <c r="I92" s="1388" t="str">
        <f t="shared" si="46"/>
        <v>工事３</v>
      </c>
      <c r="J92" s="1388" t="str">
        <f t="shared" si="46"/>
        <v>工事４</v>
      </c>
      <c r="K92" s="1388" t="str">
        <f t="shared" si="46"/>
        <v>工事５</v>
      </c>
      <c r="L92" s="1389" t="str">
        <f t="shared" si="46"/>
        <v>工事６</v>
      </c>
    </row>
    <row r="93" spans="1:256" s="1305" customFormat="1" ht="14.25" customHeight="1">
      <c r="A93" s="2828" t="s">
        <v>4031</v>
      </c>
      <c r="B93" s="2829"/>
      <c r="C93" s="2829"/>
      <c r="D93" s="2827"/>
      <c r="E93" s="2827"/>
      <c r="F93" s="1390"/>
      <c r="G93" s="1391"/>
      <c r="H93" s="1391"/>
      <c r="I93" s="1391"/>
      <c r="J93" s="1391"/>
      <c r="K93" s="1391"/>
      <c r="L93" s="1392"/>
    </row>
    <row r="94" spans="1:256" s="1305" customFormat="1" ht="15" customHeight="1">
      <c r="A94" s="1393"/>
      <c r="B94" s="1394" t="s">
        <v>4720</v>
      </c>
      <c r="C94" s="1395"/>
      <c r="D94" s="1388"/>
      <c r="E94" s="1396"/>
      <c r="F94" s="1397">
        <f>SUM(G94:L94)</f>
        <v>0</v>
      </c>
      <c r="G94" s="1398">
        <f t="shared" ref="G94:L94" si="47">SUM(G37:G40)</f>
        <v>0</v>
      </c>
      <c r="H94" s="1398">
        <f t="shared" si="47"/>
        <v>0</v>
      </c>
      <c r="I94" s="1398">
        <f t="shared" si="47"/>
        <v>0</v>
      </c>
      <c r="J94" s="1398">
        <f t="shared" si="47"/>
        <v>0</v>
      </c>
      <c r="K94" s="1398">
        <f t="shared" si="47"/>
        <v>0</v>
      </c>
      <c r="L94" s="1398">
        <f t="shared" si="47"/>
        <v>0</v>
      </c>
    </row>
    <row r="95" spans="1:256" s="1305" customFormat="1" ht="15" customHeight="1">
      <c r="A95" s="1399"/>
      <c r="B95" s="2801" t="s">
        <v>3981</v>
      </c>
      <c r="C95" s="1214" t="s">
        <v>3982</v>
      </c>
      <c r="D95" s="1388"/>
      <c r="E95" s="1400" t="s">
        <v>4721</v>
      </c>
      <c r="F95" s="1397">
        <f>SUM(G95:L95)</f>
        <v>0</v>
      </c>
      <c r="G95" s="1401">
        <f t="shared" ref="G95:L95" si="48">+G37</f>
        <v>0</v>
      </c>
      <c r="H95" s="1401">
        <f t="shared" si="48"/>
        <v>0</v>
      </c>
      <c r="I95" s="1401">
        <f t="shared" si="48"/>
        <v>0</v>
      </c>
      <c r="J95" s="1401">
        <f t="shared" si="48"/>
        <v>0</v>
      </c>
      <c r="K95" s="1401">
        <f t="shared" si="48"/>
        <v>0</v>
      </c>
      <c r="L95" s="1402">
        <f t="shared" si="48"/>
        <v>0</v>
      </c>
    </row>
    <row r="96" spans="1:256" s="1305" customFormat="1" ht="15" customHeight="1">
      <c r="A96" s="1403"/>
      <c r="B96" s="2802"/>
      <c r="C96" s="1276" t="s">
        <v>3983</v>
      </c>
      <c r="D96" s="1404"/>
      <c r="E96" s="1405" t="s">
        <v>4721</v>
      </c>
      <c r="F96" s="1406">
        <f>SUM(G96:L96)</f>
        <v>0</v>
      </c>
      <c r="G96" s="1285">
        <f t="shared" ref="G96:L97" si="49">G38</f>
        <v>0</v>
      </c>
      <c r="H96" s="1285">
        <f t="shared" si="49"/>
        <v>0</v>
      </c>
      <c r="I96" s="1285">
        <f t="shared" si="49"/>
        <v>0</v>
      </c>
      <c r="J96" s="1285">
        <f t="shared" si="49"/>
        <v>0</v>
      </c>
      <c r="K96" s="1285">
        <f t="shared" si="49"/>
        <v>0</v>
      </c>
      <c r="L96" s="1286">
        <f t="shared" si="49"/>
        <v>0</v>
      </c>
    </row>
    <row r="97" spans="1:12" s="1305" customFormat="1" ht="15" customHeight="1">
      <c r="A97" s="1403"/>
      <c r="B97" s="2802"/>
      <c r="C97" s="1276" t="s">
        <v>4722</v>
      </c>
      <c r="D97" s="1404"/>
      <c r="E97" s="1405" t="s">
        <v>4721</v>
      </c>
      <c r="F97" s="1406">
        <f>SUM(G97:L97)</f>
        <v>0</v>
      </c>
      <c r="G97" s="1285">
        <f t="shared" si="49"/>
        <v>0</v>
      </c>
      <c r="H97" s="1285">
        <f t="shared" si="49"/>
        <v>0</v>
      </c>
      <c r="I97" s="1285">
        <f t="shared" si="49"/>
        <v>0</v>
      </c>
      <c r="J97" s="1285">
        <f t="shared" si="49"/>
        <v>0</v>
      </c>
      <c r="K97" s="1285">
        <f t="shared" si="49"/>
        <v>0</v>
      </c>
      <c r="L97" s="1286">
        <f t="shared" si="49"/>
        <v>0</v>
      </c>
    </row>
    <row r="98" spans="1:12" s="1305" customFormat="1" ht="15" customHeight="1">
      <c r="A98" s="1403"/>
      <c r="B98" s="2803"/>
      <c r="C98" s="1407" t="s">
        <v>4692</v>
      </c>
      <c r="D98" s="1404"/>
      <c r="E98" s="1405" t="s">
        <v>4721</v>
      </c>
      <c r="F98" s="1277">
        <f>F88</f>
        <v>0</v>
      </c>
      <c r="G98" s="1277">
        <f t="shared" ref="G98:L98" si="50">G88</f>
        <v>0</v>
      </c>
      <c r="H98" s="1277">
        <f t="shared" si="50"/>
        <v>0</v>
      </c>
      <c r="I98" s="1277">
        <f t="shared" si="50"/>
        <v>0</v>
      </c>
      <c r="J98" s="1277">
        <f t="shared" si="50"/>
        <v>0</v>
      </c>
      <c r="K98" s="1277">
        <f t="shared" si="50"/>
        <v>0</v>
      </c>
      <c r="L98" s="1278">
        <f t="shared" si="50"/>
        <v>0</v>
      </c>
    </row>
    <row r="99" spans="1:12" s="1305" customFormat="1" ht="15" customHeight="1">
      <c r="A99" s="1403"/>
      <c r="B99" s="2804" t="s">
        <v>4693</v>
      </c>
      <c r="C99" s="1408" t="s">
        <v>4694</v>
      </c>
      <c r="D99" s="1404"/>
      <c r="E99" s="1289">
        <v>0.2</v>
      </c>
      <c r="F99" s="1285">
        <f t="shared" ref="F99:F104" si="51">INT(F41/(1+$E99))</f>
        <v>0</v>
      </c>
      <c r="G99" s="1285">
        <f t="shared" ref="G99:G104" si="52">F99-SUM(H99:L99)</f>
        <v>0</v>
      </c>
      <c r="H99" s="1285">
        <f>INT(H41/(1+$E99))</f>
        <v>0</v>
      </c>
      <c r="I99" s="1285">
        <f>INT(I41/(1+$E99))</f>
        <v>0</v>
      </c>
      <c r="J99" s="1285">
        <f>INT(J41/(1+$E99))</f>
        <v>0</v>
      </c>
      <c r="K99" s="1285">
        <f>INT(K41/(1+$E99))</f>
        <v>0</v>
      </c>
      <c r="L99" s="1286">
        <f>INT(L41/(1+$E99))</f>
        <v>0</v>
      </c>
    </row>
    <row r="100" spans="1:12" s="1305" customFormat="1" ht="15" customHeight="1">
      <c r="A100" s="1403"/>
      <c r="B100" s="2830"/>
      <c r="C100" s="1276" t="s">
        <v>4712</v>
      </c>
      <c r="D100" s="1404"/>
      <c r="E100" s="1289">
        <v>0.2</v>
      </c>
      <c r="F100" s="1285">
        <f t="shared" si="51"/>
        <v>0</v>
      </c>
      <c r="G100" s="1285">
        <f t="shared" si="52"/>
        <v>0</v>
      </c>
      <c r="H100" s="1285">
        <f t="shared" ref="H100:L104" si="53">IF(H42=0,0,ROUND($F100/$F42*H42,0))</f>
        <v>0</v>
      </c>
      <c r="I100" s="1285">
        <f t="shared" si="53"/>
        <v>0</v>
      </c>
      <c r="J100" s="1285">
        <f t="shared" si="53"/>
        <v>0</v>
      </c>
      <c r="K100" s="1285">
        <f t="shared" si="53"/>
        <v>0</v>
      </c>
      <c r="L100" s="1286">
        <f t="shared" si="53"/>
        <v>0</v>
      </c>
    </row>
    <row r="101" spans="1:12" s="1305" customFormat="1" ht="15" customHeight="1">
      <c r="A101" s="1403"/>
      <c r="B101" s="2830"/>
      <c r="C101" s="1283" t="s">
        <v>4723</v>
      </c>
      <c r="D101" s="1404"/>
      <c r="E101" s="1409">
        <v>0.15</v>
      </c>
      <c r="F101" s="1285">
        <f t="shared" si="51"/>
        <v>0</v>
      </c>
      <c r="G101" s="1285">
        <f t="shared" si="52"/>
        <v>0</v>
      </c>
      <c r="H101" s="1285">
        <f t="shared" si="53"/>
        <v>0</v>
      </c>
      <c r="I101" s="1285">
        <f t="shared" si="53"/>
        <v>0</v>
      </c>
      <c r="J101" s="1285">
        <f t="shared" si="53"/>
        <v>0</v>
      </c>
      <c r="K101" s="1285">
        <f t="shared" si="53"/>
        <v>0</v>
      </c>
      <c r="L101" s="1286">
        <f t="shared" si="53"/>
        <v>0</v>
      </c>
    </row>
    <row r="102" spans="1:12" s="1305" customFormat="1" ht="15" customHeight="1">
      <c r="A102" s="1403"/>
      <c r="B102" s="2830"/>
      <c r="C102" s="1276" t="s">
        <v>4714</v>
      </c>
      <c r="D102" s="1404"/>
      <c r="E102" s="1289">
        <v>0.2</v>
      </c>
      <c r="F102" s="1285">
        <f t="shared" si="51"/>
        <v>0</v>
      </c>
      <c r="G102" s="1285">
        <f t="shared" si="52"/>
        <v>0</v>
      </c>
      <c r="H102" s="1285">
        <f t="shared" si="53"/>
        <v>0</v>
      </c>
      <c r="I102" s="1285">
        <f t="shared" si="53"/>
        <v>0</v>
      </c>
      <c r="J102" s="1285">
        <f t="shared" si="53"/>
        <v>0</v>
      </c>
      <c r="K102" s="1285">
        <f t="shared" si="53"/>
        <v>0</v>
      </c>
      <c r="L102" s="1286">
        <f t="shared" si="53"/>
        <v>0</v>
      </c>
    </row>
    <row r="103" spans="1:12" s="1305" customFormat="1" ht="15" customHeight="1">
      <c r="A103" s="1403"/>
      <c r="B103" s="2830"/>
      <c r="C103" s="1276" t="s">
        <v>4715</v>
      </c>
      <c r="D103" s="1404"/>
      <c r="E103" s="1289">
        <v>0.2</v>
      </c>
      <c r="F103" s="1285">
        <f t="shared" si="51"/>
        <v>0</v>
      </c>
      <c r="G103" s="1285">
        <f t="shared" si="52"/>
        <v>0</v>
      </c>
      <c r="H103" s="1285">
        <f t="shared" si="53"/>
        <v>0</v>
      </c>
      <c r="I103" s="1285">
        <f t="shared" si="53"/>
        <v>0</v>
      </c>
      <c r="J103" s="1285">
        <f t="shared" si="53"/>
        <v>0</v>
      </c>
      <c r="K103" s="1285">
        <f t="shared" si="53"/>
        <v>0</v>
      </c>
      <c r="L103" s="1286">
        <f t="shared" si="53"/>
        <v>0</v>
      </c>
    </row>
    <row r="104" spans="1:12" s="1305" customFormat="1" ht="15" customHeight="1">
      <c r="A104" s="1403"/>
      <c r="B104" s="2830"/>
      <c r="C104" s="1276" t="s">
        <v>4699</v>
      </c>
      <c r="D104" s="1404"/>
      <c r="E104" s="1289">
        <v>0.2</v>
      </c>
      <c r="F104" s="1285">
        <f t="shared" si="51"/>
        <v>0</v>
      </c>
      <c r="G104" s="1285">
        <f t="shared" si="52"/>
        <v>0</v>
      </c>
      <c r="H104" s="1285">
        <f t="shared" si="53"/>
        <v>0</v>
      </c>
      <c r="I104" s="1285">
        <f t="shared" si="53"/>
        <v>0</v>
      </c>
      <c r="J104" s="1285">
        <f t="shared" si="53"/>
        <v>0</v>
      </c>
      <c r="K104" s="1285">
        <f t="shared" si="53"/>
        <v>0</v>
      </c>
      <c r="L104" s="1286">
        <f t="shared" si="53"/>
        <v>0</v>
      </c>
    </row>
    <row r="105" spans="1:12" s="1305" customFormat="1" ht="15" customHeight="1">
      <c r="A105" s="1403"/>
      <c r="B105" s="2830"/>
      <c r="C105" s="1276"/>
      <c r="D105" s="1404"/>
      <c r="E105" s="1289"/>
      <c r="F105" s="1406"/>
      <c r="G105" s="1285"/>
      <c r="H105" s="1285"/>
      <c r="I105" s="1285"/>
      <c r="J105" s="1285"/>
      <c r="K105" s="1285"/>
      <c r="L105" s="1286"/>
    </row>
    <row r="106" spans="1:12" s="1305" customFormat="1" ht="15" customHeight="1">
      <c r="A106" s="1403"/>
      <c r="B106" s="2817"/>
      <c r="C106" s="1276"/>
      <c r="D106" s="1404"/>
      <c r="E106" s="1289"/>
      <c r="F106" s="1406"/>
      <c r="G106" s="1285"/>
      <c r="H106" s="1285"/>
      <c r="I106" s="1285"/>
      <c r="J106" s="1285"/>
      <c r="K106" s="1285"/>
      <c r="L106" s="1286"/>
    </row>
    <row r="107" spans="1:12" s="1305" customFormat="1" ht="15" customHeight="1">
      <c r="A107" s="1403"/>
      <c r="B107" s="2804" t="s">
        <v>335</v>
      </c>
      <c r="C107" s="1276" t="s">
        <v>4700</v>
      </c>
      <c r="D107" s="1404"/>
      <c r="E107" s="1289">
        <v>0.02</v>
      </c>
      <c r="F107" s="1406">
        <f>SUM(G107:L107)</f>
        <v>0</v>
      </c>
      <c r="G107" s="1285">
        <f>+G49</f>
        <v>0</v>
      </c>
      <c r="H107" s="1285">
        <f t="shared" ref="H107:L109" si="54">+H49</f>
        <v>0</v>
      </c>
      <c r="I107" s="1285">
        <f t="shared" si="54"/>
        <v>0</v>
      </c>
      <c r="J107" s="1285">
        <f t="shared" si="54"/>
        <v>0</v>
      </c>
      <c r="K107" s="1285">
        <f t="shared" si="54"/>
        <v>0</v>
      </c>
      <c r="L107" s="1285">
        <f t="shared" si="54"/>
        <v>0</v>
      </c>
    </row>
    <row r="108" spans="1:12" s="1305" customFormat="1" ht="15" customHeight="1">
      <c r="A108" s="1403"/>
      <c r="B108" s="2802"/>
      <c r="C108" s="1291" t="s">
        <v>4724</v>
      </c>
      <c r="D108" s="1404"/>
      <c r="E108" s="1289">
        <v>0.02</v>
      </c>
      <c r="F108" s="1406">
        <f>SUM(G108:L108)</f>
        <v>0</v>
      </c>
      <c r="G108" s="1285">
        <f>+G50</f>
        <v>0</v>
      </c>
      <c r="H108" s="1285">
        <f t="shared" si="54"/>
        <v>0</v>
      </c>
      <c r="I108" s="1285">
        <f t="shared" si="54"/>
        <v>0</v>
      </c>
      <c r="J108" s="1285">
        <f t="shared" si="54"/>
        <v>0</v>
      </c>
      <c r="K108" s="1285">
        <f t="shared" si="54"/>
        <v>0</v>
      </c>
      <c r="L108" s="1285">
        <f t="shared" si="54"/>
        <v>0</v>
      </c>
    </row>
    <row r="109" spans="1:12" s="1305" customFormat="1" ht="15" customHeight="1">
      <c r="A109" s="1403"/>
      <c r="B109" s="2803"/>
      <c r="C109" s="1291" t="s">
        <v>4725</v>
      </c>
      <c r="D109" s="1404"/>
      <c r="E109" s="1289">
        <v>0.02</v>
      </c>
      <c r="F109" s="1406">
        <f>SUM(G109:L109)</f>
        <v>0</v>
      </c>
      <c r="G109" s="1285">
        <f>+G51</f>
        <v>0</v>
      </c>
      <c r="H109" s="1285">
        <f t="shared" si="54"/>
        <v>0</v>
      </c>
      <c r="I109" s="1285">
        <f t="shared" si="54"/>
        <v>0</v>
      </c>
      <c r="J109" s="1285">
        <f t="shared" si="54"/>
        <v>0</v>
      </c>
      <c r="K109" s="1285">
        <f t="shared" si="54"/>
        <v>0</v>
      </c>
      <c r="L109" s="1285">
        <f t="shared" si="54"/>
        <v>0</v>
      </c>
    </row>
    <row r="110" spans="1:12" s="1305" customFormat="1" ht="15" customHeight="1">
      <c r="A110" s="1403"/>
      <c r="B110" s="1410" t="s">
        <v>4016</v>
      </c>
      <c r="C110" s="1411" t="s">
        <v>4726</v>
      </c>
      <c r="D110" s="1404"/>
      <c r="E110" s="1289">
        <v>0</v>
      </c>
      <c r="F110" s="1406">
        <f>SUM(G110:L110)</f>
        <v>0</v>
      </c>
      <c r="G110" s="1412">
        <f t="shared" ref="G110:L110" si="55">SUM(G52:G58)</f>
        <v>0</v>
      </c>
      <c r="H110" s="1412">
        <f t="shared" si="55"/>
        <v>0</v>
      </c>
      <c r="I110" s="1412">
        <f t="shared" si="55"/>
        <v>0</v>
      </c>
      <c r="J110" s="1412">
        <f t="shared" si="55"/>
        <v>0</v>
      </c>
      <c r="K110" s="1412">
        <f t="shared" si="55"/>
        <v>0</v>
      </c>
      <c r="L110" s="1412">
        <f t="shared" si="55"/>
        <v>0</v>
      </c>
    </row>
    <row r="111" spans="1:12" s="1305" customFormat="1" ht="15" customHeight="1">
      <c r="A111" s="1413" t="s">
        <v>4727</v>
      </c>
      <c r="B111" s="1414"/>
      <c r="C111" s="1414"/>
      <c r="D111" s="1415"/>
      <c r="E111" s="1416" t="s">
        <v>4728</v>
      </c>
      <c r="F111" s="1417"/>
      <c r="G111" s="1418"/>
      <c r="H111" s="1418"/>
      <c r="I111" s="1418"/>
      <c r="J111" s="1418"/>
      <c r="K111" s="1418"/>
      <c r="L111" s="1419"/>
    </row>
    <row r="112" spans="1:12" s="1305" customFormat="1" ht="15" customHeight="1">
      <c r="A112" s="1399"/>
      <c r="B112" s="2801" t="s">
        <v>3981</v>
      </c>
      <c r="C112" s="1420" t="s">
        <v>3982</v>
      </c>
      <c r="D112" s="923"/>
      <c r="E112" s="924" t="s">
        <v>4011</v>
      </c>
      <c r="F112" s="1421" t="s">
        <v>4019</v>
      </c>
      <c r="G112" s="926">
        <f t="shared" ref="G112:L112" si="56">IF(G95=0,0,+G198/100)</f>
        <v>0</v>
      </c>
      <c r="H112" s="926">
        <f t="shared" si="56"/>
        <v>0</v>
      </c>
      <c r="I112" s="926">
        <f t="shared" si="56"/>
        <v>0</v>
      </c>
      <c r="J112" s="926">
        <f t="shared" si="56"/>
        <v>0</v>
      </c>
      <c r="K112" s="926">
        <f t="shared" si="56"/>
        <v>0</v>
      </c>
      <c r="L112" s="927">
        <f t="shared" si="56"/>
        <v>0</v>
      </c>
    </row>
    <row r="113" spans="1:12" s="1305" customFormat="1" ht="15" customHeight="1">
      <c r="A113" s="1403"/>
      <c r="B113" s="2802"/>
      <c r="C113" s="1422"/>
      <c r="D113" s="1423">
        <v>1</v>
      </c>
      <c r="E113" s="930" t="s">
        <v>4011</v>
      </c>
      <c r="F113" s="1192">
        <f>SUM(G113:L113)</f>
        <v>0</v>
      </c>
      <c r="G113" s="1424">
        <f t="shared" ref="G113:L113" si="57">ROUNDDOWN(G95*G112*$D113,0)</f>
        <v>0</v>
      </c>
      <c r="H113" s="1424">
        <f t="shared" si="57"/>
        <v>0</v>
      </c>
      <c r="I113" s="1424">
        <f t="shared" si="57"/>
        <v>0</v>
      </c>
      <c r="J113" s="1424">
        <f t="shared" si="57"/>
        <v>0</v>
      </c>
      <c r="K113" s="1424">
        <f t="shared" si="57"/>
        <v>0</v>
      </c>
      <c r="L113" s="1425">
        <f t="shared" si="57"/>
        <v>0</v>
      </c>
    </row>
    <row r="114" spans="1:12" s="1305" customFormat="1" ht="15" customHeight="1">
      <c r="A114" s="1403"/>
      <c r="B114" s="2802"/>
      <c r="C114" s="1426" t="s">
        <v>3983</v>
      </c>
      <c r="D114" s="1196"/>
      <c r="E114" s="930" t="s">
        <v>4011</v>
      </c>
      <c r="F114" s="1427" t="s">
        <v>4019</v>
      </c>
      <c r="G114" s="1428">
        <f t="shared" ref="G114:L114" si="58">IF(G96=0,0,+G206/100)</f>
        <v>0</v>
      </c>
      <c r="H114" s="1428">
        <f t="shared" si="58"/>
        <v>0</v>
      </c>
      <c r="I114" s="1428">
        <f t="shared" si="58"/>
        <v>0</v>
      </c>
      <c r="J114" s="1428">
        <f t="shared" si="58"/>
        <v>0</v>
      </c>
      <c r="K114" s="1428">
        <f t="shared" si="58"/>
        <v>0</v>
      </c>
      <c r="L114" s="1429">
        <f t="shared" si="58"/>
        <v>0</v>
      </c>
    </row>
    <row r="115" spans="1:12" s="1305" customFormat="1" ht="15" customHeight="1">
      <c r="A115" s="1403"/>
      <c r="B115" s="2830"/>
      <c r="C115" s="1422"/>
      <c r="D115" s="1423">
        <v>1</v>
      </c>
      <c r="E115" s="930" t="s">
        <v>4011</v>
      </c>
      <c r="F115" s="1192">
        <f>SUM(G115:L115)</f>
        <v>0</v>
      </c>
      <c r="G115" s="1424">
        <f t="shared" ref="G115:L115" si="59">IF(G4="改修",ROUNDDOWN(G96*G114*$D115,0),0)</f>
        <v>0</v>
      </c>
      <c r="H115" s="1424">
        <f t="shared" si="59"/>
        <v>0</v>
      </c>
      <c r="I115" s="1424">
        <f t="shared" si="59"/>
        <v>0</v>
      </c>
      <c r="J115" s="1424">
        <f t="shared" si="59"/>
        <v>0</v>
      </c>
      <c r="K115" s="1424">
        <f t="shared" si="59"/>
        <v>0</v>
      </c>
      <c r="L115" s="1425">
        <f t="shared" si="59"/>
        <v>0</v>
      </c>
    </row>
    <row r="116" spans="1:12" s="1305" customFormat="1" ht="15" customHeight="1">
      <c r="A116" s="1403"/>
      <c r="B116" s="2830"/>
      <c r="C116" s="1430" t="s">
        <v>4729</v>
      </c>
      <c r="D116" s="1431"/>
      <c r="E116" s="1432"/>
      <c r="F116" s="1433" t="s">
        <v>4019</v>
      </c>
      <c r="G116" s="1434">
        <f>IF(G98=0,0,IF(G4="改修",G206/100,G198/100))</f>
        <v>0</v>
      </c>
      <c r="H116" s="1434">
        <f t="shared" ref="H116:L116" si="60">IF(H98=0,0,IF(H4="改修",H206/100,H198/100))</f>
        <v>0</v>
      </c>
      <c r="I116" s="1434">
        <f t="shared" si="60"/>
        <v>0</v>
      </c>
      <c r="J116" s="1434">
        <f t="shared" si="60"/>
        <v>0</v>
      </c>
      <c r="K116" s="1434">
        <f t="shared" si="60"/>
        <v>0</v>
      </c>
      <c r="L116" s="1435">
        <f t="shared" si="60"/>
        <v>0</v>
      </c>
    </row>
    <row r="117" spans="1:12" s="1305" customFormat="1" ht="15" customHeight="1">
      <c r="A117" s="1403"/>
      <c r="B117" s="2830"/>
      <c r="C117" s="1436" t="s">
        <v>4730</v>
      </c>
      <c r="D117" s="1437"/>
      <c r="E117" s="1432"/>
      <c r="F117" s="1433"/>
      <c r="G117" s="1271">
        <f t="shared" ref="G117:L117" si="61">ROUND(G97*G116,0)</f>
        <v>0</v>
      </c>
      <c r="H117" s="1271">
        <f t="shared" si="61"/>
        <v>0</v>
      </c>
      <c r="I117" s="1271">
        <f t="shared" si="61"/>
        <v>0</v>
      </c>
      <c r="J117" s="1271">
        <f t="shared" si="61"/>
        <v>0</v>
      </c>
      <c r="K117" s="1271">
        <f t="shared" si="61"/>
        <v>0</v>
      </c>
      <c r="L117" s="1272">
        <f t="shared" si="61"/>
        <v>0</v>
      </c>
    </row>
    <row r="118" spans="1:12" s="1305" customFormat="1" ht="15" customHeight="1">
      <c r="A118" s="1403"/>
      <c r="B118" s="2832"/>
      <c r="C118" s="1438" t="s">
        <v>4731</v>
      </c>
      <c r="D118" s="1439"/>
      <c r="E118" s="1440"/>
      <c r="F118" s="1441">
        <f>SUM(G118:L118)</f>
        <v>0</v>
      </c>
      <c r="G118" s="1279">
        <f t="shared" ref="G118:L118" si="62">ROUND(G98*G116,0)</f>
        <v>0</v>
      </c>
      <c r="H118" s="1279">
        <f t="shared" si="62"/>
        <v>0</v>
      </c>
      <c r="I118" s="1279">
        <f t="shared" si="62"/>
        <v>0</v>
      </c>
      <c r="J118" s="1279">
        <f t="shared" si="62"/>
        <v>0</v>
      </c>
      <c r="K118" s="1279">
        <f t="shared" si="62"/>
        <v>0</v>
      </c>
      <c r="L118" s="1280">
        <f t="shared" si="62"/>
        <v>0</v>
      </c>
    </row>
    <row r="119" spans="1:12" s="1305" customFormat="1" ht="15" customHeight="1">
      <c r="A119" s="1403"/>
      <c r="B119" s="2804" t="s">
        <v>4693</v>
      </c>
      <c r="C119" s="1276" t="str">
        <f>+C99</f>
        <v>(4-2)積上げ共通仮設工事※警備員費・率除外項目除く</v>
      </c>
      <c r="D119" s="1442"/>
      <c r="E119" s="1289">
        <f t="shared" ref="E119:E124" si="63">+E99</f>
        <v>0.2</v>
      </c>
      <c r="F119" s="1192">
        <f t="shared" ref="F119:F124" si="64">INT((F41-F99)*0.5)</f>
        <v>0</v>
      </c>
      <c r="G119" s="1285">
        <f t="shared" ref="G119:G124" si="65">F119-SUM(H119:L119)</f>
        <v>0</v>
      </c>
      <c r="H119" s="1285">
        <f t="shared" ref="H119:L124" si="66">IF(H99=0,0,ROUND($F119/$F99*H99,0))</f>
        <v>0</v>
      </c>
      <c r="I119" s="1285">
        <f t="shared" si="66"/>
        <v>0</v>
      </c>
      <c r="J119" s="1285">
        <f t="shared" si="66"/>
        <v>0</v>
      </c>
      <c r="K119" s="1285">
        <f t="shared" si="66"/>
        <v>0</v>
      </c>
      <c r="L119" s="1286">
        <f t="shared" si="66"/>
        <v>0</v>
      </c>
    </row>
    <row r="120" spans="1:12" s="1305" customFormat="1" ht="15" customHeight="1">
      <c r="A120" s="1403"/>
      <c r="B120" s="2830"/>
      <c r="C120" s="1276" t="str">
        <f>+C100</f>
        <v>(5)直接仮設工事</v>
      </c>
      <c r="D120" s="1442"/>
      <c r="E120" s="1289">
        <f t="shared" si="63"/>
        <v>0.2</v>
      </c>
      <c r="F120" s="1192">
        <f t="shared" si="64"/>
        <v>0</v>
      </c>
      <c r="G120" s="1285">
        <f t="shared" si="65"/>
        <v>0</v>
      </c>
      <c r="H120" s="1285">
        <f t="shared" si="66"/>
        <v>0</v>
      </c>
      <c r="I120" s="1285">
        <f t="shared" si="66"/>
        <v>0</v>
      </c>
      <c r="J120" s="1285">
        <f t="shared" si="66"/>
        <v>0</v>
      </c>
      <c r="K120" s="1285">
        <f t="shared" si="66"/>
        <v>0</v>
      </c>
      <c r="L120" s="1286">
        <f t="shared" si="66"/>
        <v>0</v>
      </c>
    </row>
    <row r="121" spans="1:12" s="1305" customFormat="1" ht="15" customHeight="1">
      <c r="A121" s="1403"/>
      <c r="B121" s="2830"/>
      <c r="C121" s="1283" t="str">
        <f>C101</f>
        <v>(6)建具工事</v>
      </c>
      <c r="D121" s="1442"/>
      <c r="E121" s="1443">
        <f t="shared" si="63"/>
        <v>0.15</v>
      </c>
      <c r="F121" s="1192">
        <f t="shared" si="64"/>
        <v>0</v>
      </c>
      <c r="G121" s="1285">
        <f t="shared" si="65"/>
        <v>0</v>
      </c>
      <c r="H121" s="1285">
        <f t="shared" si="66"/>
        <v>0</v>
      </c>
      <c r="I121" s="1285">
        <f t="shared" si="66"/>
        <v>0</v>
      </c>
      <c r="J121" s="1285">
        <f t="shared" si="66"/>
        <v>0</v>
      </c>
      <c r="K121" s="1285">
        <f t="shared" si="66"/>
        <v>0</v>
      </c>
      <c r="L121" s="1286">
        <f t="shared" si="66"/>
        <v>0</v>
      </c>
    </row>
    <row r="122" spans="1:12" s="1305" customFormat="1" ht="15" customHeight="1">
      <c r="A122" s="1403"/>
      <c r="B122" s="2830"/>
      <c r="C122" s="1276" t="str">
        <f>+C102</f>
        <v>(7)場内小運搬費</v>
      </c>
      <c r="D122" s="1442"/>
      <c r="E122" s="1289">
        <f t="shared" si="63"/>
        <v>0.2</v>
      </c>
      <c r="F122" s="1192">
        <f t="shared" si="64"/>
        <v>0</v>
      </c>
      <c r="G122" s="1285">
        <f t="shared" si="65"/>
        <v>0</v>
      </c>
      <c r="H122" s="1285">
        <f t="shared" si="66"/>
        <v>0</v>
      </c>
      <c r="I122" s="1285">
        <f t="shared" si="66"/>
        <v>0</v>
      </c>
      <c r="J122" s="1285">
        <f t="shared" si="66"/>
        <v>0</v>
      </c>
      <c r="K122" s="1285">
        <f t="shared" si="66"/>
        <v>0</v>
      </c>
      <c r="L122" s="1286">
        <f t="shared" si="66"/>
        <v>0</v>
      </c>
    </row>
    <row r="123" spans="1:12" s="1305" customFormat="1" ht="15" customHeight="1">
      <c r="A123" s="1403"/>
      <c r="B123" s="2830"/>
      <c r="C123" s="1276" t="str">
        <f>+C103</f>
        <v>(8)〃人力積込み費</v>
      </c>
      <c r="D123" s="1442"/>
      <c r="E123" s="1289">
        <f t="shared" si="63"/>
        <v>0.2</v>
      </c>
      <c r="F123" s="1192">
        <f t="shared" si="64"/>
        <v>0</v>
      </c>
      <c r="G123" s="1285">
        <f t="shared" si="65"/>
        <v>0</v>
      </c>
      <c r="H123" s="1285">
        <f t="shared" si="66"/>
        <v>0</v>
      </c>
      <c r="I123" s="1285">
        <f t="shared" si="66"/>
        <v>0</v>
      </c>
      <c r="J123" s="1285">
        <f t="shared" si="66"/>
        <v>0</v>
      </c>
      <c r="K123" s="1285">
        <f t="shared" si="66"/>
        <v>0</v>
      </c>
      <c r="L123" s="1444">
        <f t="shared" si="66"/>
        <v>0</v>
      </c>
    </row>
    <row r="124" spans="1:12" s="1305" customFormat="1" ht="15" customHeight="1">
      <c r="A124" s="1403"/>
      <c r="B124" s="2830"/>
      <c r="C124" s="1276" t="str">
        <f>+C104</f>
        <v>(9)〃搬出準備費</v>
      </c>
      <c r="D124" s="1442"/>
      <c r="E124" s="1289">
        <f t="shared" si="63"/>
        <v>0.2</v>
      </c>
      <c r="F124" s="1192">
        <f t="shared" si="64"/>
        <v>0</v>
      </c>
      <c r="G124" s="1285">
        <f t="shared" si="65"/>
        <v>0</v>
      </c>
      <c r="H124" s="1285">
        <f t="shared" si="66"/>
        <v>0</v>
      </c>
      <c r="I124" s="1285">
        <f t="shared" si="66"/>
        <v>0</v>
      </c>
      <c r="J124" s="1285">
        <f t="shared" si="66"/>
        <v>0</v>
      </c>
      <c r="K124" s="1285">
        <f t="shared" si="66"/>
        <v>0</v>
      </c>
      <c r="L124" s="1444">
        <f t="shared" si="66"/>
        <v>0</v>
      </c>
    </row>
    <row r="125" spans="1:12" s="1305" customFormat="1" ht="15" customHeight="1">
      <c r="A125" s="1403"/>
      <c r="B125" s="2830"/>
      <c r="C125" s="1276"/>
      <c r="D125" s="1442"/>
      <c r="E125" s="1445"/>
      <c r="F125" s="1192"/>
      <c r="G125" s="1285"/>
      <c r="H125" s="1285"/>
      <c r="I125" s="1285"/>
      <c r="J125" s="1285"/>
      <c r="K125" s="1285"/>
      <c r="L125" s="1286"/>
    </row>
    <row r="126" spans="1:12" s="1305" customFormat="1" ht="15" customHeight="1">
      <c r="A126" s="1403"/>
      <c r="B126" s="2817"/>
      <c r="C126" s="1276"/>
      <c r="D126" s="1442"/>
      <c r="E126" s="1289"/>
      <c r="F126" s="1192"/>
      <c r="G126" s="1285"/>
      <c r="H126" s="1285"/>
      <c r="I126" s="1285"/>
      <c r="J126" s="1285"/>
      <c r="K126" s="1285"/>
      <c r="L126" s="1286"/>
    </row>
    <row r="127" spans="1:12" s="1305" customFormat="1" ht="15" customHeight="1">
      <c r="A127" s="1403"/>
      <c r="B127" s="2804" t="s">
        <v>335</v>
      </c>
      <c r="C127" s="1276" t="s">
        <v>4700</v>
      </c>
      <c r="D127" s="1442"/>
      <c r="E127" s="1289">
        <f>+E107</f>
        <v>0.02</v>
      </c>
      <c r="F127" s="1192">
        <f>INT(F107*E127)</f>
        <v>0</v>
      </c>
      <c r="G127" s="1285">
        <f>F127-SUM(H127:L127)</f>
        <v>0</v>
      </c>
      <c r="H127" s="1285">
        <f t="shared" ref="H127:L129" si="67">IF(H107=0,0,ROUND($F127/$F107*H107,0))</f>
        <v>0</v>
      </c>
      <c r="I127" s="1285">
        <f t="shared" si="67"/>
        <v>0</v>
      </c>
      <c r="J127" s="1285">
        <f t="shared" si="67"/>
        <v>0</v>
      </c>
      <c r="K127" s="1285">
        <f t="shared" si="67"/>
        <v>0</v>
      </c>
      <c r="L127" s="1444">
        <f t="shared" si="67"/>
        <v>0</v>
      </c>
    </row>
    <row r="128" spans="1:12" s="1305" customFormat="1" ht="15" customHeight="1">
      <c r="A128" s="1403"/>
      <c r="B128" s="2802"/>
      <c r="C128" s="1291" t="s">
        <v>4724</v>
      </c>
      <c r="D128" s="1442"/>
      <c r="E128" s="1289">
        <f>+E108</f>
        <v>0.02</v>
      </c>
      <c r="F128" s="1192">
        <f>INT(F108*E128)</f>
        <v>0</v>
      </c>
      <c r="G128" s="1285">
        <f>F128-SUM(H128:L128)</f>
        <v>0</v>
      </c>
      <c r="H128" s="1285">
        <f t="shared" si="67"/>
        <v>0</v>
      </c>
      <c r="I128" s="1285">
        <f t="shared" si="67"/>
        <v>0</v>
      </c>
      <c r="J128" s="1285">
        <f t="shared" si="67"/>
        <v>0</v>
      </c>
      <c r="K128" s="1285">
        <f t="shared" si="67"/>
        <v>0</v>
      </c>
      <c r="L128" s="1444">
        <f t="shared" si="67"/>
        <v>0</v>
      </c>
    </row>
    <row r="129" spans="1:12" s="1305" customFormat="1" ht="14.25" customHeight="1">
      <c r="A129" s="1403"/>
      <c r="B129" s="2803"/>
      <c r="C129" s="1291" t="s">
        <v>4725</v>
      </c>
      <c r="D129" s="1442"/>
      <c r="E129" s="1289">
        <f>+E109</f>
        <v>0.02</v>
      </c>
      <c r="F129" s="1192">
        <f>INT(F109*E129)</f>
        <v>0</v>
      </c>
      <c r="G129" s="1285">
        <f>F129-SUM(H129:L129)</f>
        <v>0</v>
      </c>
      <c r="H129" s="1285">
        <f t="shared" si="67"/>
        <v>0</v>
      </c>
      <c r="I129" s="1285">
        <f t="shared" si="67"/>
        <v>0</v>
      </c>
      <c r="J129" s="1285">
        <f t="shared" si="67"/>
        <v>0</v>
      </c>
      <c r="K129" s="1285">
        <f t="shared" si="67"/>
        <v>0</v>
      </c>
      <c r="L129" s="1444">
        <f t="shared" si="67"/>
        <v>0</v>
      </c>
    </row>
    <row r="130" spans="1:12" s="1305" customFormat="1" ht="14.25" customHeight="1">
      <c r="A130" s="1403"/>
      <c r="B130" s="1446" t="s">
        <v>4732</v>
      </c>
      <c r="C130" s="1447" t="s">
        <v>4733</v>
      </c>
      <c r="D130" s="1448"/>
      <c r="E130" s="1289"/>
      <c r="F130" s="1449">
        <f>SUM(G130:L130)</f>
        <v>0</v>
      </c>
      <c r="G130" s="1298"/>
      <c r="H130" s="1298"/>
      <c r="I130" s="1298"/>
      <c r="J130" s="1298"/>
      <c r="K130" s="1298"/>
      <c r="L130" s="1299"/>
    </row>
    <row r="131" spans="1:12" s="1305" customFormat="1" ht="15" customHeight="1">
      <c r="A131" s="1403"/>
      <c r="B131" s="1450" t="s">
        <v>4734</v>
      </c>
      <c r="C131" s="1451" t="s">
        <v>4735</v>
      </c>
      <c r="D131" s="1448"/>
      <c r="E131" s="1289"/>
      <c r="F131" s="1406"/>
      <c r="G131" s="1285"/>
      <c r="H131" s="1285"/>
      <c r="I131" s="1285"/>
      <c r="J131" s="1285"/>
      <c r="K131" s="1285"/>
      <c r="L131" s="1286"/>
    </row>
    <row r="132" spans="1:12" s="1305" customFormat="1" ht="15" customHeight="1">
      <c r="A132" s="1403"/>
      <c r="B132" s="1452" t="s">
        <v>4016</v>
      </c>
      <c r="C132" s="1453" t="s">
        <v>4736</v>
      </c>
      <c r="D132" s="1454"/>
      <c r="E132" s="1455">
        <f>+E110</f>
        <v>0</v>
      </c>
      <c r="F132" s="1406">
        <f>INT(F110*E132)</f>
        <v>0</v>
      </c>
      <c r="G132" s="1285">
        <f>F132-SUM(H132:L132)</f>
        <v>0</v>
      </c>
      <c r="H132" s="1285">
        <f>IF(H110=0,0,ROUND($F132/$F110*H110,0))</f>
        <v>0</v>
      </c>
      <c r="I132" s="1285">
        <f>IF(I110=0,0,ROUND($F132/$F110*I110,0))</f>
        <v>0</v>
      </c>
      <c r="J132" s="1285">
        <f>IF(J110=0,0,ROUND($F132/$F110*J110,0))</f>
        <v>0</v>
      </c>
      <c r="K132" s="1285">
        <f>IF(K110=0,0,ROUND($F132/$F110*K110,0))</f>
        <v>0</v>
      </c>
      <c r="L132" s="1444">
        <f>IF(L110=0,0,ROUND($F132/$F110*L110,0))</f>
        <v>0</v>
      </c>
    </row>
    <row r="133" spans="1:12" s="1305" customFormat="1" ht="15" customHeight="1" thickBot="1">
      <c r="A133" s="1456"/>
      <c r="B133" s="2484"/>
      <c r="C133" s="2485"/>
      <c r="D133" s="2486"/>
      <c r="E133" s="1455"/>
      <c r="F133" s="2487"/>
      <c r="G133" s="1285"/>
      <c r="H133" s="2488"/>
      <c r="I133" s="2488"/>
      <c r="J133" s="2488"/>
      <c r="K133" s="2488"/>
      <c r="L133" s="1457"/>
    </row>
    <row r="134" spans="1:12" s="1305" customFormat="1" ht="15" customHeight="1" thickTop="1">
      <c r="A134" s="1458"/>
      <c r="B134" s="1459"/>
      <c r="C134" s="1460" t="s">
        <v>4039</v>
      </c>
      <c r="D134" s="1461"/>
      <c r="E134" s="1462"/>
      <c r="F134" s="1463">
        <f>SUM(F112:F133)</f>
        <v>0</v>
      </c>
      <c r="G134" s="1463">
        <f t="shared" ref="G134:L134" si="68">G113+G115+SUM(G117:G132)</f>
        <v>0</v>
      </c>
      <c r="H134" s="1463">
        <f t="shared" si="68"/>
        <v>0</v>
      </c>
      <c r="I134" s="1463">
        <f t="shared" si="68"/>
        <v>0</v>
      </c>
      <c r="J134" s="1463">
        <f t="shared" si="68"/>
        <v>0</v>
      </c>
      <c r="K134" s="1463">
        <f t="shared" si="68"/>
        <v>0</v>
      </c>
      <c r="L134" s="1464">
        <f t="shared" si="68"/>
        <v>0</v>
      </c>
    </row>
    <row r="135" spans="1:12" s="1305" customFormat="1" ht="15" customHeight="1">
      <c r="A135" s="1465"/>
      <c r="B135" s="1466"/>
      <c r="C135" s="1467" t="s">
        <v>4040</v>
      </c>
      <c r="D135" s="1468"/>
      <c r="E135" s="1469"/>
      <c r="F135" s="1390">
        <f>SUM(G135:L135)</f>
        <v>0</v>
      </c>
      <c r="G135" s="1391">
        <f t="shared" ref="G135:L135" si="69">+G20+G134</f>
        <v>0</v>
      </c>
      <c r="H135" s="1391">
        <f t="shared" si="69"/>
        <v>0</v>
      </c>
      <c r="I135" s="1391">
        <f t="shared" si="69"/>
        <v>0</v>
      </c>
      <c r="J135" s="1391">
        <f t="shared" si="69"/>
        <v>0</v>
      </c>
      <c r="K135" s="1391">
        <f t="shared" si="69"/>
        <v>0</v>
      </c>
      <c r="L135" s="1470">
        <f t="shared" si="69"/>
        <v>0</v>
      </c>
    </row>
    <row r="136" spans="1:12" s="1305" customFormat="1" ht="15" customHeight="1">
      <c r="A136" s="1114"/>
      <c r="B136" s="1114"/>
      <c r="C136" s="1124" t="s">
        <v>4737</v>
      </c>
      <c r="D136" s="1124"/>
      <c r="E136" s="1115"/>
      <c r="F136" s="1115"/>
      <c r="G136" s="1121"/>
      <c r="H136" s="1119"/>
      <c r="I136" s="1119"/>
      <c r="J136" s="1119"/>
      <c r="K136" s="1119"/>
      <c r="L136" s="1383" t="s">
        <v>4738</v>
      </c>
    </row>
    <row r="137" spans="1:12" s="1305" customFormat="1" ht="15" customHeight="1">
      <c r="A137" s="1114"/>
      <c r="B137" s="1114"/>
      <c r="C137" s="1114"/>
      <c r="D137" s="1114"/>
      <c r="E137" s="1114"/>
      <c r="F137" s="1114"/>
      <c r="G137" s="1119"/>
      <c r="H137" s="1119"/>
      <c r="I137" s="1119"/>
      <c r="J137" s="1119"/>
      <c r="K137" s="1119"/>
      <c r="L137" s="1119"/>
    </row>
    <row r="138" spans="1:12" s="1305" customFormat="1" ht="15" customHeight="1">
      <c r="A138" s="2833"/>
      <c r="B138" s="2834"/>
      <c r="C138" s="2834"/>
      <c r="D138" s="1471"/>
      <c r="E138" s="1387" t="s">
        <v>4043</v>
      </c>
      <c r="F138" s="1387" t="s">
        <v>3979</v>
      </c>
      <c r="G138" s="1388" t="str">
        <f t="shared" ref="G138:L138" si="70">+G5</f>
        <v>工事１</v>
      </c>
      <c r="H138" s="1388" t="str">
        <f t="shared" si="70"/>
        <v>工事２</v>
      </c>
      <c r="I138" s="1388" t="str">
        <f t="shared" si="70"/>
        <v>工事３</v>
      </c>
      <c r="J138" s="1388" t="str">
        <f t="shared" si="70"/>
        <v>工事４</v>
      </c>
      <c r="K138" s="1388" t="str">
        <f t="shared" si="70"/>
        <v>工事５</v>
      </c>
      <c r="L138" s="1472" t="str">
        <f t="shared" si="70"/>
        <v>工事６</v>
      </c>
    </row>
    <row r="139" spans="1:12" s="1305" customFormat="1" ht="15" customHeight="1">
      <c r="A139" s="2835"/>
      <c r="B139" s="2836"/>
      <c r="C139" s="2836"/>
      <c r="D139" s="1473"/>
      <c r="E139" s="1469"/>
      <c r="F139" s="1474"/>
      <c r="G139" s="1475"/>
      <c r="H139" s="1475"/>
      <c r="I139" s="1475"/>
      <c r="J139" s="1475"/>
      <c r="K139" s="1475"/>
      <c r="L139" s="1476"/>
    </row>
    <row r="140" spans="1:12" s="1305" customFormat="1" ht="15" customHeight="1">
      <c r="A140" s="1477"/>
      <c r="B140" s="1478"/>
      <c r="C140" s="1479" t="s">
        <v>4739</v>
      </c>
      <c r="D140" s="1480"/>
      <c r="E140" s="1481"/>
      <c r="F140" s="1482">
        <f t="shared" ref="F140:L140" si="71">+F135</f>
        <v>0</v>
      </c>
      <c r="G140" s="1482">
        <f t="shared" si="71"/>
        <v>0</v>
      </c>
      <c r="H140" s="1482">
        <f t="shared" si="71"/>
        <v>0</v>
      </c>
      <c r="I140" s="1482">
        <f t="shared" si="71"/>
        <v>0</v>
      </c>
      <c r="J140" s="1482">
        <f t="shared" si="71"/>
        <v>0</v>
      </c>
      <c r="K140" s="1482">
        <f t="shared" si="71"/>
        <v>0</v>
      </c>
      <c r="L140" s="1482">
        <f t="shared" si="71"/>
        <v>0</v>
      </c>
    </row>
    <row r="141" spans="1:12" s="1305" customFormat="1" ht="15" customHeight="1">
      <c r="A141" s="1188"/>
      <c r="B141" s="1190"/>
      <c r="C141" s="1483"/>
      <c r="D141" s="1484"/>
      <c r="E141" s="1485" t="s">
        <v>4740</v>
      </c>
      <c r="F141" s="1486">
        <f>SUM(G141:L141)</f>
        <v>0</v>
      </c>
      <c r="G141" s="1277">
        <f t="shared" ref="G141:L141" si="72">G94+G115+G118+G56+G57</f>
        <v>0</v>
      </c>
      <c r="H141" s="1277">
        <f t="shared" si="72"/>
        <v>0</v>
      </c>
      <c r="I141" s="1277">
        <f t="shared" si="72"/>
        <v>0</v>
      </c>
      <c r="J141" s="1277">
        <f t="shared" si="72"/>
        <v>0</v>
      </c>
      <c r="K141" s="1277">
        <f t="shared" si="72"/>
        <v>0</v>
      </c>
      <c r="L141" s="1277">
        <f t="shared" si="72"/>
        <v>0</v>
      </c>
    </row>
    <row r="142" spans="1:12" s="1305" customFormat="1" ht="15" customHeight="1">
      <c r="A142" s="1200"/>
      <c r="B142" s="1203"/>
      <c r="C142" s="1487"/>
      <c r="D142" s="1488"/>
      <c r="E142" s="1489"/>
      <c r="F142" s="1490"/>
      <c r="G142" s="1412"/>
      <c r="H142" s="1412"/>
      <c r="I142" s="1412"/>
      <c r="J142" s="1412"/>
      <c r="K142" s="1412"/>
      <c r="L142" s="1491"/>
    </row>
    <row r="143" spans="1:12" s="1305" customFormat="1" ht="15" customHeight="1">
      <c r="A143" s="1385"/>
      <c r="B143" s="1386"/>
      <c r="C143" s="1386"/>
      <c r="D143" s="1492"/>
      <c r="E143" s="1481" t="str">
        <f>E5</f>
        <v>有り</v>
      </c>
      <c r="F143" s="2822" t="s">
        <v>4047</v>
      </c>
      <c r="G143" s="2822"/>
      <c r="H143" s="1401"/>
      <c r="I143" s="1401"/>
      <c r="J143" s="1401"/>
      <c r="K143" s="1401"/>
      <c r="L143" s="1402"/>
    </row>
    <row r="144" spans="1:12" s="1305" customFormat="1" ht="15" customHeight="1">
      <c r="A144" s="2823" t="s">
        <v>4048</v>
      </c>
      <c r="B144" s="2823"/>
      <c r="C144" s="2824"/>
      <c r="D144" s="1493"/>
      <c r="E144" s="1489" t="str">
        <f>+E6</f>
        <v>有り</v>
      </c>
      <c r="F144" s="2825" t="s">
        <v>4049</v>
      </c>
      <c r="G144" s="2825"/>
      <c r="H144" s="1412"/>
      <c r="I144" s="1412"/>
      <c r="J144" s="1412"/>
      <c r="K144" s="1412"/>
      <c r="L144" s="1491"/>
    </row>
    <row r="145" spans="1:12" s="1305" customFormat="1" ht="15" customHeight="1">
      <c r="A145" s="2837"/>
      <c r="B145" s="1494" t="s">
        <v>4050</v>
      </c>
      <c r="C145" s="1495" t="s">
        <v>4741</v>
      </c>
      <c r="D145" s="1496"/>
      <c r="E145" s="1497">
        <f>G212/100</f>
        <v>0.11259999999999999</v>
      </c>
      <c r="F145" s="1482">
        <f>SUM(G145:L145)</f>
        <v>0</v>
      </c>
      <c r="G145" s="1498">
        <f t="shared" ref="G145:L145" si="73">G38+G39+G40+G56+G57+G113+G115+G118+SUM(G127:G132)-G150</f>
        <v>0</v>
      </c>
      <c r="H145" s="1498">
        <f t="shared" si="73"/>
        <v>0</v>
      </c>
      <c r="I145" s="1498">
        <f t="shared" si="73"/>
        <v>0</v>
      </c>
      <c r="J145" s="1498">
        <f t="shared" si="73"/>
        <v>0</v>
      </c>
      <c r="K145" s="1498">
        <f t="shared" si="73"/>
        <v>0</v>
      </c>
      <c r="L145" s="1498">
        <f t="shared" si="73"/>
        <v>0</v>
      </c>
    </row>
    <row r="146" spans="1:12" s="1305" customFormat="1" ht="15" customHeight="1">
      <c r="A146" s="2838"/>
      <c r="B146" s="2831" t="s">
        <v>4052</v>
      </c>
      <c r="C146" s="1499" t="s">
        <v>4053</v>
      </c>
      <c r="D146" s="1448"/>
      <c r="E146" s="1500">
        <f>IF(E143="無し",0.05,0)</f>
        <v>0</v>
      </c>
      <c r="F146" s="1406">
        <f>SUM(G146:L146)</f>
        <v>0</v>
      </c>
      <c r="G146" s="1277">
        <f t="shared" ref="G146:L146" si="74">G145</f>
        <v>0</v>
      </c>
      <c r="H146" s="1277">
        <f t="shared" si="74"/>
        <v>0</v>
      </c>
      <c r="I146" s="1277">
        <f t="shared" si="74"/>
        <v>0</v>
      </c>
      <c r="J146" s="1277">
        <f t="shared" si="74"/>
        <v>0</v>
      </c>
      <c r="K146" s="1277">
        <f t="shared" si="74"/>
        <v>0</v>
      </c>
      <c r="L146" s="1277">
        <f t="shared" si="74"/>
        <v>0</v>
      </c>
    </row>
    <row r="147" spans="1:12" s="1305" customFormat="1" ht="15" customHeight="1">
      <c r="A147" s="2838"/>
      <c r="B147" s="2831"/>
      <c r="C147" s="1499" t="s">
        <v>4054</v>
      </c>
      <c r="D147" s="1501"/>
      <c r="E147" s="1289">
        <f>IF(E144="無し",0,0.0004)</f>
        <v>4.0000000000000002E-4</v>
      </c>
      <c r="F147" s="1277">
        <f t="shared" ref="F147:L147" si="75">F145</f>
        <v>0</v>
      </c>
      <c r="G147" s="1277">
        <f t="shared" si="75"/>
        <v>0</v>
      </c>
      <c r="H147" s="1277">
        <f t="shared" si="75"/>
        <v>0</v>
      </c>
      <c r="I147" s="1277">
        <f t="shared" si="75"/>
        <v>0</v>
      </c>
      <c r="J147" s="1277">
        <f t="shared" si="75"/>
        <v>0</v>
      </c>
      <c r="K147" s="1277">
        <f t="shared" si="75"/>
        <v>0</v>
      </c>
      <c r="L147" s="1277">
        <f t="shared" si="75"/>
        <v>0</v>
      </c>
    </row>
    <row r="148" spans="1:12" s="1305" customFormat="1" ht="15" customHeight="1">
      <c r="A148" s="2838"/>
      <c r="B148" s="2839" t="s">
        <v>4742</v>
      </c>
      <c r="C148" s="1499"/>
      <c r="D148" s="1502"/>
      <c r="E148" s="1502"/>
      <c r="F148" s="1406"/>
      <c r="G148" s="1285"/>
      <c r="H148" s="1285"/>
      <c r="I148" s="1285"/>
      <c r="J148" s="1285"/>
      <c r="K148" s="1285"/>
      <c r="L148" s="1285"/>
    </row>
    <row r="149" spans="1:12" s="1305" customFormat="1" ht="15" customHeight="1">
      <c r="A149" s="2838"/>
      <c r="B149" s="2840"/>
      <c r="C149" s="1503" t="s">
        <v>4743</v>
      </c>
      <c r="D149" s="1502"/>
      <c r="E149" s="1502"/>
      <c r="F149" s="1406">
        <f>SUM(G149:L149)</f>
        <v>0</v>
      </c>
      <c r="G149" s="1285">
        <f t="shared" ref="G149:L149" si="76">+SUM(G98:G106,G118:G126)</f>
        <v>0</v>
      </c>
      <c r="H149" s="1285">
        <f t="shared" si="76"/>
        <v>0</v>
      </c>
      <c r="I149" s="1285">
        <f t="shared" si="76"/>
        <v>0</v>
      </c>
      <c r="J149" s="1285">
        <f t="shared" si="76"/>
        <v>0</v>
      </c>
      <c r="K149" s="1285">
        <f t="shared" si="76"/>
        <v>0</v>
      </c>
      <c r="L149" s="1285">
        <f t="shared" si="76"/>
        <v>0</v>
      </c>
    </row>
    <row r="150" spans="1:12" s="1305" customFormat="1" ht="15" customHeight="1">
      <c r="A150" s="2838"/>
      <c r="B150" s="2831" t="s">
        <v>4055</v>
      </c>
      <c r="C150" s="1504" t="s">
        <v>4744</v>
      </c>
      <c r="D150" s="1505"/>
      <c r="E150" s="1445">
        <v>0</v>
      </c>
      <c r="F150" s="1406">
        <f>SUM(G150:L150)</f>
        <v>0</v>
      </c>
      <c r="G150" s="1285">
        <f t="shared" ref="G150:L150" si="77">+G58</f>
        <v>0</v>
      </c>
      <c r="H150" s="1285">
        <f t="shared" si="77"/>
        <v>0</v>
      </c>
      <c r="I150" s="1285">
        <f t="shared" si="77"/>
        <v>0</v>
      </c>
      <c r="J150" s="1285">
        <f t="shared" si="77"/>
        <v>0</v>
      </c>
      <c r="K150" s="1285">
        <f t="shared" si="77"/>
        <v>0</v>
      </c>
      <c r="L150" s="1285">
        <f t="shared" si="77"/>
        <v>0</v>
      </c>
    </row>
    <row r="151" spans="1:12" s="1305" customFormat="1" ht="15" customHeight="1">
      <c r="A151" s="2838"/>
      <c r="B151" s="2831"/>
      <c r="C151" s="1484"/>
      <c r="D151" s="1506"/>
      <c r="E151" s="1445"/>
      <c r="F151" s="1406"/>
      <c r="G151" s="1285"/>
      <c r="H151" s="1285"/>
      <c r="I151" s="1285"/>
      <c r="J151" s="1285"/>
      <c r="K151" s="1285"/>
      <c r="L151" s="1286"/>
    </row>
    <row r="152" spans="1:12" s="1305" customFormat="1" ht="15" customHeight="1">
      <c r="A152" s="2838"/>
      <c r="B152" s="2839"/>
      <c r="C152" s="1507"/>
      <c r="D152" s="1508"/>
      <c r="E152" s="1509"/>
      <c r="F152" s="1490"/>
      <c r="G152" s="1412"/>
      <c r="H152" s="1412"/>
      <c r="I152" s="1412"/>
      <c r="J152" s="1412"/>
      <c r="K152" s="1412"/>
      <c r="L152" s="1491"/>
    </row>
    <row r="153" spans="1:12" s="1305" customFormat="1" ht="15" customHeight="1">
      <c r="A153" s="1385"/>
      <c r="B153" s="1386"/>
      <c r="C153" s="1510"/>
      <c r="D153" s="1511"/>
      <c r="E153" s="1512"/>
      <c r="F153" s="1482"/>
      <c r="G153" s="1401"/>
      <c r="H153" s="1401"/>
      <c r="I153" s="1401"/>
      <c r="J153" s="1401"/>
      <c r="K153" s="1401"/>
      <c r="L153" s="1402"/>
    </row>
    <row r="154" spans="1:12" s="1305" customFormat="1" ht="15" customHeight="1">
      <c r="A154" s="2823" t="s">
        <v>4056</v>
      </c>
      <c r="B154" s="2823"/>
      <c r="C154" s="2841"/>
      <c r="D154" s="1513"/>
      <c r="E154" s="1514"/>
      <c r="F154" s="1490"/>
      <c r="G154" s="1412"/>
      <c r="H154" s="1412"/>
      <c r="I154" s="1412"/>
      <c r="J154" s="1412"/>
      <c r="K154" s="1412"/>
      <c r="L154" s="1491"/>
    </row>
    <row r="155" spans="1:12" s="1305" customFormat="1" ht="15" customHeight="1">
      <c r="A155" s="1515"/>
      <c r="B155" s="1516" t="s">
        <v>4050</v>
      </c>
      <c r="C155" s="1517" t="s">
        <v>4745</v>
      </c>
      <c r="D155" s="1496"/>
      <c r="E155" s="1518">
        <f>+E145</f>
        <v>0.11259999999999999</v>
      </c>
      <c r="F155" s="1482">
        <f>INT(F145*E155)</f>
        <v>0</v>
      </c>
      <c r="G155" s="1401">
        <f>F155-SUM(H155:L155)</f>
        <v>0</v>
      </c>
      <c r="H155" s="1401">
        <f>IF(H145=0,0,ROUND($F155/$F145*H145,0))</f>
        <v>0</v>
      </c>
      <c r="I155" s="1401">
        <f>IF(I145=0,0,ROUND($F155/$F145*I145,0))</f>
        <v>0</v>
      </c>
      <c r="J155" s="1401">
        <f>IF(J145=0,0,ROUND($F155/$F145*J145,0))</f>
        <v>0</v>
      </c>
      <c r="K155" s="1401">
        <f>IF(K145=0,0,ROUND($F155/$F145*K145,0))</f>
        <v>0</v>
      </c>
      <c r="L155" s="1402">
        <f>IF(L145=0,0,ROUND($F155/$F145*L145,0))</f>
        <v>0</v>
      </c>
    </row>
    <row r="156" spans="1:12" s="1305" customFormat="1" ht="15" customHeight="1">
      <c r="A156" s="1515"/>
      <c r="B156" s="2831" t="s">
        <v>4052</v>
      </c>
      <c r="C156" s="1499" t="s">
        <v>4053</v>
      </c>
      <c r="D156" s="1505"/>
      <c r="E156" s="1289">
        <f>+E146</f>
        <v>0</v>
      </c>
      <c r="F156" s="1406">
        <f>INT((F146*E155*E156)+(F159*E156))</f>
        <v>0</v>
      </c>
      <c r="G156" s="1285">
        <f>F156-SUM(H156:L156)</f>
        <v>0</v>
      </c>
      <c r="H156" s="1285">
        <f>IF(H146+H159=0,0,ROUND($F156/$F146*H146,0))</f>
        <v>0</v>
      </c>
      <c r="I156" s="1285">
        <f>IF(I146+I159=0,0,ROUND($F156/$F146*I146,0))</f>
        <v>0</v>
      </c>
      <c r="J156" s="1285">
        <f>IF(J146+J159=0,0,ROUND($F156/$F146*J146,0))</f>
        <v>0</v>
      </c>
      <c r="K156" s="1285">
        <f>IF(K146+K159=0,0,ROUND($F156/$F146*K146,0))</f>
        <v>0</v>
      </c>
      <c r="L156" s="1286">
        <f>IF(L146+L159=0,0,ROUND($F156/$F146*L146,0))</f>
        <v>0</v>
      </c>
    </row>
    <row r="157" spans="1:12" s="1305" customFormat="1" ht="15" customHeight="1">
      <c r="A157" s="1515"/>
      <c r="B157" s="2831"/>
      <c r="C157" s="1499" t="s">
        <v>4054</v>
      </c>
      <c r="D157" s="1505"/>
      <c r="E157" s="1289">
        <f>+E147</f>
        <v>4.0000000000000002E-4</v>
      </c>
      <c r="F157" s="1406">
        <f>INT((F147*E157)+(F159*E157))</f>
        <v>0</v>
      </c>
      <c r="G157" s="1285">
        <f>F157-SUM(H157:L157)</f>
        <v>0</v>
      </c>
      <c r="H157" s="1285">
        <f>IF(H147+H159=0,0,ROUND($F157/$F147*H147,0))</f>
        <v>0</v>
      </c>
      <c r="I157" s="1285">
        <f>IF(I147+I159=0,0,ROUND($F157/$F147*I147,0))</f>
        <v>0</v>
      </c>
      <c r="J157" s="1285">
        <f>IF(J147+J159=0,0,ROUND($F157/$F147*J147,0))</f>
        <v>0</v>
      </c>
      <c r="K157" s="1285">
        <f>IF(K147+K159=0,0,ROUND($F157/$F147*K147,0))</f>
        <v>0</v>
      </c>
      <c r="L157" s="1286">
        <f>IF(L147+L159=0,0,ROUND($F157/$F147*L147,0))</f>
        <v>0</v>
      </c>
    </row>
    <row r="158" spans="1:12" s="1305" customFormat="1" ht="15" customHeight="1">
      <c r="A158" s="1515"/>
      <c r="B158" s="2839" t="s">
        <v>4742</v>
      </c>
      <c r="C158" s="1499"/>
      <c r="D158" s="1502"/>
      <c r="E158" s="1519" t="s">
        <v>4746</v>
      </c>
      <c r="F158" s="1406"/>
      <c r="G158" s="1285"/>
      <c r="H158" s="1285"/>
      <c r="I158" s="1285"/>
      <c r="J158" s="1285"/>
      <c r="K158" s="1285"/>
      <c r="L158" s="1286"/>
    </row>
    <row r="159" spans="1:12" s="1305" customFormat="1" ht="15" customHeight="1">
      <c r="A159" s="1515"/>
      <c r="B159" s="2840"/>
      <c r="C159" s="1520" t="s">
        <v>4747</v>
      </c>
      <c r="D159" s="1502"/>
      <c r="E159" s="1502"/>
      <c r="F159" s="1236">
        <f>SUM(G159:L159)</f>
        <v>0</v>
      </c>
      <c r="G159" s="1220">
        <f t="shared" ref="G159:L159" si="78">SUM(G41:G48)-SUM(G99:G106)-SUM(G119:G126)</f>
        <v>0</v>
      </c>
      <c r="H159" s="1220">
        <f t="shared" si="78"/>
        <v>0</v>
      </c>
      <c r="I159" s="1220">
        <f t="shared" si="78"/>
        <v>0</v>
      </c>
      <c r="J159" s="1220">
        <f t="shared" si="78"/>
        <v>0</v>
      </c>
      <c r="K159" s="1220">
        <f t="shared" si="78"/>
        <v>0</v>
      </c>
      <c r="L159" s="1220">
        <f t="shared" si="78"/>
        <v>0</v>
      </c>
    </row>
    <row r="160" spans="1:12" s="1305" customFormat="1" ht="15" customHeight="1">
      <c r="A160" s="1515"/>
      <c r="B160" s="2831" t="s">
        <v>4055</v>
      </c>
      <c r="C160" s="1504" t="s">
        <v>4744</v>
      </c>
      <c r="D160" s="1505"/>
      <c r="E160" s="1289">
        <f>+E150</f>
        <v>0</v>
      </c>
      <c r="F160" s="1406">
        <f>SUM(G160:L160)</f>
        <v>0</v>
      </c>
      <c r="G160" s="1285">
        <f t="shared" ref="G160:L160" si="79">ROUNDDOWN($E160*$D160*G150,0)</f>
        <v>0</v>
      </c>
      <c r="H160" s="1285">
        <f t="shared" si="79"/>
        <v>0</v>
      </c>
      <c r="I160" s="1285">
        <f t="shared" si="79"/>
        <v>0</v>
      </c>
      <c r="J160" s="1285">
        <f t="shared" si="79"/>
        <v>0</v>
      </c>
      <c r="K160" s="1285">
        <f t="shared" si="79"/>
        <v>0</v>
      </c>
      <c r="L160" s="1285">
        <f t="shared" si="79"/>
        <v>0</v>
      </c>
    </row>
    <row r="161" spans="1:256" s="1305" customFormat="1" ht="15" customHeight="1">
      <c r="A161" s="1515"/>
      <c r="B161" s="2831"/>
      <c r="C161" s="1484"/>
      <c r="D161" s="1506"/>
      <c r="E161" s="1502">
        <f>+G152</f>
        <v>0</v>
      </c>
      <c r="F161" s="1406"/>
      <c r="G161" s="1285"/>
      <c r="H161" s="1285"/>
      <c r="I161" s="1285"/>
      <c r="J161" s="1285"/>
      <c r="K161" s="1285"/>
      <c r="L161" s="1286"/>
    </row>
    <row r="162" spans="1:256" s="1305" customFormat="1" ht="15" customHeight="1">
      <c r="A162" s="1465"/>
      <c r="B162" s="2842"/>
      <c r="C162" s="1488"/>
      <c r="D162" s="1508"/>
      <c r="E162" s="1514">
        <f>+G153</f>
        <v>0</v>
      </c>
      <c r="F162" s="1490"/>
      <c r="G162" s="1412"/>
      <c r="H162" s="1412"/>
      <c r="I162" s="1412"/>
      <c r="J162" s="1412"/>
      <c r="K162" s="1412"/>
      <c r="L162" s="1491"/>
    </row>
    <row r="163" spans="1:256" s="1305" customFormat="1" ht="15" customHeight="1">
      <c r="A163" s="1477"/>
      <c r="B163" s="1478"/>
      <c r="C163" s="1478"/>
      <c r="D163" s="1521"/>
      <c r="E163" s="1521"/>
      <c r="F163" s="1482"/>
      <c r="G163" s="1401"/>
      <c r="H163" s="1401"/>
      <c r="I163" s="1401"/>
      <c r="J163" s="1401"/>
      <c r="K163" s="1401"/>
      <c r="L163" s="1402"/>
    </row>
    <row r="164" spans="1:256" s="1305" customFormat="1" ht="15" customHeight="1">
      <c r="A164" s="1188"/>
      <c r="B164" s="1190"/>
      <c r="C164" s="1522" t="s">
        <v>4059</v>
      </c>
      <c r="D164" s="1484"/>
      <c r="E164" s="1499"/>
      <c r="F164" s="1406">
        <f>SUM(G164:L164)</f>
        <v>0</v>
      </c>
      <c r="G164" s="1285">
        <f t="shared" ref="G164:L164" si="80">SUM(G155:G162)</f>
        <v>0</v>
      </c>
      <c r="H164" s="1285">
        <f t="shared" si="80"/>
        <v>0</v>
      </c>
      <c r="I164" s="1285">
        <f t="shared" si="80"/>
        <v>0</v>
      </c>
      <c r="J164" s="1285">
        <f t="shared" si="80"/>
        <v>0</v>
      </c>
      <c r="K164" s="1285">
        <f t="shared" si="80"/>
        <v>0</v>
      </c>
      <c r="L164" s="1285">
        <f t="shared" si="80"/>
        <v>0</v>
      </c>
    </row>
    <row r="165" spans="1:256" s="1305" customFormat="1" ht="15" customHeight="1">
      <c r="A165" s="1188"/>
      <c r="B165" s="1190"/>
      <c r="C165" s="1522" t="s">
        <v>4040</v>
      </c>
      <c r="D165" s="1484"/>
      <c r="E165" s="1499"/>
      <c r="F165" s="1406">
        <f>SUM(G165:L165)</f>
        <v>0</v>
      </c>
      <c r="G165" s="1285">
        <f t="shared" ref="G165:L165" si="81">+G140</f>
        <v>0</v>
      </c>
      <c r="H165" s="1285">
        <f t="shared" si="81"/>
        <v>0</v>
      </c>
      <c r="I165" s="1285">
        <f t="shared" si="81"/>
        <v>0</v>
      </c>
      <c r="J165" s="1285">
        <f t="shared" si="81"/>
        <v>0</v>
      </c>
      <c r="K165" s="1285">
        <f t="shared" si="81"/>
        <v>0</v>
      </c>
      <c r="L165" s="1285">
        <f t="shared" si="81"/>
        <v>0</v>
      </c>
    </row>
    <row r="166" spans="1:256" s="1305" customFormat="1" ht="15" customHeight="1" thickBot="1">
      <c r="A166" s="2489"/>
      <c r="B166" s="2490"/>
      <c r="C166" s="2491" t="s">
        <v>4060</v>
      </c>
      <c r="D166" s="2492"/>
      <c r="E166" s="2493"/>
      <c r="F166" s="2487">
        <f>SUM(G166:L166)</f>
        <v>0</v>
      </c>
      <c r="G166" s="2488">
        <f t="shared" ref="G166:L166" si="82">SUM(G164:G165)</f>
        <v>0</v>
      </c>
      <c r="H166" s="2488">
        <f t="shared" si="82"/>
        <v>0</v>
      </c>
      <c r="I166" s="2488">
        <f t="shared" si="82"/>
        <v>0</v>
      </c>
      <c r="J166" s="2488">
        <f t="shared" si="82"/>
        <v>0</v>
      </c>
      <c r="K166" s="2488">
        <f t="shared" si="82"/>
        <v>0</v>
      </c>
      <c r="L166" s="2488">
        <f t="shared" si="82"/>
        <v>0</v>
      </c>
    </row>
    <row r="167" spans="1:256" s="1305" customFormat="1" ht="15" customHeight="1" thickTop="1">
      <c r="A167" s="1515"/>
      <c r="B167" s="1114"/>
      <c r="C167" s="1114"/>
      <c r="D167" s="1523"/>
      <c r="E167" s="1523"/>
      <c r="F167" s="1524"/>
      <c r="G167" s="1525"/>
      <c r="H167" s="1525"/>
      <c r="I167" s="1525"/>
      <c r="J167" s="1525"/>
      <c r="K167" s="1525"/>
      <c r="L167" s="1526"/>
    </row>
    <row r="168" spans="1:256" s="1305" customFormat="1" ht="15" customHeight="1">
      <c r="A168" s="1188"/>
      <c r="B168" s="1190"/>
      <c r="C168" s="1522" t="s">
        <v>4040</v>
      </c>
      <c r="D168" s="1484"/>
      <c r="E168" s="1499"/>
      <c r="F168" s="1406">
        <f>SUM(G168:L168)</f>
        <v>0</v>
      </c>
      <c r="G168" s="1285">
        <f t="shared" ref="G168:L168" si="83">+G165</f>
        <v>0</v>
      </c>
      <c r="H168" s="1285">
        <f t="shared" si="83"/>
        <v>0</v>
      </c>
      <c r="I168" s="1285">
        <f t="shared" si="83"/>
        <v>0</v>
      </c>
      <c r="J168" s="1285">
        <f t="shared" si="83"/>
        <v>0</v>
      </c>
      <c r="K168" s="1285">
        <f t="shared" si="83"/>
        <v>0</v>
      </c>
      <c r="L168" s="1285">
        <f t="shared" si="83"/>
        <v>0</v>
      </c>
    </row>
    <row r="169" spans="1:256" s="1305" customFormat="1" ht="15" customHeight="1">
      <c r="A169" s="1188"/>
      <c r="B169" s="1190"/>
      <c r="C169" s="1522" t="s">
        <v>4061</v>
      </c>
      <c r="D169" s="1484"/>
      <c r="E169" s="1499"/>
      <c r="F169" s="1406">
        <f>SUM(G169:L169)</f>
        <v>0</v>
      </c>
      <c r="G169" s="1285">
        <f t="shared" ref="G169:L169" si="84">+G164-(G166-G171)</f>
        <v>0</v>
      </c>
      <c r="H169" s="1285">
        <f t="shared" si="84"/>
        <v>0</v>
      </c>
      <c r="I169" s="1285">
        <f t="shared" si="84"/>
        <v>0</v>
      </c>
      <c r="J169" s="1285">
        <f t="shared" si="84"/>
        <v>0</v>
      </c>
      <c r="K169" s="1285">
        <f t="shared" si="84"/>
        <v>0</v>
      </c>
      <c r="L169" s="1285">
        <f t="shared" si="84"/>
        <v>0</v>
      </c>
    </row>
    <row r="170" spans="1:256" s="1305" customFormat="1" ht="15" customHeight="1">
      <c r="A170" s="1188"/>
      <c r="B170" s="1190"/>
      <c r="C170" s="1190"/>
      <c r="D170" s="1499"/>
      <c r="E170" s="1527">
        <f>F172+SUM(H171:L171)</f>
        <v>0</v>
      </c>
      <c r="F170" s="1406" t="s">
        <v>4062</v>
      </c>
      <c r="G170" s="1285">
        <f t="shared" ref="G170:L170" si="85">+G164-G169</f>
        <v>0</v>
      </c>
      <c r="H170" s="1285">
        <f t="shared" si="85"/>
        <v>0</v>
      </c>
      <c r="I170" s="1285">
        <f t="shared" si="85"/>
        <v>0</v>
      </c>
      <c r="J170" s="1285">
        <f t="shared" si="85"/>
        <v>0</v>
      </c>
      <c r="K170" s="1285">
        <f t="shared" si="85"/>
        <v>0</v>
      </c>
      <c r="L170" s="1285">
        <f t="shared" si="85"/>
        <v>0</v>
      </c>
    </row>
    <row r="171" spans="1:256" s="1305" customFormat="1" ht="15" customHeight="1">
      <c r="A171" s="1528"/>
      <c r="B171" s="1189"/>
      <c r="C171" s="1189" t="s">
        <v>4063</v>
      </c>
      <c r="D171" s="1529"/>
      <c r="E171" s="1527">
        <f>ROUNDDOWN(E170,4-LEN(E170))</f>
        <v>0</v>
      </c>
      <c r="F171" s="1530">
        <f>SUM(G171:L171)</f>
        <v>0</v>
      </c>
      <c r="G171" s="1531">
        <f>F172-E172</f>
        <v>0</v>
      </c>
      <c r="H171" s="1531">
        <f>ROUNDDOWN(H166,H172)</f>
        <v>0</v>
      </c>
      <c r="I171" s="1531">
        <f>ROUNDDOWN(I166,I172)</f>
        <v>0</v>
      </c>
      <c r="J171" s="1531">
        <f>ROUNDDOWN(J166,J172)</f>
        <v>0</v>
      </c>
      <c r="K171" s="1531">
        <f>ROUNDDOWN(K166,K172)</f>
        <v>0</v>
      </c>
      <c r="L171" s="1532">
        <f>ROUNDDOWN(L166,L172)</f>
        <v>0</v>
      </c>
    </row>
    <row r="172" spans="1:256" ht="13.5" customHeight="1">
      <c r="A172" s="1533"/>
      <c r="B172" s="1534"/>
      <c r="C172" s="1534"/>
      <c r="D172" s="1535"/>
      <c r="E172" s="1536">
        <f>E170-E171</f>
        <v>0</v>
      </c>
      <c r="F172" s="1536">
        <f>ROUNDDOWN(G166,G172)</f>
        <v>0</v>
      </c>
      <c r="G172" s="1537">
        <f t="shared" ref="G172:L172" si="86">IF(LEN(G166)&lt;=7,-3,IF(LEN(G166)=8,-4,IF(LEN(G166)&gt;=9,-5,-6)))</f>
        <v>-3</v>
      </c>
      <c r="H172" s="1537">
        <f t="shared" si="86"/>
        <v>-3</v>
      </c>
      <c r="I172" s="1537">
        <f t="shared" si="86"/>
        <v>-3</v>
      </c>
      <c r="J172" s="1537">
        <f t="shared" si="86"/>
        <v>-3</v>
      </c>
      <c r="K172" s="1537">
        <f t="shared" si="86"/>
        <v>-3</v>
      </c>
      <c r="L172" s="1538">
        <f t="shared" si="86"/>
        <v>-3</v>
      </c>
      <c r="M172" s="1305"/>
      <c r="N172" s="1305"/>
      <c r="O172" s="1305"/>
      <c r="P172" s="1305"/>
      <c r="Q172" s="1305"/>
      <c r="R172" s="1305"/>
      <c r="S172" s="1305"/>
      <c r="T172" s="1305"/>
      <c r="U172" s="1305"/>
      <c r="V172" s="1305"/>
      <c r="W172" s="1305"/>
      <c r="X172" s="1305"/>
      <c r="Y172" s="1305"/>
      <c r="Z172" s="1305"/>
      <c r="AA172" s="1305"/>
      <c r="AB172" s="1305"/>
      <c r="AC172" s="1305"/>
      <c r="AD172" s="1305"/>
      <c r="AE172" s="1305"/>
      <c r="AF172" s="1305"/>
      <c r="AG172" s="1305"/>
      <c r="AH172" s="1305"/>
      <c r="AI172" s="1305"/>
      <c r="AJ172" s="1305"/>
      <c r="AK172" s="1305"/>
      <c r="AL172" s="1305"/>
      <c r="AM172" s="1305"/>
      <c r="AN172" s="1305"/>
      <c r="AO172" s="1305"/>
      <c r="AP172" s="1305"/>
      <c r="AQ172" s="1305"/>
      <c r="AR172" s="1305"/>
      <c r="AS172" s="1305"/>
      <c r="AT172" s="1305"/>
      <c r="AU172" s="1305"/>
      <c r="AV172" s="1305"/>
      <c r="AW172" s="1305"/>
      <c r="AX172" s="1305"/>
      <c r="AY172" s="1305"/>
      <c r="AZ172" s="1305"/>
      <c r="BA172" s="1305"/>
      <c r="BB172" s="1305"/>
      <c r="BC172" s="1305"/>
      <c r="BD172" s="1305"/>
      <c r="BE172" s="1305"/>
      <c r="BF172" s="1305"/>
      <c r="BG172" s="1305"/>
      <c r="BH172" s="1305"/>
      <c r="BI172" s="1305"/>
      <c r="BJ172" s="1305"/>
      <c r="BK172" s="1305"/>
      <c r="BL172" s="1305"/>
      <c r="BM172" s="1305"/>
      <c r="BN172" s="1305"/>
      <c r="BO172" s="1305"/>
      <c r="BP172" s="1305"/>
      <c r="BQ172" s="1305"/>
      <c r="BR172" s="1305"/>
      <c r="BS172" s="1305"/>
      <c r="BT172" s="1305"/>
      <c r="BU172" s="1305"/>
      <c r="BV172" s="1305"/>
      <c r="BW172" s="1305"/>
      <c r="BX172" s="1305"/>
      <c r="BY172" s="1305"/>
      <c r="BZ172" s="1305"/>
      <c r="CA172" s="1305"/>
      <c r="CB172" s="1305"/>
      <c r="CC172" s="1305"/>
      <c r="CD172" s="1305"/>
      <c r="CE172" s="1305"/>
      <c r="CF172" s="1305"/>
      <c r="CG172" s="1305"/>
      <c r="CH172" s="1305"/>
      <c r="CI172" s="1305"/>
      <c r="CJ172" s="1305"/>
      <c r="CK172" s="1305"/>
      <c r="CL172" s="1305"/>
      <c r="CM172" s="1305"/>
      <c r="CN172" s="1305"/>
      <c r="CO172" s="1305"/>
      <c r="CP172" s="1305"/>
      <c r="CQ172" s="1305"/>
      <c r="CR172" s="1305"/>
      <c r="CS172" s="1305"/>
      <c r="CT172" s="1305"/>
      <c r="CU172" s="1305"/>
      <c r="CV172" s="1305"/>
      <c r="CW172" s="1305"/>
      <c r="CX172" s="1305"/>
      <c r="CY172" s="1305"/>
      <c r="CZ172" s="1305"/>
      <c r="DA172" s="1305"/>
      <c r="DB172" s="1305"/>
      <c r="DC172" s="1305"/>
      <c r="DD172" s="1305"/>
      <c r="DE172" s="1305"/>
      <c r="DF172" s="1305"/>
      <c r="DG172" s="1305"/>
      <c r="DH172" s="1305"/>
      <c r="DI172" s="1305"/>
      <c r="DJ172" s="1305"/>
      <c r="DK172" s="1305"/>
      <c r="DL172" s="1305"/>
      <c r="DM172" s="1305"/>
      <c r="DN172" s="1305"/>
      <c r="DO172" s="1305"/>
      <c r="DP172" s="1305"/>
      <c r="DQ172" s="1305"/>
      <c r="DR172" s="1305"/>
      <c r="DS172" s="1305"/>
      <c r="DT172" s="1305"/>
      <c r="DU172" s="1305"/>
      <c r="DV172" s="1305"/>
      <c r="DW172" s="1305"/>
      <c r="DX172" s="1305"/>
      <c r="DY172" s="1305"/>
      <c r="DZ172" s="1305"/>
      <c r="EA172" s="1305"/>
      <c r="EB172" s="1305"/>
      <c r="EC172" s="1305"/>
      <c r="ED172" s="1305"/>
      <c r="EE172" s="1305"/>
      <c r="EF172" s="1305"/>
      <c r="EG172" s="1305"/>
      <c r="EH172" s="1305"/>
      <c r="EI172" s="1305"/>
      <c r="EJ172" s="1305"/>
      <c r="EK172" s="1305"/>
      <c r="EL172" s="1305"/>
      <c r="EM172" s="1305"/>
      <c r="EN172" s="1305"/>
      <c r="EO172" s="1305"/>
      <c r="EP172" s="1305"/>
      <c r="EQ172" s="1305"/>
      <c r="ER172" s="1305"/>
      <c r="ES172" s="1305"/>
      <c r="ET172" s="1305"/>
      <c r="EU172" s="1305"/>
      <c r="EV172" s="1305"/>
      <c r="EW172" s="1305"/>
      <c r="EX172" s="1305"/>
      <c r="EY172" s="1305"/>
      <c r="EZ172" s="1305"/>
      <c r="FA172" s="1305"/>
      <c r="FB172" s="1305"/>
      <c r="FC172" s="1305"/>
      <c r="FD172" s="1305"/>
      <c r="FE172" s="1305"/>
      <c r="FF172" s="1305"/>
      <c r="FG172" s="1305"/>
      <c r="FH172" s="1305"/>
      <c r="FI172" s="1305"/>
      <c r="FJ172" s="1305"/>
      <c r="FK172" s="1305"/>
      <c r="FL172" s="1305"/>
      <c r="FM172" s="1305"/>
      <c r="FN172" s="1305"/>
      <c r="FO172" s="1305"/>
      <c r="FP172" s="1305"/>
      <c r="FQ172" s="1305"/>
      <c r="FR172" s="1305"/>
      <c r="FS172" s="1305"/>
      <c r="FT172" s="1305"/>
      <c r="FU172" s="1305"/>
      <c r="FV172" s="1305"/>
      <c r="FW172" s="1305"/>
      <c r="FX172" s="1305"/>
      <c r="FY172" s="1305"/>
      <c r="FZ172" s="1305"/>
      <c r="GA172" s="1305"/>
      <c r="GB172" s="1305"/>
      <c r="GC172" s="1305"/>
      <c r="GD172" s="1305"/>
      <c r="GE172" s="1305"/>
      <c r="GF172" s="1305"/>
      <c r="GG172" s="1305"/>
      <c r="GH172" s="1305"/>
      <c r="GI172" s="1305"/>
      <c r="GJ172" s="1305"/>
      <c r="GK172" s="1305"/>
      <c r="GL172" s="1305"/>
      <c r="GM172" s="1305"/>
      <c r="GN172" s="1305"/>
      <c r="GO172" s="1305"/>
      <c r="GP172" s="1305"/>
      <c r="GQ172" s="1305"/>
      <c r="GR172" s="1305"/>
      <c r="GS172" s="1305"/>
      <c r="GT172" s="1305"/>
      <c r="GU172" s="1305"/>
      <c r="GV172" s="1305"/>
      <c r="GW172" s="1305"/>
      <c r="GX172" s="1305"/>
      <c r="GY172" s="1305"/>
      <c r="GZ172" s="1305"/>
      <c r="HA172" s="1305"/>
      <c r="HB172" s="1305"/>
      <c r="HC172" s="1305"/>
      <c r="HD172" s="1305"/>
      <c r="HE172" s="1305"/>
      <c r="HF172" s="1305"/>
      <c r="HG172" s="1305"/>
      <c r="HH172" s="1305"/>
      <c r="HI172" s="1305"/>
      <c r="HJ172" s="1305"/>
      <c r="HK172" s="1305"/>
      <c r="HL172" s="1305"/>
      <c r="HM172" s="1305"/>
      <c r="HN172" s="1305"/>
      <c r="HO172" s="1305"/>
      <c r="HP172" s="1305"/>
      <c r="HQ172" s="1305"/>
      <c r="HR172" s="1305"/>
      <c r="HS172" s="1305"/>
      <c r="HT172" s="1305"/>
      <c r="HU172" s="1305"/>
      <c r="HV172" s="1305"/>
      <c r="HW172" s="1305"/>
      <c r="HX172" s="1305"/>
      <c r="HY172" s="1305"/>
      <c r="HZ172" s="1305"/>
      <c r="IA172" s="1305"/>
      <c r="IB172" s="1305"/>
      <c r="IC172" s="1305"/>
      <c r="ID172" s="1305"/>
      <c r="IE172" s="1305"/>
      <c r="IF172" s="1305"/>
      <c r="IG172" s="1305"/>
      <c r="IH172" s="1305"/>
      <c r="II172" s="1305"/>
      <c r="IJ172" s="1305"/>
      <c r="IK172" s="1305"/>
      <c r="IL172" s="1305"/>
      <c r="IM172" s="1305"/>
      <c r="IN172" s="1305"/>
      <c r="IO172" s="1305"/>
      <c r="IP172" s="1305"/>
      <c r="IQ172" s="1305"/>
      <c r="IR172" s="1305"/>
      <c r="IS172" s="1305"/>
      <c r="IT172" s="1305"/>
      <c r="IU172" s="1305"/>
      <c r="IV172" s="1305"/>
    </row>
    <row r="173" spans="1:256" ht="13.5" customHeight="1" thickBot="1">
      <c r="A173" s="1539"/>
      <c r="B173" s="1539"/>
      <c r="C173" s="1539"/>
      <c r="D173" s="1539"/>
      <c r="E173" s="1540"/>
      <c r="F173" s="1540"/>
      <c r="G173" s="1541"/>
      <c r="H173" s="1541"/>
      <c r="I173" s="1541"/>
      <c r="J173" s="1541"/>
      <c r="K173" s="1541"/>
      <c r="L173" s="1541"/>
      <c r="M173" s="1305"/>
      <c r="N173" s="1305"/>
      <c r="O173" s="1305"/>
      <c r="P173" s="1305"/>
      <c r="Q173" s="1305"/>
      <c r="R173" s="1305"/>
      <c r="S173" s="1305"/>
      <c r="T173" s="1305"/>
      <c r="U173" s="1305"/>
      <c r="V173" s="1305"/>
      <c r="W173" s="1305"/>
      <c r="X173" s="1305"/>
      <c r="Y173" s="1305"/>
      <c r="Z173" s="1305"/>
      <c r="AA173" s="1305"/>
      <c r="AB173" s="1305"/>
      <c r="AC173" s="1305"/>
      <c r="AD173" s="1305"/>
      <c r="AE173" s="1305"/>
      <c r="AF173" s="1305"/>
      <c r="AG173" s="1305"/>
      <c r="AH173" s="1305"/>
      <c r="AI173" s="1305"/>
      <c r="AJ173" s="1305"/>
      <c r="AK173" s="1305"/>
      <c r="AL173" s="1305"/>
      <c r="AM173" s="1305"/>
      <c r="AN173" s="1305"/>
      <c r="AO173" s="1305"/>
      <c r="AP173" s="1305"/>
      <c r="AQ173" s="1305"/>
      <c r="AR173" s="1305"/>
      <c r="AS173" s="1305"/>
      <c r="AT173" s="1305"/>
      <c r="AU173" s="1305"/>
      <c r="AV173" s="1305"/>
      <c r="AW173" s="1305"/>
      <c r="AX173" s="1305"/>
      <c r="AY173" s="1305"/>
      <c r="AZ173" s="1305"/>
      <c r="BA173" s="1305"/>
      <c r="BB173" s="1305"/>
      <c r="BC173" s="1305"/>
      <c r="BD173" s="1305"/>
      <c r="BE173" s="1305"/>
      <c r="BF173" s="1305"/>
      <c r="BG173" s="1305"/>
      <c r="BH173" s="1305"/>
      <c r="BI173" s="1305"/>
      <c r="BJ173" s="1305"/>
      <c r="BK173" s="1305"/>
      <c r="BL173" s="1305"/>
      <c r="BM173" s="1305"/>
      <c r="BN173" s="1305"/>
      <c r="BO173" s="1305"/>
      <c r="BP173" s="1305"/>
      <c r="BQ173" s="1305"/>
      <c r="BR173" s="1305"/>
      <c r="BS173" s="1305"/>
      <c r="BT173" s="1305"/>
      <c r="BU173" s="1305"/>
      <c r="BV173" s="1305"/>
      <c r="BW173" s="1305"/>
      <c r="BX173" s="1305"/>
      <c r="BY173" s="1305"/>
      <c r="BZ173" s="1305"/>
      <c r="CA173" s="1305"/>
      <c r="CB173" s="1305"/>
      <c r="CC173" s="1305"/>
      <c r="CD173" s="1305"/>
      <c r="CE173" s="1305"/>
      <c r="CF173" s="1305"/>
      <c r="CG173" s="1305"/>
      <c r="CH173" s="1305"/>
      <c r="CI173" s="1305"/>
      <c r="CJ173" s="1305"/>
      <c r="CK173" s="1305"/>
      <c r="CL173" s="1305"/>
      <c r="CM173" s="1305"/>
      <c r="CN173" s="1305"/>
      <c r="CO173" s="1305"/>
      <c r="CP173" s="1305"/>
      <c r="CQ173" s="1305"/>
      <c r="CR173" s="1305"/>
      <c r="CS173" s="1305"/>
      <c r="CT173" s="1305"/>
      <c r="CU173" s="1305"/>
      <c r="CV173" s="1305"/>
      <c r="CW173" s="1305"/>
      <c r="CX173" s="1305"/>
      <c r="CY173" s="1305"/>
      <c r="CZ173" s="1305"/>
      <c r="DA173" s="1305"/>
      <c r="DB173" s="1305"/>
      <c r="DC173" s="1305"/>
      <c r="DD173" s="1305"/>
      <c r="DE173" s="1305"/>
      <c r="DF173" s="1305"/>
      <c r="DG173" s="1305"/>
      <c r="DH173" s="1305"/>
      <c r="DI173" s="1305"/>
      <c r="DJ173" s="1305"/>
      <c r="DK173" s="1305"/>
      <c r="DL173" s="1305"/>
      <c r="DM173" s="1305"/>
      <c r="DN173" s="1305"/>
      <c r="DO173" s="1305"/>
      <c r="DP173" s="1305"/>
      <c r="DQ173" s="1305"/>
      <c r="DR173" s="1305"/>
      <c r="DS173" s="1305"/>
      <c r="DT173" s="1305"/>
      <c r="DU173" s="1305"/>
      <c r="DV173" s="1305"/>
      <c r="DW173" s="1305"/>
      <c r="DX173" s="1305"/>
      <c r="DY173" s="1305"/>
      <c r="DZ173" s="1305"/>
      <c r="EA173" s="1305"/>
      <c r="EB173" s="1305"/>
      <c r="EC173" s="1305"/>
      <c r="ED173" s="1305"/>
      <c r="EE173" s="1305"/>
      <c r="EF173" s="1305"/>
      <c r="EG173" s="1305"/>
      <c r="EH173" s="1305"/>
      <c r="EI173" s="1305"/>
      <c r="EJ173" s="1305"/>
      <c r="EK173" s="1305"/>
      <c r="EL173" s="1305"/>
      <c r="EM173" s="1305"/>
      <c r="EN173" s="1305"/>
      <c r="EO173" s="1305"/>
      <c r="EP173" s="1305"/>
      <c r="EQ173" s="1305"/>
      <c r="ER173" s="1305"/>
      <c r="ES173" s="1305"/>
      <c r="ET173" s="1305"/>
      <c r="EU173" s="1305"/>
      <c r="EV173" s="1305"/>
      <c r="EW173" s="1305"/>
      <c r="EX173" s="1305"/>
      <c r="EY173" s="1305"/>
      <c r="EZ173" s="1305"/>
      <c r="FA173" s="1305"/>
      <c r="FB173" s="1305"/>
      <c r="FC173" s="1305"/>
      <c r="FD173" s="1305"/>
      <c r="FE173" s="1305"/>
      <c r="FF173" s="1305"/>
      <c r="FG173" s="1305"/>
      <c r="FH173" s="1305"/>
      <c r="FI173" s="1305"/>
      <c r="FJ173" s="1305"/>
      <c r="FK173" s="1305"/>
      <c r="FL173" s="1305"/>
      <c r="FM173" s="1305"/>
      <c r="FN173" s="1305"/>
      <c r="FO173" s="1305"/>
      <c r="FP173" s="1305"/>
      <c r="FQ173" s="1305"/>
      <c r="FR173" s="1305"/>
      <c r="FS173" s="1305"/>
      <c r="FT173" s="1305"/>
      <c r="FU173" s="1305"/>
      <c r="FV173" s="1305"/>
      <c r="FW173" s="1305"/>
      <c r="FX173" s="1305"/>
      <c r="FY173" s="1305"/>
      <c r="FZ173" s="1305"/>
      <c r="GA173" s="1305"/>
      <c r="GB173" s="1305"/>
      <c r="GC173" s="1305"/>
      <c r="GD173" s="1305"/>
      <c r="GE173" s="1305"/>
      <c r="GF173" s="1305"/>
      <c r="GG173" s="1305"/>
      <c r="GH173" s="1305"/>
      <c r="GI173" s="1305"/>
      <c r="GJ173" s="1305"/>
      <c r="GK173" s="1305"/>
      <c r="GL173" s="1305"/>
      <c r="GM173" s="1305"/>
      <c r="GN173" s="1305"/>
      <c r="GO173" s="1305"/>
      <c r="GP173" s="1305"/>
      <c r="GQ173" s="1305"/>
      <c r="GR173" s="1305"/>
      <c r="GS173" s="1305"/>
      <c r="GT173" s="1305"/>
      <c r="GU173" s="1305"/>
      <c r="GV173" s="1305"/>
      <c r="GW173" s="1305"/>
      <c r="GX173" s="1305"/>
      <c r="GY173" s="1305"/>
      <c r="GZ173" s="1305"/>
      <c r="HA173" s="1305"/>
      <c r="HB173" s="1305"/>
      <c r="HC173" s="1305"/>
      <c r="HD173" s="1305"/>
      <c r="HE173" s="1305"/>
      <c r="HF173" s="1305"/>
      <c r="HG173" s="1305"/>
      <c r="HH173" s="1305"/>
      <c r="HI173" s="1305"/>
      <c r="HJ173" s="1305"/>
      <c r="HK173" s="1305"/>
      <c r="HL173" s="1305"/>
      <c r="HM173" s="1305"/>
      <c r="HN173" s="1305"/>
      <c r="HO173" s="1305"/>
      <c r="HP173" s="1305"/>
      <c r="HQ173" s="1305"/>
      <c r="HR173" s="1305"/>
      <c r="HS173" s="1305"/>
      <c r="HT173" s="1305"/>
      <c r="HU173" s="1305"/>
      <c r="HV173" s="1305"/>
      <c r="HW173" s="1305"/>
      <c r="HX173" s="1305"/>
      <c r="HY173" s="1305"/>
      <c r="HZ173" s="1305"/>
      <c r="IA173" s="1305"/>
      <c r="IB173" s="1305"/>
      <c r="IC173" s="1305"/>
      <c r="ID173" s="1305"/>
      <c r="IE173" s="1305"/>
      <c r="IF173" s="1305"/>
      <c r="IG173" s="1305"/>
      <c r="IH173" s="1305"/>
      <c r="II173" s="1305"/>
      <c r="IJ173" s="1305"/>
      <c r="IK173" s="1305"/>
      <c r="IL173" s="1305"/>
      <c r="IM173" s="1305"/>
      <c r="IN173" s="1305"/>
      <c r="IO173" s="1305"/>
      <c r="IP173" s="1305"/>
      <c r="IQ173" s="1305"/>
      <c r="IR173" s="1305"/>
      <c r="IS173" s="1305"/>
      <c r="IT173" s="1305"/>
      <c r="IU173" s="1305"/>
      <c r="IV173" s="1305"/>
    </row>
    <row r="174" spans="1:256" ht="13.5" customHeight="1">
      <c r="A174" s="1542"/>
      <c r="B174" s="1543"/>
      <c r="C174" s="1544" t="s">
        <v>4064</v>
      </c>
      <c r="D174" s="1545"/>
      <c r="E174" s="1543"/>
      <c r="F174" s="1051" t="s">
        <v>4065</v>
      </c>
      <c r="G174" s="1546">
        <f t="shared" ref="G174:L174" si="87">G3</f>
        <v>0</v>
      </c>
      <c r="H174" s="1546">
        <f t="shared" si="87"/>
        <v>0</v>
      </c>
      <c r="I174" s="1546">
        <f t="shared" si="87"/>
        <v>0</v>
      </c>
      <c r="J174" s="1546">
        <f t="shared" si="87"/>
        <v>0</v>
      </c>
      <c r="K174" s="1546">
        <f t="shared" si="87"/>
        <v>0</v>
      </c>
      <c r="L174" s="1547">
        <f t="shared" si="87"/>
        <v>0</v>
      </c>
      <c r="M174" s="1548"/>
      <c r="N174" s="1548"/>
    </row>
    <row r="175" spans="1:256" ht="13.5" customHeight="1">
      <c r="A175" s="2772"/>
      <c r="B175" s="2773" t="s">
        <v>4066</v>
      </c>
      <c r="C175" s="1549" t="s">
        <v>4067</v>
      </c>
      <c r="D175" s="1217"/>
      <c r="E175" s="1550"/>
      <c r="F175" s="1056" t="s">
        <v>4068</v>
      </c>
      <c r="G175" s="1057">
        <f t="shared" ref="G175:L175" si="88">IF($F$63&lt;=10000000,ROUND(7.56*(10000^-0.1105)*(G174^0.2389),2),ROUND(7.56*(($F$63/1000)^-0.1105)*(G174^0.2389),2))</f>
        <v>0</v>
      </c>
      <c r="H175" s="1057">
        <f t="shared" si="88"/>
        <v>0</v>
      </c>
      <c r="I175" s="1057">
        <f t="shared" si="88"/>
        <v>0</v>
      </c>
      <c r="J175" s="1057">
        <f t="shared" si="88"/>
        <v>0</v>
      </c>
      <c r="K175" s="1057">
        <f t="shared" si="88"/>
        <v>0</v>
      </c>
      <c r="L175" s="1058">
        <f t="shared" si="88"/>
        <v>0</v>
      </c>
      <c r="M175" s="1551"/>
      <c r="N175" s="1551"/>
    </row>
    <row r="176" spans="1:256" ht="13.5" customHeight="1">
      <c r="A176" s="2699"/>
      <c r="B176" s="2702"/>
      <c r="C176" s="2774" t="s">
        <v>4069</v>
      </c>
      <c r="D176" s="1552"/>
      <c r="E176" s="1553"/>
      <c r="F176" s="1056" t="s">
        <v>4070</v>
      </c>
      <c r="G176" s="1061">
        <f t="shared" ref="G176:L176" si="89">IF($F$63&lt;=10000000,ROUND(4.33,2),0)</f>
        <v>4.33</v>
      </c>
      <c r="H176" s="1061">
        <f t="shared" si="89"/>
        <v>4.33</v>
      </c>
      <c r="I176" s="1061">
        <f t="shared" si="89"/>
        <v>4.33</v>
      </c>
      <c r="J176" s="1061">
        <f t="shared" si="89"/>
        <v>4.33</v>
      </c>
      <c r="K176" s="1061">
        <f t="shared" si="89"/>
        <v>4.33</v>
      </c>
      <c r="L176" s="1062">
        <f t="shared" si="89"/>
        <v>4.33</v>
      </c>
      <c r="M176" s="1554"/>
      <c r="N176" s="1554"/>
    </row>
    <row r="177" spans="1:256" ht="13.5" customHeight="1">
      <c r="A177" s="2699"/>
      <c r="B177" s="2702"/>
      <c r="C177" s="2705"/>
      <c r="D177" s="2494"/>
      <c r="E177" s="1555"/>
      <c r="F177" s="1056" t="s">
        <v>4071</v>
      </c>
      <c r="G177" s="1061">
        <f t="shared" ref="G177:L177" si="90">IF($F$63&lt;=10000000,ROUND(3.25,2),0)</f>
        <v>3.25</v>
      </c>
      <c r="H177" s="1061">
        <f t="shared" si="90"/>
        <v>3.25</v>
      </c>
      <c r="I177" s="1061">
        <f t="shared" si="90"/>
        <v>3.25</v>
      </c>
      <c r="J177" s="1061">
        <f t="shared" si="90"/>
        <v>3.25</v>
      </c>
      <c r="K177" s="1061">
        <f t="shared" si="90"/>
        <v>3.25</v>
      </c>
      <c r="L177" s="1062">
        <f t="shared" si="90"/>
        <v>3.25</v>
      </c>
      <c r="M177" s="1554"/>
      <c r="N177" s="1554"/>
    </row>
    <row r="178" spans="1:256" ht="13.5" customHeight="1">
      <c r="A178" s="2699"/>
      <c r="B178" s="2702"/>
      <c r="C178" s="2774" t="s">
        <v>4072</v>
      </c>
      <c r="D178" s="1552"/>
      <c r="E178" s="1553"/>
      <c r="F178" s="1056" t="s">
        <v>4070</v>
      </c>
      <c r="G178" s="1064">
        <f t="shared" ref="G178:L178" si="91">IF($F$63&gt;10000000,ROUND(5.78*($F$63/1000)^-0.0313,2),0)</f>
        <v>0</v>
      </c>
      <c r="H178" s="1064">
        <f t="shared" si="91"/>
        <v>0</v>
      </c>
      <c r="I178" s="1064">
        <f t="shared" si="91"/>
        <v>0</v>
      </c>
      <c r="J178" s="1064">
        <f t="shared" si="91"/>
        <v>0</v>
      </c>
      <c r="K178" s="1064">
        <f t="shared" si="91"/>
        <v>0</v>
      </c>
      <c r="L178" s="1065">
        <f t="shared" si="91"/>
        <v>0</v>
      </c>
      <c r="M178" s="1556"/>
      <c r="N178" s="1556"/>
    </row>
    <row r="179" spans="1:256" ht="13.5" customHeight="1">
      <c r="A179" s="2700"/>
      <c r="B179" s="2703"/>
      <c r="C179" s="2705"/>
      <c r="D179" s="2494"/>
      <c r="E179" s="1555"/>
      <c r="F179" s="1056" t="s">
        <v>4071</v>
      </c>
      <c r="G179" s="1064">
        <f t="shared" ref="G179:L179" si="92">IF($F$63&gt;10000000,ROUND(4.34*($F$63/1000)^-0.0313,2),0)</f>
        <v>0</v>
      </c>
      <c r="H179" s="1064">
        <f t="shared" si="92"/>
        <v>0</v>
      </c>
      <c r="I179" s="1064">
        <f t="shared" si="92"/>
        <v>0</v>
      </c>
      <c r="J179" s="1064">
        <f t="shared" si="92"/>
        <v>0</v>
      </c>
      <c r="K179" s="1064">
        <f t="shared" si="92"/>
        <v>0</v>
      </c>
      <c r="L179" s="1065">
        <f t="shared" si="92"/>
        <v>0</v>
      </c>
      <c r="M179" s="1556"/>
      <c r="N179" s="1556"/>
    </row>
    <row r="180" spans="1:256" s="1558" customFormat="1" ht="13.5" customHeight="1">
      <c r="A180" s="2767" t="s">
        <v>4073</v>
      </c>
      <c r="B180" s="2768"/>
      <c r="C180" s="2768"/>
      <c r="D180" s="2768"/>
      <c r="E180" s="2769"/>
      <c r="F180" s="2770"/>
      <c r="G180" s="1066">
        <f t="shared" ref="G180:L180" si="93">IF($F$63&lt;=10000000,IF(G$175&gt;G$176,G$176,IF(G$175&lt;G$177,G$177,G$175)),IF(G$175&gt;G$178,G$178,IF(G$175&lt;G$179,G$179,G$175)))</f>
        <v>3.25</v>
      </c>
      <c r="H180" s="1066">
        <f t="shared" si="93"/>
        <v>3.25</v>
      </c>
      <c r="I180" s="1066">
        <f t="shared" si="93"/>
        <v>3.25</v>
      </c>
      <c r="J180" s="1066">
        <f t="shared" si="93"/>
        <v>3.25</v>
      </c>
      <c r="K180" s="1066">
        <f t="shared" si="93"/>
        <v>3.25</v>
      </c>
      <c r="L180" s="1067">
        <f t="shared" si="93"/>
        <v>3.25</v>
      </c>
      <c r="M180" s="1557"/>
      <c r="N180" s="1557"/>
    </row>
    <row r="181" spans="1:256" s="1558" customFormat="1" ht="13.5" customHeight="1" thickBot="1">
      <c r="A181" s="2710" t="s">
        <v>4748</v>
      </c>
      <c r="B181" s="2711"/>
      <c r="C181" s="2711"/>
      <c r="D181" s="2711"/>
      <c r="E181" s="2712"/>
      <c r="F181" s="2713"/>
      <c r="G181" s="1069">
        <f>ROUND(G180*IF(AND(G8="駅施設",G9="無し"),0.7,IF(AND(G8="駅施設",G9="有り"),0.7,IF(AND(G8="地上建物",G9="無し"),0.9,IF(AND(G8="地上建物",G9="有り"),1,0)))),2)</f>
        <v>2.2799999999999998</v>
      </c>
      <c r="H181" s="1069">
        <f t="shared" ref="H181:L181" si="94">ROUND(H180*IF(AND(H8="駅施設",H9="無し"),0.7,IF(AND(H8="駅施設",H9="有り"),0.7,IF(AND(H8="地上建物",H9="無し"),0.9,IF(AND(H8="地上建物",H9="有り"),1,0)))),2)</f>
        <v>2.2799999999999998</v>
      </c>
      <c r="I181" s="1069">
        <f t="shared" si="94"/>
        <v>2.2799999999999998</v>
      </c>
      <c r="J181" s="1069">
        <f t="shared" si="94"/>
        <v>2.2799999999999998</v>
      </c>
      <c r="K181" s="1069">
        <f t="shared" si="94"/>
        <v>2.2799999999999998</v>
      </c>
      <c r="L181" s="1070">
        <f t="shared" si="94"/>
        <v>2.2799999999999998</v>
      </c>
      <c r="M181" s="1557"/>
      <c r="N181" s="1557"/>
    </row>
    <row r="182" spans="1:256" s="1558" customFormat="1" ht="13.5" customHeight="1" thickBot="1">
      <c r="A182" s="1559"/>
      <c r="B182" s="1560"/>
      <c r="C182" s="1560"/>
      <c r="D182" s="1560"/>
      <c r="E182" s="1561"/>
      <c r="F182" s="1561"/>
      <c r="G182" s="1557"/>
      <c r="H182" s="1557"/>
      <c r="I182" s="1557"/>
      <c r="J182" s="1557"/>
      <c r="K182" s="1557"/>
      <c r="L182" s="1557"/>
      <c r="M182" s="1557"/>
      <c r="N182" s="1557"/>
    </row>
    <row r="183" spans="1:256" s="1305" customFormat="1" ht="13.5" customHeight="1">
      <c r="A183" s="1562"/>
      <c r="B183" s="1563"/>
      <c r="C183" s="1564" t="s">
        <v>4064</v>
      </c>
      <c r="D183" s="1565"/>
      <c r="E183" s="1563"/>
      <c r="F183" s="1076" t="s">
        <v>4065</v>
      </c>
      <c r="G183" s="1546">
        <f t="shared" ref="G183:L183" si="95">G3</f>
        <v>0</v>
      </c>
      <c r="H183" s="1546">
        <f t="shared" si="95"/>
        <v>0</v>
      </c>
      <c r="I183" s="1546">
        <f t="shared" si="95"/>
        <v>0</v>
      </c>
      <c r="J183" s="1546">
        <f t="shared" si="95"/>
        <v>0</v>
      </c>
      <c r="K183" s="1546">
        <f t="shared" si="95"/>
        <v>0</v>
      </c>
      <c r="L183" s="1547">
        <f t="shared" si="95"/>
        <v>0</v>
      </c>
      <c r="M183" s="1548"/>
      <c r="N183" s="1548"/>
    </row>
    <row r="184" spans="1:256" s="1305" customFormat="1" ht="13.5" customHeight="1">
      <c r="A184" s="2760"/>
      <c r="B184" s="2761" t="s">
        <v>4075</v>
      </c>
      <c r="C184" s="1566" t="s">
        <v>4067</v>
      </c>
      <c r="D184" s="1189"/>
      <c r="E184" s="1567"/>
      <c r="F184" s="1079" t="s">
        <v>4076</v>
      </c>
      <c r="G184" s="1057">
        <f t="shared" ref="G184:L184" si="96">IF($F$63&lt;=5000000,ROUND(18.03*(5000^-0.2027)*(G183^0.4017),2),ROUND(18.03*(($F$63/1000)^-0.2027)*(G183^0.4017),2))</f>
        <v>0</v>
      </c>
      <c r="H184" s="1057">
        <f t="shared" si="96"/>
        <v>0</v>
      </c>
      <c r="I184" s="1057">
        <f t="shared" si="96"/>
        <v>0</v>
      </c>
      <c r="J184" s="1057">
        <f t="shared" si="96"/>
        <v>0</v>
      </c>
      <c r="K184" s="1057">
        <f t="shared" si="96"/>
        <v>0</v>
      </c>
      <c r="L184" s="1058">
        <f t="shared" si="96"/>
        <v>0</v>
      </c>
      <c r="M184" s="1551"/>
      <c r="N184" s="1551"/>
    </row>
    <row r="185" spans="1:256" s="1305" customFormat="1" ht="13.5" customHeight="1">
      <c r="A185" s="2715"/>
      <c r="B185" s="2718"/>
      <c r="C185" s="2766" t="s">
        <v>4077</v>
      </c>
      <c r="D185" s="1196"/>
      <c r="E185" s="1568"/>
      <c r="F185" s="1079" t="s">
        <v>4070</v>
      </c>
      <c r="G185" s="1081">
        <f t="shared" ref="G185:L185" si="97">IF($F$63&lt;=5000000,ROUND(6.07,2),0)</f>
        <v>6.07</v>
      </c>
      <c r="H185" s="1081">
        <f t="shared" si="97"/>
        <v>6.07</v>
      </c>
      <c r="I185" s="1081">
        <f t="shared" si="97"/>
        <v>6.07</v>
      </c>
      <c r="J185" s="1081">
        <f t="shared" si="97"/>
        <v>6.07</v>
      </c>
      <c r="K185" s="1081">
        <f t="shared" si="97"/>
        <v>6.07</v>
      </c>
      <c r="L185" s="1082">
        <f t="shared" si="97"/>
        <v>6.07</v>
      </c>
      <c r="M185" s="1105"/>
      <c r="N185" s="1105"/>
    </row>
    <row r="186" spans="1:256" s="1305" customFormat="1" ht="13.5" customHeight="1">
      <c r="A186" s="2715"/>
      <c r="B186" s="2718"/>
      <c r="C186" s="2721"/>
      <c r="D186" s="2495"/>
      <c r="E186" s="1569"/>
      <c r="F186" s="1079" t="s">
        <v>4071</v>
      </c>
      <c r="G186" s="1081">
        <f t="shared" ref="G186:L186" si="98">IF($F$63&lt;=5000000,ROUND(3.59,2),0)</f>
        <v>3.59</v>
      </c>
      <c r="H186" s="1081">
        <f t="shared" si="98"/>
        <v>3.59</v>
      </c>
      <c r="I186" s="1081">
        <f t="shared" si="98"/>
        <v>3.59</v>
      </c>
      <c r="J186" s="1081">
        <f t="shared" si="98"/>
        <v>3.59</v>
      </c>
      <c r="K186" s="1081">
        <f t="shared" si="98"/>
        <v>3.59</v>
      </c>
      <c r="L186" s="1082">
        <f t="shared" si="98"/>
        <v>3.59</v>
      </c>
      <c r="M186" s="1105"/>
      <c r="N186" s="1105"/>
    </row>
    <row r="187" spans="1:256" s="1305" customFormat="1" ht="13.5" customHeight="1">
      <c r="A187" s="2715"/>
      <c r="B187" s="2718"/>
      <c r="C187" s="2766" t="s">
        <v>4078</v>
      </c>
      <c r="D187" s="1196"/>
      <c r="E187" s="1568"/>
      <c r="F187" s="1079" t="s">
        <v>4070</v>
      </c>
      <c r="G187" s="1084">
        <f t="shared" ref="G187:L187" si="99">IF($F$63&gt;5000000,ROUND(11.74*($F$63/1000)^-0.0774,2),0)</f>
        <v>0</v>
      </c>
      <c r="H187" s="1084">
        <f t="shared" si="99"/>
        <v>0</v>
      </c>
      <c r="I187" s="1084">
        <f t="shared" si="99"/>
        <v>0</v>
      </c>
      <c r="J187" s="1084">
        <f t="shared" si="99"/>
        <v>0</v>
      </c>
      <c r="K187" s="1084">
        <f t="shared" si="99"/>
        <v>0</v>
      </c>
      <c r="L187" s="1085">
        <f t="shared" si="99"/>
        <v>0</v>
      </c>
      <c r="M187" s="1107"/>
      <c r="N187" s="1107"/>
    </row>
    <row r="188" spans="1:256" s="1305" customFormat="1" ht="13.5" customHeight="1">
      <c r="A188" s="2716"/>
      <c r="B188" s="2719"/>
      <c r="C188" s="2721"/>
      <c r="D188" s="2495"/>
      <c r="E188" s="1569"/>
      <c r="F188" s="1079" t="s">
        <v>4071</v>
      </c>
      <c r="G188" s="1084">
        <f t="shared" ref="G188:L188" si="100">IF($F$63&gt;5000000,ROUND(6.94*($F$63/1000)^-0.0774,2),0)</f>
        <v>0</v>
      </c>
      <c r="H188" s="1084">
        <f t="shared" si="100"/>
        <v>0</v>
      </c>
      <c r="I188" s="1084">
        <f t="shared" si="100"/>
        <v>0</v>
      </c>
      <c r="J188" s="1084">
        <f t="shared" si="100"/>
        <v>0</v>
      </c>
      <c r="K188" s="1084">
        <f t="shared" si="100"/>
        <v>0</v>
      </c>
      <c r="L188" s="1085">
        <f t="shared" si="100"/>
        <v>0</v>
      </c>
      <c r="M188" s="1107"/>
      <c r="N188" s="1107"/>
    </row>
    <row r="189" spans="1:256" s="1558" customFormat="1" ht="13.5" customHeight="1">
      <c r="A189" s="2767" t="s">
        <v>4073</v>
      </c>
      <c r="B189" s="2768"/>
      <c r="C189" s="2768"/>
      <c r="D189" s="2768"/>
      <c r="E189" s="2769"/>
      <c r="F189" s="2770"/>
      <c r="G189" s="1086">
        <f t="shared" ref="G189:L189" si="101">IF($F$63&lt;=5000000,IF(G$184&gt;G$185,G$185,IF(G$184&lt;G$186,G$186,G$184)),IF(G$184&gt;G$187,G$187,IF(G$184&lt;G$188,G$188,G$184)))</f>
        <v>3.59</v>
      </c>
      <c r="H189" s="1086">
        <f t="shared" si="101"/>
        <v>3.59</v>
      </c>
      <c r="I189" s="1086">
        <f t="shared" si="101"/>
        <v>3.59</v>
      </c>
      <c r="J189" s="1086">
        <f t="shared" si="101"/>
        <v>3.59</v>
      </c>
      <c r="K189" s="1086">
        <f t="shared" si="101"/>
        <v>3.59</v>
      </c>
      <c r="L189" s="1087">
        <f t="shared" si="101"/>
        <v>3.59</v>
      </c>
      <c r="M189" s="1570"/>
      <c r="N189" s="1570"/>
    </row>
    <row r="190" spans="1:256" s="1558" customFormat="1" ht="13.5" customHeight="1" thickBot="1">
      <c r="A190" s="2710" t="s">
        <v>4748</v>
      </c>
      <c r="B190" s="2711"/>
      <c r="C190" s="2711"/>
      <c r="D190" s="2711"/>
      <c r="E190" s="2712"/>
      <c r="F190" s="2713"/>
      <c r="G190" s="1069">
        <f>ROUND(G189*IF(AND(G8="駅施設",G9="無し"),0.7,IF(AND(G8="駅施設",G9="有り"),0.7,IF(AND(G8="地上建物",G9="無し"),0.9,IF(AND(G8="地上建物",G9="有り"),1,0)))),2)</f>
        <v>2.5099999999999998</v>
      </c>
      <c r="H190" s="1069">
        <f t="shared" ref="H190:L190" si="102">ROUND(H189*IF(AND(H8="駅施設",H9="無し"),0.7,IF(AND(H8="駅施設",H9="有り"),0.7,IF(AND(H8="地上建物",H9="無し"),0.9,IF(AND(H8="地上建物",H9="有り"),1,0)))),2)</f>
        <v>2.5099999999999998</v>
      </c>
      <c r="I190" s="1069">
        <f t="shared" si="102"/>
        <v>2.5099999999999998</v>
      </c>
      <c r="J190" s="1069">
        <f t="shared" si="102"/>
        <v>2.5099999999999998</v>
      </c>
      <c r="K190" s="1069">
        <f t="shared" si="102"/>
        <v>2.5099999999999998</v>
      </c>
      <c r="L190" s="1070">
        <f t="shared" si="102"/>
        <v>2.5099999999999998</v>
      </c>
      <c r="M190" s="1557"/>
      <c r="N190" s="1557"/>
    </row>
    <row r="191" spans="1:256" ht="13.5" customHeight="1" thickBot="1">
      <c r="A191" s="1305"/>
      <c r="B191" s="1305"/>
      <c r="C191" s="1305"/>
      <c r="D191" s="1305"/>
      <c r="E191" s="1571"/>
      <c r="F191" s="1571"/>
      <c r="G191" s="1572"/>
      <c r="H191" s="1572"/>
      <c r="I191" s="1572"/>
      <c r="J191" s="1572"/>
      <c r="K191" s="1572"/>
      <c r="L191" s="1572"/>
      <c r="M191" s="1305"/>
      <c r="N191" s="1305"/>
      <c r="O191" s="1305"/>
      <c r="P191" s="1305"/>
      <c r="Q191" s="1305"/>
      <c r="R191" s="1305"/>
      <c r="S191" s="1305"/>
      <c r="T191" s="1305"/>
      <c r="U191" s="1305"/>
      <c r="V191" s="1305"/>
      <c r="W191" s="1305"/>
      <c r="X191" s="1305"/>
      <c r="Y191" s="1305"/>
      <c r="Z191" s="1305"/>
      <c r="AA191" s="1305"/>
      <c r="AB191" s="1305"/>
      <c r="AC191" s="1305"/>
      <c r="AD191" s="1305"/>
      <c r="AE191" s="1305"/>
      <c r="AF191" s="1305"/>
      <c r="AG191" s="1305"/>
      <c r="AH191" s="1305"/>
      <c r="AI191" s="1305"/>
      <c r="AJ191" s="1305"/>
      <c r="AK191" s="1305"/>
      <c r="AL191" s="1305"/>
      <c r="AM191" s="1305"/>
      <c r="AN191" s="1305"/>
      <c r="AO191" s="1305"/>
      <c r="AP191" s="1305"/>
      <c r="AQ191" s="1305"/>
      <c r="AR191" s="1305"/>
      <c r="AS191" s="1305"/>
      <c r="AT191" s="1305"/>
      <c r="AU191" s="1305"/>
      <c r="AV191" s="1305"/>
      <c r="AW191" s="1305"/>
      <c r="AX191" s="1305"/>
      <c r="AY191" s="1305"/>
      <c r="AZ191" s="1305"/>
      <c r="BA191" s="1305"/>
      <c r="BB191" s="1305"/>
      <c r="BC191" s="1305"/>
      <c r="BD191" s="1305"/>
      <c r="BE191" s="1305"/>
      <c r="BF191" s="1305"/>
      <c r="BG191" s="1305"/>
      <c r="BH191" s="1305"/>
      <c r="BI191" s="1305"/>
      <c r="BJ191" s="1305"/>
      <c r="BK191" s="1305"/>
      <c r="BL191" s="1305"/>
      <c r="BM191" s="1305"/>
      <c r="BN191" s="1305"/>
      <c r="BO191" s="1305"/>
      <c r="BP191" s="1305"/>
      <c r="BQ191" s="1305"/>
      <c r="BR191" s="1305"/>
      <c r="BS191" s="1305"/>
      <c r="BT191" s="1305"/>
      <c r="BU191" s="1305"/>
      <c r="BV191" s="1305"/>
      <c r="BW191" s="1305"/>
      <c r="BX191" s="1305"/>
      <c r="BY191" s="1305"/>
      <c r="BZ191" s="1305"/>
      <c r="CA191" s="1305"/>
      <c r="CB191" s="1305"/>
      <c r="CC191" s="1305"/>
      <c r="CD191" s="1305"/>
      <c r="CE191" s="1305"/>
      <c r="CF191" s="1305"/>
      <c r="CG191" s="1305"/>
      <c r="CH191" s="1305"/>
      <c r="CI191" s="1305"/>
      <c r="CJ191" s="1305"/>
      <c r="CK191" s="1305"/>
      <c r="CL191" s="1305"/>
      <c r="CM191" s="1305"/>
      <c r="CN191" s="1305"/>
      <c r="CO191" s="1305"/>
      <c r="CP191" s="1305"/>
      <c r="CQ191" s="1305"/>
      <c r="CR191" s="1305"/>
      <c r="CS191" s="1305"/>
      <c r="CT191" s="1305"/>
      <c r="CU191" s="1305"/>
      <c r="CV191" s="1305"/>
      <c r="CW191" s="1305"/>
      <c r="CX191" s="1305"/>
      <c r="CY191" s="1305"/>
      <c r="CZ191" s="1305"/>
      <c r="DA191" s="1305"/>
      <c r="DB191" s="1305"/>
      <c r="DC191" s="1305"/>
      <c r="DD191" s="1305"/>
      <c r="DE191" s="1305"/>
      <c r="DF191" s="1305"/>
      <c r="DG191" s="1305"/>
      <c r="DH191" s="1305"/>
      <c r="DI191" s="1305"/>
      <c r="DJ191" s="1305"/>
      <c r="DK191" s="1305"/>
      <c r="DL191" s="1305"/>
      <c r="DM191" s="1305"/>
      <c r="DN191" s="1305"/>
      <c r="DO191" s="1305"/>
      <c r="DP191" s="1305"/>
      <c r="DQ191" s="1305"/>
      <c r="DR191" s="1305"/>
      <c r="DS191" s="1305"/>
      <c r="DT191" s="1305"/>
      <c r="DU191" s="1305"/>
      <c r="DV191" s="1305"/>
      <c r="DW191" s="1305"/>
      <c r="DX191" s="1305"/>
      <c r="DY191" s="1305"/>
      <c r="DZ191" s="1305"/>
      <c r="EA191" s="1305"/>
      <c r="EB191" s="1305"/>
      <c r="EC191" s="1305"/>
      <c r="ED191" s="1305"/>
      <c r="EE191" s="1305"/>
      <c r="EF191" s="1305"/>
      <c r="EG191" s="1305"/>
      <c r="EH191" s="1305"/>
      <c r="EI191" s="1305"/>
      <c r="EJ191" s="1305"/>
      <c r="EK191" s="1305"/>
      <c r="EL191" s="1305"/>
      <c r="EM191" s="1305"/>
      <c r="EN191" s="1305"/>
      <c r="EO191" s="1305"/>
      <c r="EP191" s="1305"/>
      <c r="EQ191" s="1305"/>
      <c r="ER191" s="1305"/>
      <c r="ES191" s="1305"/>
      <c r="ET191" s="1305"/>
      <c r="EU191" s="1305"/>
      <c r="EV191" s="1305"/>
      <c r="EW191" s="1305"/>
      <c r="EX191" s="1305"/>
      <c r="EY191" s="1305"/>
      <c r="EZ191" s="1305"/>
      <c r="FA191" s="1305"/>
      <c r="FB191" s="1305"/>
      <c r="FC191" s="1305"/>
      <c r="FD191" s="1305"/>
      <c r="FE191" s="1305"/>
      <c r="FF191" s="1305"/>
      <c r="FG191" s="1305"/>
      <c r="FH191" s="1305"/>
      <c r="FI191" s="1305"/>
      <c r="FJ191" s="1305"/>
      <c r="FK191" s="1305"/>
      <c r="FL191" s="1305"/>
      <c r="FM191" s="1305"/>
      <c r="FN191" s="1305"/>
      <c r="FO191" s="1305"/>
      <c r="FP191" s="1305"/>
      <c r="FQ191" s="1305"/>
      <c r="FR191" s="1305"/>
      <c r="FS191" s="1305"/>
      <c r="FT191" s="1305"/>
      <c r="FU191" s="1305"/>
      <c r="FV191" s="1305"/>
      <c r="FW191" s="1305"/>
      <c r="FX191" s="1305"/>
      <c r="FY191" s="1305"/>
      <c r="FZ191" s="1305"/>
      <c r="GA191" s="1305"/>
      <c r="GB191" s="1305"/>
      <c r="GC191" s="1305"/>
      <c r="GD191" s="1305"/>
      <c r="GE191" s="1305"/>
      <c r="GF191" s="1305"/>
      <c r="GG191" s="1305"/>
      <c r="GH191" s="1305"/>
      <c r="GI191" s="1305"/>
      <c r="GJ191" s="1305"/>
      <c r="GK191" s="1305"/>
      <c r="GL191" s="1305"/>
      <c r="GM191" s="1305"/>
      <c r="GN191" s="1305"/>
      <c r="GO191" s="1305"/>
      <c r="GP191" s="1305"/>
      <c r="GQ191" s="1305"/>
      <c r="GR191" s="1305"/>
      <c r="GS191" s="1305"/>
      <c r="GT191" s="1305"/>
      <c r="GU191" s="1305"/>
      <c r="GV191" s="1305"/>
      <c r="GW191" s="1305"/>
      <c r="GX191" s="1305"/>
      <c r="GY191" s="1305"/>
      <c r="GZ191" s="1305"/>
      <c r="HA191" s="1305"/>
      <c r="HB191" s="1305"/>
      <c r="HC191" s="1305"/>
      <c r="HD191" s="1305"/>
      <c r="HE191" s="1305"/>
      <c r="HF191" s="1305"/>
      <c r="HG191" s="1305"/>
      <c r="HH191" s="1305"/>
      <c r="HI191" s="1305"/>
      <c r="HJ191" s="1305"/>
      <c r="HK191" s="1305"/>
      <c r="HL191" s="1305"/>
      <c r="HM191" s="1305"/>
      <c r="HN191" s="1305"/>
      <c r="HO191" s="1305"/>
      <c r="HP191" s="1305"/>
      <c r="HQ191" s="1305"/>
      <c r="HR191" s="1305"/>
      <c r="HS191" s="1305"/>
      <c r="HT191" s="1305"/>
      <c r="HU191" s="1305"/>
      <c r="HV191" s="1305"/>
      <c r="HW191" s="1305"/>
      <c r="HX191" s="1305"/>
      <c r="HY191" s="1305"/>
      <c r="HZ191" s="1305"/>
      <c r="IA191" s="1305"/>
      <c r="IB191" s="1305"/>
      <c r="IC191" s="1305"/>
      <c r="ID191" s="1305"/>
      <c r="IE191" s="1305"/>
      <c r="IF191" s="1305"/>
      <c r="IG191" s="1305"/>
      <c r="IH191" s="1305"/>
      <c r="II191" s="1305"/>
      <c r="IJ191" s="1305"/>
      <c r="IK191" s="1305"/>
      <c r="IL191" s="1305"/>
      <c r="IM191" s="1305"/>
      <c r="IN191" s="1305"/>
      <c r="IO191" s="1305"/>
      <c r="IP191" s="1305"/>
      <c r="IQ191" s="1305"/>
      <c r="IR191" s="1305"/>
      <c r="IS191" s="1305"/>
      <c r="IT191" s="1305"/>
      <c r="IU191" s="1305"/>
      <c r="IV191" s="1305"/>
    </row>
    <row r="192" spans="1:256" ht="13.5" customHeight="1">
      <c r="A192" s="1562"/>
      <c r="B192" s="1563"/>
      <c r="C192" s="1564" t="s">
        <v>4079</v>
      </c>
      <c r="D192" s="1565"/>
      <c r="E192" s="1563"/>
      <c r="F192" s="1076" t="s">
        <v>4065</v>
      </c>
      <c r="G192" s="1573">
        <f t="shared" ref="G192:L192" si="103">+G200</f>
        <v>0</v>
      </c>
      <c r="H192" s="1573">
        <f t="shared" si="103"/>
        <v>0</v>
      </c>
      <c r="I192" s="1573">
        <f t="shared" si="103"/>
        <v>0</v>
      </c>
      <c r="J192" s="1573">
        <f t="shared" si="103"/>
        <v>0</v>
      </c>
      <c r="K192" s="1573">
        <f t="shared" si="103"/>
        <v>0</v>
      </c>
      <c r="L192" s="1574">
        <f t="shared" si="103"/>
        <v>0</v>
      </c>
    </row>
    <row r="193" spans="1:12" ht="13.5" customHeight="1">
      <c r="A193" s="2760"/>
      <c r="B193" s="2761" t="s">
        <v>4066</v>
      </c>
      <c r="C193" s="1566" t="s">
        <v>4080</v>
      </c>
      <c r="D193" s="1189"/>
      <c r="E193" s="1567"/>
      <c r="F193" s="1079" t="s">
        <v>4081</v>
      </c>
      <c r="G193" s="1057">
        <f t="shared" ref="G193:L193" si="104">IF($F$94&lt;=10000000,ROUND(151.08*((10000)^-0.3396)*(G192^0.586),2),ROUND(151.08*(($F$94/1000)^-0.3396)*(G192^0.586),2))</f>
        <v>0</v>
      </c>
      <c r="H193" s="1057">
        <f t="shared" si="104"/>
        <v>0</v>
      </c>
      <c r="I193" s="1057">
        <f t="shared" si="104"/>
        <v>0</v>
      </c>
      <c r="J193" s="1057">
        <f t="shared" si="104"/>
        <v>0</v>
      </c>
      <c r="K193" s="1057">
        <f t="shared" si="104"/>
        <v>0</v>
      </c>
      <c r="L193" s="1058">
        <f t="shared" si="104"/>
        <v>0</v>
      </c>
    </row>
    <row r="194" spans="1:12" ht="13.5" customHeight="1">
      <c r="A194" s="2715"/>
      <c r="B194" s="2718"/>
      <c r="C194" s="2766" t="s">
        <v>4082</v>
      </c>
      <c r="D194" s="1196"/>
      <c r="E194" s="1568"/>
      <c r="F194" s="1079" t="s">
        <v>4070</v>
      </c>
      <c r="G194" s="1575">
        <f t="shared" ref="G194:L194" si="105">IF($F$94&lt;=10000000,ROUND(20.13,2),0)</f>
        <v>20.13</v>
      </c>
      <c r="H194" s="1575">
        <f t="shared" si="105"/>
        <v>20.13</v>
      </c>
      <c r="I194" s="1575">
        <f t="shared" si="105"/>
        <v>20.13</v>
      </c>
      <c r="J194" s="1575">
        <f t="shared" si="105"/>
        <v>20.13</v>
      </c>
      <c r="K194" s="1575">
        <f t="shared" si="105"/>
        <v>20.13</v>
      </c>
      <c r="L194" s="1576">
        <f t="shared" si="105"/>
        <v>20.13</v>
      </c>
    </row>
    <row r="195" spans="1:12" ht="13.5" customHeight="1">
      <c r="A195" s="2715"/>
      <c r="B195" s="2718"/>
      <c r="C195" s="2721"/>
      <c r="D195" s="2495"/>
      <c r="E195" s="1569"/>
      <c r="F195" s="1079" t="s">
        <v>4071</v>
      </c>
      <c r="G195" s="1575">
        <f t="shared" ref="G195:L195" si="106">IF($F$94&lt;=10000000,ROUND(10.01,2),0)</f>
        <v>10.01</v>
      </c>
      <c r="H195" s="1575">
        <f t="shared" si="106"/>
        <v>10.01</v>
      </c>
      <c r="I195" s="1575">
        <f t="shared" si="106"/>
        <v>10.01</v>
      </c>
      <c r="J195" s="1575">
        <f t="shared" si="106"/>
        <v>10.01</v>
      </c>
      <c r="K195" s="1575">
        <f t="shared" si="106"/>
        <v>10.01</v>
      </c>
      <c r="L195" s="1576">
        <f t="shared" si="106"/>
        <v>10.01</v>
      </c>
    </row>
    <row r="196" spans="1:12" ht="13.5" customHeight="1">
      <c r="A196" s="2715"/>
      <c r="B196" s="2718"/>
      <c r="C196" s="2766" t="s">
        <v>4083</v>
      </c>
      <c r="D196" s="1196"/>
      <c r="E196" s="1568"/>
      <c r="F196" s="1079" t="s">
        <v>4070</v>
      </c>
      <c r="G196" s="1577">
        <f t="shared" ref="G196:L196" si="107">IF($F$94&gt;10000000,ROUND(75.97*($F$94/1000)^-0.1442,2),0)</f>
        <v>0</v>
      </c>
      <c r="H196" s="1577">
        <f t="shared" si="107"/>
        <v>0</v>
      </c>
      <c r="I196" s="1577">
        <f t="shared" si="107"/>
        <v>0</v>
      </c>
      <c r="J196" s="1577">
        <f t="shared" si="107"/>
        <v>0</v>
      </c>
      <c r="K196" s="1577">
        <f t="shared" si="107"/>
        <v>0</v>
      </c>
      <c r="L196" s="1578">
        <f t="shared" si="107"/>
        <v>0</v>
      </c>
    </row>
    <row r="197" spans="1:12" ht="13.5" customHeight="1">
      <c r="A197" s="2716"/>
      <c r="B197" s="2719"/>
      <c r="C197" s="2721"/>
      <c r="D197" s="2495"/>
      <c r="E197" s="1569"/>
      <c r="F197" s="1079" t="s">
        <v>4071</v>
      </c>
      <c r="G197" s="1577">
        <f t="shared" ref="G197:L197" si="108">IF($F$94&gt;10000000,ROUND(37.76*($F$94/1000)^-0.1442,2),0)</f>
        <v>0</v>
      </c>
      <c r="H197" s="1577">
        <f t="shared" si="108"/>
        <v>0</v>
      </c>
      <c r="I197" s="1577">
        <f t="shared" si="108"/>
        <v>0</v>
      </c>
      <c r="J197" s="1577">
        <f t="shared" si="108"/>
        <v>0</v>
      </c>
      <c r="K197" s="1577">
        <f t="shared" si="108"/>
        <v>0</v>
      </c>
      <c r="L197" s="1578">
        <f t="shared" si="108"/>
        <v>0</v>
      </c>
    </row>
    <row r="198" spans="1:12" ht="13.5" customHeight="1" thickBot="1">
      <c r="A198" s="2764" t="s">
        <v>4084</v>
      </c>
      <c r="B198" s="2765"/>
      <c r="C198" s="2765"/>
      <c r="D198" s="2726"/>
      <c r="E198" s="1579"/>
      <c r="F198" s="1580"/>
      <c r="G198" s="1581">
        <f t="shared" ref="G198:L198" si="109">IF($F$94&lt;=10000000,IF(G$193&gt;G$194,G$194,IF(G$193&lt;G$195,G$195,G$193)),IF(G$193&gt;G$196,G$196,IF(G$193&lt;G$197,G$197,G$193)))</f>
        <v>10.01</v>
      </c>
      <c r="H198" s="1581">
        <f t="shared" si="109"/>
        <v>10.01</v>
      </c>
      <c r="I198" s="1581">
        <f t="shared" si="109"/>
        <v>10.01</v>
      </c>
      <c r="J198" s="1581">
        <f t="shared" si="109"/>
        <v>10.01</v>
      </c>
      <c r="K198" s="1581">
        <f t="shared" si="109"/>
        <v>10.01</v>
      </c>
      <c r="L198" s="1582">
        <f t="shared" si="109"/>
        <v>10.01</v>
      </c>
    </row>
    <row r="199" spans="1:12" ht="13.5" customHeight="1" thickBot="1">
      <c r="A199" s="1305"/>
      <c r="B199" s="1305"/>
      <c r="C199" s="1305"/>
      <c r="D199" s="1305"/>
      <c r="E199" s="1305"/>
      <c r="F199" s="1305"/>
      <c r="G199" s="1583"/>
      <c r="H199" s="1583"/>
      <c r="I199" s="1583"/>
      <c r="J199" s="1583"/>
      <c r="K199" s="1583"/>
      <c r="L199" s="1583"/>
    </row>
    <row r="200" spans="1:12" ht="13.5" customHeight="1">
      <c r="A200" s="1562"/>
      <c r="B200" s="1563"/>
      <c r="C200" s="1564" t="s">
        <v>4079</v>
      </c>
      <c r="D200" s="1565"/>
      <c r="E200" s="1563"/>
      <c r="F200" s="1076" t="s">
        <v>4065</v>
      </c>
      <c r="G200" s="1573">
        <f t="shared" ref="G200:L200" si="110">+G3</f>
        <v>0</v>
      </c>
      <c r="H200" s="1573">
        <f t="shared" si="110"/>
        <v>0</v>
      </c>
      <c r="I200" s="1573">
        <f t="shared" si="110"/>
        <v>0</v>
      </c>
      <c r="J200" s="1573">
        <f t="shared" si="110"/>
        <v>0</v>
      </c>
      <c r="K200" s="1573">
        <f t="shared" si="110"/>
        <v>0</v>
      </c>
      <c r="L200" s="1574">
        <f t="shared" si="110"/>
        <v>0</v>
      </c>
    </row>
    <row r="201" spans="1:12" ht="13.5" customHeight="1">
      <c r="A201" s="2760"/>
      <c r="B201" s="2761" t="s">
        <v>4075</v>
      </c>
      <c r="C201" s="1566" t="s">
        <v>4080</v>
      </c>
      <c r="D201" s="1189"/>
      <c r="E201" s="1567"/>
      <c r="F201" s="1079" t="s">
        <v>4081</v>
      </c>
      <c r="G201" s="1057">
        <f t="shared" ref="G201:L201" si="111">IF($F$94&lt;=5000000,ROUND(356.2*((5000)^-0.4085)*(G200^0.5766),2),ROUND(356.2*(($F$94/1000)^-0.4085)*(G200^0.5766),2))</f>
        <v>0</v>
      </c>
      <c r="H201" s="1057">
        <f t="shared" si="111"/>
        <v>0</v>
      </c>
      <c r="I201" s="1057">
        <f t="shared" si="111"/>
        <v>0</v>
      </c>
      <c r="J201" s="1057">
        <f t="shared" si="111"/>
        <v>0</v>
      </c>
      <c r="K201" s="1057">
        <f t="shared" si="111"/>
        <v>0</v>
      </c>
      <c r="L201" s="1058">
        <f t="shared" si="111"/>
        <v>0</v>
      </c>
    </row>
    <row r="202" spans="1:12" ht="13.5" customHeight="1">
      <c r="A202" s="2715"/>
      <c r="B202" s="2718"/>
      <c r="C202" s="2766" t="s">
        <v>4085</v>
      </c>
      <c r="D202" s="1196"/>
      <c r="E202" s="1568"/>
      <c r="F202" s="1079" t="s">
        <v>4070</v>
      </c>
      <c r="G202" s="1575">
        <f t="shared" ref="G202:L202" si="112">IF($F$94&lt;=5000000,ROUND(26.86,2),0)</f>
        <v>26.86</v>
      </c>
      <c r="H202" s="1575">
        <f t="shared" si="112"/>
        <v>26.86</v>
      </c>
      <c r="I202" s="1575">
        <f t="shared" si="112"/>
        <v>26.86</v>
      </c>
      <c r="J202" s="1575">
        <f t="shared" si="112"/>
        <v>26.86</v>
      </c>
      <c r="K202" s="1575">
        <f t="shared" si="112"/>
        <v>26.86</v>
      </c>
      <c r="L202" s="1576">
        <f t="shared" si="112"/>
        <v>26.86</v>
      </c>
    </row>
    <row r="203" spans="1:12" ht="13.5" customHeight="1">
      <c r="A203" s="2715"/>
      <c r="B203" s="2718"/>
      <c r="C203" s="2721"/>
      <c r="D203" s="2495"/>
      <c r="E203" s="1569"/>
      <c r="F203" s="1079" t="s">
        <v>4071</v>
      </c>
      <c r="G203" s="1575">
        <f t="shared" ref="G203:L203" si="113">IF($F$94&lt;=5000000,ROUND(12.7,2),0)</f>
        <v>12.7</v>
      </c>
      <c r="H203" s="1575">
        <f t="shared" si="113"/>
        <v>12.7</v>
      </c>
      <c r="I203" s="1575">
        <f t="shared" si="113"/>
        <v>12.7</v>
      </c>
      <c r="J203" s="1575">
        <f t="shared" si="113"/>
        <v>12.7</v>
      </c>
      <c r="K203" s="1575">
        <f t="shared" si="113"/>
        <v>12.7</v>
      </c>
      <c r="L203" s="1576">
        <f t="shared" si="113"/>
        <v>12.7</v>
      </c>
    </row>
    <row r="204" spans="1:12" ht="13.5" customHeight="1">
      <c r="A204" s="2715"/>
      <c r="B204" s="2718"/>
      <c r="C204" s="2766" t="s">
        <v>4086</v>
      </c>
      <c r="D204" s="1196"/>
      <c r="E204" s="1568"/>
      <c r="F204" s="1079" t="s">
        <v>4070</v>
      </c>
      <c r="G204" s="1577">
        <f t="shared" ref="G204:L204" si="114">IF($F$94&gt;5000000,ROUND(184.58*($F$94/1000)^-0.2263,2),0)</f>
        <v>0</v>
      </c>
      <c r="H204" s="1577">
        <f t="shared" si="114"/>
        <v>0</v>
      </c>
      <c r="I204" s="1577">
        <f t="shared" si="114"/>
        <v>0</v>
      </c>
      <c r="J204" s="1577">
        <f t="shared" si="114"/>
        <v>0</v>
      </c>
      <c r="K204" s="1577">
        <f t="shared" si="114"/>
        <v>0</v>
      </c>
      <c r="L204" s="1578">
        <f t="shared" si="114"/>
        <v>0</v>
      </c>
    </row>
    <row r="205" spans="1:12" ht="13.5" customHeight="1">
      <c r="A205" s="2716"/>
      <c r="B205" s="2719"/>
      <c r="C205" s="2721"/>
      <c r="D205" s="2495"/>
      <c r="E205" s="1569"/>
      <c r="F205" s="1079" t="s">
        <v>4071</v>
      </c>
      <c r="G205" s="1577">
        <f t="shared" ref="G205:L205" si="115">IF($F$94&gt;5000000,ROUND(87.29*($F$94/1000)^-0.2263,2),0)</f>
        <v>0</v>
      </c>
      <c r="H205" s="1577">
        <f t="shared" si="115"/>
        <v>0</v>
      </c>
      <c r="I205" s="1577">
        <f t="shared" si="115"/>
        <v>0</v>
      </c>
      <c r="J205" s="1577">
        <f t="shared" si="115"/>
        <v>0</v>
      </c>
      <c r="K205" s="1577">
        <f t="shared" si="115"/>
        <v>0</v>
      </c>
      <c r="L205" s="1578">
        <f t="shared" si="115"/>
        <v>0</v>
      </c>
    </row>
    <row r="206" spans="1:12" ht="13.5" customHeight="1" thickBot="1">
      <c r="A206" s="2764" t="s">
        <v>4084</v>
      </c>
      <c r="B206" s="2765"/>
      <c r="C206" s="2765"/>
      <c r="D206" s="2765"/>
      <c r="E206" s="1584"/>
      <c r="F206" s="1580"/>
      <c r="G206" s="1585">
        <f t="shared" ref="G206:L206" si="116">IF($F$94&lt;=5000000,IF(G$201&gt;G$202,G$202,IF(G$201&lt;G$203,G$203,G$201)),IF(G$201&gt;G$204,G$204,IF(G201&lt;G$205,G$205,G$201)))</f>
        <v>12.7</v>
      </c>
      <c r="H206" s="1585">
        <f t="shared" si="116"/>
        <v>12.7</v>
      </c>
      <c r="I206" s="1585">
        <f t="shared" si="116"/>
        <v>12.7</v>
      </c>
      <c r="J206" s="1585">
        <f t="shared" si="116"/>
        <v>12.7</v>
      </c>
      <c r="K206" s="1585">
        <f t="shared" si="116"/>
        <v>12.7</v>
      </c>
      <c r="L206" s="1586">
        <f t="shared" si="116"/>
        <v>12.7</v>
      </c>
    </row>
    <row r="207" spans="1:12" ht="13.5" customHeight="1" thickBot="1">
      <c r="A207" s="1305"/>
      <c r="B207" s="1305"/>
      <c r="C207" s="1305"/>
      <c r="D207" s="1305"/>
      <c r="E207" s="1305"/>
      <c r="F207" s="1305"/>
      <c r="G207" s="1587"/>
      <c r="H207" s="1587"/>
      <c r="I207" s="1587"/>
      <c r="J207" s="1587"/>
      <c r="K207" s="1587"/>
      <c r="L207" s="1587"/>
    </row>
    <row r="208" spans="1:12" ht="13.5" customHeight="1">
      <c r="A208" s="1562"/>
      <c r="B208" s="1563"/>
      <c r="C208" s="1564" t="s">
        <v>4087</v>
      </c>
      <c r="D208" s="1565"/>
      <c r="E208" s="1563"/>
      <c r="F208" s="1076"/>
      <c r="G208" s="1588"/>
      <c r="H208" s="1589"/>
      <c r="I208" s="1548"/>
      <c r="J208" s="1548"/>
      <c r="K208" s="1548"/>
      <c r="L208" s="1548"/>
    </row>
    <row r="209" spans="1:12" ht="13.5" customHeight="1">
      <c r="A209" s="2760"/>
      <c r="B209" s="2761" t="s">
        <v>37</v>
      </c>
      <c r="C209" s="1566" t="s">
        <v>4088</v>
      </c>
      <c r="D209" s="1189"/>
      <c r="E209" s="1567"/>
      <c r="F209" s="1079" t="s">
        <v>4089</v>
      </c>
      <c r="G209" s="1590" t="e">
        <f>ROUND(15.065-1.028*LOG($F$141/1000),2)</f>
        <v>#NUM!</v>
      </c>
      <c r="H209" s="1100"/>
      <c r="I209" s="1101"/>
      <c r="J209" s="1101"/>
      <c r="K209" s="1101"/>
      <c r="L209" s="1101"/>
    </row>
    <row r="210" spans="1:12" ht="13.5" customHeight="1">
      <c r="A210" s="2715"/>
      <c r="B210" s="2718"/>
      <c r="C210" s="2006" t="s">
        <v>4090</v>
      </c>
      <c r="D210" s="1196"/>
      <c r="E210" s="1196"/>
      <c r="F210" s="1102"/>
      <c r="G210" s="1591">
        <f>IF($F$141&lt;=5000000,11.26,0)</f>
        <v>11.26</v>
      </c>
      <c r="H210" s="1104"/>
      <c r="I210" s="1105"/>
      <c r="J210" s="1592"/>
      <c r="K210" s="1105"/>
      <c r="L210" s="1105"/>
    </row>
    <row r="211" spans="1:12" ht="13.5" customHeight="1">
      <c r="A211" s="2715"/>
      <c r="B211" s="2718"/>
      <c r="C211" s="2006" t="s">
        <v>4091</v>
      </c>
      <c r="D211" s="1196"/>
      <c r="E211" s="1189"/>
      <c r="F211" s="1102"/>
      <c r="G211" s="1591">
        <f>IF($F$141&gt;3000000000,8.41,0)</f>
        <v>0</v>
      </c>
      <c r="H211" s="1106"/>
      <c r="I211" s="1107"/>
      <c r="J211" s="1107"/>
      <c r="K211" s="1107"/>
      <c r="L211" s="1107"/>
    </row>
    <row r="212" spans="1:12" ht="13.5" customHeight="1" thickBot="1">
      <c r="A212" s="2762" t="s">
        <v>4092</v>
      </c>
      <c r="B212" s="2763"/>
      <c r="C212" s="2763"/>
      <c r="D212" s="2763"/>
      <c r="E212" s="1593"/>
      <c r="F212" s="1594"/>
      <c r="G212" s="1595">
        <f>IF($F$141&lt;=5000000,G210,IF($F$141&gt;3000000000,G211,G209))</f>
        <v>11.26</v>
      </c>
      <c r="H212" s="1111"/>
      <c r="I212" s="1112"/>
      <c r="J212" s="1112"/>
      <c r="K212" s="1112"/>
      <c r="L212" s="1112"/>
    </row>
  </sheetData>
  <mergeCells count="69">
    <mergeCell ref="A209:A211"/>
    <mergeCell ref="B209:B211"/>
    <mergeCell ref="A212:D212"/>
    <mergeCell ref="A198:D198"/>
    <mergeCell ref="A201:A205"/>
    <mergeCell ref="B201:B205"/>
    <mergeCell ref="C202:C203"/>
    <mergeCell ref="C204:C205"/>
    <mergeCell ref="A206:D206"/>
    <mergeCell ref="A189:F189"/>
    <mergeCell ref="A190:F190"/>
    <mergeCell ref="A193:A197"/>
    <mergeCell ref="B193:B197"/>
    <mergeCell ref="C194:C195"/>
    <mergeCell ref="C196:C197"/>
    <mergeCell ref="A180:F180"/>
    <mergeCell ref="A181:F181"/>
    <mergeCell ref="A184:A188"/>
    <mergeCell ref="B184:B188"/>
    <mergeCell ref="C185:C186"/>
    <mergeCell ref="C187:C188"/>
    <mergeCell ref="B158:B159"/>
    <mergeCell ref="B160:B162"/>
    <mergeCell ref="A175:A179"/>
    <mergeCell ref="B175:B179"/>
    <mergeCell ref="C176:C177"/>
    <mergeCell ref="C178:C179"/>
    <mergeCell ref="B156:B157"/>
    <mergeCell ref="B112:B118"/>
    <mergeCell ref="B119:B126"/>
    <mergeCell ref="B127:B129"/>
    <mergeCell ref="A138:C139"/>
    <mergeCell ref="A145:A152"/>
    <mergeCell ref="B146:B147"/>
    <mergeCell ref="B148:B149"/>
    <mergeCell ref="B150:B152"/>
    <mergeCell ref="A154:C154"/>
    <mergeCell ref="F143:G143"/>
    <mergeCell ref="A144:C144"/>
    <mergeCell ref="F144:G144"/>
    <mergeCell ref="D92:D93"/>
    <mergeCell ref="E92:E93"/>
    <mergeCell ref="A93:C93"/>
    <mergeCell ref="B95:B98"/>
    <mergeCell ref="B99:B106"/>
    <mergeCell ref="B107:B109"/>
    <mergeCell ref="D74:D75"/>
    <mergeCell ref="E74:E75"/>
    <mergeCell ref="A75:C75"/>
    <mergeCell ref="A76:A87"/>
    <mergeCell ref="B76:B79"/>
    <mergeCell ref="B80:B83"/>
    <mergeCell ref="B85:B86"/>
    <mergeCell ref="D61:D62"/>
    <mergeCell ref="E61:E62"/>
    <mergeCell ref="A62:C62"/>
    <mergeCell ref="A63:A73"/>
    <mergeCell ref="B64:B65"/>
    <mergeCell ref="B66:B70"/>
    <mergeCell ref="B71:B72"/>
    <mergeCell ref="C7:F7"/>
    <mergeCell ref="A8:F8"/>
    <mergeCell ref="A9:F9"/>
    <mergeCell ref="A37:A58"/>
    <mergeCell ref="B37:B40"/>
    <mergeCell ref="B41:B48"/>
    <mergeCell ref="C41:E41"/>
    <mergeCell ref="B49:B51"/>
    <mergeCell ref="B52:B58"/>
  </mergeCells>
  <phoneticPr fontId="2"/>
  <conditionalFormatting sqref="F6">
    <cfRule type="expression" dxfId="2" priority="1" stopIfTrue="1">
      <formula>AND($F$33&gt;5000000,OR($E$6="無し",$E$6="なし"))</formula>
    </cfRule>
  </conditionalFormatting>
  <dataValidations count="6">
    <dataValidation type="list" allowBlank="1" showInputMessage="1" showErrorMessage="1" sqref="G8:L8" xr:uid="{00000000-0002-0000-1B00-000000000000}">
      <formula1>"駅施設,地上建物"</formula1>
    </dataValidation>
    <dataValidation type="list" allowBlank="1" showInputMessage="1" showErrorMessage="1" sqref="E5:E6 JA5:JA6 SW5:SW6 ACS5:ACS6 AMO5:AMO6 AWK5:AWK6 BGG5:BGG6 BQC5:BQC6 BZY5:BZY6 CJU5:CJU6 CTQ5:CTQ6 DDM5:DDM6 DNI5:DNI6 DXE5:DXE6 EHA5:EHA6 EQW5:EQW6 FAS5:FAS6 FKO5:FKO6 FUK5:FUK6 GEG5:GEG6 GOC5:GOC6 GXY5:GXY6 HHU5:HHU6 HRQ5:HRQ6 IBM5:IBM6 ILI5:ILI6 IVE5:IVE6 JFA5:JFA6 JOW5:JOW6 JYS5:JYS6 KIO5:KIO6 KSK5:KSK6 LCG5:LCG6 LMC5:LMC6 LVY5:LVY6 MFU5:MFU6 MPQ5:MPQ6 MZM5:MZM6 NJI5:NJI6 NTE5:NTE6 ODA5:ODA6 OMW5:OMW6 OWS5:OWS6 PGO5:PGO6 PQK5:PQK6 QAG5:QAG6 QKC5:QKC6 QTY5:QTY6 RDU5:RDU6 RNQ5:RNQ6 RXM5:RXM6 SHI5:SHI6 SRE5:SRE6 TBA5:TBA6 TKW5:TKW6 TUS5:TUS6 UEO5:UEO6 UOK5:UOK6 UYG5:UYG6 VIC5:VIC6 VRY5:VRY6 WBU5:WBU6 WLQ5:WLQ6 WVM5:WVM6 E65542:E65543 JA65542:JA65543 SW65542:SW65543 ACS65542:ACS65543 AMO65542:AMO65543 AWK65542:AWK65543 BGG65542:BGG65543 BQC65542:BQC65543 BZY65542:BZY65543 CJU65542:CJU65543 CTQ65542:CTQ65543 DDM65542:DDM65543 DNI65542:DNI65543 DXE65542:DXE65543 EHA65542:EHA65543 EQW65542:EQW65543 FAS65542:FAS65543 FKO65542:FKO65543 FUK65542:FUK65543 GEG65542:GEG65543 GOC65542:GOC65543 GXY65542:GXY65543 HHU65542:HHU65543 HRQ65542:HRQ65543 IBM65542:IBM65543 ILI65542:ILI65543 IVE65542:IVE65543 JFA65542:JFA65543 JOW65542:JOW65543 JYS65542:JYS65543 KIO65542:KIO65543 KSK65542:KSK65543 LCG65542:LCG65543 LMC65542:LMC65543 LVY65542:LVY65543 MFU65542:MFU65543 MPQ65542:MPQ65543 MZM65542:MZM65543 NJI65542:NJI65543 NTE65542:NTE65543 ODA65542:ODA65543 OMW65542:OMW65543 OWS65542:OWS65543 PGO65542:PGO65543 PQK65542:PQK65543 QAG65542:QAG65543 QKC65542:QKC65543 QTY65542:QTY65543 RDU65542:RDU65543 RNQ65542:RNQ65543 RXM65542:RXM65543 SHI65542:SHI65543 SRE65542:SRE65543 TBA65542:TBA65543 TKW65542:TKW65543 TUS65542:TUS65543 UEO65542:UEO65543 UOK65542:UOK65543 UYG65542:UYG65543 VIC65542:VIC65543 VRY65542:VRY65543 WBU65542:WBU65543 WLQ65542:WLQ65543 WVM65542:WVM65543 E131078:E131079 JA131078:JA131079 SW131078:SW131079 ACS131078:ACS131079 AMO131078:AMO131079 AWK131078:AWK131079 BGG131078:BGG131079 BQC131078:BQC131079 BZY131078:BZY131079 CJU131078:CJU131079 CTQ131078:CTQ131079 DDM131078:DDM131079 DNI131078:DNI131079 DXE131078:DXE131079 EHA131078:EHA131079 EQW131078:EQW131079 FAS131078:FAS131079 FKO131078:FKO131079 FUK131078:FUK131079 GEG131078:GEG131079 GOC131078:GOC131079 GXY131078:GXY131079 HHU131078:HHU131079 HRQ131078:HRQ131079 IBM131078:IBM131079 ILI131078:ILI131079 IVE131078:IVE131079 JFA131078:JFA131079 JOW131078:JOW131079 JYS131078:JYS131079 KIO131078:KIO131079 KSK131078:KSK131079 LCG131078:LCG131079 LMC131078:LMC131079 LVY131078:LVY131079 MFU131078:MFU131079 MPQ131078:MPQ131079 MZM131078:MZM131079 NJI131078:NJI131079 NTE131078:NTE131079 ODA131078:ODA131079 OMW131078:OMW131079 OWS131078:OWS131079 PGO131078:PGO131079 PQK131078:PQK131079 QAG131078:QAG131079 QKC131078:QKC131079 QTY131078:QTY131079 RDU131078:RDU131079 RNQ131078:RNQ131079 RXM131078:RXM131079 SHI131078:SHI131079 SRE131078:SRE131079 TBA131078:TBA131079 TKW131078:TKW131079 TUS131078:TUS131079 UEO131078:UEO131079 UOK131078:UOK131079 UYG131078:UYG131079 VIC131078:VIC131079 VRY131078:VRY131079 WBU131078:WBU131079 WLQ131078:WLQ131079 WVM131078:WVM131079 E196614:E196615 JA196614:JA196615 SW196614:SW196615 ACS196614:ACS196615 AMO196614:AMO196615 AWK196614:AWK196615 BGG196614:BGG196615 BQC196614:BQC196615 BZY196614:BZY196615 CJU196614:CJU196615 CTQ196614:CTQ196615 DDM196614:DDM196615 DNI196614:DNI196615 DXE196614:DXE196615 EHA196614:EHA196615 EQW196614:EQW196615 FAS196614:FAS196615 FKO196614:FKO196615 FUK196614:FUK196615 GEG196614:GEG196615 GOC196614:GOC196615 GXY196614:GXY196615 HHU196614:HHU196615 HRQ196614:HRQ196615 IBM196614:IBM196615 ILI196614:ILI196615 IVE196614:IVE196615 JFA196614:JFA196615 JOW196614:JOW196615 JYS196614:JYS196615 KIO196614:KIO196615 KSK196614:KSK196615 LCG196614:LCG196615 LMC196614:LMC196615 LVY196614:LVY196615 MFU196614:MFU196615 MPQ196614:MPQ196615 MZM196614:MZM196615 NJI196614:NJI196615 NTE196614:NTE196615 ODA196614:ODA196615 OMW196614:OMW196615 OWS196614:OWS196615 PGO196614:PGO196615 PQK196614:PQK196615 QAG196614:QAG196615 QKC196614:QKC196615 QTY196614:QTY196615 RDU196614:RDU196615 RNQ196614:RNQ196615 RXM196614:RXM196615 SHI196614:SHI196615 SRE196614:SRE196615 TBA196614:TBA196615 TKW196614:TKW196615 TUS196614:TUS196615 UEO196614:UEO196615 UOK196614:UOK196615 UYG196614:UYG196615 VIC196614:VIC196615 VRY196614:VRY196615 WBU196614:WBU196615 WLQ196614:WLQ196615 WVM196614:WVM196615 E262150:E262151 JA262150:JA262151 SW262150:SW262151 ACS262150:ACS262151 AMO262150:AMO262151 AWK262150:AWK262151 BGG262150:BGG262151 BQC262150:BQC262151 BZY262150:BZY262151 CJU262150:CJU262151 CTQ262150:CTQ262151 DDM262150:DDM262151 DNI262150:DNI262151 DXE262150:DXE262151 EHA262150:EHA262151 EQW262150:EQW262151 FAS262150:FAS262151 FKO262150:FKO262151 FUK262150:FUK262151 GEG262150:GEG262151 GOC262150:GOC262151 GXY262150:GXY262151 HHU262150:HHU262151 HRQ262150:HRQ262151 IBM262150:IBM262151 ILI262150:ILI262151 IVE262150:IVE262151 JFA262150:JFA262151 JOW262150:JOW262151 JYS262150:JYS262151 KIO262150:KIO262151 KSK262150:KSK262151 LCG262150:LCG262151 LMC262150:LMC262151 LVY262150:LVY262151 MFU262150:MFU262151 MPQ262150:MPQ262151 MZM262150:MZM262151 NJI262150:NJI262151 NTE262150:NTE262151 ODA262150:ODA262151 OMW262150:OMW262151 OWS262150:OWS262151 PGO262150:PGO262151 PQK262150:PQK262151 QAG262150:QAG262151 QKC262150:QKC262151 QTY262150:QTY262151 RDU262150:RDU262151 RNQ262150:RNQ262151 RXM262150:RXM262151 SHI262150:SHI262151 SRE262150:SRE262151 TBA262150:TBA262151 TKW262150:TKW262151 TUS262150:TUS262151 UEO262150:UEO262151 UOK262150:UOK262151 UYG262150:UYG262151 VIC262150:VIC262151 VRY262150:VRY262151 WBU262150:WBU262151 WLQ262150:WLQ262151 WVM262150:WVM262151 E327686:E327687 JA327686:JA327687 SW327686:SW327687 ACS327686:ACS327687 AMO327686:AMO327687 AWK327686:AWK327687 BGG327686:BGG327687 BQC327686:BQC327687 BZY327686:BZY327687 CJU327686:CJU327687 CTQ327686:CTQ327687 DDM327686:DDM327687 DNI327686:DNI327687 DXE327686:DXE327687 EHA327686:EHA327687 EQW327686:EQW327687 FAS327686:FAS327687 FKO327686:FKO327687 FUK327686:FUK327687 GEG327686:GEG327687 GOC327686:GOC327687 GXY327686:GXY327687 HHU327686:HHU327687 HRQ327686:HRQ327687 IBM327686:IBM327687 ILI327686:ILI327687 IVE327686:IVE327687 JFA327686:JFA327687 JOW327686:JOW327687 JYS327686:JYS327687 KIO327686:KIO327687 KSK327686:KSK327687 LCG327686:LCG327687 LMC327686:LMC327687 LVY327686:LVY327687 MFU327686:MFU327687 MPQ327686:MPQ327687 MZM327686:MZM327687 NJI327686:NJI327687 NTE327686:NTE327687 ODA327686:ODA327687 OMW327686:OMW327687 OWS327686:OWS327687 PGO327686:PGO327687 PQK327686:PQK327687 QAG327686:QAG327687 QKC327686:QKC327687 QTY327686:QTY327687 RDU327686:RDU327687 RNQ327686:RNQ327687 RXM327686:RXM327687 SHI327686:SHI327687 SRE327686:SRE327687 TBA327686:TBA327687 TKW327686:TKW327687 TUS327686:TUS327687 UEO327686:UEO327687 UOK327686:UOK327687 UYG327686:UYG327687 VIC327686:VIC327687 VRY327686:VRY327687 WBU327686:WBU327687 WLQ327686:WLQ327687 WVM327686:WVM327687 E393222:E393223 JA393222:JA393223 SW393222:SW393223 ACS393222:ACS393223 AMO393222:AMO393223 AWK393222:AWK393223 BGG393222:BGG393223 BQC393222:BQC393223 BZY393222:BZY393223 CJU393222:CJU393223 CTQ393222:CTQ393223 DDM393222:DDM393223 DNI393222:DNI393223 DXE393222:DXE393223 EHA393222:EHA393223 EQW393222:EQW393223 FAS393222:FAS393223 FKO393222:FKO393223 FUK393222:FUK393223 GEG393222:GEG393223 GOC393222:GOC393223 GXY393222:GXY393223 HHU393222:HHU393223 HRQ393222:HRQ393223 IBM393222:IBM393223 ILI393222:ILI393223 IVE393222:IVE393223 JFA393222:JFA393223 JOW393222:JOW393223 JYS393222:JYS393223 KIO393222:KIO393223 KSK393222:KSK393223 LCG393222:LCG393223 LMC393222:LMC393223 LVY393222:LVY393223 MFU393222:MFU393223 MPQ393222:MPQ393223 MZM393222:MZM393223 NJI393222:NJI393223 NTE393222:NTE393223 ODA393222:ODA393223 OMW393222:OMW393223 OWS393222:OWS393223 PGO393222:PGO393223 PQK393222:PQK393223 QAG393222:QAG393223 QKC393222:QKC393223 QTY393222:QTY393223 RDU393222:RDU393223 RNQ393222:RNQ393223 RXM393222:RXM393223 SHI393222:SHI393223 SRE393222:SRE393223 TBA393222:TBA393223 TKW393222:TKW393223 TUS393222:TUS393223 UEO393222:UEO393223 UOK393222:UOK393223 UYG393222:UYG393223 VIC393222:VIC393223 VRY393222:VRY393223 WBU393222:WBU393223 WLQ393222:WLQ393223 WVM393222:WVM393223 E458758:E458759 JA458758:JA458759 SW458758:SW458759 ACS458758:ACS458759 AMO458758:AMO458759 AWK458758:AWK458759 BGG458758:BGG458759 BQC458758:BQC458759 BZY458758:BZY458759 CJU458758:CJU458759 CTQ458758:CTQ458759 DDM458758:DDM458759 DNI458758:DNI458759 DXE458758:DXE458759 EHA458758:EHA458759 EQW458758:EQW458759 FAS458758:FAS458759 FKO458758:FKO458759 FUK458758:FUK458759 GEG458758:GEG458759 GOC458758:GOC458759 GXY458758:GXY458759 HHU458758:HHU458759 HRQ458758:HRQ458759 IBM458758:IBM458759 ILI458758:ILI458759 IVE458758:IVE458759 JFA458758:JFA458759 JOW458758:JOW458759 JYS458758:JYS458759 KIO458758:KIO458759 KSK458758:KSK458759 LCG458758:LCG458759 LMC458758:LMC458759 LVY458758:LVY458759 MFU458758:MFU458759 MPQ458758:MPQ458759 MZM458758:MZM458759 NJI458758:NJI458759 NTE458758:NTE458759 ODA458758:ODA458759 OMW458758:OMW458759 OWS458758:OWS458759 PGO458758:PGO458759 PQK458758:PQK458759 QAG458758:QAG458759 QKC458758:QKC458759 QTY458758:QTY458759 RDU458758:RDU458759 RNQ458758:RNQ458759 RXM458758:RXM458759 SHI458758:SHI458759 SRE458758:SRE458759 TBA458758:TBA458759 TKW458758:TKW458759 TUS458758:TUS458759 UEO458758:UEO458759 UOK458758:UOK458759 UYG458758:UYG458759 VIC458758:VIC458759 VRY458758:VRY458759 WBU458758:WBU458759 WLQ458758:WLQ458759 WVM458758:WVM458759 E524294:E524295 JA524294:JA524295 SW524294:SW524295 ACS524294:ACS524295 AMO524294:AMO524295 AWK524294:AWK524295 BGG524294:BGG524295 BQC524294:BQC524295 BZY524294:BZY524295 CJU524294:CJU524295 CTQ524294:CTQ524295 DDM524294:DDM524295 DNI524294:DNI524295 DXE524294:DXE524295 EHA524294:EHA524295 EQW524294:EQW524295 FAS524294:FAS524295 FKO524294:FKO524295 FUK524294:FUK524295 GEG524294:GEG524295 GOC524294:GOC524295 GXY524294:GXY524295 HHU524294:HHU524295 HRQ524294:HRQ524295 IBM524294:IBM524295 ILI524294:ILI524295 IVE524294:IVE524295 JFA524294:JFA524295 JOW524294:JOW524295 JYS524294:JYS524295 KIO524294:KIO524295 KSK524294:KSK524295 LCG524294:LCG524295 LMC524294:LMC524295 LVY524294:LVY524295 MFU524294:MFU524295 MPQ524294:MPQ524295 MZM524294:MZM524295 NJI524294:NJI524295 NTE524294:NTE524295 ODA524294:ODA524295 OMW524294:OMW524295 OWS524294:OWS524295 PGO524294:PGO524295 PQK524294:PQK524295 QAG524294:QAG524295 QKC524294:QKC524295 QTY524294:QTY524295 RDU524294:RDU524295 RNQ524294:RNQ524295 RXM524294:RXM524295 SHI524294:SHI524295 SRE524294:SRE524295 TBA524294:TBA524295 TKW524294:TKW524295 TUS524294:TUS524295 UEO524294:UEO524295 UOK524294:UOK524295 UYG524294:UYG524295 VIC524294:VIC524295 VRY524294:VRY524295 WBU524294:WBU524295 WLQ524294:WLQ524295 WVM524294:WVM524295 E589830:E589831 JA589830:JA589831 SW589830:SW589831 ACS589830:ACS589831 AMO589830:AMO589831 AWK589830:AWK589831 BGG589830:BGG589831 BQC589830:BQC589831 BZY589830:BZY589831 CJU589830:CJU589831 CTQ589830:CTQ589831 DDM589830:DDM589831 DNI589830:DNI589831 DXE589830:DXE589831 EHA589830:EHA589831 EQW589830:EQW589831 FAS589830:FAS589831 FKO589830:FKO589831 FUK589830:FUK589831 GEG589830:GEG589831 GOC589830:GOC589831 GXY589830:GXY589831 HHU589830:HHU589831 HRQ589830:HRQ589831 IBM589830:IBM589831 ILI589830:ILI589831 IVE589830:IVE589831 JFA589830:JFA589831 JOW589830:JOW589831 JYS589830:JYS589831 KIO589830:KIO589831 KSK589830:KSK589831 LCG589830:LCG589831 LMC589830:LMC589831 LVY589830:LVY589831 MFU589830:MFU589831 MPQ589830:MPQ589831 MZM589830:MZM589831 NJI589830:NJI589831 NTE589830:NTE589831 ODA589830:ODA589831 OMW589830:OMW589831 OWS589830:OWS589831 PGO589830:PGO589831 PQK589830:PQK589831 QAG589830:QAG589831 QKC589830:QKC589831 QTY589830:QTY589831 RDU589830:RDU589831 RNQ589830:RNQ589831 RXM589830:RXM589831 SHI589830:SHI589831 SRE589830:SRE589831 TBA589830:TBA589831 TKW589830:TKW589831 TUS589830:TUS589831 UEO589830:UEO589831 UOK589830:UOK589831 UYG589830:UYG589831 VIC589830:VIC589831 VRY589830:VRY589831 WBU589830:WBU589831 WLQ589830:WLQ589831 WVM589830:WVM589831 E655366:E655367 JA655366:JA655367 SW655366:SW655367 ACS655366:ACS655367 AMO655366:AMO655367 AWK655366:AWK655367 BGG655366:BGG655367 BQC655366:BQC655367 BZY655366:BZY655367 CJU655366:CJU655367 CTQ655366:CTQ655367 DDM655366:DDM655367 DNI655366:DNI655367 DXE655366:DXE655367 EHA655366:EHA655367 EQW655366:EQW655367 FAS655366:FAS655367 FKO655366:FKO655367 FUK655366:FUK655367 GEG655366:GEG655367 GOC655366:GOC655367 GXY655366:GXY655367 HHU655366:HHU655367 HRQ655366:HRQ655367 IBM655366:IBM655367 ILI655366:ILI655367 IVE655366:IVE655367 JFA655366:JFA655367 JOW655366:JOW655367 JYS655366:JYS655367 KIO655366:KIO655367 KSK655366:KSK655367 LCG655366:LCG655367 LMC655366:LMC655367 LVY655366:LVY655367 MFU655366:MFU655367 MPQ655366:MPQ655367 MZM655366:MZM655367 NJI655366:NJI655367 NTE655366:NTE655367 ODA655366:ODA655367 OMW655366:OMW655367 OWS655366:OWS655367 PGO655366:PGO655367 PQK655366:PQK655367 QAG655366:QAG655367 QKC655366:QKC655367 QTY655366:QTY655367 RDU655366:RDU655367 RNQ655366:RNQ655367 RXM655366:RXM655367 SHI655366:SHI655367 SRE655366:SRE655367 TBA655366:TBA655367 TKW655366:TKW655367 TUS655366:TUS655367 UEO655366:UEO655367 UOK655366:UOK655367 UYG655366:UYG655367 VIC655366:VIC655367 VRY655366:VRY655367 WBU655366:WBU655367 WLQ655366:WLQ655367 WVM655366:WVM655367 E720902:E720903 JA720902:JA720903 SW720902:SW720903 ACS720902:ACS720903 AMO720902:AMO720903 AWK720902:AWK720903 BGG720902:BGG720903 BQC720902:BQC720903 BZY720902:BZY720903 CJU720902:CJU720903 CTQ720902:CTQ720903 DDM720902:DDM720903 DNI720902:DNI720903 DXE720902:DXE720903 EHA720902:EHA720903 EQW720902:EQW720903 FAS720902:FAS720903 FKO720902:FKO720903 FUK720902:FUK720903 GEG720902:GEG720903 GOC720902:GOC720903 GXY720902:GXY720903 HHU720902:HHU720903 HRQ720902:HRQ720903 IBM720902:IBM720903 ILI720902:ILI720903 IVE720902:IVE720903 JFA720902:JFA720903 JOW720902:JOW720903 JYS720902:JYS720903 KIO720902:KIO720903 KSK720902:KSK720903 LCG720902:LCG720903 LMC720902:LMC720903 LVY720902:LVY720903 MFU720902:MFU720903 MPQ720902:MPQ720903 MZM720902:MZM720903 NJI720902:NJI720903 NTE720902:NTE720903 ODA720902:ODA720903 OMW720902:OMW720903 OWS720902:OWS720903 PGO720902:PGO720903 PQK720902:PQK720903 QAG720902:QAG720903 QKC720902:QKC720903 QTY720902:QTY720903 RDU720902:RDU720903 RNQ720902:RNQ720903 RXM720902:RXM720903 SHI720902:SHI720903 SRE720902:SRE720903 TBA720902:TBA720903 TKW720902:TKW720903 TUS720902:TUS720903 UEO720902:UEO720903 UOK720902:UOK720903 UYG720902:UYG720903 VIC720902:VIC720903 VRY720902:VRY720903 WBU720902:WBU720903 WLQ720902:WLQ720903 WVM720902:WVM720903 E786438:E786439 JA786438:JA786439 SW786438:SW786439 ACS786438:ACS786439 AMO786438:AMO786439 AWK786438:AWK786439 BGG786438:BGG786439 BQC786438:BQC786439 BZY786438:BZY786439 CJU786438:CJU786439 CTQ786438:CTQ786439 DDM786438:DDM786439 DNI786438:DNI786439 DXE786438:DXE786439 EHA786438:EHA786439 EQW786438:EQW786439 FAS786438:FAS786439 FKO786438:FKO786439 FUK786438:FUK786439 GEG786438:GEG786439 GOC786438:GOC786439 GXY786438:GXY786439 HHU786438:HHU786439 HRQ786438:HRQ786439 IBM786438:IBM786439 ILI786438:ILI786439 IVE786438:IVE786439 JFA786438:JFA786439 JOW786438:JOW786439 JYS786438:JYS786439 KIO786438:KIO786439 KSK786438:KSK786439 LCG786438:LCG786439 LMC786438:LMC786439 LVY786438:LVY786439 MFU786438:MFU786439 MPQ786438:MPQ786439 MZM786438:MZM786439 NJI786438:NJI786439 NTE786438:NTE786439 ODA786438:ODA786439 OMW786438:OMW786439 OWS786438:OWS786439 PGO786438:PGO786439 PQK786438:PQK786439 QAG786438:QAG786439 QKC786438:QKC786439 QTY786438:QTY786439 RDU786438:RDU786439 RNQ786438:RNQ786439 RXM786438:RXM786439 SHI786438:SHI786439 SRE786438:SRE786439 TBA786438:TBA786439 TKW786438:TKW786439 TUS786438:TUS786439 UEO786438:UEO786439 UOK786438:UOK786439 UYG786438:UYG786439 VIC786438:VIC786439 VRY786438:VRY786439 WBU786438:WBU786439 WLQ786438:WLQ786439 WVM786438:WVM786439 E851974:E851975 JA851974:JA851975 SW851974:SW851975 ACS851974:ACS851975 AMO851974:AMO851975 AWK851974:AWK851975 BGG851974:BGG851975 BQC851974:BQC851975 BZY851974:BZY851975 CJU851974:CJU851975 CTQ851974:CTQ851975 DDM851974:DDM851975 DNI851974:DNI851975 DXE851974:DXE851975 EHA851974:EHA851975 EQW851974:EQW851975 FAS851974:FAS851975 FKO851974:FKO851975 FUK851974:FUK851975 GEG851974:GEG851975 GOC851974:GOC851975 GXY851974:GXY851975 HHU851974:HHU851975 HRQ851974:HRQ851975 IBM851974:IBM851975 ILI851974:ILI851975 IVE851974:IVE851975 JFA851974:JFA851975 JOW851974:JOW851975 JYS851974:JYS851975 KIO851974:KIO851975 KSK851974:KSK851975 LCG851974:LCG851975 LMC851974:LMC851975 LVY851974:LVY851975 MFU851974:MFU851975 MPQ851974:MPQ851975 MZM851974:MZM851975 NJI851974:NJI851975 NTE851974:NTE851975 ODA851974:ODA851975 OMW851974:OMW851975 OWS851974:OWS851975 PGO851974:PGO851975 PQK851974:PQK851975 QAG851974:QAG851975 QKC851974:QKC851975 QTY851974:QTY851975 RDU851974:RDU851975 RNQ851974:RNQ851975 RXM851974:RXM851975 SHI851974:SHI851975 SRE851974:SRE851975 TBA851974:TBA851975 TKW851974:TKW851975 TUS851974:TUS851975 UEO851974:UEO851975 UOK851974:UOK851975 UYG851974:UYG851975 VIC851974:VIC851975 VRY851974:VRY851975 WBU851974:WBU851975 WLQ851974:WLQ851975 WVM851974:WVM851975 E917510:E917511 JA917510:JA917511 SW917510:SW917511 ACS917510:ACS917511 AMO917510:AMO917511 AWK917510:AWK917511 BGG917510:BGG917511 BQC917510:BQC917511 BZY917510:BZY917511 CJU917510:CJU917511 CTQ917510:CTQ917511 DDM917510:DDM917511 DNI917510:DNI917511 DXE917510:DXE917511 EHA917510:EHA917511 EQW917510:EQW917511 FAS917510:FAS917511 FKO917510:FKO917511 FUK917510:FUK917511 GEG917510:GEG917511 GOC917510:GOC917511 GXY917510:GXY917511 HHU917510:HHU917511 HRQ917510:HRQ917511 IBM917510:IBM917511 ILI917510:ILI917511 IVE917510:IVE917511 JFA917510:JFA917511 JOW917510:JOW917511 JYS917510:JYS917511 KIO917510:KIO917511 KSK917510:KSK917511 LCG917510:LCG917511 LMC917510:LMC917511 LVY917510:LVY917511 MFU917510:MFU917511 MPQ917510:MPQ917511 MZM917510:MZM917511 NJI917510:NJI917511 NTE917510:NTE917511 ODA917510:ODA917511 OMW917510:OMW917511 OWS917510:OWS917511 PGO917510:PGO917511 PQK917510:PQK917511 QAG917510:QAG917511 QKC917510:QKC917511 QTY917510:QTY917511 RDU917510:RDU917511 RNQ917510:RNQ917511 RXM917510:RXM917511 SHI917510:SHI917511 SRE917510:SRE917511 TBA917510:TBA917511 TKW917510:TKW917511 TUS917510:TUS917511 UEO917510:UEO917511 UOK917510:UOK917511 UYG917510:UYG917511 VIC917510:VIC917511 VRY917510:VRY917511 WBU917510:WBU917511 WLQ917510:WLQ917511 WVM917510:WVM917511 E983046:E983047 JA983046:JA983047 SW983046:SW983047 ACS983046:ACS983047 AMO983046:AMO983047 AWK983046:AWK983047 BGG983046:BGG983047 BQC983046:BQC983047 BZY983046:BZY983047 CJU983046:CJU983047 CTQ983046:CTQ983047 DDM983046:DDM983047 DNI983046:DNI983047 DXE983046:DXE983047 EHA983046:EHA983047 EQW983046:EQW983047 FAS983046:FAS983047 FKO983046:FKO983047 FUK983046:FUK983047 GEG983046:GEG983047 GOC983046:GOC983047 GXY983046:GXY983047 HHU983046:HHU983047 HRQ983046:HRQ983047 IBM983046:IBM983047 ILI983046:ILI983047 IVE983046:IVE983047 JFA983046:JFA983047 JOW983046:JOW983047 JYS983046:JYS983047 KIO983046:KIO983047 KSK983046:KSK983047 LCG983046:LCG983047 LMC983046:LMC983047 LVY983046:LVY983047 MFU983046:MFU983047 MPQ983046:MPQ983047 MZM983046:MZM983047 NJI983046:NJI983047 NTE983046:NTE983047 ODA983046:ODA983047 OMW983046:OMW983047 OWS983046:OWS983047 PGO983046:PGO983047 PQK983046:PQK983047 QAG983046:QAG983047 QKC983046:QKC983047 QTY983046:QTY983047 RDU983046:RDU983047 RNQ983046:RNQ983047 RXM983046:RXM983047 SHI983046:SHI983047 SRE983046:SRE983047 TBA983046:TBA983047 TKW983046:TKW983047 TUS983046:TUS983047 UEO983046:UEO983047 UOK983046:UOK983047 UYG983046:UYG983047 VIC983046:VIC983047 VRY983046:VRY983047 WBU983046:WBU983047 WLQ983046:WLQ983047 WVM983046:WVM983047 G9:L9" xr:uid="{00000000-0002-0000-1B00-000001000000}">
      <formula1>"有り,無し"</formula1>
    </dataValidation>
    <dataValidation type="list" allowBlank="1" showInputMessage="1" showErrorMessage="1" sqref="WVO983048:WVT983048 JC7:JH8 SY7:TD8 ACU7:ACZ8 AMQ7:AMV8 AWM7:AWR8 BGI7:BGN8 BQE7:BQJ8 CAA7:CAF8 CJW7:CKB8 CTS7:CTX8 DDO7:DDT8 DNK7:DNP8 DXG7:DXL8 EHC7:EHH8 EQY7:ERD8 FAU7:FAZ8 FKQ7:FKV8 FUM7:FUR8 GEI7:GEN8 GOE7:GOJ8 GYA7:GYF8 HHW7:HIB8 HRS7:HRX8 IBO7:IBT8 ILK7:ILP8 IVG7:IVL8 JFC7:JFH8 JOY7:JPD8 JYU7:JYZ8 KIQ7:KIV8 KSM7:KSR8 LCI7:LCN8 LME7:LMJ8 LWA7:LWF8 MFW7:MGB8 MPS7:MPX8 MZO7:MZT8 NJK7:NJP8 NTG7:NTL8 ODC7:ODH8 OMY7:OND8 OWU7:OWZ8 PGQ7:PGV8 PQM7:PQR8 QAI7:QAN8 QKE7:QKJ8 QUA7:QUF8 RDW7:REB8 RNS7:RNX8 RXO7:RXT8 SHK7:SHP8 SRG7:SRL8 TBC7:TBH8 TKY7:TLD8 TUU7:TUZ8 UEQ7:UEV8 UOM7:UOR8 UYI7:UYN8 VIE7:VIJ8 VSA7:VSF8 WBW7:WCB8 WLS7:WLX8 WVO7:WVT8 G65544:L65544 JC65544:JH65544 SY65544:TD65544 ACU65544:ACZ65544 AMQ65544:AMV65544 AWM65544:AWR65544 BGI65544:BGN65544 BQE65544:BQJ65544 CAA65544:CAF65544 CJW65544:CKB65544 CTS65544:CTX65544 DDO65544:DDT65544 DNK65544:DNP65544 DXG65544:DXL65544 EHC65544:EHH65544 EQY65544:ERD65544 FAU65544:FAZ65544 FKQ65544:FKV65544 FUM65544:FUR65544 GEI65544:GEN65544 GOE65544:GOJ65544 GYA65544:GYF65544 HHW65544:HIB65544 HRS65544:HRX65544 IBO65544:IBT65544 ILK65544:ILP65544 IVG65544:IVL65544 JFC65544:JFH65544 JOY65544:JPD65544 JYU65544:JYZ65544 KIQ65544:KIV65544 KSM65544:KSR65544 LCI65544:LCN65544 LME65544:LMJ65544 LWA65544:LWF65544 MFW65544:MGB65544 MPS65544:MPX65544 MZO65544:MZT65544 NJK65544:NJP65544 NTG65544:NTL65544 ODC65544:ODH65544 OMY65544:OND65544 OWU65544:OWZ65544 PGQ65544:PGV65544 PQM65544:PQR65544 QAI65544:QAN65544 QKE65544:QKJ65544 QUA65544:QUF65544 RDW65544:REB65544 RNS65544:RNX65544 RXO65544:RXT65544 SHK65544:SHP65544 SRG65544:SRL65544 TBC65544:TBH65544 TKY65544:TLD65544 TUU65544:TUZ65544 UEQ65544:UEV65544 UOM65544:UOR65544 UYI65544:UYN65544 VIE65544:VIJ65544 VSA65544:VSF65544 WBW65544:WCB65544 WLS65544:WLX65544 WVO65544:WVT65544 G131080:L131080 JC131080:JH131080 SY131080:TD131080 ACU131080:ACZ131080 AMQ131080:AMV131080 AWM131080:AWR131080 BGI131080:BGN131080 BQE131080:BQJ131080 CAA131080:CAF131080 CJW131080:CKB131080 CTS131080:CTX131080 DDO131080:DDT131080 DNK131080:DNP131080 DXG131080:DXL131080 EHC131080:EHH131080 EQY131080:ERD131080 FAU131080:FAZ131080 FKQ131080:FKV131080 FUM131080:FUR131080 GEI131080:GEN131080 GOE131080:GOJ131080 GYA131080:GYF131080 HHW131080:HIB131080 HRS131080:HRX131080 IBO131080:IBT131080 ILK131080:ILP131080 IVG131080:IVL131080 JFC131080:JFH131080 JOY131080:JPD131080 JYU131080:JYZ131080 KIQ131080:KIV131080 KSM131080:KSR131080 LCI131080:LCN131080 LME131080:LMJ131080 LWA131080:LWF131080 MFW131080:MGB131080 MPS131080:MPX131080 MZO131080:MZT131080 NJK131080:NJP131080 NTG131080:NTL131080 ODC131080:ODH131080 OMY131080:OND131080 OWU131080:OWZ131080 PGQ131080:PGV131080 PQM131080:PQR131080 QAI131080:QAN131080 QKE131080:QKJ131080 QUA131080:QUF131080 RDW131080:REB131080 RNS131080:RNX131080 RXO131080:RXT131080 SHK131080:SHP131080 SRG131080:SRL131080 TBC131080:TBH131080 TKY131080:TLD131080 TUU131080:TUZ131080 UEQ131080:UEV131080 UOM131080:UOR131080 UYI131080:UYN131080 VIE131080:VIJ131080 VSA131080:VSF131080 WBW131080:WCB131080 WLS131080:WLX131080 WVO131080:WVT131080 G196616:L196616 JC196616:JH196616 SY196616:TD196616 ACU196616:ACZ196616 AMQ196616:AMV196616 AWM196616:AWR196616 BGI196616:BGN196616 BQE196616:BQJ196616 CAA196616:CAF196616 CJW196616:CKB196616 CTS196616:CTX196616 DDO196616:DDT196616 DNK196616:DNP196616 DXG196616:DXL196616 EHC196616:EHH196616 EQY196616:ERD196616 FAU196616:FAZ196616 FKQ196616:FKV196616 FUM196616:FUR196616 GEI196616:GEN196616 GOE196616:GOJ196616 GYA196616:GYF196616 HHW196616:HIB196616 HRS196616:HRX196616 IBO196616:IBT196616 ILK196616:ILP196616 IVG196616:IVL196616 JFC196616:JFH196616 JOY196616:JPD196616 JYU196616:JYZ196616 KIQ196616:KIV196616 KSM196616:KSR196616 LCI196616:LCN196616 LME196616:LMJ196616 LWA196616:LWF196616 MFW196616:MGB196616 MPS196616:MPX196616 MZO196616:MZT196616 NJK196616:NJP196616 NTG196616:NTL196616 ODC196616:ODH196616 OMY196616:OND196616 OWU196616:OWZ196616 PGQ196616:PGV196616 PQM196616:PQR196616 QAI196616:QAN196616 QKE196616:QKJ196616 QUA196616:QUF196616 RDW196616:REB196616 RNS196616:RNX196616 RXO196616:RXT196616 SHK196616:SHP196616 SRG196616:SRL196616 TBC196616:TBH196616 TKY196616:TLD196616 TUU196616:TUZ196616 UEQ196616:UEV196616 UOM196616:UOR196616 UYI196616:UYN196616 VIE196616:VIJ196616 VSA196616:VSF196616 WBW196616:WCB196616 WLS196616:WLX196616 WVO196616:WVT196616 G262152:L262152 JC262152:JH262152 SY262152:TD262152 ACU262152:ACZ262152 AMQ262152:AMV262152 AWM262152:AWR262152 BGI262152:BGN262152 BQE262152:BQJ262152 CAA262152:CAF262152 CJW262152:CKB262152 CTS262152:CTX262152 DDO262152:DDT262152 DNK262152:DNP262152 DXG262152:DXL262152 EHC262152:EHH262152 EQY262152:ERD262152 FAU262152:FAZ262152 FKQ262152:FKV262152 FUM262152:FUR262152 GEI262152:GEN262152 GOE262152:GOJ262152 GYA262152:GYF262152 HHW262152:HIB262152 HRS262152:HRX262152 IBO262152:IBT262152 ILK262152:ILP262152 IVG262152:IVL262152 JFC262152:JFH262152 JOY262152:JPD262152 JYU262152:JYZ262152 KIQ262152:KIV262152 KSM262152:KSR262152 LCI262152:LCN262152 LME262152:LMJ262152 LWA262152:LWF262152 MFW262152:MGB262152 MPS262152:MPX262152 MZO262152:MZT262152 NJK262152:NJP262152 NTG262152:NTL262152 ODC262152:ODH262152 OMY262152:OND262152 OWU262152:OWZ262152 PGQ262152:PGV262152 PQM262152:PQR262152 QAI262152:QAN262152 QKE262152:QKJ262152 QUA262152:QUF262152 RDW262152:REB262152 RNS262152:RNX262152 RXO262152:RXT262152 SHK262152:SHP262152 SRG262152:SRL262152 TBC262152:TBH262152 TKY262152:TLD262152 TUU262152:TUZ262152 UEQ262152:UEV262152 UOM262152:UOR262152 UYI262152:UYN262152 VIE262152:VIJ262152 VSA262152:VSF262152 WBW262152:WCB262152 WLS262152:WLX262152 WVO262152:WVT262152 G327688:L327688 JC327688:JH327688 SY327688:TD327688 ACU327688:ACZ327688 AMQ327688:AMV327688 AWM327688:AWR327688 BGI327688:BGN327688 BQE327688:BQJ327688 CAA327688:CAF327688 CJW327688:CKB327688 CTS327688:CTX327688 DDO327688:DDT327688 DNK327688:DNP327688 DXG327688:DXL327688 EHC327688:EHH327688 EQY327688:ERD327688 FAU327688:FAZ327688 FKQ327688:FKV327688 FUM327688:FUR327688 GEI327688:GEN327688 GOE327688:GOJ327688 GYA327688:GYF327688 HHW327688:HIB327688 HRS327688:HRX327688 IBO327688:IBT327688 ILK327688:ILP327688 IVG327688:IVL327688 JFC327688:JFH327688 JOY327688:JPD327688 JYU327688:JYZ327688 KIQ327688:KIV327688 KSM327688:KSR327688 LCI327688:LCN327688 LME327688:LMJ327688 LWA327688:LWF327688 MFW327688:MGB327688 MPS327688:MPX327688 MZO327688:MZT327688 NJK327688:NJP327688 NTG327688:NTL327688 ODC327688:ODH327688 OMY327688:OND327688 OWU327688:OWZ327688 PGQ327688:PGV327688 PQM327688:PQR327688 QAI327688:QAN327688 QKE327688:QKJ327688 QUA327688:QUF327688 RDW327688:REB327688 RNS327688:RNX327688 RXO327688:RXT327688 SHK327688:SHP327688 SRG327688:SRL327688 TBC327688:TBH327688 TKY327688:TLD327688 TUU327688:TUZ327688 UEQ327688:UEV327688 UOM327688:UOR327688 UYI327688:UYN327688 VIE327688:VIJ327688 VSA327688:VSF327688 WBW327688:WCB327688 WLS327688:WLX327688 WVO327688:WVT327688 G393224:L393224 JC393224:JH393224 SY393224:TD393224 ACU393224:ACZ393224 AMQ393224:AMV393224 AWM393224:AWR393224 BGI393224:BGN393224 BQE393224:BQJ393224 CAA393224:CAF393224 CJW393224:CKB393224 CTS393224:CTX393224 DDO393224:DDT393224 DNK393224:DNP393224 DXG393224:DXL393224 EHC393224:EHH393224 EQY393224:ERD393224 FAU393224:FAZ393224 FKQ393224:FKV393224 FUM393224:FUR393224 GEI393224:GEN393224 GOE393224:GOJ393224 GYA393224:GYF393224 HHW393224:HIB393224 HRS393224:HRX393224 IBO393224:IBT393224 ILK393224:ILP393224 IVG393224:IVL393224 JFC393224:JFH393224 JOY393224:JPD393224 JYU393224:JYZ393224 KIQ393224:KIV393224 KSM393224:KSR393224 LCI393224:LCN393224 LME393224:LMJ393224 LWA393224:LWF393224 MFW393224:MGB393224 MPS393224:MPX393224 MZO393224:MZT393224 NJK393224:NJP393224 NTG393224:NTL393224 ODC393224:ODH393224 OMY393224:OND393224 OWU393224:OWZ393224 PGQ393224:PGV393224 PQM393224:PQR393224 QAI393224:QAN393224 QKE393224:QKJ393224 QUA393224:QUF393224 RDW393224:REB393224 RNS393224:RNX393224 RXO393224:RXT393224 SHK393224:SHP393224 SRG393224:SRL393224 TBC393224:TBH393224 TKY393224:TLD393224 TUU393224:TUZ393224 UEQ393224:UEV393224 UOM393224:UOR393224 UYI393224:UYN393224 VIE393224:VIJ393224 VSA393224:VSF393224 WBW393224:WCB393224 WLS393224:WLX393224 WVO393224:WVT393224 G458760:L458760 JC458760:JH458760 SY458760:TD458760 ACU458760:ACZ458760 AMQ458760:AMV458760 AWM458760:AWR458760 BGI458760:BGN458760 BQE458760:BQJ458760 CAA458760:CAF458760 CJW458760:CKB458760 CTS458760:CTX458760 DDO458760:DDT458760 DNK458760:DNP458760 DXG458760:DXL458760 EHC458760:EHH458760 EQY458760:ERD458760 FAU458760:FAZ458760 FKQ458760:FKV458760 FUM458760:FUR458760 GEI458760:GEN458760 GOE458760:GOJ458760 GYA458760:GYF458760 HHW458760:HIB458760 HRS458760:HRX458760 IBO458760:IBT458760 ILK458760:ILP458760 IVG458760:IVL458760 JFC458760:JFH458760 JOY458760:JPD458760 JYU458760:JYZ458760 KIQ458760:KIV458760 KSM458760:KSR458760 LCI458760:LCN458760 LME458760:LMJ458760 LWA458760:LWF458760 MFW458760:MGB458760 MPS458760:MPX458760 MZO458760:MZT458760 NJK458760:NJP458760 NTG458760:NTL458760 ODC458760:ODH458760 OMY458760:OND458760 OWU458760:OWZ458760 PGQ458760:PGV458760 PQM458760:PQR458760 QAI458760:QAN458760 QKE458760:QKJ458760 QUA458760:QUF458760 RDW458760:REB458760 RNS458760:RNX458760 RXO458760:RXT458760 SHK458760:SHP458760 SRG458760:SRL458760 TBC458760:TBH458760 TKY458760:TLD458760 TUU458760:TUZ458760 UEQ458760:UEV458760 UOM458760:UOR458760 UYI458760:UYN458760 VIE458760:VIJ458760 VSA458760:VSF458760 WBW458760:WCB458760 WLS458760:WLX458760 WVO458760:WVT458760 G524296:L524296 JC524296:JH524296 SY524296:TD524296 ACU524296:ACZ524296 AMQ524296:AMV524296 AWM524296:AWR524296 BGI524296:BGN524296 BQE524296:BQJ524296 CAA524296:CAF524296 CJW524296:CKB524296 CTS524296:CTX524296 DDO524296:DDT524296 DNK524296:DNP524296 DXG524296:DXL524296 EHC524296:EHH524296 EQY524296:ERD524296 FAU524296:FAZ524296 FKQ524296:FKV524296 FUM524296:FUR524296 GEI524296:GEN524296 GOE524296:GOJ524296 GYA524296:GYF524296 HHW524296:HIB524296 HRS524296:HRX524296 IBO524296:IBT524296 ILK524296:ILP524296 IVG524296:IVL524296 JFC524296:JFH524296 JOY524296:JPD524296 JYU524296:JYZ524296 KIQ524296:KIV524296 KSM524296:KSR524296 LCI524296:LCN524296 LME524296:LMJ524296 LWA524296:LWF524296 MFW524296:MGB524296 MPS524296:MPX524296 MZO524296:MZT524296 NJK524296:NJP524296 NTG524296:NTL524296 ODC524296:ODH524296 OMY524296:OND524296 OWU524296:OWZ524296 PGQ524296:PGV524296 PQM524296:PQR524296 QAI524296:QAN524296 QKE524296:QKJ524296 QUA524296:QUF524296 RDW524296:REB524296 RNS524296:RNX524296 RXO524296:RXT524296 SHK524296:SHP524296 SRG524296:SRL524296 TBC524296:TBH524296 TKY524296:TLD524296 TUU524296:TUZ524296 UEQ524296:UEV524296 UOM524296:UOR524296 UYI524296:UYN524296 VIE524296:VIJ524296 VSA524296:VSF524296 WBW524296:WCB524296 WLS524296:WLX524296 WVO524296:WVT524296 G589832:L589832 JC589832:JH589832 SY589832:TD589832 ACU589832:ACZ589832 AMQ589832:AMV589832 AWM589832:AWR589832 BGI589832:BGN589832 BQE589832:BQJ589832 CAA589832:CAF589832 CJW589832:CKB589832 CTS589832:CTX589832 DDO589832:DDT589832 DNK589832:DNP589832 DXG589832:DXL589832 EHC589832:EHH589832 EQY589832:ERD589832 FAU589832:FAZ589832 FKQ589832:FKV589832 FUM589832:FUR589832 GEI589832:GEN589832 GOE589832:GOJ589832 GYA589832:GYF589832 HHW589832:HIB589832 HRS589832:HRX589832 IBO589832:IBT589832 ILK589832:ILP589832 IVG589832:IVL589832 JFC589832:JFH589832 JOY589832:JPD589832 JYU589832:JYZ589832 KIQ589832:KIV589832 KSM589832:KSR589832 LCI589832:LCN589832 LME589832:LMJ589832 LWA589832:LWF589832 MFW589832:MGB589832 MPS589832:MPX589832 MZO589832:MZT589832 NJK589832:NJP589832 NTG589832:NTL589832 ODC589832:ODH589832 OMY589832:OND589832 OWU589832:OWZ589832 PGQ589832:PGV589832 PQM589832:PQR589832 QAI589832:QAN589832 QKE589832:QKJ589832 QUA589832:QUF589832 RDW589832:REB589832 RNS589832:RNX589832 RXO589832:RXT589832 SHK589832:SHP589832 SRG589832:SRL589832 TBC589832:TBH589832 TKY589832:TLD589832 TUU589832:TUZ589832 UEQ589832:UEV589832 UOM589832:UOR589832 UYI589832:UYN589832 VIE589832:VIJ589832 VSA589832:VSF589832 WBW589832:WCB589832 WLS589832:WLX589832 WVO589832:WVT589832 G655368:L655368 JC655368:JH655368 SY655368:TD655368 ACU655368:ACZ655368 AMQ655368:AMV655368 AWM655368:AWR655368 BGI655368:BGN655368 BQE655368:BQJ655368 CAA655368:CAF655368 CJW655368:CKB655368 CTS655368:CTX655368 DDO655368:DDT655368 DNK655368:DNP655368 DXG655368:DXL655368 EHC655368:EHH655368 EQY655368:ERD655368 FAU655368:FAZ655368 FKQ655368:FKV655368 FUM655368:FUR655368 GEI655368:GEN655368 GOE655368:GOJ655368 GYA655368:GYF655368 HHW655368:HIB655368 HRS655368:HRX655368 IBO655368:IBT655368 ILK655368:ILP655368 IVG655368:IVL655368 JFC655368:JFH655368 JOY655368:JPD655368 JYU655368:JYZ655368 KIQ655368:KIV655368 KSM655368:KSR655368 LCI655368:LCN655368 LME655368:LMJ655368 LWA655368:LWF655368 MFW655368:MGB655368 MPS655368:MPX655368 MZO655368:MZT655368 NJK655368:NJP655368 NTG655368:NTL655368 ODC655368:ODH655368 OMY655368:OND655368 OWU655368:OWZ655368 PGQ655368:PGV655368 PQM655368:PQR655368 QAI655368:QAN655368 QKE655368:QKJ655368 QUA655368:QUF655368 RDW655368:REB655368 RNS655368:RNX655368 RXO655368:RXT655368 SHK655368:SHP655368 SRG655368:SRL655368 TBC655368:TBH655368 TKY655368:TLD655368 TUU655368:TUZ655368 UEQ655368:UEV655368 UOM655368:UOR655368 UYI655368:UYN655368 VIE655368:VIJ655368 VSA655368:VSF655368 WBW655368:WCB655368 WLS655368:WLX655368 WVO655368:WVT655368 G720904:L720904 JC720904:JH720904 SY720904:TD720904 ACU720904:ACZ720904 AMQ720904:AMV720904 AWM720904:AWR720904 BGI720904:BGN720904 BQE720904:BQJ720904 CAA720904:CAF720904 CJW720904:CKB720904 CTS720904:CTX720904 DDO720904:DDT720904 DNK720904:DNP720904 DXG720904:DXL720904 EHC720904:EHH720904 EQY720904:ERD720904 FAU720904:FAZ720904 FKQ720904:FKV720904 FUM720904:FUR720904 GEI720904:GEN720904 GOE720904:GOJ720904 GYA720904:GYF720904 HHW720904:HIB720904 HRS720904:HRX720904 IBO720904:IBT720904 ILK720904:ILP720904 IVG720904:IVL720904 JFC720904:JFH720904 JOY720904:JPD720904 JYU720904:JYZ720904 KIQ720904:KIV720904 KSM720904:KSR720904 LCI720904:LCN720904 LME720904:LMJ720904 LWA720904:LWF720904 MFW720904:MGB720904 MPS720904:MPX720904 MZO720904:MZT720904 NJK720904:NJP720904 NTG720904:NTL720904 ODC720904:ODH720904 OMY720904:OND720904 OWU720904:OWZ720904 PGQ720904:PGV720904 PQM720904:PQR720904 QAI720904:QAN720904 QKE720904:QKJ720904 QUA720904:QUF720904 RDW720904:REB720904 RNS720904:RNX720904 RXO720904:RXT720904 SHK720904:SHP720904 SRG720904:SRL720904 TBC720904:TBH720904 TKY720904:TLD720904 TUU720904:TUZ720904 UEQ720904:UEV720904 UOM720904:UOR720904 UYI720904:UYN720904 VIE720904:VIJ720904 VSA720904:VSF720904 WBW720904:WCB720904 WLS720904:WLX720904 WVO720904:WVT720904 G786440:L786440 JC786440:JH786440 SY786440:TD786440 ACU786440:ACZ786440 AMQ786440:AMV786440 AWM786440:AWR786440 BGI786440:BGN786440 BQE786440:BQJ786440 CAA786440:CAF786440 CJW786440:CKB786440 CTS786440:CTX786440 DDO786440:DDT786440 DNK786440:DNP786440 DXG786440:DXL786440 EHC786440:EHH786440 EQY786440:ERD786440 FAU786440:FAZ786440 FKQ786440:FKV786440 FUM786440:FUR786440 GEI786440:GEN786440 GOE786440:GOJ786440 GYA786440:GYF786440 HHW786440:HIB786440 HRS786440:HRX786440 IBO786440:IBT786440 ILK786440:ILP786440 IVG786440:IVL786440 JFC786440:JFH786440 JOY786440:JPD786440 JYU786440:JYZ786440 KIQ786440:KIV786440 KSM786440:KSR786440 LCI786440:LCN786440 LME786440:LMJ786440 LWA786440:LWF786440 MFW786440:MGB786440 MPS786440:MPX786440 MZO786440:MZT786440 NJK786440:NJP786440 NTG786440:NTL786440 ODC786440:ODH786440 OMY786440:OND786440 OWU786440:OWZ786440 PGQ786440:PGV786440 PQM786440:PQR786440 QAI786440:QAN786440 QKE786440:QKJ786440 QUA786440:QUF786440 RDW786440:REB786440 RNS786440:RNX786440 RXO786440:RXT786440 SHK786440:SHP786440 SRG786440:SRL786440 TBC786440:TBH786440 TKY786440:TLD786440 TUU786440:TUZ786440 UEQ786440:UEV786440 UOM786440:UOR786440 UYI786440:UYN786440 VIE786440:VIJ786440 VSA786440:VSF786440 WBW786440:WCB786440 WLS786440:WLX786440 WVO786440:WVT786440 G851976:L851976 JC851976:JH851976 SY851976:TD851976 ACU851976:ACZ851976 AMQ851976:AMV851976 AWM851976:AWR851976 BGI851976:BGN851976 BQE851976:BQJ851976 CAA851976:CAF851976 CJW851976:CKB851976 CTS851976:CTX851976 DDO851976:DDT851976 DNK851976:DNP851976 DXG851976:DXL851976 EHC851976:EHH851976 EQY851976:ERD851976 FAU851976:FAZ851976 FKQ851976:FKV851976 FUM851976:FUR851976 GEI851976:GEN851976 GOE851976:GOJ851976 GYA851976:GYF851976 HHW851976:HIB851976 HRS851976:HRX851976 IBO851976:IBT851976 ILK851976:ILP851976 IVG851976:IVL851976 JFC851976:JFH851976 JOY851976:JPD851976 JYU851976:JYZ851976 KIQ851976:KIV851976 KSM851976:KSR851976 LCI851976:LCN851976 LME851976:LMJ851976 LWA851976:LWF851976 MFW851976:MGB851976 MPS851976:MPX851976 MZO851976:MZT851976 NJK851976:NJP851976 NTG851976:NTL851976 ODC851976:ODH851976 OMY851976:OND851976 OWU851976:OWZ851976 PGQ851976:PGV851976 PQM851976:PQR851976 QAI851976:QAN851976 QKE851976:QKJ851976 QUA851976:QUF851976 RDW851976:REB851976 RNS851976:RNX851976 RXO851976:RXT851976 SHK851976:SHP851976 SRG851976:SRL851976 TBC851976:TBH851976 TKY851976:TLD851976 TUU851976:TUZ851976 UEQ851976:UEV851976 UOM851976:UOR851976 UYI851976:UYN851976 VIE851976:VIJ851976 VSA851976:VSF851976 WBW851976:WCB851976 WLS851976:WLX851976 WVO851976:WVT851976 G917512:L917512 JC917512:JH917512 SY917512:TD917512 ACU917512:ACZ917512 AMQ917512:AMV917512 AWM917512:AWR917512 BGI917512:BGN917512 BQE917512:BQJ917512 CAA917512:CAF917512 CJW917512:CKB917512 CTS917512:CTX917512 DDO917512:DDT917512 DNK917512:DNP917512 DXG917512:DXL917512 EHC917512:EHH917512 EQY917512:ERD917512 FAU917512:FAZ917512 FKQ917512:FKV917512 FUM917512:FUR917512 GEI917512:GEN917512 GOE917512:GOJ917512 GYA917512:GYF917512 HHW917512:HIB917512 HRS917512:HRX917512 IBO917512:IBT917512 ILK917512:ILP917512 IVG917512:IVL917512 JFC917512:JFH917512 JOY917512:JPD917512 JYU917512:JYZ917512 KIQ917512:KIV917512 KSM917512:KSR917512 LCI917512:LCN917512 LME917512:LMJ917512 LWA917512:LWF917512 MFW917512:MGB917512 MPS917512:MPX917512 MZO917512:MZT917512 NJK917512:NJP917512 NTG917512:NTL917512 ODC917512:ODH917512 OMY917512:OND917512 OWU917512:OWZ917512 PGQ917512:PGV917512 PQM917512:PQR917512 QAI917512:QAN917512 QKE917512:QKJ917512 QUA917512:QUF917512 RDW917512:REB917512 RNS917512:RNX917512 RXO917512:RXT917512 SHK917512:SHP917512 SRG917512:SRL917512 TBC917512:TBH917512 TKY917512:TLD917512 TUU917512:TUZ917512 UEQ917512:UEV917512 UOM917512:UOR917512 UYI917512:UYN917512 VIE917512:VIJ917512 VSA917512:VSF917512 WBW917512:WCB917512 WLS917512:WLX917512 WVO917512:WVT917512 G983048:L983048 JC983048:JH983048 SY983048:TD983048 ACU983048:ACZ983048 AMQ983048:AMV983048 AWM983048:AWR983048 BGI983048:BGN983048 BQE983048:BQJ983048 CAA983048:CAF983048 CJW983048:CKB983048 CTS983048:CTX983048 DDO983048:DDT983048 DNK983048:DNP983048 DXG983048:DXL983048 EHC983048:EHH983048 EQY983048:ERD983048 FAU983048:FAZ983048 FKQ983048:FKV983048 FUM983048:FUR983048 GEI983048:GEN983048 GOE983048:GOJ983048 GYA983048:GYF983048 HHW983048:HIB983048 HRS983048:HRX983048 IBO983048:IBT983048 ILK983048:ILP983048 IVG983048:IVL983048 JFC983048:JFH983048 JOY983048:JPD983048 JYU983048:JYZ983048 KIQ983048:KIV983048 KSM983048:KSR983048 LCI983048:LCN983048 LME983048:LMJ983048 LWA983048:LWF983048 MFW983048:MGB983048 MPS983048:MPX983048 MZO983048:MZT983048 NJK983048:NJP983048 NTG983048:NTL983048 ODC983048:ODH983048 OMY983048:OND983048 OWU983048:OWZ983048 PGQ983048:PGV983048 PQM983048:PQR983048 QAI983048:QAN983048 QKE983048:QKJ983048 QUA983048:QUF983048 RDW983048:REB983048 RNS983048:RNX983048 RXO983048:RXT983048 SHK983048:SHP983048 SRG983048:SRL983048 TBC983048:TBH983048 TKY983048:TLD983048 TUU983048:TUZ983048 UEQ983048:UEV983048 UOM983048:UOR983048 UYI983048:UYN983048 VIE983048:VIJ983048 VSA983048:VSF983048 WBW983048:WCB983048 WLS983048:WLX983048 G7:L7" xr:uid="{00000000-0002-0000-1B00-000002000000}">
      <formula1>"積上げ,積上げ・率処理併用"</formula1>
    </dataValidation>
    <dataValidation type="list" allowBlank="1" showInputMessage="1" showErrorMessage="1" sqref="G4:L4 JC4:JH4 SY4:TD4 ACU4:ACZ4 AMQ4:AMV4 AWM4:AWR4 BGI4:BGN4 BQE4:BQJ4 CAA4:CAF4 CJW4:CKB4 CTS4:CTX4 DDO4:DDT4 DNK4:DNP4 DXG4:DXL4 EHC4:EHH4 EQY4:ERD4 FAU4:FAZ4 FKQ4:FKV4 FUM4:FUR4 GEI4:GEN4 GOE4:GOJ4 GYA4:GYF4 HHW4:HIB4 HRS4:HRX4 IBO4:IBT4 ILK4:ILP4 IVG4:IVL4 JFC4:JFH4 JOY4:JPD4 JYU4:JYZ4 KIQ4:KIV4 KSM4:KSR4 LCI4:LCN4 LME4:LMJ4 LWA4:LWF4 MFW4:MGB4 MPS4:MPX4 MZO4:MZT4 NJK4:NJP4 NTG4:NTL4 ODC4:ODH4 OMY4:OND4 OWU4:OWZ4 PGQ4:PGV4 PQM4:PQR4 QAI4:QAN4 QKE4:QKJ4 QUA4:QUF4 RDW4:REB4 RNS4:RNX4 RXO4:RXT4 SHK4:SHP4 SRG4:SRL4 TBC4:TBH4 TKY4:TLD4 TUU4:TUZ4 UEQ4:UEV4 UOM4:UOR4 UYI4:UYN4 VIE4:VIJ4 VSA4:VSF4 WBW4:WCB4 WLS4:WLX4 WVO4:WVT4 G65541:L65541 JC65541:JH65541 SY65541:TD65541 ACU65541:ACZ65541 AMQ65541:AMV65541 AWM65541:AWR65541 BGI65541:BGN65541 BQE65541:BQJ65541 CAA65541:CAF65541 CJW65541:CKB65541 CTS65541:CTX65541 DDO65541:DDT65541 DNK65541:DNP65541 DXG65541:DXL65541 EHC65541:EHH65541 EQY65541:ERD65541 FAU65541:FAZ65541 FKQ65541:FKV65541 FUM65541:FUR65541 GEI65541:GEN65541 GOE65541:GOJ65541 GYA65541:GYF65541 HHW65541:HIB65541 HRS65541:HRX65541 IBO65541:IBT65541 ILK65541:ILP65541 IVG65541:IVL65541 JFC65541:JFH65541 JOY65541:JPD65541 JYU65541:JYZ65541 KIQ65541:KIV65541 KSM65541:KSR65541 LCI65541:LCN65541 LME65541:LMJ65541 LWA65541:LWF65541 MFW65541:MGB65541 MPS65541:MPX65541 MZO65541:MZT65541 NJK65541:NJP65541 NTG65541:NTL65541 ODC65541:ODH65541 OMY65541:OND65541 OWU65541:OWZ65541 PGQ65541:PGV65541 PQM65541:PQR65541 QAI65541:QAN65541 QKE65541:QKJ65541 QUA65541:QUF65541 RDW65541:REB65541 RNS65541:RNX65541 RXO65541:RXT65541 SHK65541:SHP65541 SRG65541:SRL65541 TBC65541:TBH65541 TKY65541:TLD65541 TUU65541:TUZ65541 UEQ65541:UEV65541 UOM65541:UOR65541 UYI65541:UYN65541 VIE65541:VIJ65541 VSA65541:VSF65541 WBW65541:WCB65541 WLS65541:WLX65541 WVO65541:WVT65541 G131077:L131077 JC131077:JH131077 SY131077:TD131077 ACU131077:ACZ131077 AMQ131077:AMV131077 AWM131077:AWR131077 BGI131077:BGN131077 BQE131077:BQJ131077 CAA131077:CAF131077 CJW131077:CKB131077 CTS131077:CTX131077 DDO131077:DDT131077 DNK131077:DNP131077 DXG131077:DXL131077 EHC131077:EHH131077 EQY131077:ERD131077 FAU131077:FAZ131077 FKQ131077:FKV131077 FUM131077:FUR131077 GEI131077:GEN131077 GOE131077:GOJ131077 GYA131077:GYF131077 HHW131077:HIB131077 HRS131077:HRX131077 IBO131077:IBT131077 ILK131077:ILP131077 IVG131077:IVL131077 JFC131077:JFH131077 JOY131077:JPD131077 JYU131077:JYZ131077 KIQ131077:KIV131077 KSM131077:KSR131077 LCI131077:LCN131077 LME131077:LMJ131077 LWA131077:LWF131077 MFW131077:MGB131077 MPS131077:MPX131077 MZO131077:MZT131077 NJK131077:NJP131077 NTG131077:NTL131077 ODC131077:ODH131077 OMY131077:OND131077 OWU131077:OWZ131077 PGQ131077:PGV131077 PQM131077:PQR131077 QAI131077:QAN131077 QKE131077:QKJ131077 QUA131077:QUF131077 RDW131077:REB131077 RNS131077:RNX131077 RXO131077:RXT131077 SHK131077:SHP131077 SRG131077:SRL131077 TBC131077:TBH131077 TKY131077:TLD131077 TUU131077:TUZ131077 UEQ131077:UEV131077 UOM131077:UOR131077 UYI131077:UYN131077 VIE131077:VIJ131077 VSA131077:VSF131077 WBW131077:WCB131077 WLS131077:WLX131077 WVO131077:WVT131077 G196613:L196613 JC196613:JH196613 SY196613:TD196613 ACU196613:ACZ196613 AMQ196613:AMV196613 AWM196613:AWR196613 BGI196613:BGN196613 BQE196613:BQJ196613 CAA196613:CAF196613 CJW196613:CKB196613 CTS196613:CTX196613 DDO196613:DDT196613 DNK196613:DNP196613 DXG196613:DXL196613 EHC196613:EHH196613 EQY196613:ERD196613 FAU196613:FAZ196613 FKQ196613:FKV196613 FUM196613:FUR196613 GEI196613:GEN196613 GOE196613:GOJ196613 GYA196613:GYF196613 HHW196613:HIB196613 HRS196613:HRX196613 IBO196613:IBT196613 ILK196613:ILP196613 IVG196613:IVL196613 JFC196613:JFH196613 JOY196613:JPD196613 JYU196613:JYZ196613 KIQ196613:KIV196613 KSM196613:KSR196613 LCI196613:LCN196613 LME196613:LMJ196613 LWA196613:LWF196613 MFW196613:MGB196613 MPS196613:MPX196613 MZO196613:MZT196613 NJK196613:NJP196613 NTG196613:NTL196613 ODC196613:ODH196613 OMY196613:OND196613 OWU196613:OWZ196613 PGQ196613:PGV196613 PQM196613:PQR196613 QAI196613:QAN196613 QKE196613:QKJ196613 QUA196613:QUF196613 RDW196613:REB196613 RNS196613:RNX196613 RXO196613:RXT196613 SHK196613:SHP196613 SRG196613:SRL196613 TBC196613:TBH196613 TKY196613:TLD196613 TUU196613:TUZ196613 UEQ196613:UEV196613 UOM196613:UOR196613 UYI196613:UYN196613 VIE196613:VIJ196613 VSA196613:VSF196613 WBW196613:WCB196613 WLS196613:WLX196613 WVO196613:WVT196613 G262149:L262149 JC262149:JH262149 SY262149:TD262149 ACU262149:ACZ262149 AMQ262149:AMV262149 AWM262149:AWR262149 BGI262149:BGN262149 BQE262149:BQJ262149 CAA262149:CAF262149 CJW262149:CKB262149 CTS262149:CTX262149 DDO262149:DDT262149 DNK262149:DNP262149 DXG262149:DXL262149 EHC262149:EHH262149 EQY262149:ERD262149 FAU262149:FAZ262149 FKQ262149:FKV262149 FUM262149:FUR262149 GEI262149:GEN262149 GOE262149:GOJ262149 GYA262149:GYF262149 HHW262149:HIB262149 HRS262149:HRX262149 IBO262149:IBT262149 ILK262149:ILP262149 IVG262149:IVL262149 JFC262149:JFH262149 JOY262149:JPD262149 JYU262149:JYZ262149 KIQ262149:KIV262149 KSM262149:KSR262149 LCI262149:LCN262149 LME262149:LMJ262149 LWA262149:LWF262149 MFW262149:MGB262149 MPS262149:MPX262149 MZO262149:MZT262149 NJK262149:NJP262149 NTG262149:NTL262149 ODC262149:ODH262149 OMY262149:OND262149 OWU262149:OWZ262149 PGQ262149:PGV262149 PQM262149:PQR262149 QAI262149:QAN262149 QKE262149:QKJ262149 QUA262149:QUF262149 RDW262149:REB262149 RNS262149:RNX262149 RXO262149:RXT262149 SHK262149:SHP262149 SRG262149:SRL262149 TBC262149:TBH262149 TKY262149:TLD262149 TUU262149:TUZ262149 UEQ262149:UEV262149 UOM262149:UOR262149 UYI262149:UYN262149 VIE262149:VIJ262149 VSA262149:VSF262149 WBW262149:WCB262149 WLS262149:WLX262149 WVO262149:WVT262149 G327685:L327685 JC327685:JH327685 SY327685:TD327685 ACU327685:ACZ327685 AMQ327685:AMV327685 AWM327685:AWR327685 BGI327685:BGN327685 BQE327685:BQJ327685 CAA327685:CAF327685 CJW327685:CKB327685 CTS327685:CTX327685 DDO327685:DDT327685 DNK327685:DNP327685 DXG327685:DXL327685 EHC327685:EHH327685 EQY327685:ERD327685 FAU327685:FAZ327685 FKQ327685:FKV327685 FUM327685:FUR327685 GEI327685:GEN327685 GOE327685:GOJ327685 GYA327685:GYF327685 HHW327685:HIB327685 HRS327685:HRX327685 IBO327685:IBT327685 ILK327685:ILP327685 IVG327685:IVL327685 JFC327685:JFH327685 JOY327685:JPD327685 JYU327685:JYZ327685 KIQ327685:KIV327685 KSM327685:KSR327685 LCI327685:LCN327685 LME327685:LMJ327685 LWA327685:LWF327685 MFW327685:MGB327685 MPS327685:MPX327685 MZO327685:MZT327685 NJK327685:NJP327685 NTG327685:NTL327685 ODC327685:ODH327685 OMY327685:OND327685 OWU327685:OWZ327685 PGQ327685:PGV327685 PQM327685:PQR327685 QAI327685:QAN327685 QKE327685:QKJ327685 QUA327685:QUF327685 RDW327685:REB327685 RNS327685:RNX327685 RXO327685:RXT327685 SHK327685:SHP327685 SRG327685:SRL327685 TBC327685:TBH327685 TKY327685:TLD327685 TUU327685:TUZ327685 UEQ327685:UEV327685 UOM327685:UOR327685 UYI327685:UYN327685 VIE327685:VIJ327685 VSA327685:VSF327685 WBW327685:WCB327685 WLS327685:WLX327685 WVO327685:WVT327685 G393221:L393221 JC393221:JH393221 SY393221:TD393221 ACU393221:ACZ393221 AMQ393221:AMV393221 AWM393221:AWR393221 BGI393221:BGN393221 BQE393221:BQJ393221 CAA393221:CAF393221 CJW393221:CKB393221 CTS393221:CTX393221 DDO393221:DDT393221 DNK393221:DNP393221 DXG393221:DXL393221 EHC393221:EHH393221 EQY393221:ERD393221 FAU393221:FAZ393221 FKQ393221:FKV393221 FUM393221:FUR393221 GEI393221:GEN393221 GOE393221:GOJ393221 GYA393221:GYF393221 HHW393221:HIB393221 HRS393221:HRX393221 IBO393221:IBT393221 ILK393221:ILP393221 IVG393221:IVL393221 JFC393221:JFH393221 JOY393221:JPD393221 JYU393221:JYZ393221 KIQ393221:KIV393221 KSM393221:KSR393221 LCI393221:LCN393221 LME393221:LMJ393221 LWA393221:LWF393221 MFW393221:MGB393221 MPS393221:MPX393221 MZO393221:MZT393221 NJK393221:NJP393221 NTG393221:NTL393221 ODC393221:ODH393221 OMY393221:OND393221 OWU393221:OWZ393221 PGQ393221:PGV393221 PQM393221:PQR393221 QAI393221:QAN393221 QKE393221:QKJ393221 QUA393221:QUF393221 RDW393221:REB393221 RNS393221:RNX393221 RXO393221:RXT393221 SHK393221:SHP393221 SRG393221:SRL393221 TBC393221:TBH393221 TKY393221:TLD393221 TUU393221:TUZ393221 UEQ393221:UEV393221 UOM393221:UOR393221 UYI393221:UYN393221 VIE393221:VIJ393221 VSA393221:VSF393221 WBW393221:WCB393221 WLS393221:WLX393221 WVO393221:WVT393221 G458757:L458757 JC458757:JH458757 SY458757:TD458757 ACU458757:ACZ458757 AMQ458757:AMV458757 AWM458757:AWR458757 BGI458757:BGN458757 BQE458757:BQJ458757 CAA458757:CAF458757 CJW458757:CKB458757 CTS458757:CTX458757 DDO458757:DDT458757 DNK458757:DNP458757 DXG458757:DXL458757 EHC458757:EHH458757 EQY458757:ERD458757 FAU458757:FAZ458757 FKQ458757:FKV458757 FUM458757:FUR458757 GEI458757:GEN458757 GOE458757:GOJ458757 GYA458757:GYF458757 HHW458757:HIB458757 HRS458757:HRX458757 IBO458757:IBT458757 ILK458757:ILP458757 IVG458757:IVL458757 JFC458757:JFH458757 JOY458757:JPD458757 JYU458757:JYZ458757 KIQ458757:KIV458757 KSM458757:KSR458757 LCI458757:LCN458757 LME458757:LMJ458757 LWA458757:LWF458757 MFW458757:MGB458757 MPS458757:MPX458757 MZO458757:MZT458757 NJK458757:NJP458757 NTG458757:NTL458757 ODC458757:ODH458757 OMY458757:OND458757 OWU458757:OWZ458757 PGQ458757:PGV458757 PQM458757:PQR458757 QAI458757:QAN458757 QKE458757:QKJ458757 QUA458757:QUF458757 RDW458757:REB458757 RNS458757:RNX458757 RXO458757:RXT458757 SHK458757:SHP458757 SRG458757:SRL458757 TBC458757:TBH458757 TKY458757:TLD458757 TUU458757:TUZ458757 UEQ458757:UEV458757 UOM458757:UOR458757 UYI458757:UYN458757 VIE458757:VIJ458757 VSA458757:VSF458757 WBW458757:WCB458757 WLS458757:WLX458757 WVO458757:WVT458757 G524293:L524293 JC524293:JH524293 SY524293:TD524293 ACU524293:ACZ524293 AMQ524293:AMV524293 AWM524293:AWR524293 BGI524293:BGN524293 BQE524293:BQJ524293 CAA524293:CAF524293 CJW524293:CKB524293 CTS524293:CTX524293 DDO524293:DDT524293 DNK524293:DNP524293 DXG524293:DXL524293 EHC524293:EHH524293 EQY524293:ERD524293 FAU524293:FAZ524293 FKQ524293:FKV524293 FUM524293:FUR524293 GEI524293:GEN524293 GOE524293:GOJ524293 GYA524293:GYF524293 HHW524293:HIB524293 HRS524293:HRX524293 IBO524293:IBT524293 ILK524293:ILP524293 IVG524293:IVL524293 JFC524293:JFH524293 JOY524293:JPD524293 JYU524293:JYZ524293 KIQ524293:KIV524293 KSM524293:KSR524293 LCI524293:LCN524293 LME524293:LMJ524293 LWA524293:LWF524293 MFW524293:MGB524293 MPS524293:MPX524293 MZO524293:MZT524293 NJK524293:NJP524293 NTG524293:NTL524293 ODC524293:ODH524293 OMY524293:OND524293 OWU524293:OWZ524293 PGQ524293:PGV524293 PQM524293:PQR524293 QAI524293:QAN524293 QKE524293:QKJ524293 QUA524293:QUF524293 RDW524293:REB524293 RNS524293:RNX524293 RXO524293:RXT524293 SHK524293:SHP524293 SRG524293:SRL524293 TBC524293:TBH524293 TKY524293:TLD524293 TUU524293:TUZ524293 UEQ524293:UEV524293 UOM524293:UOR524293 UYI524293:UYN524293 VIE524293:VIJ524293 VSA524293:VSF524293 WBW524293:WCB524293 WLS524293:WLX524293 WVO524293:WVT524293 G589829:L589829 JC589829:JH589829 SY589829:TD589829 ACU589829:ACZ589829 AMQ589829:AMV589829 AWM589829:AWR589829 BGI589829:BGN589829 BQE589829:BQJ589829 CAA589829:CAF589829 CJW589829:CKB589829 CTS589829:CTX589829 DDO589829:DDT589829 DNK589829:DNP589829 DXG589829:DXL589829 EHC589829:EHH589829 EQY589829:ERD589829 FAU589829:FAZ589829 FKQ589829:FKV589829 FUM589829:FUR589829 GEI589829:GEN589829 GOE589829:GOJ589829 GYA589829:GYF589829 HHW589829:HIB589829 HRS589829:HRX589829 IBO589829:IBT589829 ILK589829:ILP589829 IVG589829:IVL589829 JFC589829:JFH589829 JOY589829:JPD589829 JYU589829:JYZ589829 KIQ589829:KIV589829 KSM589829:KSR589829 LCI589829:LCN589829 LME589829:LMJ589829 LWA589829:LWF589829 MFW589829:MGB589829 MPS589829:MPX589829 MZO589829:MZT589829 NJK589829:NJP589829 NTG589829:NTL589829 ODC589829:ODH589829 OMY589829:OND589829 OWU589829:OWZ589829 PGQ589829:PGV589829 PQM589829:PQR589829 QAI589829:QAN589829 QKE589829:QKJ589829 QUA589829:QUF589829 RDW589829:REB589829 RNS589829:RNX589829 RXO589829:RXT589829 SHK589829:SHP589829 SRG589829:SRL589829 TBC589829:TBH589829 TKY589829:TLD589829 TUU589829:TUZ589829 UEQ589829:UEV589829 UOM589829:UOR589829 UYI589829:UYN589829 VIE589829:VIJ589829 VSA589829:VSF589829 WBW589829:WCB589829 WLS589829:WLX589829 WVO589829:WVT589829 G655365:L655365 JC655365:JH655365 SY655365:TD655365 ACU655365:ACZ655365 AMQ655365:AMV655365 AWM655365:AWR655365 BGI655365:BGN655365 BQE655365:BQJ655365 CAA655365:CAF655365 CJW655365:CKB655365 CTS655365:CTX655365 DDO655365:DDT655365 DNK655365:DNP655365 DXG655365:DXL655365 EHC655365:EHH655365 EQY655365:ERD655365 FAU655365:FAZ655365 FKQ655365:FKV655365 FUM655365:FUR655365 GEI655365:GEN655365 GOE655365:GOJ655365 GYA655365:GYF655365 HHW655365:HIB655365 HRS655365:HRX655365 IBO655365:IBT655365 ILK655365:ILP655365 IVG655365:IVL655365 JFC655365:JFH655365 JOY655365:JPD655365 JYU655365:JYZ655365 KIQ655365:KIV655365 KSM655365:KSR655365 LCI655365:LCN655365 LME655365:LMJ655365 LWA655365:LWF655365 MFW655365:MGB655365 MPS655365:MPX655365 MZO655365:MZT655365 NJK655365:NJP655365 NTG655365:NTL655365 ODC655365:ODH655365 OMY655365:OND655365 OWU655365:OWZ655365 PGQ655365:PGV655365 PQM655365:PQR655365 QAI655365:QAN655365 QKE655365:QKJ655365 QUA655365:QUF655365 RDW655365:REB655365 RNS655365:RNX655365 RXO655365:RXT655365 SHK655365:SHP655365 SRG655365:SRL655365 TBC655365:TBH655365 TKY655365:TLD655365 TUU655365:TUZ655365 UEQ655365:UEV655365 UOM655365:UOR655365 UYI655365:UYN655365 VIE655365:VIJ655365 VSA655365:VSF655365 WBW655365:WCB655365 WLS655365:WLX655365 WVO655365:WVT655365 G720901:L720901 JC720901:JH720901 SY720901:TD720901 ACU720901:ACZ720901 AMQ720901:AMV720901 AWM720901:AWR720901 BGI720901:BGN720901 BQE720901:BQJ720901 CAA720901:CAF720901 CJW720901:CKB720901 CTS720901:CTX720901 DDO720901:DDT720901 DNK720901:DNP720901 DXG720901:DXL720901 EHC720901:EHH720901 EQY720901:ERD720901 FAU720901:FAZ720901 FKQ720901:FKV720901 FUM720901:FUR720901 GEI720901:GEN720901 GOE720901:GOJ720901 GYA720901:GYF720901 HHW720901:HIB720901 HRS720901:HRX720901 IBO720901:IBT720901 ILK720901:ILP720901 IVG720901:IVL720901 JFC720901:JFH720901 JOY720901:JPD720901 JYU720901:JYZ720901 KIQ720901:KIV720901 KSM720901:KSR720901 LCI720901:LCN720901 LME720901:LMJ720901 LWA720901:LWF720901 MFW720901:MGB720901 MPS720901:MPX720901 MZO720901:MZT720901 NJK720901:NJP720901 NTG720901:NTL720901 ODC720901:ODH720901 OMY720901:OND720901 OWU720901:OWZ720901 PGQ720901:PGV720901 PQM720901:PQR720901 QAI720901:QAN720901 QKE720901:QKJ720901 QUA720901:QUF720901 RDW720901:REB720901 RNS720901:RNX720901 RXO720901:RXT720901 SHK720901:SHP720901 SRG720901:SRL720901 TBC720901:TBH720901 TKY720901:TLD720901 TUU720901:TUZ720901 UEQ720901:UEV720901 UOM720901:UOR720901 UYI720901:UYN720901 VIE720901:VIJ720901 VSA720901:VSF720901 WBW720901:WCB720901 WLS720901:WLX720901 WVO720901:WVT720901 G786437:L786437 JC786437:JH786437 SY786437:TD786437 ACU786437:ACZ786437 AMQ786437:AMV786437 AWM786437:AWR786437 BGI786437:BGN786437 BQE786437:BQJ786437 CAA786437:CAF786437 CJW786437:CKB786437 CTS786437:CTX786437 DDO786437:DDT786437 DNK786437:DNP786437 DXG786437:DXL786437 EHC786437:EHH786437 EQY786437:ERD786437 FAU786437:FAZ786437 FKQ786437:FKV786437 FUM786437:FUR786437 GEI786437:GEN786437 GOE786437:GOJ786437 GYA786437:GYF786437 HHW786437:HIB786437 HRS786437:HRX786437 IBO786437:IBT786437 ILK786437:ILP786437 IVG786437:IVL786437 JFC786437:JFH786437 JOY786437:JPD786437 JYU786437:JYZ786437 KIQ786437:KIV786437 KSM786437:KSR786437 LCI786437:LCN786437 LME786437:LMJ786437 LWA786437:LWF786437 MFW786437:MGB786437 MPS786437:MPX786437 MZO786437:MZT786437 NJK786437:NJP786437 NTG786437:NTL786437 ODC786437:ODH786437 OMY786437:OND786437 OWU786437:OWZ786437 PGQ786437:PGV786437 PQM786437:PQR786437 QAI786437:QAN786437 QKE786437:QKJ786437 QUA786437:QUF786437 RDW786437:REB786437 RNS786437:RNX786437 RXO786437:RXT786437 SHK786437:SHP786437 SRG786437:SRL786437 TBC786437:TBH786437 TKY786437:TLD786437 TUU786437:TUZ786437 UEQ786437:UEV786437 UOM786437:UOR786437 UYI786437:UYN786437 VIE786437:VIJ786437 VSA786437:VSF786437 WBW786437:WCB786437 WLS786437:WLX786437 WVO786437:WVT786437 G851973:L851973 JC851973:JH851973 SY851973:TD851973 ACU851973:ACZ851973 AMQ851973:AMV851973 AWM851973:AWR851973 BGI851973:BGN851973 BQE851973:BQJ851973 CAA851973:CAF851973 CJW851973:CKB851973 CTS851973:CTX851973 DDO851973:DDT851973 DNK851973:DNP851973 DXG851973:DXL851973 EHC851973:EHH851973 EQY851973:ERD851973 FAU851973:FAZ851973 FKQ851973:FKV851973 FUM851973:FUR851973 GEI851973:GEN851973 GOE851973:GOJ851973 GYA851973:GYF851973 HHW851973:HIB851973 HRS851973:HRX851973 IBO851973:IBT851973 ILK851973:ILP851973 IVG851973:IVL851973 JFC851973:JFH851973 JOY851973:JPD851973 JYU851973:JYZ851973 KIQ851973:KIV851973 KSM851973:KSR851973 LCI851973:LCN851973 LME851973:LMJ851973 LWA851973:LWF851973 MFW851973:MGB851973 MPS851973:MPX851973 MZO851973:MZT851973 NJK851973:NJP851973 NTG851973:NTL851973 ODC851973:ODH851973 OMY851973:OND851973 OWU851973:OWZ851973 PGQ851973:PGV851973 PQM851973:PQR851973 QAI851973:QAN851973 QKE851973:QKJ851973 QUA851973:QUF851973 RDW851973:REB851973 RNS851973:RNX851973 RXO851973:RXT851973 SHK851973:SHP851973 SRG851973:SRL851973 TBC851973:TBH851973 TKY851973:TLD851973 TUU851973:TUZ851973 UEQ851973:UEV851973 UOM851973:UOR851973 UYI851973:UYN851973 VIE851973:VIJ851973 VSA851973:VSF851973 WBW851973:WCB851973 WLS851973:WLX851973 WVO851973:WVT851973 G917509:L917509 JC917509:JH917509 SY917509:TD917509 ACU917509:ACZ917509 AMQ917509:AMV917509 AWM917509:AWR917509 BGI917509:BGN917509 BQE917509:BQJ917509 CAA917509:CAF917509 CJW917509:CKB917509 CTS917509:CTX917509 DDO917509:DDT917509 DNK917509:DNP917509 DXG917509:DXL917509 EHC917509:EHH917509 EQY917509:ERD917509 FAU917509:FAZ917509 FKQ917509:FKV917509 FUM917509:FUR917509 GEI917509:GEN917509 GOE917509:GOJ917509 GYA917509:GYF917509 HHW917509:HIB917509 HRS917509:HRX917509 IBO917509:IBT917509 ILK917509:ILP917509 IVG917509:IVL917509 JFC917509:JFH917509 JOY917509:JPD917509 JYU917509:JYZ917509 KIQ917509:KIV917509 KSM917509:KSR917509 LCI917509:LCN917509 LME917509:LMJ917509 LWA917509:LWF917509 MFW917509:MGB917509 MPS917509:MPX917509 MZO917509:MZT917509 NJK917509:NJP917509 NTG917509:NTL917509 ODC917509:ODH917509 OMY917509:OND917509 OWU917509:OWZ917509 PGQ917509:PGV917509 PQM917509:PQR917509 QAI917509:QAN917509 QKE917509:QKJ917509 QUA917509:QUF917509 RDW917509:REB917509 RNS917509:RNX917509 RXO917509:RXT917509 SHK917509:SHP917509 SRG917509:SRL917509 TBC917509:TBH917509 TKY917509:TLD917509 TUU917509:TUZ917509 UEQ917509:UEV917509 UOM917509:UOR917509 UYI917509:UYN917509 VIE917509:VIJ917509 VSA917509:VSF917509 WBW917509:WCB917509 WLS917509:WLX917509 WVO917509:WVT917509 G983045:L983045 JC983045:JH983045 SY983045:TD983045 ACU983045:ACZ983045 AMQ983045:AMV983045 AWM983045:AWR983045 BGI983045:BGN983045 BQE983045:BQJ983045 CAA983045:CAF983045 CJW983045:CKB983045 CTS983045:CTX983045 DDO983045:DDT983045 DNK983045:DNP983045 DXG983045:DXL983045 EHC983045:EHH983045 EQY983045:ERD983045 FAU983045:FAZ983045 FKQ983045:FKV983045 FUM983045:FUR983045 GEI983045:GEN983045 GOE983045:GOJ983045 GYA983045:GYF983045 HHW983045:HIB983045 HRS983045:HRX983045 IBO983045:IBT983045 ILK983045:ILP983045 IVG983045:IVL983045 JFC983045:JFH983045 JOY983045:JPD983045 JYU983045:JYZ983045 KIQ983045:KIV983045 KSM983045:KSR983045 LCI983045:LCN983045 LME983045:LMJ983045 LWA983045:LWF983045 MFW983045:MGB983045 MPS983045:MPX983045 MZO983045:MZT983045 NJK983045:NJP983045 NTG983045:NTL983045 ODC983045:ODH983045 OMY983045:OND983045 OWU983045:OWZ983045 PGQ983045:PGV983045 PQM983045:PQR983045 QAI983045:QAN983045 QKE983045:QKJ983045 QUA983045:QUF983045 RDW983045:REB983045 RNS983045:RNX983045 RXO983045:RXT983045 SHK983045:SHP983045 SRG983045:SRL983045 TBC983045:TBH983045 TKY983045:TLD983045 TUU983045:TUZ983045 UEQ983045:UEV983045 UOM983045:UOR983045 UYI983045:UYN983045 VIE983045:VIJ983045 VSA983045:VSF983045 WBW983045:WCB983045 WLS983045:WLX983045 WVO983045:WVT983045" xr:uid="{00000000-0002-0000-1B00-000003000000}">
      <formula1>"改修,新営"</formula1>
    </dataValidation>
    <dataValidation type="list" allowBlank="1" showInputMessage="1" showErrorMessage="1" sqref="WVM98304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xr:uid="{00000000-0002-0000-1B00-000004000000}">
      <formula1>"○,×"</formula1>
    </dataValidation>
    <dataValidation type="list" allowBlank="1" showInputMessage="1" showErrorMessage="1" sqref="WVO983049:WVT983049 JC9:JH9 SY9:TD9 ACU9:ACZ9 AMQ9:AMV9 AWM9:AWR9 BGI9:BGN9 BQE9:BQJ9 CAA9:CAF9 CJW9:CKB9 CTS9:CTX9 DDO9:DDT9 DNK9:DNP9 DXG9:DXL9 EHC9:EHH9 EQY9:ERD9 FAU9:FAZ9 FKQ9:FKV9 FUM9:FUR9 GEI9:GEN9 GOE9:GOJ9 GYA9:GYF9 HHW9:HIB9 HRS9:HRX9 IBO9:IBT9 ILK9:ILP9 IVG9:IVL9 JFC9:JFH9 JOY9:JPD9 JYU9:JYZ9 KIQ9:KIV9 KSM9:KSR9 LCI9:LCN9 LME9:LMJ9 LWA9:LWF9 MFW9:MGB9 MPS9:MPX9 MZO9:MZT9 NJK9:NJP9 NTG9:NTL9 ODC9:ODH9 OMY9:OND9 OWU9:OWZ9 PGQ9:PGV9 PQM9:PQR9 QAI9:QAN9 QKE9:QKJ9 QUA9:QUF9 RDW9:REB9 RNS9:RNX9 RXO9:RXT9 SHK9:SHP9 SRG9:SRL9 TBC9:TBH9 TKY9:TLD9 TUU9:TUZ9 UEQ9:UEV9 UOM9:UOR9 UYI9:UYN9 VIE9:VIJ9 VSA9:VSF9 WBW9:WCB9 WLS9:WLX9 WVO9:WVT9 G65545:L65545 JC65545:JH65545 SY65545:TD65545 ACU65545:ACZ65545 AMQ65545:AMV65545 AWM65545:AWR65545 BGI65545:BGN65545 BQE65545:BQJ65545 CAA65545:CAF65545 CJW65545:CKB65545 CTS65545:CTX65545 DDO65545:DDT65545 DNK65545:DNP65545 DXG65545:DXL65545 EHC65545:EHH65545 EQY65545:ERD65545 FAU65545:FAZ65545 FKQ65545:FKV65545 FUM65545:FUR65545 GEI65545:GEN65545 GOE65545:GOJ65545 GYA65545:GYF65545 HHW65545:HIB65545 HRS65545:HRX65545 IBO65545:IBT65545 ILK65545:ILP65545 IVG65545:IVL65545 JFC65545:JFH65545 JOY65545:JPD65545 JYU65545:JYZ65545 KIQ65545:KIV65545 KSM65545:KSR65545 LCI65545:LCN65545 LME65545:LMJ65545 LWA65545:LWF65545 MFW65545:MGB65545 MPS65545:MPX65545 MZO65545:MZT65545 NJK65545:NJP65545 NTG65545:NTL65545 ODC65545:ODH65545 OMY65545:OND65545 OWU65545:OWZ65545 PGQ65545:PGV65545 PQM65545:PQR65545 QAI65545:QAN65545 QKE65545:QKJ65545 QUA65545:QUF65545 RDW65545:REB65545 RNS65545:RNX65545 RXO65545:RXT65545 SHK65545:SHP65545 SRG65545:SRL65545 TBC65545:TBH65545 TKY65545:TLD65545 TUU65545:TUZ65545 UEQ65545:UEV65545 UOM65545:UOR65545 UYI65545:UYN65545 VIE65545:VIJ65545 VSA65545:VSF65545 WBW65545:WCB65545 WLS65545:WLX65545 WVO65545:WVT65545 G131081:L131081 JC131081:JH131081 SY131081:TD131081 ACU131081:ACZ131081 AMQ131081:AMV131081 AWM131081:AWR131081 BGI131081:BGN131081 BQE131081:BQJ131081 CAA131081:CAF131081 CJW131081:CKB131081 CTS131081:CTX131081 DDO131081:DDT131081 DNK131081:DNP131081 DXG131081:DXL131081 EHC131081:EHH131081 EQY131081:ERD131081 FAU131081:FAZ131081 FKQ131081:FKV131081 FUM131081:FUR131081 GEI131081:GEN131081 GOE131081:GOJ131081 GYA131081:GYF131081 HHW131081:HIB131081 HRS131081:HRX131081 IBO131081:IBT131081 ILK131081:ILP131081 IVG131081:IVL131081 JFC131081:JFH131081 JOY131081:JPD131081 JYU131081:JYZ131081 KIQ131081:KIV131081 KSM131081:KSR131081 LCI131081:LCN131081 LME131081:LMJ131081 LWA131081:LWF131081 MFW131081:MGB131081 MPS131081:MPX131081 MZO131081:MZT131081 NJK131081:NJP131081 NTG131081:NTL131081 ODC131081:ODH131081 OMY131081:OND131081 OWU131081:OWZ131081 PGQ131081:PGV131081 PQM131081:PQR131081 QAI131081:QAN131081 QKE131081:QKJ131081 QUA131081:QUF131081 RDW131081:REB131081 RNS131081:RNX131081 RXO131081:RXT131081 SHK131081:SHP131081 SRG131081:SRL131081 TBC131081:TBH131081 TKY131081:TLD131081 TUU131081:TUZ131081 UEQ131081:UEV131081 UOM131081:UOR131081 UYI131081:UYN131081 VIE131081:VIJ131081 VSA131081:VSF131081 WBW131081:WCB131081 WLS131081:WLX131081 WVO131081:WVT131081 G196617:L196617 JC196617:JH196617 SY196617:TD196617 ACU196617:ACZ196617 AMQ196617:AMV196617 AWM196617:AWR196617 BGI196617:BGN196617 BQE196617:BQJ196617 CAA196617:CAF196617 CJW196617:CKB196617 CTS196617:CTX196617 DDO196617:DDT196617 DNK196617:DNP196617 DXG196617:DXL196617 EHC196617:EHH196617 EQY196617:ERD196617 FAU196617:FAZ196617 FKQ196617:FKV196617 FUM196617:FUR196617 GEI196617:GEN196617 GOE196617:GOJ196617 GYA196617:GYF196617 HHW196617:HIB196617 HRS196617:HRX196617 IBO196617:IBT196617 ILK196617:ILP196617 IVG196617:IVL196617 JFC196617:JFH196617 JOY196617:JPD196617 JYU196617:JYZ196617 KIQ196617:KIV196617 KSM196617:KSR196617 LCI196617:LCN196617 LME196617:LMJ196617 LWA196617:LWF196617 MFW196617:MGB196617 MPS196617:MPX196617 MZO196617:MZT196617 NJK196617:NJP196617 NTG196617:NTL196617 ODC196617:ODH196617 OMY196617:OND196617 OWU196617:OWZ196617 PGQ196617:PGV196617 PQM196617:PQR196617 QAI196617:QAN196617 QKE196617:QKJ196617 QUA196617:QUF196617 RDW196617:REB196617 RNS196617:RNX196617 RXO196617:RXT196617 SHK196617:SHP196617 SRG196617:SRL196617 TBC196617:TBH196617 TKY196617:TLD196617 TUU196617:TUZ196617 UEQ196617:UEV196617 UOM196617:UOR196617 UYI196617:UYN196617 VIE196617:VIJ196617 VSA196617:VSF196617 WBW196617:WCB196617 WLS196617:WLX196617 WVO196617:WVT196617 G262153:L262153 JC262153:JH262153 SY262153:TD262153 ACU262153:ACZ262153 AMQ262153:AMV262153 AWM262153:AWR262153 BGI262153:BGN262153 BQE262153:BQJ262153 CAA262153:CAF262153 CJW262153:CKB262153 CTS262153:CTX262153 DDO262153:DDT262153 DNK262153:DNP262153 DXG262153:DXL262153 EHC262153:EHH262153 EQY262153:ERD262153 FAU262153:FAZ262153 FKQ262153:FKV262153 FUM262153:FUR262153 GEI262153:GEN262153 GOE262153:GOJ262153 GYA262153:GYF262153 HHW262153:HIB262153 HRS262153:HRX262153 IBO262153:IBT262153 ILK262153:ILP262153 IVG262153:IVL262153 JFC262153:JFH262153 JOY262153:JPD262153 JYU262153:JYZ262153 KIQ262153:KIV262153 KSM262153:KSR262153 LCI262153:LCN262153 LME262153:LMJ262153 LWA262153:LWF262153 MFW262153:MGB262153 MPS262153:MPX262153 MZO262153:MZT262153 NJK262153:NJP262153 NTG262153:NTL262153 ODC262153:ODH262153 OMY262153:OND262153 OWU262153:OWZ262153 PGQ262153:PGV262153 PQM262153:PQR262153 QAI262153:QAN262153 QKE262153:QKJ262153 QUA262153:QUF262153 RDW262153:REB262153 RNS262153:RNX262153 RXO262153:RXT262153 SHK262153:SHP262153 SRG262153:SRL262153 TBC262153:TBH262153 TKY262153:TLD262153 TUU262153:TUZ262153 UEQ262153:UEV262153 UOM262153:UOR262153 UYI262153:UYN262153 VIE262153:VIJ262153 VSA262153:VSF262153 WBW262153:WCB262153 WLS262153:WLX262153 WVO262153:WVT262153 G327689:L327689 JC327689:JH327689 SY327689:TD327689 ACU327689:ACZ327689 AMQ327689:AMV327689 AWM327689:AWR327689 BGI327689:BGN327689 BQE327689:BQJ327689 CAA327689:CAF327689 CJW327689:CKB327689 CTS327689:CTX327689 DDO327689:DDT327689 DNK327689:DNP327689 DXG327689:DXL327689 EHC327689:EHH327689 EQY327689:ERD327689 FAU327689:FAZ327689 FKQ327689:FKV327689 FUM327689:FUR327689 GEI327689:GEN327689 GOE327689:GOJ327689 GYA327689:GYF327689 HHW327689:HIB327689 HRS327689:HRX327689 IBO327689:IBT327689 ILK327689:ILP327689 IVG327689:IVL327689 JFC327689:JFH327689 JOY327689:JPD327689 JYU327689:JYZ327689 KIQ327689:KIV327689 KSM327689:KSR327689 LCI327689:LCN327689 LME327689:LMJ327689 LWA327689:LWF327689 MFW327689:MGB327689 MPS327689:MPX327689 MZO327689:MZT327689 NJK327689:NJP327689 NTG327689:NTL327689 ODC327689:ODH327689 OMY327689:OND327689 OWU327689:OWZ327689 PGQ327689:PGV327689 PQM327689:PQR327689 QAI327689:QAN327689 QKE327689:QKJ327689 QUA327689:QUF327689 RDW327689:REB327689 RNS327689:RNX327689 RXO327689:RXT327689 SHK327689:SHP327689 SRG327689:SRL327689 TBC327689:TBH327689 TKY327689:TLD327689 TUU327689:TUZ327689 UEQ327689:UEV327689 UOM327689:UOR327689 UYI327689:UYN327689 VIE327689:VIJ327689 VSA327689:VSF327689 WBW327689:WCB327689 WLS327689:WLX327689 WVO327689:WVT327689 G393225:L393225 JC393225:JH393225 SY393225:TD393225 ACU393225:ACZ393225 AMQ393225:AMV393225 AWM393225:AWR393225 BGI393225:BGN393225 BQE393225:BQJ393225 CAA393225:CAF393225 CJW393225:CKB393225 CTS393225:CTX393225 DDO393225:DDT393225 DNK393225:DNP393225 DXG393225:DXL393225 EHC393225:EHH393225 EQY393225:ERD393225 FAU393225:FAZ393225 FKQ393225:FKV393225 FUM393225:FUR393225 GEI393225:GEN393225 GOE393225:GOJ393225 GYA393225:GYF393225 HHW393225:HIB393225 HRS393225:HRX393225 IBO393225:IBT393225 ILK393225:ILP393225 IVG393225:IVL393225 JFC393225:JFH393225 JOY393225:JPD393225 JYU393225:JYZ393225 KIQ393225:KIV393225 KSM393225:KSR393225 LCI393225:LCN393225 LME393225:LMJ393225 LWA393225:LWF393225 MFW393225:MGB393225 MPS393225:MPX393225 MZO393225:MZT393225 NJK393225:NJP393225 NTG393225:NTL393225 ODC393225:ODH393225 OMY393225:OND393225 OWU393225:OWZ393225 PGQ393225:PGV393225 PQM393225:PQR393225 QAI393225:QAN393225 QKE393225:QKJ393225 QUA393225:QUF393225 RDW393225:REB393225 RNS393225:RNX393225 RXO393225:RXT393225 SHK393225:SHP393225 SRG393225:SRL393225 TBC393225:TBH393225 TKY393225:TLD393225 TUU393225:TUZ393225 UEQ393225:UEV393225 UOM393225:UOR393225 UYI393225:UYN393225 VIE393225:VIJ393225 VSA393225:VSF393225 WBW393225:WCB393225 WLS393225:WLX393225 WVO393225:WVT393225 G458761:L458761 JC458761:JH458761 SY458761:TD458761 ACU458761:ACZ458761 AMQ458761:AMV458761 AWM458761:AWR458761 BGI458761:BGN458761 BQE458761:BQJ458761 CAA458761:CAF458761 CJW458761:CKB458761 CTS458761:CTX458761 DDO458761:DDT458761 DNK458761:DNP458761 DXG458761:DXL458761 EHC458761:EHH458761 EQY458761:ERD458761 FAU458761:FAZ458761 FKQ458761:FKV458761 FUM458761:FUR458761 GEI458761:GEN458761 GOE458761:GOJ458761 GYA458761:GYF458761 HHW458761:HIB458761 HRS458761:HRX458761 IBO458761:IBT458761 ILK458761:ILP458761 IVG458761:IVL458761 JFC458761:JFH458761 JOY458761:JPD458761 JYU458761:JYZ458761 KIQ458761:KIV458761 KSM458761:KSR458761 LCI458761:LCN458761 LME458761:LMJ458761 LWA458761:LWF458761 MFW458761:MGB458761 MPS458761:MPX458761 MZO458761:MZT458761 NJK458761:NJP458761 NTG458761:NTL458761 ODC458761:ODH458761 OMY458761:OND458761 OWU458761:OWZ458761 PGQ458761:PGV458761 PQM458761:PQR458761 QAI458761:QAN458761 QKE458761:QKJ458761 QUA458761:QUF458761 RDW458761:REB458761 RNS458761:RNX458761 RXO458761:RXT458761 SHK458761:SHP458761 SRG458761:SRL458761 TBC458761:TBH458761 TKY458761:TLD458761 TUU458761:TUZ458761 UEQ458761:UEV458761 UOM458761:UOR458761 UYI458761:UYN458761 VIE458761:VIJ458761 VSA458761:VSF458761 WBW458761:WCB458761 WLS458761:WLX458761 WVO458761:WVT458761 G524297:L524297 JC524297:JH524297 SY524297:TD524297 ACU524297:ACZ524297 AMQ524297:AMV524297 AWM524297:AWR524297 BGI524297:BGN524297 BQE524297:BQJ524297 CAA524297:CAF524297 CJW524297:CKB524297 CTS524297:CTX524297 DDO524297:DDT524297 DNK524297:DNP524297 DXG524297:DXL524297 EHC524297:EHH524297 EQY524297:ERD524297 FAU524297:FAZ524297 FKQ524297:FKV524297 FUM524297:FUR524297 GEI524297:GEN524297 GOE524297:GOJ524297 GYA524297:GYF524297 HHW524297:HIB524297 HRS524297:HRX524297 IBO524297:IBT524297 ILK524297:ILP524297 IVG524297:IVL524297 JFC524297:JFH524297 JOY524297:JPD524297 JYU524297:JYZ524297 KIQ524297:KIV524297 KSM524297:KSR524297 LCI524297:LCN524297 LME524297:LMJ524297 LWA524297:LWF524297 MFW524297:MGB524297 MPS524297:MPX524297 MZO524297:MZT524297 NJK524297:NJP524297 NTG524297:NTL524297 ODC524297:ODH524297 OMY524297:OND524297 OWU524297:OWZ524297 PGQ524297:PGV524297 PQM524297:PQR524297 QAI524297:QAN524297 QKE524297:QKJ524297 QUA524297:QUF524297 RDW524297:REB524297 RNS524297:RNX524297 RXO524297:RXT524297 SHK524297:SHP524297 SRG524297:SRL524297 TBC524297:TBH524297 TKY524297:TLD524297 TUU524297:TUZ524297 UEQ524297:UEV524297 UOM524297:UOR524297 UYI524297:UYN524297 VIE524297:VIJ524297 VSA524297:VSF524297 WBW524297:WCB524297 WLS524297:WLX524297 WVO524297:WVT524297 G589833:L589833 JC589833:JH589833 SY589833:TD589833 ACU589833:ACZ589833 AMQ589833:AMV589833 AWM589833:AWR589833 BGI589833:BGN589833 BQE589833:BQJ589833 CAA589833:CAF589833 CJW589833:CKB589833 CTS589833:CTX589833 DDO589833:DDT589833 DNK589833:DNP589833 DXG589833:DXL589833 EHC589833:EHH589833 EQY589833:ERD589833 FAU589833:FAZ589833 FKQ589833:FKV589833 FUM589833:FUR589833 GEI589833:GEN589833 GOE589833:GOJ589833 GYA589833:GYF589833 HHW589833:HIB589833 HRS589833:HRX589833 IBO589833:IBT589833 ILK589833:ILP589833 IVG589833:IVL589833 JFC589833:JFH589833 JOY589833:JPD589833 JYU589833:JYZ589833 KIQ589833:KIV589833 KSM589833:KSR589833 LCI589833:LCN589833 LME589833:LMJ589833 LWA589833:LWF589833 MFW589833:MGB589833 MPS589833:MPX589833 MZO589833:MZT589833 NJK589833:NJP589833 NTG589833:NTL589833 ODC589833:ODH589833 OMY589833:OND589833 OWU589833:OWZ589833 PGQ589833:PGV589833 PQM589833:PQR589833 QAI589833:QAN589833 QKE589833:QKJ589833 QUA589833:QUF589833 RDW589833:REB589833 RNS589833:RNX589833 RXO589833:RXT589833 SHK589833:SHP589833 SRG589833:SRL589833 TBC589833:TBH589833 TKY589833:TLD589833 TUU589833:TUZ589833 UEQ589833:UEV589833 UOM589833:UOR589833 UYI589833:UYN589833 VIE589833:VIJ589833 VSA589833:VSF589833 WBW589833:WCB589833 WLS589833:WLX589833 WVO589833:WVT589833 G655369:L655369 JC655369:JH655369 SY655369:TD655369 ACU655369:ACZ655369 AMQ655369:AMV655369 AWM655369:AWR655369 BGI655369:BGN655369 BQE655369:BQJ655369 CAA655369:CAF655369 CJW655369:CKB655369 CTS655369:CTX655369 DDO655369:DDT655369 DNK655369:DNP655369 DXG655369:DXL655369 EHC655369:EHH655369 EQY655369:ERD655369 FAU655369:FAZ655369 FKQ655369:FKV655369 FUM655369:FUR655369 GEI655369:GEN655369 GOE655369:GOJ655369 GYA655369:GYF655369 HHW655369:HIB655369 HRS655369:HRX655369 IBO655369:IBT655369 ILK655369:ILP655369 IVG655369:IVL655369 JFC655369:JFH655369 JOY655369:JPD655369 JYU655369:JYZ655369 KIQ655369:KIV655369 KSM655369:KSR655369 LCI655369:LCN655369 LME655369:LMJ655369 LWA655369:LWF655369 MFW655369:MGB655369 MPS655369:MPX655369 MZO655369:MZT655369 NJK655369:NJP655369 NTG655369:NTL655369 ODC655369:ODH655369 OMY655369:OND655369 OWU655369:OWZ655369 PGQ655369:PGV655369 PQM655369:PQR655369 QAI655369:QAN655369 QKE655369:QKJ655369 QUA655369:QUF655369 RDW655369:REB655369 RNS655369:RNX655369 RXO655369:RXT655369 SHK655369:SHP655369 SRG655369:SRL655369 TBC655369:TBH655369 TKY655369:TLD655369 TUU655369:TUZ655369 UEQ655369:UEV655369 UOM655369:UOR655369 UYI655369:UYN655369 VIE655369:VIJ655369 VSA655369:VSF655369 WBW655369:WCB655369 WLS655369:WLX655369 WVO655369:WVT655369 G720905:L720905 JC720905:JH720905 SY720905:TD720905 ACU720905:ACZ720905 AMQ720905:AMV720905 AWM720905:AWR720905 BGI720905:BGN720905 BQE720905:BQJ720905 CAA720905:CAF720905 CJW720905:CKB720905 CTS720905:CTX720905 DDO720905:DDT720905 DNK720905:DNP720905 DXG720905:DXL720905 EHC720905:EHH720905 EQY720905:ERD720905 FAU720905:FAZ720905 FKQ720905:FKV720905 FUM720905:FUR720905 GEI720905:GEN720905 GOE720905:GOJ720905 GYA720905:GYF720905 HHW720905:HIB720905 HRS720905:HRX720905 IBO720905:IBT720905 ILK720905:ILP720905 IVG720905:IVL720905 JFC720905:JFH720905 JOY720905:JPD720905 JYU720905:JYZ720905 KIQ720905:KIV720905 KSM720905:KSR720905 LCI720905:LCN720905 LME720905:LMJ720905 LWA720905:LWF720905 MFW720905:MGB720905 MPS720905:MPX720905 MZO720905:MZT720905 NJK720905:NJP720905 NTG720905:NTL720905 ODC720905:ODH720905 OMY720905:OND720905 OWU720905:OWZ720905 PGQ720905:PGV720905 PQM720905:PQR720905 QAI720905:QAN720905 QKE720905:QKJ720905 QUA720905:QUF720905 RDW720905:REB720905 RNS720905:RNX720905 RXO720905:RXT720905 SHK720905:SHP720905 SRG720905:SRL720905 TBC720905:TBH720905 TKY720905:TLD720905 TUU720905:TUZ720905 UEQ720905:UEV720905 UOM720905:UOR720905 UYI720905:UYN720905 VIE720905:VIJ720905 VSA720905:VSF720905 WBW720905:WCB720905 WLS720905:WLX720905 WVO720905:WVT720905 G786441:L786441 JC786441:JH786441 SY786441:TD786441 ACU786441:ACZ786441 AMQ786441:AMV786441 AWM786441:AWR786441 BGI786441:BGN786441 BQE786441:BQJ786441 CAA786441:CAF786441 CJW786441:CKB786441 CTS786441:CTX786441 DDO786441:DDT786441 DNK786441:DNP786441 DXG786441:DXL786441 EHC786441:EHH786441 EQY786441:ERD786441 FAU786441:FAZ786441 FKQ786441:FKV786441 FUM786441:FUR786441 GEI786441:GEN786441 GOE786441:GOJ786441 GYA786441:GYF786441 HHW786441:HIB786441 HRS786441:HRX786441 IBO786441:IBT786441 ILK786441:ILP786441 IVG786441:IVL786441 JFC786441:JFH786441 JOY786441:JPD786441 JYU786441:JYZ786441 KIQ786441:KIV786441 KSM786441:KSR786441 LCI786441:LCN786441 LME786441:LMJ786441 LWA786441:LWF786441 MFW786441:MGB786441 MPS786441:MPX786441 MZO786441:MZT786441 NJK786441:NJP786441 NTG786441:NTL786441 ODC786441:ODH786441 OMY786441:OND786441 OWU786441:OWZ786441 PGQ786441:PGV786441 PQM786441:PQR786441 QAI786441:QAN786441 QKE786441:QKJ786441 QUA786441:QUF786441 RDW786441:REB786441 RNS786441:RNX786441 RXO786441:RXT786441 SHK786441:SHP786441 SRG786441:SRL786441 TBC786441:TBH786441 TKY786441:TLD786441 TUU786441:TUZ786441 UEQ786441:UEV786441 UOM786441:UOR786441 UYI786441:UYN786441 VIE786441:VIJ786441 VSA786441:VSF786441 WBW786441:WCB786441 WLS786441:WLX786441 WVO786441:WVT786441 G851977:L851977 JC851977:JH851977 SY851977:TD851977 ACU851977:ACZ851977 AMQ851977:AMV851977 AWM851977:AWR851977 BGI851977:BGN851977 BQE851977:BQJ851977 CAA851977:CAF851977 CJW851977:CKB851977 CTS851977:CTX851977 DDO851977:DDT851977 DNK851977:DNP851977 DXG851977:DXL851977 EHC851977:EHH851977 EQY851977:ERD851977 FAU851977:FAZ851977 FKQ851977:FKV851977 FUM851977:FUR851977 GEI851977:GEN851977 GOE851977:GOJ851977 GYA851977:GYF851977 HHW851977:HIB851977 HRS851977:HRX851977 IBO851977:IBT851977 ILK851977:ILP851977 IVG851977:IVL851977 JFC851977:JFH851977 JOY851977:JPD851977 JYU851977:JYZ851977 KIQ851977:KIV851977 KSM851977:KSR851977 LCI851977:LCN851977 LME851977:LMJ851977 LWA851977:LWF851977 MFW851977:MGB851977 MPS851977:MPX851977 MZO851977:MZT851977 NJK851977:NJP851977 NTG851977:NTL851977 ODC851977:ODH851977 OMY851977:OND851977 OWU851977:OWZ851977 PGQ851977:PGV851977 PQM851977:PQR851977 QAI851977:QAN851977 QKE851977:QKJ851977 QUA851977:QUF851977 RDW851977:REB851977 RNS851977:RNX851977 RXO851977:RXT851977 SHK851977:SHP851977 SRG851977:SRL851977 TBC851977:TBH851977 TKY851977:TLD851977 TUU851977:TUZ851977 UEQ851977:UEV851977 UOM851977:UOR851977 UYI851977:UYN851977 VIE851977:VIJ851977 VSA851977:VSF851977 WBW851977:WCB851977 WLS851977:WLX851977 WVO851977:WVT851977 G917513:L917513 JC917513:JH917513 SY917513:TD917513 ACU917513:ACZ917513 AMQ917513:AMV917513 AWM917513:AWR917513 BGI917513:BGN917513 BQE917513:BQJ917513 CAA917513:CAF917513 CJW917513:CKB917513 CTS917513:CTX917513 DDO917513:DDT917513 DNK917513:DNP917513 DXG917513:DXL917513 EHC917513:EHH917513 EQY917513:ERD917513 FAU917513:FAZ917513 FKQ917513:FKV917513 FUM917513:FUR917513 GEI917513:GEN917513 GOE917513:GOJ917513 GYA917513:GYF917513 HHW917513:HIB917513 HRS917513:HRX917513 IBO917513:IBT917513 ILK917513:ILP917513 IVG917513:IVL917513 JFC917513:JFH917513 JOY917513:JPD917513 JYU917513:JYZ917513 KIQ917513:KIV917513 KSM917513:KSR917513 LCI917513:LCN917513 LME917513:LMJ917513 LWA917513:LWF917513 MFW917513:MGB917513 MPS917513:MPX917513 MZO917513:MZT917513 NJK917513:NJP917513 NTG917513:NTL917513 ODC917513:ODH917513 OMY917513:OND917513 OWU917513:OWZ917513 PGQ917513:PGV917513 PQM917513:PQR917513 QAI917513:QAN917513 QKE917513:QKJ917513 QUA917513:QUF917513 RDW917513:REB917513 RNS917513:RNX917513 RXO917513:RXT917513 SHK917513:SHP917513 SRG917513:SRL917513 TBC917513:TBH917513 TKY917513:TLD917513 TUU917513:TUZ917513 UEQ917513:UEV917513 UOM917513:UOR917513 UYI917513:UYN917513 VIE917513:VIJ917513 VSA917513:VSF917513 WBW917513:WCB917513 WLS917513:WLX917513 WVO917513:WVT917513 G983049:L983049 JC983049:JH983049 SY983049:TD983049 ACU983049:ACZ983049 AMQ983049:AMV983049 AWM983049:AWR983049 BGI983049:BGN983049 BQE983049:BQJ983049 CAA983049:CAF983049 CJW983049:CKB983049 CTS983049:CTX983049 DDO983049:DDT983049 DNK983049:DNP983049 DXG983049:DXL983049 EHC983049:EHH983049 EQY983049:ERD983049 FAU983049:FAZ983049 FKQ983049:FKV983049 FUM983049:FUR983049 GEI983049:GEN983049 GOE983049:GOJ983049 GYA983049:GYF983049 HHW983049:HIB983049 HRS983049:HRX983049 IBO983049:IBT983049 ILK983049:ILP983049 IVG983049:IVL983049 JFC983049:JFH983049 JOY983049:JPD983049 JYU983049:JYZ983049 KIQ983049:KIV983049 KSM983049:KSR983049 LCI983049:LCN983049 LME983049:LMJ983049 LWA983049:LWF983049 MFW983049:MGB983049 MPS983049:MPX983049 MZO983049:MZT983049 NJK983049:NJP983049 NTG983049:NTL983049 ODC983049:ODH983049 OMY983049:OND983049 OWU983049:OWZ983049 PGQ983049:PGV983049 PQM983049:PQR983049 QAI983049:QAN983049 QKE983049:QKJ983049 QUA983049:QUF983049 RDW983049:REB983049 RNS983049:RNX983049 RXO983049:RXT983049 SHK983049:SHP983049 SRG983049:SRL983049 TBC983049:TBH983049 TKY983049:TLD983049 TUU983049:TUZ983049 UEQ983049:UEV983049 UOM983049:UOR983049 UYI983049:UYN983049 VIE983049:VIJ983049 VSA983049:VSF983049 WBW983049:WCB983049 WLS983049:WLX983049" xr:uid="{00000000-0002-0000-1B00-000005000000}">
      <formula1>"　　　,有り"</formula1>
    </dataValidation>
  </dataValidations>
  <pageMargins left="0.78700000000000003" right="0.78700000000000003" top="0.98399999999999999" bottom="0.98399999999999999" header="0.51200000000000001" footer="0.51200000000000001"/>
  <pageSetup paperSize="9" scale="64" orientation="landscape" r:id="rId1"/>
  <headerFooter alignWithMargins="0"/>
  <rowBreaks count="3" manualBreakCount="3">
    <brk id="58" max="11" man="1"/>
    <brk id="89" max="11" man="1"/>
    <brk id="135" max="11" man="1"/>
  </rowBreak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510"/>
  <sheetViews>
    <sheetView view="pageBreakPreview" zoomScaleNormal="100" zoomScaleSheetLayoutView="100" workbookViewId="0"/>
  </sheetViews>
  <sheetFormatPr defaultColWidth="9" defaultRowHeight="13.5" customHeight="1"/>
  <cols>
    <col min="1" max="1" width="2.5" style="654" customWidth="1"/>
    <col min="2" max="2" width="3.5" style="654" customWidth="1"/>
    <col min="3" max="3" width="21.5" style="654" customWidth="1"/>
    <col min="4" max="4" width="4" style="654" customWidth="1"/>
    <col min="5" max="5" width="5.375" style="654" customWidth="1"/>
    <col min="6" max="6" width="15.125" style="654" customWidth="1"/>
    <col min="7" max="14" width="14.125" style="1046" customWidth="1"/>
    <col min="15" max="16384" width="9" style="654"/>
  </cols>
  <sheetData>
    <row r="1" spans="1:39" s="1122" customFormat="1">
      <c r="A1" s="1114"/>
      <c r="B1" s="1114"/>
      <c r="C1" s="1115"/>
      <c r="D1" s="1115"/>
      <c r="E1" s="1597" t="s">
        <v>242</v>
      </c>
      <c r="F1" s="2843"/>
      <c r="G1" s="2843"/>
      <c r="H1" s="2843"/>
      <c r="I1" s="2843"/>
      <c r="J1" s="2843"/>
      <c r="K1" s="2843"/>
      <c r="L1" s="1121"/>
      <c r="M1" s="652">
        <v>20160511</v>
      </c>
      <c r="N1" s="1598" t="s">
        <v>3939</v>
      </c>
    </row>
    <row r="2" spans="1:39" s="1122" customFormat="1" ht="13.5" customHeight="1">
      <c r="A2" s="1114"/>
      <c r="B2" s="1114"/>
      <c r="C2" s="2844" t="s">
        <v>4749</v>
      </c>
      <c r="D2" s="2844"/>
      <c r="E2" s="2844"/>
      <c r="F2" s="1114"/>
      <c r="G2" s="1599">
        <v>1</v>
      </c>
      <c r="H2" s="1119"/>
      <c r="K2" s="1119"/>
      <c r="L2" s="1119"/>
      <c r="M2" s="1114"/>
      <c r="N2" s="1119" t="s">
        <v>4750</v>
      </c>
    </row>
    <row r="3" spans="1:39" s="1122" customFormat="1" ht="12">
      <c r="A3" s="1385"/>
      <c r="B3" s="1386"/>
      <c r="C3" s="1600"/>
      <c r="D3" s="1601"/>
      <c r="E3" s="1602"/>
      <c r="F3" s="1145" t="s">
        <v>3979</v>
      </c>
      <c r="G3" s="1603">
        <f>G87</f>
        <v>0</v>
      </c>
      <c r="H3" s="1603">
        <f t="shared" ref="H3:N3" si="0">H87</f>
        <v>0</v>
      </c>
      <c r="I3" s="1603">
        <f t="shared" si="0"/>
        <v>0</v>
      </c>
      <c r="J3" s="1603">
        <f t="shared" si="0"/>
        <v>0</v>
      </c>
      <c r="K3" s="1603">
        <f t="shared" si="0"/>
        <v>0</v>
      </c>
      <c r="L3" s="1603">
        <f t="shared" si="0"/>
        <v>0</v>
      </c>
      <c r="M3" s="1603">
        <f t="shared" si="0"/>
        <v>0</v>
      </c>
      <c r="N3" s="1603">
        <f t="shared" si="0"/>
        <v>0</v>
      </c>
    </row>
    <row r="4" spans="1:39" s="1122" customFormat="1" ht="13.5" customHeight="1">
      <c r="A4" s="1385"/>
      <c r="B4" s="2845" t="s">
        <v>4751</v>
      </c>
      <c r="C4" s="2845"/>
      <c r="D4" s="2845"/>
      <c r="E4" s="1602"/>
      <c r="F4" s="1604">
        <f>SUM(G4:N4)</f>
        <v>0</v>
      </c>
      <c r="G4" s="1605">
        <f>G81</f>
        <v>0</v>
      </c>
      <c r="H4" s="1606">
        <f t="shared" ref="H4:N4" si="1">H81</f>
        <v>0</v>
      </c>
      <c r="I4" s="1606">
        <f t="shared" si="1"/>
        <v>0</v>
      </c>
      <c r="J4" s="1606">
        <f t="shared" si="1"/>
        <v>0</v>
      </c>
      <c r="K4" s="1606">
        <f t="shared" si="1"/>
        <v>0</v>
      </c>
      <c r="L4" s="1606">
        <f t="shared" si="1"/>
        <v>0</v>
      </c>
      <c r="M4" s="1604">
        <f t="shared" si="1"/>
        <v>0</v>
      </c>
      <c r="N4" s="1607">
        <f t="shared" si="1"/>
        <v>0</v>
      </c>
    </row>
    <row r="5" spans="1:39" s="1122" customFormat="1" ht="13.5" customHeight="1">
      <c r="A5" s="1515"/>
      <c r="B5" s="2846" t="s">
        <v>4752</v>
      </c>
      <c r="C5" s="2846"/>
      <c r="D5" s="2846"/>
      <c r="E5" s="1608"/>
      <c r="F5" s="1609" t="e">
        <f>SUM(G5:N5)</f>
        <v>#DIV/0!</v>
      </c>
      <c r="G5" s="1610" t="e">
        <f>G65+G74</f>
        <v>#DIV/0!</v>
      </c>
      <c r="H5" s="1610" t="e">
        <f t="shared" ref="H5:N5" si="2">H65+H74</f>
        <v>#DIV/0!</v>
      </c>
      <c r="I5" s="1610" t="e">
        <f t="shared" si="2"/>
        <v>#DIV/0!</v>
      </c>
      <c r="J5" s="1610" t="e">
        <f t="shared" si="2"/>
        <v>#DIV/0!</v>
      </c>
      <c r="K5" s="1610" t="e">
        <f t="shared" si="2"/>
        <v>#DIV/0!</v>
      </c>
      <c r="L5" s="1610" t="e">
        <f t="shared" si="2"/>
        <v>#DIV/0!</v>
      </c>
      <c r="M5" s="1610" t="e">
        <f t="shared" si="2"/>
        <v>#DIV/0!</v>
      </c>
      <c r="N5" s="1611" t="e">
        <f t="shared" si="2"/>
        <v>#DIV/0!</v>
      </c>
    </row>
    <row r="6" spans="1:39" s="1122" customFormat="1" ht="13.5" customHeight="1">
      <c r="A6" s="1612"/>
      <c r="B6" s="2847" t="s">
        <v>255</v>
      </c>
      <c r="C6" s="2847"/>
      <c r="D6" s="2847"/>
      <c r="E6" s="1613"/>
      <c r="F6" s="1614" t="e">
        <f>SUM(G6:N6)</f>
        <v>#DIV/0!</v>
      </c>
      <c r="G6" s="1615" t="e">
        <f t="shared" ref="G6:N6" si="3">SUM(G3:G5)</f>
        <v>#DIV/0!</v>
      </c>
      <c r="H6" s="1615" t="e">
        <f t="shared" si="3"/>
        <v>#DIV/0!</v>
      </c>
      <c r="I6" s="1615" t="e">
        <f t="shared" si="3"/>
        <v>#DIV/0!</v>
      </c>
      <c r="J6" s="1615" t="e">
        <f t="shared" si="3"/>
        <v>#DIV/0!</v>
      </c>
      <c r="K6" s="1615" t="e">
        <f t="shared" si="3"/>
        <v>#DIV/0!</v>
      </c>
      <c r="L6" s="1615" t="e">
        <f t="shared" si="3"/>
        <v>#DIV/0!</v>
      </c>
      <c r="M6" s="1615" t="e">
        <f t="shared" si="3"/>
        <v>#DIV/0!</v>
      </c>
      <c r="N6" s="1616" t="e">
        <f t="shared" si="3"/>
        <v>#DIV/0!</v>
      </c>
    </row>
    <row r="7" spans="1:39" s="1122" customFormat="1">
      <c r="A7" s="1515"/>
      <c r="B7" s="1114"/>
      <c r="C7" s="1617"/>
      <c r="D7" s="1618"/>
      <c r="E7" s="1619"/>
      <c r="F7" s="1115"/>
      <c r="G7" s="1620" t="s">
        <v>4753</v>
      </c>
      <c r="H7" s="1621"/>
      <c r="I7" s="1621"/>
      <c r="J7" s="1621"/>
      <c r="K7" s="1119" t="s">
        <v>4754</v>
      </c>
      <c r="L7" s="1119"/>
      <c r="M7" s="1119"/>
      <c r="N7" s="1622"/>
    </row>
    <row r="8" spans="1:39" s="1625" customFormat="1" ht="13.5" customHeight="1">
      <c r="A8" s="884"/>
      <c r="B8" s="885"/>
      <c r="C8" s="662" t="s">
        <v>3941</v>
      </c>
      <c r="D8" s="663"/>
      <c r="E8" s="664"/>
      <c r="F8" s="665" t="s">
        <v>4755</v>
      </c>
      <c r="G8" s="1623">
        <f>G85</f>
        <v>0</v>
      </c>
      <c r="H8" s="1623">
        <f>H85</f>
        <v>0</v>
      </c>
      <c r="I8" s="1623">
        <v>15.9</v>
      </c>
      <c r="J8" s="1623">
        <v>15.9</v>
      </c>
      <c r="K8" s="1623">
        <f>K85</f>
        <v>0</v>
      </c>
      <c r="L8" s="1623">
        <f>L85</f>
        <v>0</v>
      </c>
      <c r="M8" s="1623">
        <f>M85</f>
        <v>0</v>
      </c>
      <c r="N8" s="1624">
        <f>N85</f>
        <v>0</v>
      </c>
    </row>
    <row r="9" spans="1:39" s="1625" customFormat="1" ht="13.5" customHeight="1">
      <c r="A9" s="753"/>
      <c r="B9" s="754"/>
      <c r="C9" s="2496" t="s">
        <v>3943</v>
      </c>
      <c r="D9" s="2497"/>
      <c r="E9" s="1626"/>
      <c r="F9" s="1627" t="s">
        <v>4755</v>
      </c>
      <c r="G9" s="1628" t="str">
        <f>IF(G86="","",G86)</f>
        <v/>
      </c>
      <c r="H9" s="1628" t="str">
        <f t="shared" ref="H9:N9" si="4">IF(H86="","",H86)</f>
        <v/>
      </c>
      <c r="I9" s="1628" t="str">
        <f t="shared" si="4"/>
        <v/>
      </c>
      <c r="J9" s="1628" t="str">
        <f t="shared" si="4"/>
        <v/>
      </c>
      <c r="K9" s="1628" t="str">
        <f t="shared" si="4"/>
        <v/>
      </c>
      <c r="L9" s="1628" t="str">
        <f t="shared" si="4"/>
        <v/>
      </c>
      <c r="M9" s="1628" t="str">
        <f t="shared" si="4"/>
        <v/>
      </c>
      <c r="N9" s="1629" t="str">
        <f t="shared" si="4"/>
        <v/>
      </c>
    </row>
    <row r="10" spans="1:39" s="759" customFormat="1" ht="13.5" hidden="1" customHeight="1">
      <c r="A10" s="753"/>
      <c r="B10" s="754"/>
      <c r="C10" s="1630" t="s">
        <v>3950</v>
      </c>
      <c r="D10" s="1631"/>
      <c r="E10" s="1632"/>
      <c r="F10" s="1633"/>
      <c r="G10" s="1634" t="str">
        <f>G89</f>
        <v>積上げ</v>
      </c>
      <c r="H10" s="1634" t="str">
        <f t="shared" ref="H10:N10" si="5">H89</f>
        <v>積上げ</v>
      </c>
      <c r="I10" s="1634" t="str">
        <f t="shared" si="5"/>
        <v>積上げ</v>
      </c>
      <c r="J10" s="1634" t="str">
        <f t="shared" si="5"/>
        <v>積上げ</v>
      </c>
      <c r="K10" s="1634" t="str">
        <f t="shared" si="5"/>
        <v>積上げ</v>
      </c>
      <c r="L10" s="1634" t="str">
        <f t="shared" si="5"/>
        <v>積上げ</v>
      </c>
      <c r="M10" s="1634">
        <f t="shared" si="5"/>
        <v>0</v>
      </c>
      <c r="N10" s="1635">
        <f t="shared" si="5"/>
        <v>0</v>
      </c>
    </row>
    <row r="11" spans="1:39" s="759" customFormat="1" ht="13.5" hidden="1" customHeight="1">
      <c r="A11" s="1636"/>
      <c r="B11" s="1637"/>
      <c r="C11" s="1638" t="s">
        <v>4756</v>
      </c>
      <c r="D11" s="1639"/>
      <c r="E11" s="1640"/>
      <c r="F11" s="1040"/>
      <c r="G11" s="1641" t="s">
        <v>4757</v>
      </c>
      <c r="H11" s="1641" t="s">
        <v>4757</v>
      </c>
      <c r="I11" s="1641" t="s">
        <v>4757</v>
      </c>
      <c r="J11" s="1641" t="s">
        <v>4757</v>
      </c>
      <c r="K11" s="1641" t="s">
        <v>4757</v>
      </c>
      <c r="L11" s="1641" t="s">
        <v>4757</v>
      </c>
      <c r="M11" s="1641" t="s">
        <v>4757</v>
      </c>
      <c r="N11" s="1642" t="s">
        <v>4757</v>
      </c>
    </row>
    <row r="12" spans="1:39" s="759" customFormat="1" ht="13.5" customHeight="1">
      <c r="A12" s="884"/>
      <c r="B12" s="1643" t="s">
        <v>3955</v>
      </c>
      <c r="C12" s="1644"/>
      <c r="D12" s="1644"/>
      <c r="E12" s="1645"/>
      <c r="F12" s="1646">
        <f>SUM(G12:N12)</f>
        <v>0</v>
      </c>
      <c r="G12" s="1647">
        <f>+G13+G14</f>
        <v>0</v>
      </c>
      <c r="H12" s="1647">
        <f t="shared" ref="H12:N12" si="6">+H13+H14</f>
        <v>0</v>
      </c>
      <c r="I12" s="1647">
        <f t="shared" si="6"/>
        <v>0</v>
      </c>
      <c r="J12" s="1647">
        <f t="shared" si="6"/>
        <v>0</v>
      </c>
      <c r="K12" s="1647">
        <f t="shared" si="6"/>
        <v>0</v>
      </c>
      <c r="L12" s="1647">
        <f t="shared" si="6"/>
        <v>0</v>
      </c>
      <c r="M12" s="1647">
        <f t="shared" si="6"/>
        <v>0</v>
      </c>
      <c r="N12" s="1648">
        <f t="shared" si="6"/>
        <v>0</v>
      </c>
    </row>
    <row r="13" spans="1:39" s="759" customFormat="1" ht="13.5" customHeight="1">
      <c r="A13" s="753"/>
      <c r="B13" s="754"/>
      <c r="C13" s="580" t="s">
        <v>3956</v>
      </c>
      <c r="D13" s="581"/>
      <c r="E13" s="664"/>
      <c r="F13" s="995">
        <f>SUM(G13:N13)</f>
        <v>0</v>
      </c>
      <c r="G13" s="1649"/>
      <c r="H13" s="1649"/>
      <c r="I13" s="1649"/>
      <c r="J13" s="1649"/>
      <c r="K13" s="1649"/>
      <c r="L13" s="1649"/>
      <c r="M13" s="1649"/>
      <c r="N13" s="1650"/>
    </row>
    <row r="14" spans="1:39" s="759" customFormat="1" ht="12">
      <c r="A14" s="753"/>
      <c r="B14" s="754"/>
      <c r="C14" s="755" t="s">
        <v>3960</v>
      </c>
      <c r="D14" s="755"/>
      <c r="E14" s="756"/>
      <c r="F14" s="757">
        <f>SUM(G14:N14)</f>
        <v>0</v>
      </c>
      <c r="G14" s="793">
        <f>G20+G21</f>
        <v>0</v>
      </c>
      <c r="H14" s="793">
        <f t="shared" ref="H14:N14" si="7">H20+H21</f>
        <v>0</v>
      </c>
      <c r="I14" s="793">
        <f t="shared" si="7"/>
        <v>0</v>
      </c>
      <c r="J14" s="793">
        <f t="shared" si="7"/>
        <v>0</v>
      </c>
      <c r="K14" s="793">
        <f t="shared" si="7"/>
        <v>0</v>
      </c>
      <c r="L14" s="793">
        <f t="shared" si="7"/>
        <v>0</v>
      </c>
      <c r="M14" s="793">
        <f t="shared" si="7"/>
        <v>0</v>
      </c>
      <c r="N14" s="794">
        <f t="shared" si="7"/>
        <v>0</v>
      </c>
    </row>
    <row r="15" spans="1:39" s="759" customFormat="1" ht="13.5" customHeight="1">
      <c r="A15" s="753"/>
      <c r="B15" s="754"/>
      <c r="C15" s="1651" t="s">
        <v>3961</v>
      </c>
      <c r="D15" s="755"/>
      <c r="E15" s="756"/>
      <c r="F15" s="757">
        <f>SUM(G15:N15)</f>
        <v>0</v>
      </c>
      <c r="G15" s="793">
        <f>G389-G174</f>
        <v>0</v>
      </c>
      <c r="H15" s="793">
        <f t="shared" ref="H15:N15" si="8">H389-H174</f>
        <v>0</v>
      </c>
      <c r="I15" s="793">
        <f t="shared" si="8"/>
        <v>0</v>
      </c>
      <c r="J15" s="793">
        <f t="shared" si="8"/>
        <v>0</v>
      </c>
      <c r="K15" s="793">
        <f t="shared" si="8"/>
        <v>0</v>
      </c>
      <c r="L15" s="793">
        <f t="shared" si="8"/>
        <v>0</v>
      </c>
      <c r="M15" s="793">
        <f t="shared" si="8"/>
        <v>0</v>
      </c>
      <c r="N15" s="794">
        <f t="shared" si="8"/>
        <v>0</v>
      </c>
    </row>
    <row r="16" spans="1:39" s="759" customFormat="1" ht="13.5" customHeight="1">
      <c r="A16" s="753"/>
      <c r="B16" s="754"/>
      <c r="C16" s="1651" t="s">
        <v>4758</v>
      </c>
      <c r="D16" s="755"/>
      <c r="E16" s="756"/>
      <c r="F16" s="757">
        <f>SUM(G16:AM16)</f>
        <v>0</v>
      </c>
      <c r="G16" s="793">
        <f>IF(G13=0,IF(G8=G85,G15,0),0)</f>
        <v>0</v>
      </c>
      <c r="H16" s="793">
        <f t="shared" ref="H16:N16" si="9">IF(H13=0,IF(H8=H85,H15,0),0)</f>
        <v>0</v>
      </c>
      <c r="I16" s="793">
        <f t="shared" si="9"/>
        <v>0</v>
      </c>
      <c r="J16" s="793">
        <f t="shared" si="9"/>
        <v>0</v>
      </c>
      <c r="K16" s="793">
        <f t="shared" si="9"/>
        <v>0</v>
      </c>
      <c r="L16" s="793">
        <f t="shared" si="9"/>
        <v>0</v>
      </c>
      <c r="M16" s="793">
        <f t="shared" si="9"/>
        <v>0</v>
      </c>
      <c r="N16" s="794">
        <f t="shared" si="9"/>
        <v>0</v>
      </c>
      <c r="O16" s="880"/>
      <c r="P16" s="880"/>
      <c r="Q16" s="880"/>
      <c r="R16" s="880"/>
      <c r="S16" s="880"/>
      <c r="T16" s="880"/>
      <c r="U16" s="880"/>
      <c r="V16" s="880"/>
      <c r="W16" s="880"/>
      <c r="X16" s="880"/>
      <c r="Y16" s="880"/>
      <c r="Z16" s="880"/>
      <c r="AA16" s="880"/>
      <c r="AB16" s="880"/>
      <c r="AC16" s="880"/>
      <c r="AD16" s="880"/>
      <c r="AE16" s="880"/>
      <c r="AF16" s="880"/>
      <c r="AG16" s="880"/>
      <c r="AH16" s="880"/>
      <c r="AI16" s="880"/>
      <c r="AJ16" s="880"/>
      <c r="AK16" s="880"/>
      <c r="AL16" s="880"/>
      <c r="AM16" s="880"/>
    </row>
    <row r="17" spans="1:39" s="759" customFormat="1" ht="13.5" customHeight="1">
      <c r="A17" s="753"/>
      <c r="B17" s="754"/>
      <c r="C17" s="1651" t="s">
        <v>4759</v>
      </c>
      <c r="D17" s="755"/>
      <c r="E17" s="756"/>
      <c r="F17" s="757">
        <f>SUM(G17:AM17)</f>
        <v>0</v>
      </c>
      <c r="G17" s="793">
        <f>G13-G42</f>
        <v>0</v>
      </c>
      <c r="H17" s="793">
        <f t="shared" ref="H17:N17" si="10">H13-H42</f>
        <v>0</v>
      </c>
      <c r="I17" s="793">
        <f t="shared" si="10"/>
        <v>0</v>
      </c>
      <c r="J17" s="793">
        <f t="shared" si="10"/>
        <v>0</v>
      </c>
      <c r="K17" s="793">
        <f t="shared" si="10"/>
        <v>0</v>
      </c>
      <c r="L17" s="793">
        <f t="shared" si="10"/>
        <v>0</v>
      </c>
      <c r="M17" s="793">
        <f t="shared" si="10"/>
        <v>0</v>
      </c>
      <c r="N17" s="794">
        <f t="shared" si="10"/>
        <v>0</v>
      </c>
      <c r="O17" s="880"/>
      <c r="P17" s="880"/>
      <c r="Q17" s="880"/>
      <c r="R17" s="880"/>
      <c r="S17" s="880"/>
      <c r="T17" s="880"/>
      <c r="U17" s="880"/>
      <c r="V17" s="880"/>
      <c r="W17" s="880"/>
      <c r="X17" s="880"/>
      <c r="Y17" s="880"/>
      <c r="Z17" s="880"/>
      <c r="AA17" s="880"/>
      <c r="AB17" s="880"/>
      <c r="AC17" s="880"/>
      <c r="AD17" s="880"/>
      <c r="AE17" s="880"/>
      <c r="AF17" s="880"/>
      <c r="AG17" s="880"/>
      <c r="AH17" s="880"/>
      <c r="AI17" s="880"/>
      <c r="AJ17" s="880"/>
      <c r="AK17" s="880"/>
      <c r="AL17" s="880"/>
      <c r="AM17" s="880"/>
    </row>
    <row r="18" spans="1:39" s="759" customFormat="1" ht="13.5" customHeight="1">
      <c r="A18" s="753"/>
      <c r="B18" s="754"/>
      <c r="C18" s="1651" t="s">
        <v>4760</v>
      </c>
      <c r="D18" s="755"/>
      <c r="E18" s="756"/>
      <c r="F18" s="757">
        <f>SUM(G18:AM18)</f>
        <v>0</v>
      </c>
      <c r="G18" s="793">
        <f t="shared" ref="G18:N18" si="11">IF($F$16=0,0,(IF(G16=0,INT(G17/$F17*$F16),0)))</f>
        <v>0</v>
      </c>
      <c r="H18" s="793">
        <f t="shared" si="11"/>
        <v>0</v>
      </c>
      <c r="I18" s="793">
        <f t="shared" si="11"/>
        <v>0</v>
      </c>
      <c r="J18" s="793">
        <f t="shared" si="11"/>
        <v>0</v>
      </c>
      <c r="K18" s="793">
        <f t="shared" si="11"/>
        <v>0</v>
      </c>
      <c r="L18" s="793">
        <f t="shared" si="11"/>
        <v>0</v>
      </c>
      <c r="M18" s="793">
        <f t="shared" si="11"/>
        <v>0</v>
      </c>
      <c r="N18" s="794">
        <f t="shared" si="11"/>
        <v>0</v>
      </c>
      <c r="O18" s="880"/>
      <c r="P18" s="880"/>
      <c r="Q18" s="880"/>
      <c r="R18" s="880"/>
      <c r="S18" s="880"/>
      <c r="T18" s="880"/>
      <c r="U18" s="880"/>
      <c r="V18" s="880"/>
      <c r="W18" s="880"/>
      <c r="X18" s="880"/>
      <c r="Y18" s="880"/>
      <c r="Z18" s="880"/>
      <c r="AA18" s="880"/>
      <c r="AB18" s="880"/>
      <c r="AC18" s="880"/>
      <c r="AD18" s="880"/>
      <c r="AE18" s="880"/>
      <c r="AF18" s="880"/>
      <c r="AG18" s="880"/>
      <c r="AH18" s="880"/>
      <c r="AI18" s="880"/>
      <c r="AJ18" s="880"/>
      <c r="AK18" s="880"/>
      <c r="AL18" s="880"/>
      <c r="AM18" s="880"/>
    </row>
    <row r="19" spans="1:39" s="759" customFormat="1" ht="13.5" customHeight="1">
      <c r="A19" s="753"/>
      <c r="B19" s="754"/>
      <c r="C19" s="1652" t="s">
        <v>4761</v>
      </c>
      <c r="D19" s="755"/>
      <c r="E19" s="756"/>
      <c r="F19" s="757">
        <f>F16-F18</f>
        <v>0</v>
      </c>
      <c r="G19" s="1653">
        <f>IF($F19=0,0,IF(G18=0,0,$F19))</f>
        <v>0</v>
      </c>
      <c r="H19" s="1653">
        <f>IF($F19=0,0,IF(H18=0,0,IF(SUM($G19:G19)=0,$F19,0)))</f>
        <v>0</v>
      </c>
      <c r="I19" s="1653">
        <f>IF($F19=0,0,IF(I18=0,0,IF(SUM($G19:H19)=0,$F19,0)))</f>
        <v>0</v>
      </c>
      <c r="J19" s="1653">
        <f>IF($F19=0,0,IF(J18=0,0,IF(SUM($G19:I19)=0,$F19,0)))</f>
        <v>0</v>
      </c>
      <c r="K19" s="1653">
        <f>IF($F19=0,0,IF(K18=0,0,IF(SUM($G19:J19)=0,$F19,0)))</f>
        <v>0</v>
      </c>
      <c r="L19" s="1653">
        <f>IF($F19=0,0,IF(L18=0,0,IF(SUM($G19:K19)=0,$F19,0)))</f>
        <v>0</v>
      </c>
      <c r="M19" s="1653">
        <f>IF($F19=0,0,IF(M18=0,0,IF(SUM($G19:L19)=0,$F19,0)))</f>
        <v>0</v>
      </c>
      <c r="N19" s="1654">
        <f>IF($F19=0,0,IF(N18=0,0,IF(SUM($G19:M19)=0,$F19,0)))</f>
        <v>0</v>
      </c>
      <c r="O19" s="1655"/>
      <c r="P19" s="1655"/>
      <c r="Q19" s="1655"/>
      <c r="R19" s="1655"/>
      <c r="S19" s="1655"/>
      <c r="T19" s="1655"/>
      <c r="U19" s="1655"/>
      <c r="V19" s="1655"/>
      <c r="W19" s="1655"/>
      <c r="X19" s="1655"/>
      <c r="Y19" s="1655"/>
      <c r="Z19" s="1655"/>
      <c r="AA19" s="1655"/>
      <c r="AB19" s="1655"/>
      <c r="AC19" s="1655"/>
      <c r="AD19" s="1655"/>
      <c r="AE19" s="1655"/>
      <c r="AF19" s="1655"/>
      <c r="AG19" s="1655"/>
      <c r="AH19" s="1655"/>
      <c r="AI19" s="1655"/>
      <c r="AJ19" s="1655"/>
      <c r="AK19" s="1655"/>
      <c r="AL19" s="1655"/>
      <c r="AM19" s="1655"/>
    </row>
    <row r="20" spans="1:39" s="759" customFormat="1" ht="13.5" customHeight="1">
      <c r="A20" s="753"/>
      <c r="B20" s="754"/>
      <c r="C20" s="1651" t="s">
        <v>4762</v>
      </c>
      <c r="D20" s="755"/>
      <c r="E20" s="756"/>
      <c r="F20" s="757">
        <f>SUM(G20:AM20)</f>
        <v>0</v>
      </c>
      <c r="G20" s="1653">
        <f>IF(G42="",IF(G13=0,IF(G8=G85,0,G15+G18+G19),G15+G18+G19),0)</f>
        <v>0</v>
      </c>
      <c r="H20" s="1653">
        <f t="shared" ref="H20:N20" si="12">IF(H42="",IF(H13=0,IF(H8=H85,0,H15+H18+H19),H15+H18+H19),0)</f>
        <v>0</v>
      </c>
      <c r="I20" s="1653">
        <f t="shared" si="12"/>
        <v>0</v>
      </c>
      <c r="J20" s="1653">
        <f t="shared" si="12"/>
        <v>0</v>
      </c>
      <c r="K20" s="1653">
        <f t="shared" si="12"/>
        <v>0</v>
      </c>
      <c r="L20" s="1653">
        <f t="shared" si="12"/>
        <v>0</v>
      </c>
      <c r="M20" s="1653">
        <f t="shared" si="12"/>
        <v>0</v>
      </c>
      <c r="N20" s="1654">
        <f t="shared" si="12"/>
        <v>0</v>
      </c>
      <c r="O20" s="1655"/>
      <c r="P20" s="1655"/>
      <c r="Q20" s="1655"/>
      <c r="R20" s="1655"/>
      <c r="S20" s="1655"/>
      <c r="T20" s="1655"/>
      <c r="U20" s="1655"/>
      <c r="V20" s="1655"/>
      <c r="W20" s="1655"/>
      <c r="X20" s="1655"/>
      <c r="Y20" s="1655"/>
      <c r="Z20" s="1655"/>
      <c r="AA20" s="1655"/>
      <c r="AB20" s="1655"/>
      <c r="AC20" s="1655"/>
      <c r="AD20" s="1655"/>
      <c r="AE20" s="1655"/>
      <c r="AF20" s="1655"/>
      <c r="AG20" s="1655"/>
      <c r="AH20" s="1655"/>
      <c r="AI20" s="1655"/>
      <c r="AJ20" s="1655"/>
      <c r="AK20" s="1655"/>
      <c r="AL20" s="1655"/>
      <c r="AM20" s="1655"/>
    </row>
    <row r="21" spans="1:39" s="759" customFormat="1" ht="12">
      <c r="A21" s="753"/>
      <c r="B21" s="754"/>
      <c r="C21" s="1651" t="s">
        <v>3962</v>
      </c>
      <c r="D21" s="755"/>
      <c r="E21" s="756"/>
      <c r="F21" s="757">
        <f>SUM(G21:N21)</f>
        <v>0</v>
      </c>
      <c r="G21" s="1656"/>
      <c r="H21" s="1656"/>
      <c r="I21" s="1656"/>
      <c r="J21" s="1656"/>
      <c r="K21" s="1656"/>
      <c r="L21" s="1656"/>
      <c r="M21" s="1656"/>
      <c r="N21" s="1657"/>
    </row>
    <row r="22" spans="1:39" s="759" customFormat="1" ht="13.5" customHeight="1">
      <c r="A22" s="753"/>
      <c r="B22" s="754"/>
      <c r="C22" s="723" t="s">
        <v>4763</v>
      </c>
      <c r="D22" s="755"/>
      <c r="E22" s="756"/>
      <c r="F22" s="757">
        <f>SUM(G22:N22)</f>
        <v>0</v>
      </c>
      <c r="G22" s="1656"/>
      <c r="H22" s="1656"/>
      <c r="I22" s="1656"/>
      <c r="J22" s="1656"/>
      <c r="K22" s="1656"/>
      <c r="L22" s="1656"/>
      <c r="M22" s="1656"/>
      <c r="N22" s="1657"/>
    </row>
    <row r="23" spans="1:39" s="759" customFormat="1" ht="12">
      <c r="A23" s="753"/>
      <c r="B23" s="754"/>
      <c r="C23" s="882" t="s">
        <v>3964</v>
      </c>
      <c r="D23" s="762"/>
      <c r="E23" s="763"/>
      <c r="F23" s="764">
        <f>SUM(G23:N23)</f>
        <v>0</v>
      </c>
      <c r="G23" s="1658"/>
      <c r="H23" s="1658"/>
      <c r="I23" s="1658"/>
      <c r="J23" s="1658"/>
      <c r="K23" s="1658"/>
      <c r="L23" s="1658"/>
      <c r="M23" s="1658"/>
      <c r="N23" s="1659"/>
    </row>
    <row r="24" spans="1:39" s="759" customFormat="1" ht="13.5" customHeight="1">
      <c r="A24" s="1660" t="s">
        <v>3980</v>
      </c>
      <c r="B24" s="883"/>
      <c r="C24" s="1661"/>
      <c r="D24" s="1661"/>
      <c r="E24" s="1662"/>
      <c r="F24" s="1663"/>
      <c r="G24" s="1664"/>
      <c r="H24" s="1664"/>
      <c r="I24" s="1664"/>
      <c r="J24" s="1664"/>
      <c r="K24" s="1664"/>
      <c r="L24" s="1664"/>
      <c r="M24" s="1664"/>
      <c r="N24" s="1665"/>
    </row>
    <row r="25" spans="1:39" s="759" customFormat="1" ht="12">
      <c r="A25" s="2848"/>
      <c r="B25" s="2850" t="s">
        <v>3981</v>
      </c>
      <c r="C25" s="581" t="s">
        <v>3982</v>
      </c>
      <c r="D25" s="581"/>
      <c r="E25" s="665"/>
      <c r="F25" s="995">
        <f t="shared" ref="F25:F31" si="13">SUM(G25:N25)</f>
        <v>0</v>
      </c>
      <c r="G25" s="1649"/>
      <c r="H25" s="1649"/>
      <c r="I25" s="1649">
        <f t="shared" ref="I25:N25" si="14">IF(I9="新営",I13-SUM(I27:I38)-I42-I41,0)</f>
        <v>0</v>
      </c>
      <c r="J25" s="1649">
        <f t="shared" si="14"/>
        <v>0</v>
      </c>
      <c r="K25" s="1649">
        <f t="shared" si="14"/>
        <v>0</v>
      </c>
      <c r="L25" s="1649">
        <f t="shared" si="14"/>
        <v>0</v>
      </c>
      <c r="M25" s="1649">
        <f t="shared" si="14"/>
        <v>0</v>
      </c>
      <c r="N25" s="1650">
        <f t="shared" si="14"/>
        <v>0</v>
      </c>
    </row>
    <row r="26" spans="1:39" s="759" customFormat="1" ht="12">
      <c r="A26" s="2848"/>
      <c r="B26" s="2851"/>
      <c r="C26" s="797" t="s">
        <v>3983</v>
      </c>
      <c r="D26" s="797"/>
      <c r="E26" s="756"/>
      <c r="F26" s="757">
        <f t="shared" si="13"/>
        <v>0</v>
      </c>
      <c r="G26" s="793">
        <f>IF(G9="改修",G13-SUM(G27:G38)-G42-G41,0)</f>
        <v>0</v>
      </c>
      <c r="H26" s="793">
        <f t="shared" ref="H26:N26" si="15">IF(H9="改修",H13-SUM(H27:H38)-H42-H41,0)</f>
        <v>0</v>
      </c>
      <c r="I26" s="793">
        <f t="shared" si="15"/>
        <v>0</v>
      </c>
      <c r="J26" s="793">
        <f t="shared" si="15"/>
        <v>0</v>
      </c>
      <c r="K26" s="793">
        <f t="shared" si="15"/>
        <v>0</v>
      </c>
      <c r="L26" s="793">
        <f t="shared" si="15"/>
        <v>0</v>
      </c>
      <c r="M26" s="793">
        <f t="shared" si="15"/>
        <v>0</v>
      </c>
      <c r="N26" s="794">
        <f t="shared" si="15"/>
        <v>0</v>
      </c>
    </row>
    <row r="27" spans="1:39" s="759" customFormat="1" ht="12">
      <c r="A27" s="2848"/>
      <c r="B27" s="2851"/>
      <c r="C27" s="1666" t="s">
        <v>3984</v>
      </c>
      <c r="D27" s="797"/>
      <c r="E27" s="756"/>
      <c r="F27" s="757">
        <f t="shared" si="13"/>
        <v>0</v>
      </c>
      <c r="G27" s="1656"/>
      <c r="H27" s="1656"/>
      <c r="I27" s="1656"/>
      <c r="J27" s="1656"/>
      <c r="K27" s="1656"/>
      <c r="L27" s="1656"/>
      <c r="M27" s="1656"/>
      <c r="N27" s="1657"/>
    </row>
    <row r="28" spans="1:39" s="759" customFormat="1" ht="12">
      <c r="A28" s="2848"/>
      <c r="B28" s="2852"/>
      <c r="C28" s="1666" t="s">
        <v>3985</v>
      </c>
      <c r="D28" s="797"/>
      <c r="E28" s="756"/>
      <c r="F28" s="757">
        <f t="shared" si="13"/>
        <v>0</v>
      </c>
      <c r="G28" s="1656"/>
      <c r="H28" s="1656"/>
      <c r="I28" s="1656"/>
      <c r="J28" s="1656"/>
      <c r="K28" s="1656"/>
      <c r="L28" s="1656"/>
      <c r="M28" s="1656"/>
      <c r="N28" s="1657"/>
    </row>
    <row r="29" spans="1:39" s="759" customFormat="1" ht="13.5" customHeight="1">
      <c r="A29" s="2848"/>
      <c r="B29" s="2776" t="s">
        <v>3986</v>
      </c>
      <c r="C29" s="755" t="s">
        <v>3987</v>
      </c>
      <c r="D29" s="797"/>
      <c r="E29" s="756"/>
      <c r="F29" s="757">
        <f t="shared" si="13"/>
        <v>0</v>
      </c>
      <c r="G29" s="1656"/>
      <c r="H29" s="1656"/>
      <c r="I29" s="1656"/>
      <c r="J29" s="1656"/>
      <c r="K29" s="1656"/>
      <c r="L29" s="1656"/>
      <c r="M29" s="1656"/>
      <c r="N29" s="1657"/>
    </row>
    <row r="30" spans="1:39" s="759" customFormat="1" ht="12">
      <c r="A30" s="2848"/>
      <c r="B30" s="2851"/>
      <c r="C30" s="755" t="s">
        <v>3988</v>
      </c>
      <c r="D30" s="797"/>
      <c r="E30" s="756"/>
      <c r="F30" s="757">
        <f t="shared" si="13"/>
        <v>0</v>
      </c>
      <c r="G30" s="1656"/>
      <c r="H30" s="1656"/>
      <c r="I30" s="1656"/>
      <c r="J30" s="1656"/>
      <c r="K30" s="1656"/>
      <c r="L30" s="1656"/>
      <c r="M30" s="1656"/>
      <c r="N30" s="1657"/>
    </row>
    <row r="31" spans="1:39" s="759" customFormat="1" ht="12">
      <c r="A31" s="2848"/>
      <c r="B31" s="2851"/>
      <c r="C31" s="797" t="s">
        <v>3989</v>
      </c>
      <c r="D31" s="797"/>
      <c r="E31" s="756"/>
      <c r="F31" s="757">
        <f t="shared" si="13"/>
        <v>0</v>
      </c>
      <c r="G31" s="1656"/>
      <c r="H31" s="1656"/>
      <c r="I31" s="1656"/>
      <c r="J31" s="1656"/>
      <c r="K31" s="1656"/>
      <c r="L31" s="1656"/>
      <c r="M31" s="1656"/>
      <c r="N31" s="1657"/>
    </row>
    <row r="32" spans="1:39" s="759" customFormat="1" ht="13.5" customHeight="1">
      <c r="A32" s="2848"/>
      <c r="B32" s="2851"/>
      <c r="C32" s="797" t="s">
        <v>3990</v>
      </c>
      <c r="D32" s="797"/>
      <c r="E32" s="756"/>
      <c r="F32" s="757"/>
      <c r="G32" s="793"/>
      <c r="H32" s="793"/>
      <c r="I32" s="793"/>
      <c r="J32" s="793"/>
      <c r="K32" s="793"/>
      <c r="L32" s="793"/>
      <c r="M32" s="793"/>
      <c r="N32" s="794"/>
    </row>
    <row r="33" spans="1:14" s="759" customFormat="1" ht="12">
      <c r="A33" s="2848"/>
      <c r="B33" s="2851"/>
      <c r="C33" s="797" t="s">
        <v>3991</v>
      </c>
      <c r="D33" s="797"/>
      <c r="E33" s="756"/>
      <c r="F33" s="757"/>
      <c r="G33" s="793"/>
      <c r="H33" s="793"/>
      <c r="I33" s="793"/>
      <c r="J33" s="793"/>
      <c r="K33" s="793"/>
      <c r="L33" s="793"/>
      <c r="M33" s="793"/>
      <c r="N33" s="794"/>
    </row>
    <row r="34" spans="1:14" s="759" customFormat="1" ht="12">
      <c r="A34" s="2848"/>
      <c r="B34" s="2851"/>
      <c r="C34" s="797" t="s">
        <v>3992</v>
      </c>
      <c r="D34" s="797"/>
      <c r="E34" s="756"/>
      <c r="F34" s="757">
        <f t="shared" ref="F34:F44" si="16">SUM(G34:N34)</f>
        <v>0</v>
      </c>
      <c r="G34" s="1656"/>
      <c r="H34" s="1656"/>
      <c r="I34" s="1656"/>
      <c r="J34" s="1656"/>
      <c r="K34" s="1656"/>
      <c r="L34" s="1656"/>
      <c r="M34" s="1656"/>
      <c r="N34" s="1657"/>
    </row>
    <row r="35" spans="1:14" s="759" customFormat="1" ht="12">
      <c r="A35" s="2848"/>
      <c r="B35" s="2851"/>
      <c r="C35" s="1667" t="s">
        <v>3993</v>
      </c>
      <c r="D35" s="797"/>
      <c r="E35" s="756"/>
      <c r="F35" s="757">
        <f t="shared" si="16"/>
        <v>0</v>
      </c>
      <c r="G35" s="1656"/>
      <c r="H35" s="1656"/>
      <c r="I35" s="1656"/>
      <c r="J35" s="1656"/>
      <c r="K35" s="1656"/>
      <c r="L35" s="1656"/>
      <c r="M35" s="1656"/>
      <c r="N35" s="1657"/>
    </row>
    <row r="36" spans="1:14" s="759" customFormat="1" ht="12">
      <c r="A36" s="2848"/>
      <c r="B36" s="2851"/>
      <c r="C36" s="1668" t="s">
        <v>3994</v>
      </c>
      <c r="D36" s="797"/>
      <c r="E36" s="756"/>
      <c r="F36" s="757">
        <f t="shared" si="16"/>
        <v>0</v>
      </c>
      <c r="G36" s="1656"/>
      <c r="H36" s="1656"/>
      <c r="I36" s="1656"/>
      <c r="J36" s="1656"/>
      <c r="K36" s="1656"/>
      <c r="L36" s="1656"/>
      <c r="M36" s="1656"/>
      <c r="N36" s="1657"/>
    </row>
    <row r="37" spans="1:14" s="759" customFormat="1" ht="12">
      <c r="A37" s="2848"/>
      <c r="B37" s="2852"/>
      <c r="C37" s="797" t="s">
        <v>3995</v>
      </c>
      <c r="D37" s="797"/>
      <c r="E37" s="756"/>
      <c r="F37" s="757">
        <f t="shared" si="16"/>
        <v>0</v>
      </c>
      <c r="G37" s="1656"/>
      <c r="H37" s="1656"/>
      <c r="I37" s="1656"/>
      <c r="J37" s="1656"/>
      <c r="K37" s="1656"/>
      <c r="L37" s="1656"/>
      <c r="M37" s="1656"/>
      <c r="N37" s="1657"/>
    </row>
    <row r="38" spans="1:14" s="759" customFormat="1" ht="12">
      <c r="A38" s="2848"/>
      <c r="B38" s="2776" t="s">
        <v>3996</v>
      </c>
      <c r="C38" s="1666" t="s">
        <v>3997</v>
      </c>
      <c r="D38" s="797"/>
      <c r="E38" s="756"/>
      <c r="F38" s="757">
        <f t="shared" si="16"/>
        <v>0</v>
      </c>
      <c r="G38" s="1656"/>
      <c r="H38" s="1656"/>
      <c r="I38" s="1656"/>
      <c r="J38" s="1656"/>
      <c r="K38" s="1656"/>
      <c r="L38" s="1656"/>
      <c r="M38" s="1656"/>
      <c r="N38" s="1657"/>
    </row>
    <row r="39" spans="1:14" s="759" customFormat="1" ht="12">
      <c r="A39" s="2848"/>
      <c r="B39" s="2851"/>
      <c r="C39" s="1666" t="s">
        <v>3998</v>
      </c>
      <c r="D39" s="797"/>
      <c r="E39" s="756"/>
      <c r="F39" s="757">
        <f t="shared" si="16"/>
        <v>0</v>
      </c>
      <c r="G39" s="793">
        <f t="shared" ref="G39:N39" si="17">+G23</f>
        <v>0</v>
      </c>
      <c r="H39" s="793">
        <f t="shared" si="17"/>
        <v>0</v>
      </c>
      <c r="I39" s="793">
        <f t="shared" si="17"/>
        <v>0</v>
      </c>
      <c r="J39" s="793">
        <f t="shared" si="17"/>
        <v>0</v>
      </c>
      <c r="K39" s="793">
        <f t="shared" si="17"/>
        <v>0</v>
      </c>
      <c r="L39" s="793">
        <f t="shared" si="17"/>
        <v>0</v>
      </c>
      <c r="M39" s="793">
        <f t="shared" si="17"/>
        <v>0</v>
      </c>
      <c r="N39" s="794">
        <f t="shared" si="17"/>
        <v>0</v>
      </c>
    </row>
    <row r="40" spans="1:14" s="759" customFormat="1" ht="12">
      <c r="A40" s="2848"/>
      <c r="B40" s="2851"/>
      <c r="C40" s="797" t="s">
        <v>4764</v>
      </c>
      <c r="D40" s="797"/>
      <c r="E40" s="756"/>
      <c r="F40" s="757">
        <f t="shared" si="16"/>
        <v>0</v>
      </c>
      <c r="G40" s="793">
        <f t="shared" ref="G40:N40" si="18">+G22</f>
        <v>0</v>
      </c>
      <c r="H40" s="793">
        <f t="shared" si="18"/>
        <v>0</v>
      </c>
      <c r="I40" s="793">
        <f t="shared" si="18"/>
        <v>0</v>
      </c>
      <c r="J40" s="793">
        <f t="shared" si="18"/>
        <v>0</v>
      </c>
      <c r="K40" s="793">
        <f t="shared" si="18"/>
        <v>0</v>
      </c>
      <c r="L40" s="793">
        <f t="shared" si="18"/>
        <v>0</v>
      </c>
      <c r="M40" s="793">
        <f t="shared" si="18"/>
        <v>0</v>
      </c>
      <c r="N40" s="794">
        <f t="shared" si="18"/>
        <v>0</v>
      </c>
    </row>
    <row r="41" spans="1:14" s="759" customFormat="1" ht="12">
      <c r="A41" s="2848"/>
      <c r="B41" s="2851"/>
      <c r="C41" s="797" t="s">
        <v>4765</v>
      </c>
      <c r="D41" s="797"/>
      <c r="E41" s="756"/>
      <c r="F41" s="757">
        <f t="shared" si="16"/>
        <v>0</v>
      </c>
      <c r="G41" s="1656"/>
      <c r="H41" s="1656"/>
      <c r="I41" s="1656"/>
      <c r="J41" s="1656"/>
      <c r="K41" s="1656"/>
      <c r="L41" s="1656"/>
      <c r="M41" s="1656"/>
      <c r="N41" s="1657"/>
    </row>
    <row r="42" spans="1:14" s="759" customFormat="1" ht="13.5" customHeight="1">
      <c r="A42" s="2848"/>
      <c r="B42" s="2851"/>
      <c r="C42" s="1669" t="s">
        <v>4001</v>
      </c>
      <c r="D42" s="1670"/>
      <c r="E42" s="1671"/>
      <c r="F42" s="757">
        <f t="shared" si="16"/>
        <v>0</v>
      </c>
      <c r="G42" s="1672"/>
      <c r="H42" s="1672"/>
      <c r="I42" s="1672"/>
      <c r="J42" s="1672"/>
      <c r="K42" s="1672"/>
      <c r="L42" s="1672"/>
      <c r="M42" s="1672"/>
      <c r="N42" s="1673"/>
    </row>
    <row r="43" spans="1:14" s="759" customFormat="1" ht="12">
      <c r="A43" s="2848"/>
      <c r="B43" s="2851"/>
      <c r="C43" s="1669" t="s">
        <v>4002</v>
      </c>
      <c r="D43" s="1670"/>
      <c r="E43" s="1671"/>
      <c r="F43" s="757">
        <f t="shared" si="16"/>
        <v>0</v>
      </c>
      <c r="G43" s="1672"/>
      <c r="H43" s="1672"/>
      <c r="I43" s="1672"/>
      <c r="J43" s="1672"/>
      <c r="K43" s="1672"/>
      <c r="L43" s="1672"/>
      <c r="M43" s="1672"/>
      <c r="N43" s="1673"/>
    </row>
    <row r="44" spans="1:14" s="759" customFormat="1" ht="12">
      <c r="A44" s="2849"/>
      <c r="B44" s="2853"/>
      <c r="C44" s="1674" t="s">
        <v>4003</v>
      </c>
      <c r="D44" s="1674"/>
      <c r="E44" s="960"/>
      <c r="F44" s="915">
        <f t="shared" si="16"/>
        <v>0</v>
      </c>
      <c r="G44" s="1675"/>
      <c r="H44" s="1675"/>
      <c r="I44" s="1675"/>
      <c r="J44" s="1675"/>
      <c r="K44" s="1675"/>
      <c r="L44" s="1675"/>
      <c r="M44" s="1675"/>
      <c r="N44" s="1676"/>
    </row>
    <row r="45" spans="1:14" s="1122" customFormat="1" ht="13.5" customHeight="1">
      <c r="A45" s="2862" t="s">
        <v>4727</v>
      </c>
      <c r="B45" s="2863"/>
      <c r="C45" s="2864"/>
      <c r="D45" s="1677"/>
      <c r="E45" s="1678"/>
      <c r="F45" s="1679"/>
      <c r="G45" s="1680"/>
      <c r="H45" s="1680"/>
      <c r="I45" s="1680"/>
      <c r="J45" s="1680"/>
      <c r="K45" s="1680"/>
      <c r="L45" s="1680"/>
      <c r="M45" s="1680"/>
      <c r="N45" s="1681"/>
    </row>
    <row r="46" spans="1:14" s="1305" customFormat="1" ht="12">
      <c r="A46" s="2865"/>
      <c r="B46" s="2866" t="s">
        <v>3981</v>
      </c>
      <c r="C46" s="1682" t="s">
        <v>3982</v>
      </c>
      <c r="D46" s="1683"/>
      <c r="E46" s="1684"/>
      <c r="F46" s="1685">
        <f>+F413-F198</f>
        <v>0</v>
      </c>
      <c r="G46" s="1685">
        <f t="shared" ref="G46:N46" si="19">+G413-G198</f>
        <v>0</v>
      </c>
      <c r="H46" s="1685">
        <f t="shared" si="19"/>
        <v>0</v>
      </c>
      <c r="I46" s="1685">
        <f t="shared" si="19"/>
        <v>0</v>
      </c>
      <c r="J46" s="1685">
        <f t="shared" si="19"/>
        <v>0</v>
      </c>
      <c r="K46" s="1685">
        <f t="shared" si="19"/>
        <v>0</v>
      </c>
      <c r="L46" s="1685">
        <f t="shared" si="19"/>
        <v>0</v>
      </c>
      <c r="M46" s="1685">
        <f t="shared" si="19"/>
        <v>0</v>
      </c>
      <c r="N46" s="1686">
        <f t="shared" si="19"/>
        <v>0</v>
      </c>
    </row>
    <row r="47" spans="1:14" s="1305" customFormat="1" ht="12">
      <c r="A47" s="2865"/>
      <c r="B47" s="2867"/>
      <c r="C47" s="1687" t="s">
        <v>3983</v>
      </c>
      <c r="D47" s="1683"/>
      <c r="E47" s="1684"/>
      <c r="F47" s="1685">
        <f t="shared" ref="F47:N52" si="20">F415-F200</f>
        <v>0</v>
      </c>
      <c r="G47" s="1685">
        <f t="shared" si="20"/>
        <v>0</v>
      </c>
      <c r="H47" s="1685">
        <f t="shared" si="20"/>
        <v>0</v>
      </c>
      <c r="I47" s="1685">
        <f t="shared" si="20"/>
        <v>0</v>
      </c>
      <c r="J47" s="1685">
        <f t="shared" si="20"/>
        <v>0</v>
      </c>
      <c r="K47" s="1685">
        <f t="shared" si="20"/>
        <v>0</v>
      </c>
      <c r="L47" s="1685">
        <f t="shared" si="20"/>
        <v>0</v>
      </c>
      <c r="M47" s="1685">
        <f t="shared" si="20"/>
        <v>0</v>
      </c>
      <c r="N47" s="1686">
        <f t="shared" si="20"/>
        <v>0</v>
      </c>
    </row>
    <row r="48" spans="1:14" s="1305" customFormat="1" ht="12">
      <c r="A48" s="2865"/>
      <c r="B48" s="2867"/>
      <c r="C48" s="1687" t="s">
        <v>4020</v>
      </c>
      <c r="D48" s="1683"/>
      <c r="E48" s="1688"/>
      <c r="F48" s="1685">
        <f t="shared" si="20"/>
        <v>0</v>
      </c>
      <c r="G48" s="1685">
        <f t="shared" si="20"/>
        <v>0</v>
      </c>
      <c r="H48" s="1685">
        <f t="shared" si="20"/>
        <v>0</v>
      </c>
      <c r="I48" s="1685">
        <f t="shared" si="20"/>
        <v>0</v>
      </c>
      <c r="J48" s="1685">
        <f t="shared" si="20"/>
        <v>0</v>
      </c>
      <c r="K48" s="1685">
        <f t="shared" si="20"/>
        <v>0</v>
      </c>
      <c r="L48" s="1685">
        <f t="shared" si="20"/>
        <v>0</v>
      </c>
      <c r="M48" s="1685">
        <f t="shared" si="20"/>
        <v>0</v>
      </c>
      <c r="N48" s="1686">
        <f t="shared" si="20"/>
        <v>0</v>
      </c>
    </row>
    <row r="49" spans="1:14" s="1305" customFormat="1" ht="12">
      <c r="A49" s="2865"/>
      <c r="B49" s="2868"/>
      <c r="C49" s="1687" t="s">
        <v>4021</v>
      </c>
      <c r="D49" s="1683"/>
      <c r="E49" s="1688"/>
      <c r="F49" s="1685">
        <f t="shared" si="20"/>
        <v>0</v>
      </c>
      <c r="G49" s="1685">
        <f t="shared" si="20"/>
        <v>0</v>
      </c>
      <c r="H49" s="1685">
        <f t="shared" si="20"/>
        <v>0</v>
      </c>
      <c r="I49" s="1685">
        <f t="shared" si="20"/>
        <v>0</v>
      </c>
      <c r="J49" s="1685">
        <f t="shared" si="20"/>
        <v>0</v>
      </c>
      <c r="K49" s="1685">
        <f t="shared" si="20"/>
        <v>0</v>
      </c>
      <c r="L49" s="1685">
        <f t="shared" si="20"/>
        <v>0</v>
      </c>
      <c r="M49" s="1685">
        <f t="shared" si="20"/>
        <v>0</v>
      </c>
      <c r="N49" s="1686">
        <f t="shared" si="20"/>
        <v>0</v>
      </c>
    </row>
    <row r="50" spans="1:14" s="1305" customFormat="1" ht="12">
      <c r="A50" s="2865"/>
      <c r="B50" s="2869" t="s">
        <v>4766</v>
      </c>
      <c r="C50" s="1687" t="s">
        <v>4767</v>
      </c>
      <c r="D50" s="1683">
        <v>1</v>
      </c>
      <c r="E50" s="1688">
        <v>0.02</v>
      </c>
      <c r="F50" s="1685">
        <f t="shared" si="20"/>
        <v>0</v>
      </c>
      <c r="G50" s="1685">
        <f t="shared" si="20"/>
        <v>0</v>
      </c>
      <c r="H50" s="1685">
        <f t="shared" si="20"/>
        <v>0</v>
      </c>
      <c r="I50" s="1685">
        <f t="shared" si="20"/>
        <v>0</v>
      </c>
      <c r="J50" s="1685">
        <f t="shared" si="20"/>
        <v>0</v>
      </c>
      <c r="K50" s="1685">
        <f t="shared" si="20"/>
        <v>0</v>
      </c>
      <c r="L50" s="1685">
        <f t="shared" si="20"/>
        <v>0</v>
      </c>
      <c r="M50" s="1685">
        <f t="shared" si="20"/>
        <v>0</v>
      </c>
      <c r="N50" s="1686">
        <f t="shared" si="20"/>
        <v>0</v>
      </c>
    </row>
    <row r="51" spans="1:14" s="1305" customFormat="1" ht="12">
      <c r="A51" s="2865"/>
      <c r="B51" s="2867"/>
      <c r="C51" s="1687" t="s">
        <v>3988</v>
      </c>
      <c r="D51" s="1683">
        <v>1</v>
      </c>
      <c r="E51" s="1688">
        <v>0.02</v>
      </c>
      <c r="F51" s="1685">
        <f t="shared" si="20"/>
        <v>0</v>
      </c>
      <c r="G51" s="1685">
        <f t="shared" si="20"/>
        <v>0</v>
      </c>
      <c r="H51" s="1685">
        <f t="shared" si="20"/>
        <v>0</v>
      </c>
      <c r="I51" s="1685">
        <f t="shared" si="20"/>
        <v>0</v>
      </c>
      <c r="J51" s="1685">
        <f t="shared" si="20"/>
        <v>0</v>
      </c>
      <c r="K51" s="1685">
        <f t="shared" si="20"/>
        <v>0</v>
      </c>
      <c r="L51" s="1685">
        <f t="shared" si="20"/>
        <v>0</v>
      </c>
      <c r="M51" s="1685">
        <f t="shared" si="20"/>
        <v>0</v>
      </c>
      <c r="N51" s="1686">
        <f t="shared" si="20"/>
        <v>0</v>
      </c>
    </row>
    <row r="52" spans="1:14" s="1305" customFormat="1" ht="12">
      <c r="A52" s="2865"/>
      <c r="B52" s="2867"/>
      <c r="C52" s="1687" t="s">
        <v>3989</v>
      </c>
      <c r="D52" s="1683">
        <v>1</v>
      </c>
      <c r="E52" s="1688">
        <v>0.02</v>
      </c>
      <c r="F52" s="1685">
        <f t="shared" si="20"/>
        <v>0</v>
      </c>
      <c r="G52" s="1685">
        <f t="shared" si="20"/>
        <v>0</v>
      </c>
      <c r="H52" s="1685">
        <f t="shared" si="20"/>
        <v>0</v>
      </c>
      <c r="I52" s="1685">
        <f t="shared" si="20"/>
        <v>0</v>
      </c>
      <c r="J52" s="1685">
        <f t="shared" si="20"/>
        <v>0</v>
      </c>
      <c r="K52" s="1685">
        <f t="shared" si="20"/>
        <v>0</v>
      </c>
      <c r="L52" s="1685">
        <f t="shared" si="20"/>
        <v>0</v>
      </c>
      <c r="M52" s="1685">
        <f t="shared" si="20"/>
        <v>0</v>
      </c>
      <c r="N52" s="1686">
        <f t="shared" si="20"/>
        <v>0</v>
      </c>
    </row>
    <row r="53" spans="1:14" s="1305" customFormat="1" ht="12">
      <c r="A53" s="2865"/>
      <c r="B53" s="2867"/>
      <c r="C53" s="1687" t="s">
        <v>3992</v>
      </c>
      <c r="D53" s="1683">
        <v>1</v>
      </c>
      <c r="E53" s="1688">
        <v>0.02</v>
      </c>
      <c r="F53" s="1685">
        <f>F423-F208</f>
        <v>0</v>
      </c>
      <c r="G53" s="1685">
        <f t="shared" ref="G53:N53" si="21">G423-G208</f>
        <v>0</v>
      </c>
      <c r="H53" s="1685">
        <f t="shared" si="21"/>
        <v>0</v>
      </c>
      <c r="I53" s="1685">
        <f t="shared" si="21"/>
        <v>0</v>
      </c>
      <c r="J53" s="1685">
        <f t="shared" si="21"/>
        <v>0</v>
      </c>
      <c r="K53" s="1685">
        <f t="shared" si="21"/>
        <v>0</v>
      </c>
      <c r="L53" s="1685">
        <f t="shared" si="21"/>
        <v>0</v>
      </c>
      <c r="M53" s="1685">
        <f t="shared" si="21"/>
        <v>0</v>
      </c>
      <c r="N53" s="1686">
        <f t="shared" si="21"/>
        <v>0</v>
      </c>
    </row>
    <row r="54" spans="1:14" s="1305" customFormat="1" ht="12">
      <c r="A54" s="2865"/>
      <c r="B54" s="2867"/>
      <c r="C54" s="1689" t="s">
        <v>4768</v>
      </c>
      <c r="D54" s="1683"/>
      <c r="E54" s="1688"/>
      <c r="F54" s="1685"/>
      <c r="G54" s="1653"/>
      <c r="H54" s="1653"/>
      <c r="I54" s="1653"/>
      <c r="J54" s="1653"/>
      <c r="K54" s="1653"/>
      <c r="L54" s="1653"/>
      <c r="M54" s="1653"/>
      <c r="N54" s="1654"/>
    </row>
    <row r="55" spans="1:14" s="1305" customFormat="1" ht="12">
      <c r="A55" s="2865"/>
      <c r="B55" s="2867"/>
      <c r="C55" s="1689" t="s">
        <v>4769</v>
      </c>
      <c r="D55" s="1683"/>
      <c r="E55" s="1688"/>
      <c r="F55" s="1685"/>
      <c r="G55" s="1653"/>
      <c r="H55" s="1653"/>
      <c r="I55" s="1653"/>
      <c r="J55" s="1653"/>
      <c r="K55" s="1653"/>
      <c r="L55" s="1653"/>
      <c r="M55" s="1653"/>
      <c r="N55" s="1654"/>
    </row>
    <row r="56" spans="1:14" s="1305" customFormat="1" ht="12">
      <c r="A56" s="2865"/>
      <c r="B56" s="2868"/>
      <c r="C56" s="1687" t="s">
        <v>3995</v>
      </c>
      <c r="D56" s="1683">
        <v>1</v>
      </c>
      <c r="E56" s="1688">
        <v>0.02</v>
      </c>
      <c r="F56" s="1685">
        <f>F426-F211</f>
        <v>0</v>
      </c>
      <c r="G56" s="1685">
        <f t="shared" ref="G56:N56" si="22">G426-G211</f>
        <v>0</v>
      </c>
      <c r="H56" s="1685">
        <f t="shared" si="22"/>
        <v>0</v>
      </c>
      <c r="I56" s="1685">
        <f t="shared" si="22"/>
        <v>0</v>
      </c>
      <c r="J56" s="1685">
        <f t="shared" si="22"/>
        <v>0</v>
      </c>
      <c r="K56" s="1685">
        <f t="shared" si="22"/>
        <v>0</v>
      </c>
      <c r="L56" s="1685">
        <f t="shared" si="22"/>
        <v>0</v>
      </c>
      <c r="M56" s="1685">
        <f t="shared" si="22"/>
        <v>0</v>
      </c>
      <c r="N56" s="1686">
        <f t="shared" si="22"/>
        <v>0</v>
      </c>
    </row>
    <row r="57" spans="1:14" s="1305" customFormat="1" ht="12">
      <c r="A57" s="2865"/>
      <c r="B57" s="1690" t="s">
        <v>4770</v>
      </c>
      <c r="C57" s="1691" t="s">
        <v>4771</v>
      </c>
      <c r="D57" s="1683">
        <v>1</v>
      </c>
      <c r="E57" s="1688">
        <v>0</v>
      </c>
      <c r="F57" s="1685">
        <f>F429-F214</f>
        <v>0</v>
      </c>
      <c r="G57" s="1685">
        <f t="shared" ref="G57:N57" si="23">G429-G214</f>
        <v>0</v>
      </c>
      <c r="H57" s="1685">
        <f t="shared" si="23"/>
        <v>0</v>
      </c>
      <c r="I57" s="1685">
        <f t="shared" si="23"/>
        <v>0</v>
      </c>
      <c r="J57" s="1685">
        <f t="shared" si="23"/>
        <v>0</v>
      </c>
      <c r="K57" s="1685">
        <f t="shared" si="23"/>
        <v>0</v>
      </c>
      <c r="L57" s="1685">
        <f t="shared" si="23"/>
        <v>0</v>
      </c>
      <c r="M57" s="1685">
        <f t="shared" si="23"/>
        <v>0</v>
      </c>
      <c r="N57" s="1686">
        <f t="shared" si="23"/>
        <v>0</v>
      </c>
    </row>
    <row r="58" spans="1:14" s="1122" customFormat="1" ht="12">
      <c r="A58" s="2865"/>
      <c r="B58" s="1692" t="s">
        <v>4732</v>
      </c>
      <c r="C58" s="1693" t="s">
        <v>4037</v>
      </c>
      <c r="D58" s="1683">
        <v>1</v>
      </c>
      <c r="E58" s="1688"/>
      <c r="F58" s="1685">
        <f>SUM(G58:N58)</f>
        <v>0</v>
      </c>
      <c r="G58" s="1672"/>
      <c r="H58" s="1672"/>
      <c r="I58" s="1672"/>
      <c r="J58" s="1672"/>
      <c r="K58" s="1672"/>
      <c r="L58" s="1672"/>
      <c r="M58" s="1672"/>
      <c r="N58" s="1673"/>
    </row>
    <row r="59" spans="1:14" s="1122" customFormat="1" ht="12">
      <c r="A59" s="2865"/>
      <c r="B59" s="1694" t="s">
        <v>4734</v>
      </c>
      <c r="C59" s="1695" t="s">
        <v>4772</v>
      </c>
      <c r="D59" s="1696">
        <v>1</v>
      </c>
      <c r="E59" s="1697"/>
      <c r="F59" s="1698"/>
      <c r="G59" s="1699"/>
      <c r="H59" s="1699"/>
      <c r="I59" s="1699"/>
      <c r="J59" s="1699"/>
      <c r="K59" s="1699"/>
      <c r="L59" s="1699"/>
      <c r="M59" s="1699"/>
      <c r="N59" s="2498"/>
    </row>
    <row r="60" spans="1:14" s="1122" customFormat="1" ht="12">
      <c r="A60" s="1700"/>
      <c r="B60" s="2854" t="s">
        <v>4773</v>
      </c>
      <c r="C60" s="2855"/>
      <c r="D60" s="1701"/>
      <c r="E60" s="1702"/>
      <c r="F60" s="1703">
        <f>SUM(G60:N60)</f>
        <v>0</v>
      </c>
      <c r="G60" s="1704">
        <f>SUM(G46:G59)</f>
        <v>0</v>
      </c>
      <c r="H60" s="1704">
        <f t="shared" ref="H60:N60" si="24">SUM(H46:H59)</f>
        <v>0</v>
      </c>
      <c r="I60" s="1704">
        <f t="shared" si="24"/>
        <v>0</v>
      </c>
      <c r="J60" s="1704">
        <f t="shared" si="24"/>
        <v>0</v>
      </c>
      <c r="K60" s="1704">
        <f t="shared" si="24"/>
        <v>0</v>
      </c>
      <c r="L60" s="1704">
        <f t="shared" si="24"/>
        <v>0</v>
      </c>
      <c r="M60" s="1704">
        <f t="shared" si="24"/>
        <v>0</v>
      </c>
      <c r="N60" s="1705">
        <f t="shared" si="24"/>
        <v>0</v>
      </c>
    </row>
    <row r="61" spans="1:14" s="1122" customFormat="1" ht="12" hidden="1">
      <c r="A61" s="1700"/>
      <c r="B61" s="2854" t="s">
        <v>4774</v>
      </c>
      <c r="C61" s="2855"/>
      <c r="D61" s="1701"/>
      <c r="E61" s="1702"/>
      <c r="F61" s="1703">
        <f>SUM(G61:N61)</f>
        <v>0</v>
      </c>
      <c r="G61" s="1706">
        <f>IF(G58="",IF(G13+G21=0,IF(G8=G85,G60,0),0),0)</f>
        <v>0</v>
      </c>
      <c r="H61" s="1706">
        <f t="shared" ref="H61:N61" si="25">IF(H58="",IF(H13+H21=0,IF(H8=H85,H60,0),0),0)</f>
        <v>0</v>
      </c>
      <c r="I61" s="1706">
        <f t="shared" si="25"/>
        <v>0</v>
      </c>
      <c r="J61" s="1706">
        <f t="shared" si="25"/>
        <v>0</v>
      </c>
      <c r="K61" s="1706">
        <f t="shared" si="25"/>
        <v>0</v>
      </c>
      <c r="L61" s="1706">
        <f t="shared" si="25"/>
        <v>0</v>
      </c>
      <c r="M61" s="1706">
        <f t="shared" si="25"/>
        <v>0</v>
      </c>
      <c r="N61" s="1706">
        <f t="shared" si="25"/>
        <v>0</v>
      </c>
    </row>
    <row r="62" spans="1:14" s="1122" customFormat="1" ht="13.5" hidden="1" customHeight="1">
      <c r="A62" s="1700"/>
      <c r="B62" s="2854" t="s">
        <v>4775</v>
      </c>
      <c r="C62" s="2855"/>
      <c r="D62" s="1701"/>
      <c r="E62" s="1702"/>
      <c r="F62" s="1703">
        <f>SUM(G62:N62)</f>
        <v>0</v>
      </c>
      <c r="G62" s="1707">
        <f t="shared" ref="G62:N62" si="26">G12-(G42+G43)</f>
        <v>0</v>
      </c>
      <c r="H62" s="1707">
        <f t="shared" si="26"/>
        <v>0</v>
      </c>
      <c r="I62" s="1707">
        <f t="shared" si="26"/>
        <v>0</v>
      </c>
      <c r="J62" s="1707">
        <f t="shared" si="26"/>
        <v>0</v>
      </c>
      <c r="K62" s="1707">
        <f t="shared" si="26"/>
        <v>0</v>
      </c>
      <c r="L62" s="1707">
        <f t="shared" si="26"/>
        <v>0</v>
      </c>
      <c r="M62" s="1707">
        <f t="shared" si="26"/>
        <v>0</v>
      </c>
      <c r="N62" s="1707">
        <f t="shared" si="26"/>
        <v>0</v>
      </c>
    </row>
    <row r="63" spans="1:14" s="1122" customFormat="1" ht="12" hidden="1">
      <c r="A63" s="1700"/>
      <c r="B63" s="2854" t="s">
        <v>4776</v>
      </c>
      <c r="C63" s="2855"/>
      <c r="D63" s="1701"/>
      <c r="E63" s="1702"/>
      <c r="F63" s="1703">
        <f>SUM(G63:N63)</f>
        <v>0</v>
      </c>
      <c r="G63" s="1704">
        <f>IF($F$61=0,0,(IF(G61=0,INT(G62/$F62*$F61),0)))</f>
        <v>0</v>
      </c>
      <c r="H63" s="1704">
        <f t="shared" ref="H63:N63" si="27">IF($F$61=0,0,(IF(H61=0,INT(H62/$F62*$F61),0)))</f>
        <v>0</v>
      </c>
      <c r="I63" s="1704">
        <f t="shared" si="27"/>
        <v>0</v>
      </c>
      <c r="J63" s="1704">
        <f t="shared" si="27"/>
        <v>0</v>
      </c>
      <c r="K63" s="1704">
        <f t="shared" si="27"/>
        <v>0</v>
      </c>
      <c r="L63" s="1704">
        <f t="shared" si="27"/>
        <v>0</v>
      </c>
      <c r="M63" s="1704">
        <f t="shared" si="27"/>
        <v>0</v>
      </c>
      <c r="N63" s="1704">
        <f t="shared" si="27"/>
        <v>0</v>
      </c>
    </row>
    <row r="64" spans="1:14" s="1122" customFormat="1" ht="12" hidden="1">
      <c r="A64" s="1700"/>
      <c r="B64" s="2854" t="s">
        <v>4777</v>
      </c>
      <c r="C64" s="2855"/>
      <c r="D64" s="1701"/>
      <c r="E64" s="1702"/>
      <c r="F64" s="1703">
        <f>F61-F63</f>
        <v>0</v>
      </c>
      <c r="G64" s="1704">
        <f>IF($F64=0,0,IF(G63=0,0,$F64))</f>
        <v>0</v>
      </c>
      <c r="H64" s="1704">
        <f>IF($F64=0,0,IF(H63=0,0,IF(SUM($G64:G64)=0,$F64,0)))</f>
        <v>0</v>
      </c>
      <c r="I64" s="1704">
        <f>IF($F64=0,0,IF(I63=0,0,IF(SUM($G64:H64)=0,$F64,0)))</f>
        <v>0</v>
      </c>
      <c r="J64" s="1704">
        <f>IF($F64=0,0,IF(J63=0,0,IF(SUM($G64:I64)=0,$F64,0)))</f>
        <v>0</v>
      </c>
      <c r="K64" s="1704">
        <f>IF($F64=0,0,IF(K63=0,0,IF(SUM($G64:J64)=0,$F64,0)))</f>
        <v>0</v>
      </c>
      <c r="L64" s="1704">
        <f>IF($F64=0,0,IF(L63=0,0,IF(SUM($G64:K64)=0,$F64,0)))</f>
        <v>0</v>
      </c>
      <c r="M64" s="1704">
        <f>IF($F64=0,0,IF(M63=0,0,IF(SUM($G64:L64)=0,$F64,0)))</f>
        <v>0</v>
      </c>
      <c r="N64" s="1704">
        <f>IF($F64=0,0,IF(N63=0,0,IF(SUM($G64:M64)=0,$F64,0)))</f>
        <v>0</v>
      </c>
    </row>
    <row r="65" spans="1:14" s="1122" customFormat="1" ht="13.5" customHeight="1">
      <c r="A65" s="1700"/>
      <c r="B65" s="2856" t="s">
        <v>4778</v>
      </c>
      <c r="C65" s="2857"/>
      <c r="D65" s="1708"/>
      <c r="E65" s="1709"/>
      <c r="F65" s="1703">
        <f>SUM(G65:N65)</f>
        <v>0</v>
      </c>
      <c r="G65" s="1710">
        <f>IF(G58="",IF(G13+G21=0,IF(G8=G85,0,G60+G63+G64),G60+G63+G64),G58)</f>
        <v>0</v>
      </c>
      <c r="H65" s="1710">
        <f t="shared" ref="H65:N65" si="28">IF(H58="",IF(H13+H21=0,IF(H8=H85,0,H60+H63+H64),H60+H63+H64),H58)</f>
        <v>0</v>
      </c>
      <c r="I65" s="1710">
        <f t="shared" si="28"/>
        <v>0</v>
      </c>
      <c r="J65" s="1710">
        <f t="shared" si="28"/>
        <v>0</v>
      </c>
      <c r="K65" s="1710">
        <f t="shared" si="28"/>
        <v>0</v>
      </c>
      <c r="L65" s="1710">
        <f t="shared" si="28"/>
        <v>0</v>
      </c>
      <c r="M65" s="1710">
        <f t="shared" si="28"/>
        <v>0</v>
      </c>
      <c r="N65" s="1710">
        <f t="shared" si="28"/>
        <v>0</v>
      </c>
    </row>
    <row r="66" spans="1:14" s="1122" customFormat="1" ht="12">
      <c r="A66" s="1711" t="s">
        <v>4779</v>
      </c>
      <c r="B66" s="1712"/>
      <c r="C66" s="1712"/>
      <c r="D66" s="1713"/>
      <c r="E66" s="1714" t="s">
        <v>4780</v>
      </c>
      <c r="F66" s="1715">
        <f>SUM(G66:N66)</f>
        <v>0</v>
      </c>
      <c r="G66" s="1716">
        <f t="shared" ref="G66:N66" si="29">G12-G44+G65</f>
        <v>0</v>
      </c>
      <c r="H66" s="1716">
        <f t="shared" si="29"/>
        <v>0</v>
      </c>
      <c r="I66" s="1716">
        <f t="shared" si="29"/>
        <v>0</v>
      </c>
      <c r="J66" s="1716">
        <f t="shared" si="29"/>
        <v>0</v>
      </c>
      <c r="K66" s="1716">
        <f t="shared" si="29"/>
        <v>0</v>
      </c>
      <c r="L66" s="1716">
        <f t="shared" si="29"/>
        <v>0</v>
      </c>
      <c r="M66" s="1716">
        <f t="shared" si="29"/>
        <v>0</v>
      </c>
      <c r="N66" s="1716">
        <f t="shared" si="29"/>
        <v>0</v>
      </c>
    </row>
    <row r="67" spans="1:14" s="1122" customFormat="1" ht="12">
      <c r="A67" s="1717"/>
      <c r="B67" s="2858" t="s">
        <v>4781</v>
      </c>
      <c r="C67" s="2859"/>
      <c r="D67" s="2499"/>
      <c r="E67" s="2500"/>
      <c r="F67" s="2501"/>
      <c r="G67" s="2502"/>
      <c r="H67" s="2502"/>
      <c r="I67" s="2502"/>
      <c r="J67" s="2502"/>
      <c r="K67" s="2502"/>
      <c r="L67" s="2502"/>
      <c r="M67" s="2502"/>
      <c r="N67" s="2503"/>
    </row>
    <row r="68" spans="1:14" s="1122" customFormat="1" ht="13.5" customHeight="1">
      <c r="A68" s="1717"/>
      <c r="B68" s="1718" t="s">
        <v>4782</v>
      </c>
      <c r="C68" s="1719"/>
      <c r="D68" s="1720"/>
      <c r="E68" s="1721"/>
      <c r="F68" s="1722">
        <f>+F460-F247</f>
        <v>0</v>
      </c>
      <c r="G68" s="1722">
        <f>+G462-G248</f>
        <v>0</v>
      </c>
      <c r="H68" s="1722">
        <f t="shared" ref="H68:N68" si="30">+H462-H248</f>
        <v>0</v>
      </c>
      <c r="I68" s="1722">
        <f t="shared" si="30"/>
        <v>0</v>
      </c>
      <c r="J68" s="1722">
        <f t="shared" si="30"/>
        <v>0</v>
      </c>
      <c r="K68" s="1722">
        <f t="shared" si="30"/>
        <v>0</v>
      </c>
      <c r="L68" s="1722">
        <f t="shared" si="30"/>
        <v>0</v>
      </c>
      <c r="M68" s="1722">
        <f t="shared" si="30"/>
        <v>0</v>
      </c>
      <c r="N68" s="1722">
        <f t="shared" si="30"/>
        <v>0</v>
      </c>
    </row>
    <row r="69" spans="1:14" s="1122" customFormat="1" ht="13.5" hidden="1" customHeight="1">
      <c r="A69" s="1700"/>
      <c r="B69" s="2860" t="s">
        <v>4774</v>
      </c>
      <c r="C69" s="2861"/>
      <c r="D69" s="1723"/>
      <c r="E69" s="1724"/>
      <c r="F69" s="1725">
        <f>SUM(G69:N69)</f>
        <v>0</v>
      </c>
      <c r="G69" s="1726">
        <f t="shared" ref="G69:N69" si="31">IF(G66=0,G68,0)</f>
        <v>0</v>
      </c>
      <c r="H69" s="1726">
        <f t="shared" si="31"/>
        <v>0</v>
      </c>
      <c r="I69" s="1704">
        <f t="shared" si="31"/>
        <v>0</v>
      </c>
      <c r="J69" s="1704">
        <f t="shared" si="31"/>
        <v>0</v>
      </c>
      <c r="K69" s="1704">
        <f t="shared" si="31"/>
        <v>0</v>
      </c>
      <c r="L69" s="1704">
        <f t="shared" si="31"/>
        <v>0</v>
      </c>
      <c r="M69" s="1704">
        <f t="shared" si="31"/>
        <v>0</v>
      </c>
      <c r="N69" s="1704">
        <f t="shared" si="31"/>
        <v>0</v>
      </c>
    </row>
    <row r="70" spans="1:14" s="1122" customFormat="1" ht="13.5" hidden="1" customHeight="1">
      <c r="A70" s="1700"/>
      <c r="B70" s="2860" t="s">
        <v>4783</v>
      </c>
      <c r="C70" s="2861"/>
      <c r="D70" s="1723"/>
      <c r="E70" s="1724"/>
      <c r="F70" s="1725">
        <f>SUM(G70:N70)</f>
        <v>0</v>
      </c>
      <c r="G70" s="1726">
        <f>IF(G67=0,G66,G66-(G42+G43+G58))</f>
        <v>0</v>
      </c>
      <c r="H70" s="1726">
        <f t="shared" ref="H70:N70" si="32">IF(H67=0,H66,H66-(H42+H43+H58))</f>
        <v>0</v>
      </c>
      <c r="I70" s="1704">
        <f t="shared" si="32"/>
        <v>0</v>
      </c>
      <c r="J70" s="1704">
        <f t="shared" si="32"/>
        <v>0</v>
      </c>
      <c r="K70" s="1704">
        <f t="shared" si="32"/>
        <v>0</v>
      </c>
      <c r="L70" s="1704">
        <f t="shared" si="32"/>
        <v>0</v>
      </c>
      <c r="M70" s="1704">
        <f t="shared" si="32"/>
        <v>0</v>
      </c>
      <c r="N70" s="1704">
        <f t="shared" si="32"/>
        <v>0</v>
      </c>
    </row>
    <row r="71" spans="1:14" s="1122" customFormat="1" ht="13.5" hidden="1" customHeight="1">
      <c r="A71" s="1700"/>
      <c r="B71" s="2860" t="s">
        <v>4784</v>
      </c>
      <c r="C71" s="2861"/>
      <c r="D71" s="1723"/>
      <c r="E71" s="1724"/>
      <c r="F71" s="1725">
        <f>SUM(G71:N71)</f>
        <v>0</v>
      </c>
      <c r="G71" s="1707">
        <f t="shared" ref="G71:N71" si="33">IF($F$69=0,0,(INT(G70/$F70*$F69)))</f>
        <v>0</v>
      </c>
      <c r="H71" s="1707">
        <f t="shared" si="33"/>
        <v>0</v>
      </c>
      <c r="I71" s="1727">
        <f t="shared" si="33"/>
        <v>0</v>
      </c>
      <c r="J71" s="1727">
        <f t="shared" si="33"/>
        <v>0</v>
      </c>
      <c r="K71" s="1727">
        <f t="shared" si="33"/>
        <v>0</v>
      </c>
      <c r="L71" s="1727">
        <f t="shared" si="33"/>
        <v>0</v>
      </c>
      <c r="M71" s="1727">
        <f t="shared" si="33"/>
        <v>0</v>
      </c>
      <c r="N71" s="1727">
        <f t="shared" si="33"/>
        <v>0</v>
      </c>
    </row>
    <row r="72" spans="1:14" s="1122" customFormat="1" ht="13.5" hidden="1" customHeight="1">
      <c r="A72" s="1700"/>
      <c r="B72" s="2860" t="s">
        <v>4785</v>
      </c>
      <c r="C72" s="2861"/>
      <c r="D72" s="1723"/>
      <c r="E72" s="1724"/>
      <c r="F72" s="1725">
        <f>F69-F71</f>
        <v>0</v>
      </c>
      <c r="G72" s="1726">
        <f>IF($F72=0,0,IF(G71=0,0,$F72))</f>
        <v>0</v>
      </c>
      <c r="H72" s="1726">
        <f>IF($F72=0,0,IF(H71=0,0,IF(SUM($G72:G72)=0,$F72,0)))</f>
        <v>0</v>
      </c>
      <c r="I72" s="1704">
        <f>IF($F72=0,0,IF(I71=0,0,IF(SUM($G72:H72)=0,$F72,0)))</f>
        <v>0</v>
      </c>
      <c r="J72" s="1704">
        <f>IF($F72=0,0,IF(J71=0,0,IF(SUM($G72:I72)=0,$F72,0)))</f>
        <v>0</v>
      </c>
      <c r="K72" s="1704">
        <f>IF($F72=0,0,IF(K71=0,0,IF(SUM($G72:J72)=0,$F72,0)))</f>
        <v>0</v>
      </c>
      <c r="L72" s="1704">
        <f>IF($F72=0,0,IF(L71=0,0,IF(SUM($G72:K72)=0,$F72,0)))</f>
        <v>0</v>
      </c>
      <c r="M72" s="1704">
        <f>IF($F72=0,0,IF(M71=0,0,IF(SUM($G72:K72)=0,$F72,0)))</f>
        <v>0</v>
      </c>
      <c r="N72" s="1704">
        <f>IF($F72=0,0,IF(N71=0,0,IF(SUM($G72:M72)=0,$F72,0)))</f>
        <v>0</v>
      </c>
    </row>
    <row r="73" spans="1:14" s="1122" customFormat="1" ht="13.5" customHeight="1">
      <c r="A73" s="1717"/>
      <c r="B73" s="1728" t="s">
        <v>4786</v>
      </c>
      <c r="C73" s="1729"/>
      <c r="D73" s="1730"/>
      <c r="E73" s="1731"/>
      <c r="F73" s="1732">
        <f t="shared" ref="F73:F79" si="34">SUM(G73:N73)</f>
        <v>0</v>
      </c>
      <c r="G73" s="1733">
        <f t="shared" ref="G73:N73" si="35">IF(G66=0,0,G68+G71+G72)</f>
        <v>0</v>
      </c>
      <c r="H73" s="1733">
        <f t="shared" si="35"/>
        <v>0</v>
      </c>
      <c r="I73" s="1734">
        <f t="shared" si="35"/>
        <v>0</v>
      </c>
      <c r="J73" s="1734">
        <f t="shared" si="35"/>
        <v>0</v>
      </c>
      <c r="K73" s="1734">
        <f t="shared" si="35"/>
        <v>0</v>
      </c>
      <c r="L73" s="1734">
        <f t="shared" si="35"/>
        <v>0</v>
      </c>
      <c r="M73" s="1734">
        <f t="shared" si="35"/>
        <v>0</v>
      </c>
      <c r="N73" s="1735">
        <f t="shared" si="35"/>
        <v>0</v>
      </c>
    </row>
    <row r="74" spans="1:14" s="1122" customFormat="1" ht="13.5" customHeight="1">
      <c r="A74" s="1717"/>
      <c r="B74" s="1736" t="s">
        <v>4787</v>
      </c>
      <c r="C74" s="1737"/>
      <c r="D74" s="1738"/>
      <c r="E74" s="1739"/>
      <c r="F74" s="1740" t="e">
        <f>SUM(G74:N74)</f>
        <v>#DIV/0!</v>
      </c>
      <c r="G74" s="1741" t="e">
        <f>G73-(G75-G77)</f>
        <v>#DIV/0!</v>
      </c>
      <c r="H74" s="1741" t="e">
        <f t="shared" ref="H74:N74" si="36">H73-(H75-H77)</f>
        <v>#DIV/0!</v>
      </c>
      <c r="I74" s="1710" t="e">
        <f t="shared" si="36"/>
        <v>#DIV/0!</v>
      </c>
      <c r="J74" s="1710" t="e">
        <f t="shared" si="36"/>
        <v>#DIV/0!</v>
      </c>
      <c r="K74" s="1710" t="e">
        <f t="shared" si="36"/>
        <v>#DIV/0!</v>
      </c>
      <c r="L74" s="1710" t="e">
        <f t="shared" si="36"/>
        <v>#DIV/0!</v>
      </c>
      <c r="M74" s="1710" t="e">
        <f t="shared" si="36"/>
        <v>#DIV/0!</v>
      </c>
      <c r="N74" s="1742" t="e">
        <f t="shared" si="36"/>
        <v>#DIV/0!</v>
      </c>
    </row>
    <row r="75" spans="1:14" s="1122" customFormat="1" ht="13.5" customHeight="1" thickBot="1">
      <c r="A75" s="1743" t="s">
        <v>255</v>
      </c>
      <c r="B75" s="1744"/>
      <c r="C75" s="1745"/>
      <c r="D75" s="1746"/>
      <c r="E75" s="1747"/>
      <c r="F75" s="1748">
        <f t="shared" si="34"/>
        <v>0</v>
      </c>
      <c r="G75" s="1749">
        <f t="shared" ref="G75:N75" si="37">+G12+G65+G73</f>
        <v>0</v>
      </c>
      <c r="H75" s="1749">
        <f t="shared" si="37"/>
        <v>0</v>
      </c>
      <c r="I75" s="1749">
        <f t="shared" si="37"/>
        <v>0</v>
      </c>
      <c r="J75" s="1749">
        <f t="shared" si="37"/>
        <v>0</v>
      </c>
      <c r="K75" s="1749">
        <f t="shared" si="37"/>
        <v>0</v>
      </c>
      <c r="L75" s="1749">
        <f t="shared" si="37"/>
        <v>0</v>
      </c>
      <c r="M75" s="1749">
        <f t="shared" si="37"/>
        <v>0</v>
      </c>
      <c r="N75" s="1750">
        <f t="shared" si="37"/>
        <v>0</v>
      </c>
    </row>
    <row r="76" spans="1:14" s="1122" customFormat="1" ht="13.5" customHeight="1" thickTop="1">
      <c r="A76" s="1751" t="s">
        <v>4788</v>
      </c>
      <c r="B76" s="1752"/>
      <c r="C76" s="1752"/>
      <c r="D76" s="1753"/>
      <c r="E76" s="1754"/>
      <c r="F76" s="1755">
        <f t="shared" si="34"/>
        <v>0</v>
      </c>
      <c r="G76" s="1756">
        <f t="shared" ref="G76:N76" si="38">IF(G75&lt;0,ROUNDUP(G75,-3),ROUNDDOWN(G75,-3))</f>
        <v>0</v>
      </c>
      <c r="H76" s="1756">
        <f t="shared" si="38"/>
        <v>0</v>
      </c>
      <c r="I76" s="1756">
        <f t="shared" si="38"/>
        <v>0</v>
      </c>
      <c r="J76" s="1756">
        <f t="shared" si="38"/>
        <v>0</v>
      </c>
      <c r="K76" s="1756">
        <f t="shared" si="38"/>
        <v>0</v>
      </c>
      <c r="L76" s="1756">
        <f t="shared" si="38"/>
        <v>0</v>
      </c>
      <c r="M76" s="1756">
        <f t="shared" si="38"/>
        <v>0</v>
      </c>
      <c r="N76" s="1757">
        <f t="shared" si="38"/>
        <v>0</v>
      </c>
    </row>
    <row r="77" spans="1:14" s="1122" customFormat="1" ht="13.5" customHeight="1">
      <c r="A77" s="1758" t="s">
        <v>4789</v>
      </c>
      <c r="B77" s="1759"/>
      <c r="C77" s="1759"/>
      <c r="D77" s="1760"/>
      <c r="E77" s="1761">
        <f>ROUNDDOWN(F76,4-LEN(F75))</f>
        <v>0</v>
      </c>
      <c r="F77" s="1762">
        <f>ROUNDDOWN(F76,4-LEN(F75))</f>
        <v>0</v>
      </c>
      <c r="G77" s="1763" t="e">
        <f>F77-SUM(H77:N77)</f>
        <v>#DIV/0!</v>
      </c>
      <c r="H77" s="1764" t="e">
        <f>IF(H67="",+H76-ROUND(($F$76-$E$77)*H75/$F$75,-3),H75)</f>
        <v>#DIV/0!</v>
      </c>
      <c r="I77" s="1764" t="e">
        <f t="shared" ref="I77:N77" si="39">IF(I67="",+I76-ROUND(($F$76-$E$77)*I75/$F$75,-3),I75)</f>
        <v>#DIV/0!</v>
      </c>
      <c r="J77" s="1764" t="e">
        <f t="shared" si="39"/>
        <v>#DIV/0!</v>
      </c>
      <c r="K77" s="1764" t="e">
        <f t="shared" si="39"/>
        <v>#DIV/0!</v>
      </c>
      <c r="L77" s="1764" t="e">
        <f t="shared" si="39"/>
        <v>#DIV/0!</v>
      </c>
      <c r="M77" s="1764" t="e">
        <f t="shared" si="39"/>
        <v>#DIV/0!</v>
      </c>
      <c r="N77" s="1765" t="e">
        <f t="shared" si="39"/>
        <v>#DIV/0!</v>
      </c>
    </row>
    <row r="78" spans="1:14" s="1122" customFormat="1" ht="13.5" customHeight="1">
      <c r="A78" s="1766"/>
      <c r="B78" s="2871" t="s">
        <v>4790</v>
      </c>
      <c r="C78" s="1767" t="s">
        <v>4791</v>
      </c>
      <c r="D78" s="1768"/>
      <c r="E78" s="1768"/>
      <c r="F78" s="1769">
        <f t="shared" si="34"/>
        <v>0</v>
      </c>
      <c r="G78" s="1770">
        <f t="shared" ref="G78:N78" si="40">+G12</f>
        <v>0</v>
      </c>
      <c r="H78" s="1770">
        <f t="shared" si="40"/>
        <v>0</v>
      </c>
      <c r="I78" s="1770">
        <f t="shared" si="40"/>
        <v>0</v>
      </c>
      <c r="J78" s="1770">
        <f t="shared" si="40"/>
        <v>0</v>
      </c>
      <c r="K78" s="1770">
        <f t="shared" si="40"/>
        <v>0</v>
      </c>
      <c r="L78" s="1770">
        <f t="shared" si="40"/>
        <v>0</v>
      </c>
      <c r="M78" s="1770">
        <f t="shared" si="40"/>
        <v>0</v>
      </c>
      <c r="N78" s="1771">
        <f t="shared" si="40"/>
        <v>0</v>
      </c>
    </row>
    <row r="79" spans="1:14" s="1122" customFormat="1" ht="13.5" customHeight="1">
      <c r="A79" s="1737"/>
      <c r="B79" s="2872"/>
      <c r="C79" s="1737" t="s">
        <v>4792</v>
      </c>
      <c r="D79" s="1738"/>
      <c r="E79" s="1738"/>
      <c r="F79" s="1772" t="e">
        <f t="shared" si="34"/>
        <v>#DIV/0!</v>
      </c>
      <c r="G79" s="1773" t="e">
        <f>+G77-G78</f>
        <v>#DIV/0!</v>
      </c>
      <c r="H79" s="1773" t="e">
        <f t="shared" ref="H79:N79" si="41">+H77-H78</f>
        <v>#DIV/0!</v>
      </c>
      <c r="I79" s="1773" t="e">
        <f t="shared" si="41"/>
        <v>#DIV/0!</v>
      </c>
      <c r="J79" s="1773" t="e">
        <f t="shared" si="41"/>
        <v>#DIV/0!</v>
      </c>
      <c r="K79" s="1773" t="e">
        <f t="shared" si="41"/>
        <v>#DIV/0!</v>
      </c>
      <c r="L79" s="1773" t="e">
        <f t="shared" si="41"/>
        <v>#DIV/0!</v>
      </c>
      <c r="M79" s="1773" t="e">
        <f t="shared" si="41"/>
        <v>#DIV/0!</v>
      </c>
      <c r="N79" s="1774" t="e">
        <f t="shared" si="41"/>
        <v>#DIV/0!</v>
      </c>
    </row>
    <row r="80" spans="1:14" s="1122" customFormat="1" ht="13.5" hidden="1" customHeight="1">
      <c r="A80" s="1775" t="s">
        <v>4793</v>
      </c>
      <c r="B80" s="1776"/>
      <c r="C80" s="1777">
        <f>ROUNDDOWN(F76,4-LEN(F75))</f>
        <v>0</v>
      </c>
      <c r="D80" s="1776"/>
      <c r="E80" s="1778" t="s">
        <v>4794</v>
      </c>
      <c r="F80" s="1777">
        <f>SUM(G80:N80)</f>
        <v>0</v>
      </c>
      <c r="G80" s="1779">
        <f t="shared" ref="G80:N80" si="42">IF(G75&lt;0,ROUNDUP(G75*$G$2,-3),ROUNDDOWN(G75*$G$2,-3))</f>
        <v>0</v>
      </c>
      <c r="H80" s="1779">
        <f t="shared" si="42"/>
        <v>0</v>
      </c>
      <c r="I80" s="1779">
        <f t="shared" si="42"/>
        <v>0</v>
      </c>
      <c r="J80" s="1779">
        <f t="shared" si="42"/>
        <v>0</v>
      </c>
      <c r="K80" s="1779">
        <f t="shared" si="42"/>
        <v>0</v>
      </c>
      <c r="L80" s="1779">
        <f t="shared" si="42"/>
        <v>0</v>
      </c>
      <c r="M80" s="1779">
        <f t="shared" si="42"/>
        <v>0</v>
      </c>
      <c r="N80" s="1779">
        <f t="shared" si="42"/>
        <v>0</v>
      </c>
    </row>
    <row r="81" spans="1:14" s="1122" customFormat="1" ht="13.5" hidden="1" customHeight="1">
      <c r="A81" s="1780"/>
      <c r="B81" s="2873" t="s">
        <v>4790</v>
      </c>
      <c r="C81" s="1776" t="s">
        <v>4791</v>
      </c>
      <c r="D81" s="1776"/>
      <c r="E81" s="1776"/>
      <c r="F81" s="1777">
        <f>SUM(G81:N81)</f>
        <v>0</v>
      </c>
      <c r="G81" s="1779">
        <f t="shared" ref="G81:N81" si="43">IF(G78&lt;0,ROUNDDOWN(G78*$G$2,0),ROUNDUP(G78*$G$2,0))</f>
        <v>0</v>
      </c>
      <c r="H81" s="1779">
        <f t="shared" si="43"/>
        <v>0</v>
      </c>
      <c r="I81" s="1779">
        <f t="shared" si="43"/>
        <v>0</v>
      </c>
      <c r="J81" s="1779">
        <f t="shared" si="43"/>
        <v>0</v>
      </c>
      <c r="K81" s="1779">
        <f t="shared" si="43"/>
        <v>0</v>
      </c>
      <c r="L81" s="1779">
        <f t="shared" si="43"/>
        <v>0</v>
      </c>
      <c r="M81" s="1779">
        <f t="shared" si="43"/>
        <v>0</v>
      </c>
      <c r="N81" s="1779">
        <f t="shared" si="43"/>
        <v>0</v>
      </c>
    </row>
    <row r="82" spans="1:14" s="1122" customFormat="1" ht="13.5" hidden="1" customHeight="1">
      <c r="A82" s="1776"/>
      <c r="B82" s="2873"/>
      <c r="C82" s="1776" t="s">
        <v>4792</v>
      </c>
      <c r="D82" s="1776"/>
      <c r="E82" s="1776"/>
      <c r="F82" s="1777">
        <f>SUM(G82:N82)</f>
        <v>0</v>
      </c>
      <c r="G82" s="1779">
        <f t="shared" ref="G82:N82" si="44">+G80-G81</f>
        <v>0</v>
      </c>
      <c r="H82" s="1779">
        <f t="shared" si="44"/>
        <v>0</v>
      </c>
      <c r="I82" s="1779">
        <f t="shared" si="44"/>
        <v>0</v>
      </c>
      <c r="J82" s="1779">
        <f t="shared" si="44"/>
        <v>0</v>
      </c>
      <c r="K82" s="1779">
        <f t="shared" si="44"/>
        <v>0</v>
      </c>
      <c r="L82" s="1779">
        <f t="shared" si="44"/>
        <v>0</v>
      </c>
      <c r="M82" s="1779">
        <f t="shared" si="44"/>
        <v>0</v>
      </c>
      <c r="N82" s="1779">
        <f t="shared" si="44"/>
        <v>0</v>
      </c>
    </row>
    <row r="83" spans="1:14" s="1625" customFormat="1" ht="13.5" customHeight="1">
      <c r="A83" s="1781"/>
      <c r="B83" s="1781"/>
      <c r="C83" s="1782"/>
      <c r="D83" s="1783"/>
      <c r="E83" s="1784" t="s">
        <v>242</v>
      </c>
      <c r="F83" s="1785">
        <f>+F1</f>
        <v>0</v>
      </c>
      <c r="G83" s="1786"/>
      <c r="H83" s="1787"/>
      <c r="I83" s="1788"/>
      <c r="J83" s="652"/>
      <c r="K83" s="652"/>
      <c r="L83" s="652"/>
      <c r="M83" s="652"/>
      <c r="N83" s="1598" t="s">
        <v>4710</v>
      </c>
    </row>
    <row r="84" spans="1:14" s="759" customFormat="1" ht="13.5" customHeight="1">
      <c r="A84" s="655"/>
      <c r="B84" s="655"/>
      <c r="C84" s="1789" t="str">
        <f>IF(OR(G84="無し",G84="なし"),"共通費集計表","随契諸経費集計表")</f>
        <v>共通費集計表</v>
      </c>
      <c r="D84" s="657"/>
      <c r="E84" s="646"/>
      <c r="F84" s="645" t="s">
        <v>4795</v>
      </c>
      <c r="G84" s="1790" t="s">
        <v>4796</v>
      </c>
      <c r="H84" s="1791"/>
      <c r="J84" s="651"/>
      <c r="K84" s="651"/>
      <c r="L84" s="651"/>
      <c r="M84" s="645"/>
      <c r="N84" s="659"/>
    </row>
    <row r="85" spans="1:14" s="1625" customFormat="1" ht="13.5" customHeight="1">
      <c r="A85" s="884"/>
      <c r="B85" s="885"/>
      <c r="C85" s="662" t="s">
        <v>3941</v>
      </c>
      <c r="D85" s="663"/>
      <c r="E85" s="664"/>
      <c r="F85" s="665" t="s">
        <v>3942</v>
      </c>
      <c r="G85" s="1792"/>
      <c r="H85" s="1792"/>
      <c r="I85" s="1792"/>
      <c r="J85" s="1792"/>
      <c r="K85" s="1792"/>
      <c r="L85" s="1792"/>
      <c r="M85" s="1792"/>
      <c r="N85" s="1793"/>
    </row>
    <row r="86" spans="1:14" s="1625" customFormat="1" ht="13.5" customHeight="1">
      <c r="A86" s="753"/>
      <c r="B86" s="754"/>
      <c r="C86" s="2496" t="s">
        <v>3943</v>
      </c>
      <c r="D86" s="2497"/>
      <c r="E86" s="1626"/>
      <c r="F86" s="1627" t="s">
        <v>4797</v>
      </c>
      <c r="G86" s="1794"/>
      <c r="H86" s="1794"/>
      <c r="I86" s="1794"/>
      <c r="J86" s="1794"/>
      <c r="K86" s="1794"/>
      <c r="L86" s="1794"/>
      <c r="M86" s="1794"/>
      <c r="N86" s="1795"/>
    </row>
    <row r="87" spans="1:14" s="759" customFormat="1" ht="13.5" customHeight="1">
      <c r="A87" s="753"/>
      <c r="B87" s="754"/>
      <c r="C87" s="754" t="s">
        <v>3946</v>
      </c>
      <c r="D87" s="754"/>
      <c r="E87" s="1796" t="s">
        <v>40</v>
      </c>
      <c r="F87" s="972" t="s">
        <v>3979</v>
      </c>
      <c r="G87" s="1797"/>
      <c r="H87" s="1798"/>
      <c r="I87" s="1798"/>
      <c r="J87" s="1798"/>
      <c r="K87" s="1798"/>
      <c r="L87" s="1798"/>
      <c r="M87" s="1798"/>
      <c r="N87" s="1799"/>
    </row>
    <row r="88" spans="1:14" s="759" customFormat="1" ht="13.5" customHeight="1">
      <c r="A88" s="753"/>
      <c r="B88" s="754"/>
      <c r="C88" s="754" t="s">
        <v>3948</v>
      </c>
      <c r="D88" s="754"/>
      <c r="E88" s="1796" t="s">
        <v>40</v>
      </c>
      <c r="F88" s="1800" t="s">
        <v>3949</v>
      </c>
      <c r="G88" s="1801"/>
      <c r="H88" s="1801"/>
      <c r="I88" s="1801"/>
      <c r="J88" s="1801"/>
      <c r="K88" s="1801"/>
      <c r="L88" s="1801"/>
      <c r="M88" s="1801"/>
      <c r="N88" s="1802"/>
    </row>
    <row r="89" spans="1:14" s="759" customFormat="1" ht="13.5" customHeight="1">
      <c r="A89" s="753"/>
      <c r="B89" s="754"/>
      <c r="C89" s="1630" t="s">
        <v>3950</v>
      </c>
      <c r="D89" s="1631"/>
      <c r="E89" s="1632"/>
      <c r="F89" s="1633"/>
      <c r="G89" s="1634" t="s">
        <v>4798</v>
      </c>
      <c r="H89" s="1634" t="s">
        <v>4798</v>
      </c>
      <c r="I89" s="1634" t="s">
        <v>4798</v>
      </c>
      <c r="J89" s="1634" t="s">
        <v>4798</v>
      </c>
      <c r="K89" s="1634" t="s">
        <v>4798</v>
      </c>
      <c r="L89" s="1634" t="s">
        <v>4798</v>
      </c>
      <c r="M89" s="1634"/>
      <c r="N89" s="1634"/>
    </row>
    <row r="90" spans="1:14" s="759" customFormat="1" ht="13.5" customHeight="1">
      <c r="A90" s="1636"/>
      <c r="B90" s="1637"/>
      <c r="C90" s="1638" t="s">
        <v>4756</v>
      </c>
      <c r="D90" s="1639"/>
      <c r="E90" s="1640"/>
      <c r="F90" s="1040"/>
      <c r="G90" s="1641" t="s">
        <v>4757</v>
      </c>
      <c r="H90" s="1641" t="s">
        <v>4757</v>
      </c>
      <c r="I90" s="1641" t="s">
        <v>4757</v>
      </c>
      <c r="J90" s="1641" t="s">
        <v>4757</v>
      </c>
      <c r="K90" s="1641" t="s">
        <v>4757</v>
      </c>
      <c r="L90" s="1641" t="s">
        <v>4757</v>
      </c>
      <c r="M90" s="1641" t="s">
        <v>4757</v>
      </c>
      <c r="N90" s="1642" t="s">
        <v>4757</v>
      </c>
    </row>
    <row r="91" spans="1:14" s="759" customFormat="1" ht="13.5" customHeight="1">
      <c r="A91" s="884"/>
      <c r="B91" s="1643" t="s">
        <v>3955</v>
      </c>
      <c r="C91" s="1644"/>
      <c r="D91" s="1644"/>
      <c r="E91" s="1645"/>
      <c r="F91" s="1646">
        <f>SUM(G91:N91)</f>
        <v>0</v>
      </c>
      <c r="G91" s="1647">
        <f>+G92+G96</f>
        <v>0</v>
      </c>
      <c r="H91" s="1647">
        <f>+H92+H96</f>
        <v>0</v>
      </c>
      <c r="I91" s="1647">
        <f t="shared" ref="I91:N91" si="45">+I92+I96</f>
        <v>0</v>
      </c>
      <c r="J91" s="1647">
        <f>+J92+J96</f>
        <v>0</v>
      </c>
      <c r="K91" s="1647">
        <f>+K92+K96</f>
        <v>0</v>
      </c>
      <c r="L91" s="1647">
        <f t="shared" si="45"/>
        <v>0</v>
      </c>
      <c r="M91" s="1647">
        <f t="shared" si="45"/>
        <v>0</v>
      </c>
      <c r="N91" s="1648">
        <f t="shared" si="45"/>
        <v>0</v>
      </c>
    </row>
    <row r="92" spans="1:14" s="759" customFormat="1" ht="13.5" customHeight="1">
      <c r="A92" s="753"/>
      <c r="B92" s="754"/>
      <c r="C92" s="580" t="s">
        <v>3956</v>
      </c>
      <c r="D92" s="581"/>
      <c r="E92" s="664"/>
      <c r="F92" s="995">
        <f>SUM(G92:N92)</f>
        <v>0</v>
      </c>
      <c r="G92" s="1803"/>
      <c r="H92" s="1803"/>
      <c r="I92" s="1803"/>
      <c r="J92" s="1803"/>
      <c r="K92" s="1803"/>
      <c r="L92" s="1803"/>
      <c r="M92" s="1803"/>
      <c r="N92" s="1804"/>
    </row>
    <row r="93" spans="1:14" s="759" customFormat="1" ht="13.5" customHeight="1">
      <c r="A93" s="753"/>
      <c r="B93" s="754"/>
      <c r="C93" s="1035"/>
      <c r="D93" s="1035"/>
      <c r="E93" s="756"/>
      <c r="F93" s="757" t="s">
        <v>3957</v>
      </c>
      <c r="G93" s="793">
        <f>SUM(G185:G194)</f>
        <v>0</v>
      </c>
      <c r="H93" s="793">
        <f t="shared" ref="H93:N93" si="46">SUM(H185:H194)</f>
        <v>0</v>
      </c>
      <c r="I93" s="793">
        <f t="shared" si="46"/>
        <v>0</v>
      </c>
      <c r="J93" s="793">
        <f>SUM(J185:J194)</f>
        <v>0</v>
      </c>
      <c r="K93" s="793">
        <f>SUM(K185:K194)</f>
        <v>0</v>
      </c>
      <c r="L93" s="793">
        <f t="shared" si="46"/>
        <v>0</v>
      </c>
      <c r="M93" s="793">
        <f t="shared" si="46"/>
        <v>0</v>
      </c>
      <c r="N93" s="794">
        <f t="shared" si="46"/>
        <v>0</v>
      </c>
    </row>
    <row r="94" spans="1:14" s="759" customFormat="1" ht="13.5" customHeight="1">
      <c r="A94" s="753"/>
      <c r="B94" s="754"/>
      <c r="C94" s="1035"/>
      <c r="D94" s="1035"/>
      <c r="E94" s="756"/>
      <c r="F94" s="757" t="s">
        <v>3958</v>
      </c>
      <c r="G94" s="793">
        <f>SUM(G232:G234)</f>
        <v>0</v>
      </c>
      <c r="H94" s="793">
        <f t="shared" ref="H94:N94" si="47">SUM(H232:H234)</f>
        <v>0</v>
      </c>
      <c r="I94" s="793">
        <f t="shared" si="47"/>
        <v>0</v>
      </c>
      <c r="J94" s="793">
        <f>SUM(J232:J234)</f>
        <v>0</v>
      </c>
      <c r="K94" s="793">
        <f>SUM(K232:K234)</f>
        <v>0</v>
      </c>
      <c r="L94" s="793">
        <f t="shared" si="47"/>
        <v>0</v>
      </c>
      <c r="M94" s="793">
        <f t="shared" si="47"/>
        <v>0</v>
      </c>
      <c r="N94" s="794">
        <f t="shared" si="47"/>
        <v>0</v>
      </c>
    </row>
    <row r="95" spans="1:14" s="759" customFormat="1" ht="13.5" customHeight="1">
      <c r="A95" s="753"/>
      <c r="B95" s="754"/>
      <c r="C95" s="1035"/>
      <c r="D95" s="1035"/>
      <c r="E95" s="756"/>
      <c r="F95" s="931" t="s">
        <v>3959</v>
      </c>
      <c r="G95" s="793">
        <f>+G134</f>
        <v>0</v>
      </c>
      <c r="H95" s="793">
        <f t="shared" ref="H95:N95" si="48">+H134</f>
        <v>0</v>
      </c>
      <c r="I95" s="793">
        <f t="shared" si="48"/>
        <v>0</v>
      </c>
      <c r="J95" s="793">
        <f t="shared" si="48"/>
        <v>0</v>
      </c>
      <c r="K95" s="793">
        <f>+K134</f>
        <v>0</v>
      </c>
      <c r="L95" s="793">
        <f t="shared" si="48"/>
        <v>0</v>
      </c>
      <c r="M95" s="793">
        <f t="shared" si="48"/>
        <v>0</v>
      </c>
      <c r="N95" s="794">
        <f t="shared" si="48"/>
        <v>0</v>
      </c>
    </row>
    <row r="96" spans="1:14" s="759" customFormat="1" ht="13.5" customHeight="1">
      <c r="A96" s="753"/>
      <c r="B96" s="754"/>
      <c r="C96" s="755" t="s">
        <v>3960</v>
      </c>
      <c r="D96" s="755"/>
      <c r="E96" s="756"/>
      <c r="F96" s="757">
        <f t="shared" ref="F96:F113" si="49">SUM(G96:N96)</f>
        <v>0</v>
      </c>
      <c r="G96" s="793">
        <f>G97+G98</f>
        <v>0</v>
      </c>
      <c r="H96" s="793">
        <f t="shared" ref="H96:N96" si="50">H97+H98</f>
        <v>0</v>
      </c>
      <c r="I96" s="793">
        <f t="shared" si="50"/>
        <v>0</v>
      </c>
      <c r="J96" s="793">
        <f t="shared" si="50"/>
        <v>0</v>
      </c>
      <c r="K96" s="793">
        <f>K97+K98</f>
        <v>0</v>
      </c>
      <c r="L96" s="793">
        <f t="shared" si="50"/>
        <v>0</v>
      </c>
      <c r="M96" s="793">
        <f t="shared" si="50"/>
        <v>0</v>
      </c>
      <c r="N96" s="794">
        <f t="shared" si="50"/>
        <v>0</v>
      </c>
    </row>
    <row r="97" spans="1:14" s="759" customFormat="1" ht="13.5" customHeight="1">
      <c r="A97" s="753"/>
      <c r="B97" s="754"/>
      <c r="C97" s="1651" t="s">
        <v>3961</v>
      </c>
      <c r="D97" s="755"/>
      <c r="E97" s="756"/>
      <c r="F97" s="757">
        <f t="shared" si="49"/>
        <v>0</v>
      </c>
      <c r="G97" s="793">
        <f>IF(G89="積上げ",0,G174)</f>
        <v>0</v>
      </c>
      <c r="H97" s="793">
        <f t="shared" ref="H97:N97" si="51">IF(H89="積上げ",0,H174)</f>
        <v>0</v>
      </c>
      <c r="I97" s="793">
        <f t="shared" si="51"/>
        <v>0</v>
      </c>
      <c r="J97" s="793">
        <f t="shared" si="51"/>
        <v>0</v>
      </c>
      <c r="K97" s="793">
        <f>IF(K89="積上げ",0,K174)</f>
        <v>0</v>
      </c>
      <c r="L97" s="793">
        <f t="shared" si="51"/>
        <v>0</v>
      </c>
      <c r="M97" s="793">
        <f t="shared" si="51"/>
        <v>0</v>
      </c>
      <c r="N97" s="794">
        <f t="shared" si="51"/>
        <v>0</v>
      </c>
    </row>
    <row r="98" spans="1:14" s="759" customFormat="1" ht="13.5" customHeight="1">
      <c r="A98" s="753"/>
      <c r="B98" s="754"/>
      <c r="C98" s="1651" t="s">
        <v>3962</v>
      </c>
      <c r="D98" s="755"/>
      <c r="E98" s="756"/>
      <c r="F98" s="757">
        <f t="shared" si="49"/>
        <v>0</v>
      </c>
      <c r="G98" s="1805"/>
      <c r="H98" s="1805"/>
      <c r="I98" s="1805"/>
      <c r="J98" s="1805"/>
      <c r="K98" s="1805"/>
      <c r="L98" s="1805"/>
      <c r="M98" s="1805"/>
      <c r="N98" s="1806"/>
    </row>
    <row r="99" spans="1:14" s="759" customFormat="1" ht="13.5" customHeight="1">
      <c r="A99" s="753"/>
      <c r="B99" s="754"/>
      <c r="C99" s="723" t="s">
        <v>4763</v>
      </c>
      <c r="D99" s="755"/>
      <c r="E99" s="756"/>
      <c r="F99" s="757">
        <f t="shared" si="49"/>
        <v>0</v>
      </c>
      <c r="G99" s="1805"/>
      <c r="H99" s="1805"/>
      <c r="I99" s="1805"/>
      <c r="J99" s="1805"/>
      <c r="K99" s="1805"/>
      <c r="L99" s="1805"/>
      <c r="M99" s="1805"/>
      <c r="N99" s="1806"/>
    </row>
    <row r="100" spans="1:14" s="759" customFormat="1" ht="13.5" customHeight="1">
      <c r="A100" s="753"/>
      <c r="B100" s="754"/>
      <c r="C100" s="882" t="s">
        <v>3964</v>
      </c>
      <c r="D100" s="762"/>
      <c r="E100" s="763"/>
      <c r="F100" s="764">
        <f t="shared" si="49"/>
        <v>0</v>
      </c>
      <c r="G100" s="1807"/>
      <c r="H100" s="1807"/>
      <c r="I100" s="1807"/>
      <c r="J100" s="1807"/>
      <c r="K100" s="1807"/>
      <c r="L100" s="1807"/>
      <c r="M100" s="1807"/>
      <c r="N100" s="1808"/>
    </row>
    <row r="101" spans="1:14" s="759" customFormat="1" ht="13.5" customHeight="1">
      <c r="A101" s="1636"/>
      <c r="B101" s="1637"/>
      <c r="C101" s="1809" t="s">
        <v>3965</v>
      </c>
      <c r="D101" s="958"/>
      <c r="E101" s="960"/>
      <c r="F101" s="915">
        <f t="shared" si="49"/>
        <v>0</v>
      </c>
      <c r="G101" s="916">
        <f>+G135</f>
        <v>0</v>
      </c>
      <c r="H101" s="916">
        <f t="shared" ref="H101:N101" si="52">+H135</f>
        <v>0</v>
      </c>
      <c r="I101" s="916">
        <f t="shared" si="52"/>
        <v>0</v>
      </c>
      <c r="J101" s="916">
        <f t="shared" si="52"/>
        <v>0</v>
      </c>
      <c r="K101" s="916">
        <f>+K135</f>
        <v>0</v>
      </c>
      <c r="L101" s="916">
        <f t="shared" si="52"/>
        <v>0</v>
      </c>
      <c r="M101" s="916">
        <f t="shared" si="52"/>
        <v>0</v>
      </c>
      <c r="N101" s="917">
        <f t="shared" si="52"/>
        <v>0</v>
      </c>
    </row>
    <row r="102" spans="1:14" s="759" customFormat="1" ht="13.5" customHeight="1">
      <c r="A102" s="753"/>
      <c r="B102" s="762" t="s">
        <v>3966</v>
      </c>
      <c r="C102" s="762"/>
      <c r="D102" s="762"/>
      <c r="E102" s="763"/>
      <c r="F102" s="764">
        <f t="shared" si="49"/>
        <v>0</v>
      </c>
      <c r="G102" s="1810">
        <f>G103+G108</f>
        <v>0</v>
      </c>
      <c r="H102" s="1810">
        <f t="shared" ref="H102:N102" si="53">H103+H108</f>
        <v>0</v>
      </c>
      <c r="I102" s="1810">
        <f t="shared" si="53"/>
        <v>0</v>
      </c>
      <c r="J102" s="1810">
        <f t="shared" si="53"/>
        <v>0</v>
      </c>
      <c r="K102" s="1810">
        <f>K103+K108</f>
        <v>0</v>
      </c>
      <c r="L102" s="1810">
        <f t="shared" si="53"/>
        <v>0</v>
      </c>
      <c r="M102" s="1810">
        <f t="shared" si="53"/>
        <v>0</v>
      </c>
      <c r="N102" s="1811">
        <f t="shared" si="53"/>
        <v>0</v>
      </c>
    </row>
    <row r="103" spans="1:14" s="759" customFormat="1" ht="13.5" customHeight="1">
      <c r="A103" s="753"/>
      <c r="B103" s="754"/>
      <c r="C103" s="580" t="s">
        <v>3967</v>
      </c>
      <c r="D103" s="580"/>
      <c r="E103" s="665"/>
      <c r="F103" s="995">
        <f t="shared" si="49"/>
        <v>0</v>
      </c>
      <c r="G103" s="987">
        <f>G104+G107</f>
        <v>0</v>
      </c>
      <c r="H103" s="987">
        <f t="shared" ref="H103:N103" si="54">H104+H107</f>
        <v>0</v>
      </c>
      <c r="I103" s="987">
        <f t="shared" si="54"/>
        <v>0</v>
      </c>
      <c r="J103" s="987">
        <f t="shared" si="54"/>
        <v>0</v>
      </c>
      <c r="K103" s="987">
        <f>K104+K107</f>
        <v>0</v>
      </c>
      <c r="L103" s="987">
        <f t="shared" si="54"/>
        <v>0</v>
      </c>
      <c r="M103" s="987">
        <f t="shared" si="54"/>
        <v>0</v>
      </c>
      <c r="N103" s="988">
        <f t="shared" si="54"/>
        <v>0</v>
      </c>
    </row>
    <row r="104" spans="1:14" s="759" customFormat="1" ht="13.5" customHeight="1">
      <c r="A104" s="753"/>
      <c r="B104" s="754"/>
      <c r="C104" s="2504" t="s">
        <v>3968</v>
      </c>
      <c r="D104" s="2504"/>
      <c r="E104" s="1627"/>
      <c r="F104" s="757">
        <f t="shared" si="49"/>
        <v>0</v>
      </c>
      <c r="G104" s="748">
        <f>SUM(G105:G106)-G107</f>
        <v>0</v>
      </c>
      <c r="H104" s="748">
        <f t="shared" ref="H104:N104" si="55">SUM(H105:H106)-H107</f>
        <v>0</v>
      </c>
      <c r="I104" s="748">
        <f t="shared" si="55"/>
        <v>0</v>
      </c>
      <c r="J104" s="748">
        <f t="shared" si="55"/>
        <v>0</v>
      </c>
      <c r="K104" s="748">
        <f>SUM(K105:K106)-K107</f>
        <v>0</v>
      </c>
      <c r="L104" s="748">
        <f t="shared" si="55"/>
        <v>0</v>
      </c>
      <c r="M104" s="748">
        <f t="shared" si="55"/>
        <v>0</v>
      </c>
      <c r="N104" s="932">
        <f t="shared" si="55"/>
        <v>0</v>
      </c>
    </row>
    <row r="105" spans="1:14" s="759" customFormat="1" ht="13.5" customHeight="1">
      <c r="A105" s="753"/>
      <c r="B105" s="754"/>
      <c r="C105" s="760" t="s">
        <v>3969</v>
      </c>
      <c r="D105" s="760"/>
      <c r="E105" s="756"/>
      <c r="F105" s="757">
        <f t="shared" si="49"/>
        <v>0</v>
      </c>
      <c r="G105" s="793">
        <f>SUM(G200:G202)+G198</f>
        <v>0</v>
      </c>
      <c r="H105" s="793">
        <f t="shared" ref="H105:N105" si="56">SUM(H200:H202)+H198</f>
        <v>0</v>
      </c>
      <c r="I105" s="793">
        <f t="shared" si="56"/>
        <v>0</v>
      </c>
      <c r="J105" s="793">
        <f t="shared" si="56"/>
        <v>0</v>
      </c>
      <c r="K105" s="793">
        <f>SUM(K200:K202)+K198</f>
        <v>0</v>
      </c>
      <c r="L105" s="793">
        <f t="shared" si="56"/>
        <v>0</v>
      </c>
      <c r="M105" s="793">
        <f t="shared" si="56"/>
        <v>0</v>
      </c>
      <c r="N105" s="794">
        <f t="shared" si="56"/>
        <v>0</v>
      </c>
    </row>
    <row r="106" spans="1:14" s="759" customFormat="1" ht="13.5" customHeight="1">
      <c r="A106" s="753"/>
      <c r="B106" s="754"/>
      <c r="C106" s="760" t="s">
        <v>3970</v>
      </c>
      <c r="D106" s="760"/>
      <c r="E106" s="756"/>
      <c r="F106" s="757">
        <f t="shared" si="49"/>
        <v>0</v>
      </c>
      <c r="G106" s="793">
        <f>SUM(G203:G214)</f>
        <v>0</v>
      </c>
      <c r="H106" s="793">
        <f t="shared" ref="H106:N106" si="57">SUM(H203:H214)</f>
        <v>0</v>
      </c>
      <c r="I106" s="793">
        <f t="shared" si="57"/>
        <v>0</v>
      </c>
      <c r="J106" s="793">
        <f>SUM(J203:J214)</f>
        <v>0</v>
      </c>
      <c r="K106" s="793">
        <f>SUM(K203:K214)</f>
        <v>0</v>
      </c>
      <c r="L106" s="793">
        <f t="shared" si="57"/>
        <v>0</v>
      </c>
      <c r="M106" s="793">
        <f t="shared" si="57"/>
        <v>0</v>
      </c>
      <c r="N106" s="794">
        <f t="shared" si="57"/>
        <v>0</v>
      </c>
    </row>
    <row r="107" spans="1:14" s="759" customFormat="1" ht="13.5" customHeight="1">
      <c r="A107" s="753"/>
      <c r="B107" s="754"/>
      <c r="C107" s="760" t="s">
        <v>3971</v>
      </c>
      <c r="D107" s="760"/>
      <c r="E107" s="756"/>
      <c r="F107" s="757">
        <f t="shared" si="49"/>
        <v>0</v>
      </c>
      <c r="G107" s="793">
        <f>+G212</f>
        <v>0</v>
      </c>
      <c r="H107" s="793">
        <f t="shared" ref="H107:N107" si="58">+H212</f>
        <v>0</v>
      </c>
      <c r="I107" s="793">
        <f t="shared" si="58"/>
        <v>0</v>
      </c>
      <c r="J107" s="793">
        <f t="shared" si="58"/>
        <v>0</v>
      </c>
      <c r="K107" s="793">
        <f>+K212</f>
        <v>0</v>
      </c>
      <c r="L107" s="793">
        <f t="shared" si="58"/>
        <v>0</v>
      </c>
      <c r="M107" s="793">
        <f t="shared" si="58"/>
        <v>0</v>
      </c>
      <c r="N107" s="794">
        <f t="shared" si="58"/>
        <v>0</v>
      </c>
    </row>
    <row r="108" spans="1:14" s="759" customFormat="1" ht="13.5" customHeight="1">
      <c r="A108" s="753"/>
      <c r="B108" s="754"/>
      <c r="C108" s="755" t="s">
        <v>3972</v>
      </c>
      <c r="D108" s="755"/>
      <c r="E108" s="756"/>
      <c r="F108" s="757">
        <f t="shared" si="49"/>
        <v>0</v>
      </c>
      <c r="G108" s="793">
        <f>SUM(G109:G112)</f>
        <v>0</v>
      </c>
      <c r="H108" s="793">
        <f t="shared" ref="H108:N108" si="59">SUM(H109:H112)</f>
        <v>0</v>
      </c>
      <c r="I108" s="793">
        <f t="shared" si="59"/>
        <v>0</v>
      </c>
      <c r="J108" s="793">
        <f t="shared" si="59"/>
        <v>0</v>
      </c>
      <c r="K108" s="793">
        <f t="shared" si="59"/>
        <v>0</v>
      </c>
      <c r="L108" s="793">
        <f t="shared" si="59"/>
        <v>0</v>
      </c>
      <c r="M108" s="793">
        <f t="shared" si="59"/>
        <v>0</v>
      </c>
      <c r="N108" s="794">
        <f t="shared" si="59"/>
        <v>0</v>
      </c>
    </row>
    <row r="109" spans="1:14" s="759" customFormat="1" ht="13.5" customHeight="1">
      <c r="A109" s="753"/>
      <c r="B109" s="754"/>
      <c r="C109" s="760" t="s">
        <v>3969</v>
      </c>
      <c r="D109" s="760"/>
      <c r="E109" s="756"/>
      <c r="F109" s="761">
        <f t="shared" si="49"/>
        <v>0</v>
      </c>
      <c r="G109" s="793">
        <f>IF(G237=0,0,+G237-G254)</f>
        <v>0</v>
      </c>
      <c r="H109" s="793">
        <f t="shared" ref="H109:N109" si="60">IF(H237=0,0,+H237-H254)</f>
        <v>0</v>
      </c>
      <c r="I109" s="793">
        <f t="shared" si="60"/>
        <v>0</v>
      </c>
      <c r="J109" s="793">
        <f t="shared" si="60"/>
        <v>0</v>
      </c>
      <c r="K109" s="793">
        <f t="shared" si="60"/>
        <v>0</v>
      </c>
      <c r="L109" s="793">
        <f t="shared" si="60"/>
        <v>0</v>
      </c>
      <c r="M109" s="793">
        <f t="shared" si="60"/>
        <v>0</v>
      </c>
      <c r="N109" s="794">
        <f t="shared" si="60"/>
        <v>0</v>
      </c>
    </row>
    <row r="110" spans="1:14" s="759" customFormat="1" ht="13.5" customHeight="1">
      <c r="A110" s="753"/>
      <c r="B110" s="754"/>
      <c r="C110" s="760" t="s">
        <v>3973</v>
      </c>
      <c r="D110" s="760"/>
      <c r="E110" s="756"/>
      <c r="F110" s="757">
        <f t="shared" si="49"/>
        <v>0</v>
      </c>
      <c r="G110" s="793">
        <f>+G238+G239</f>
        <v>0</v>
      </c>
      <c r="H110" s="793">
        <f t="shared" ref="H110:N110" si="61">+H238+H239</f>
        <v>0</v>
      </c>
      <c r="I110" s="793">
        <f t="shared" si="61"/>
        <v>0</v>
      </c>
      <c r="J110" s="793">
        <f>+J238+J239</f>
        <v>0</v>
      </c>
      <c r="K110" s="793">
        <f>+K238+K239</f>
        <v>0</v>
      </c>
      <c r="L110" s="793">
        <f t="shared" si="61"/>
        <v>0</v>
      </c>
      <c r="M110" s="793">
        <f t="shared" si="61"/>
        <v>0</v>
      </c>
      <c r="N110" s="794">
        <f t="shared" si="61"/>
        <v>0</v>
      </c>
    </row>
    <row r="111" spans="1:14" s="759" customFormat="1" ht="13.5" customHeight="1">
      <c r="A111" s="753"/>
      <c r="B111" s="754"/>
      <c r="C111" s="760" t="s">
        <v>3974</v>
      </c>
      <c r="D111" s="760"/>
      <c r="E111" s="756"/>
      <c r="F111" s="757">
        <f t="shared" si="49"/>
        <v>0</v>
      </c>
      <c r="G111" s="793">
        <f>SUM(G240:G244)</f>
        <v>0</v>
      </c>
      <c r="H111" s="793">
        <f t="shared" ref="H111:N111" si="62">SUM(H240:H244)</f>
        <v>0</v>
      </c>
      <c r="I111" s="793">
        <f t="shared" si="62"/>
        <v>0</v>
      </c>
      <c r="J111" s="793">
        <f>SUM(J240:J244)</f>
        <v>0</v>
      </c>
      <c r="K111" s="793">
        <f>SUM(K240:K244)</f>
        <v>0</v>
      </c>
      <c r="L111" s="793">
        <f t="shared" si="62"/>
        <v>0</v>
      </c>
      <c r="M111" s="793">
        <f t="shared" si="62"/>
        <v>0</v>
      </c>
      <c r="N111" s="794">
        <f t="shared" si="62"/>
        <v>0</v>
      </c>
    </row>
    <row r="112" spans="1:14" s="759" customFormat="1" ht="13.5" customHeight="1">
      <c r="A112" s="753"/>
      <c r="B112" s="754"/>
      <c r="C112" s="762" t="s">
        <v>3975</v>
      </c>
      <c r="D112" s="754"/>
      <c r="E112" s="763"/>
      <c r="F112" s="764">
        <f t="shared" si="49"/>
        <v>0</v>
      </c>
      <c r="G112" s="1810">
        <f>IF(G245=0,0,+G245-G254)</f>
        <v>0</v>
      </c>
      <c r="H112" s="1810">
        <f t="shared" ref="H112:N112" si="63">IF(H245=0,0,+H245-H254)</f>
        <v>0</v>
      </c>
      <c r="I112" s="1810">
        <f t="shared" si="63"/>
        <v>0</v>
      </c>
      <c r="J112" s="1810">
        <f t="shared" si="63"/>
        <v>0</v>
      </c>
      <c r="K112" s="1810">
        <f t="shared" si="63"/>
        <v>0</v>
      </c>
      <c r="L112" s="1810">
        <f t="shared" si="63"/>
        <v>0</v>
      </c>
      <c r="M112" s="1810">
        <f t="shared" si="63"/>
        <v>0</v>
      </c>
      <c r="N112" s="1811">
        <f t="shared" si="63"/>
        <v>0</v>
      </c>
    </row>
    <row r="113" spans="1:14" s="759" customFormat="1" ht="13.5" customHeight="1">
      <c r="A113" s="1812"/>
      <c r="B113" s="1644" t="s">
        <v>3976</v>
      </c>
      <c r="C113" s="1644"/>
      <c r="D113" s="1644"/>
      <c r="E113" s="1813"/>
      <c r="F113" s="1646">
        <f t="shared" si="49"/>
        <v>0</v>
      </c>
      <c r="G113" s="1647">
        <f>G91+G102</f>
        <v>0</v>
      </c>
      <c r="H113" s="1647">
        <f t="shared" ref="H113:N113" si="64">H91+H102</f>
        <v>0</v>
      </c>
      <c r="I113" s="1647">
        <f t="shared" si="64"/>
        <v>0</v>
      </c>
      <c r="J113" s="1647">
        <f t="shared" si="64"/>
        <v>0</v>
      </c>
      <c r="K113" s="1647">
        <f>K91+K102</f>
        <v>0</v>
      </c>
      <c r="L113" s="1647">
        <f t="shared" si="64"/>
        <v>0</v>
      </c>
      <c r="M113" s="1647">
        <f t="shared" si="64"/>
        <v>0</v>
      </c>
      <c r="N113" s="1648">
        <f t="shared" si="64"/>
        <v>0</v>
      </c>
    </row>
    <row r="114" spans="1:14" s="759" customFormat="1" ht="15" customHeight="1">
      <c r="A114" s="1814"/>
      <c r="B114" s="754"/>
      <c r="C114" s="1815" t="s">
        <v>3977</v>
      </c>
      <c r="D114" s="1815"/>
      <c r="E114" s="1816"/>
      <c r="F114" s="646"/>
      <c r="G114" s="1817" t="s">
        <v>3978</v>
      </c>
      <c r="H114" s="1818"/>
      <c r="I114" s="651"/>
      <c r="J114" s="651"/>
      <c r="K114" s="651"/>
      <c r="L114" s="651"/>
      <c r="M114" s="651"/>
      <c r="N114" s="651"/>
    </row>
    <row r="115" spans="1:14" s="759" customFormat="1" ht="15" customHeight="1">
      <c r="A115" s="884"/>
      <c r="B115" s="885"/>
      <c r="C115" s="885"/>
      <c r="D115" s="885"/>
      <c r="E115" s="969"/>
      <c r="F115" s="886" t="s">
        <v>3979</v>
      </c>
      <c r="G115" s="887">
        <f t="shared" ref="G115:N115" si="65">+G87</f>
        <v>0</v>
      </c>
      <c r="H115" s="887">
        <f t="shared" si="65"/>
        <v>0</v>
      </c>
      <c r="I115" s="887">
        <f t="shared" si="65"/>
        <v>0</v>
      </c>
      <c r="J115" s="887">
        <f t="shared" si="65"/>
        <v>0</v>
      </c>
      <c r="K115" s="887">
        <f>+K87</f>
        <v>0</v>
      </c>
      <c r="L115" s="887">
        <f t="shared" si="65"/>
        <v>0</v>
      </c>
      <c r="M115" s="887">
        <f t="shared" si="65"/>
        <v>0</v>
      </c>
      <c r="N115" s="888">
        <f t="shared" si="65"/>
        <v>0</v>
      </c>
    </row>
    <row r="116" spans="1:14" s="759" customFormat="1" ht="15" customHeight="1">
      <c r="A116" s="1660" t="s">
        <v>3980</v>
      </c>
      <c r="B116" s="883"/>
      <c r="C116" s="1661"/>
      <c r="D116" s="1661"/>
      <c r="E116" s="1662"/>
      <c r="F116" s="1663"/>
      <c r="G116" s="1664"/>
      <c r="H116" s="1664"/>
      <c r="I116" s="1664"/>
      <c r="J116" s="1664"/>
      <c r="K116" s="1664"/>
      <c r="L116" s="1664"/>
      <c r="M116" s="1664"/>
      <c r="N116" s="1665"/>
    </row>
    <row r="117" spans="1:14" s="759" customFormat="1" ht="15" customHeight="1">
      <c r="A117" s="2848"/>
      <c r="B117" s="2850" t="s">
        <v>3981</v>
      </c>
      <c r="C117" s="581" t="s">
        <v>3982</v>
      </c>
      <c r="D117" s="581"/>
      <c r="E117" s="665"/>
      <c r="F117" s="995">
        <f t="shared" ref="F117:F123" si="66">SUM(G117:N117)</f>
        <v>0</v>
      </c>
      <c r="G117" s="987">
        <f>IF(G86="新営",G92-SUM(G119:G130)-G134-G133,0)</f>
        <v>0</v>
      </c>
      <c r="H117" s="987">
        <f t="shared" ref="H117:N117" si="67">IF(H86="新営",H92-SUM(H119:H130)-H134-H133,0)</f>
        <v>0</v>
      </c>
      <c r="I117" s="987">
        <f t="shared" si="67"/>
        <v>0</v>
      </c>
      <c r="J117" s="987">
        <f t="shared" si="67"/>
        <v>0</v>
      </c>
      <c r="K117" s="987">
        <f t="shared" si="67"/>
        <v>0</v>
      </c>
      <c r="L117" s="987">
        <f t="shared" si="67"/>
        <v>0</v>
      </c>
      <c r="M117" s="987">
        <f t="shared" si="67"/>
        <v>0</v>
      </c>
      <c r="N117" s="987">
        <f t="shared" si="67"/>
        <v>0</v>
      </c>
    </row>
    <row r="118" spans="1:14" s="759" customFormat="1" ht="14.25" customHeight="1">
      <c r="A118" s="2848"/>
      <c r="B118" s="2851"/>
      <c r="C118" s="797" t="s">
        <v>3983</v>
      </c>
      <c r="D118" s="797"/>
      <c r="E118" s="756"/>
      <c r="F118" s="757">
        <f t="shared" si="66"/>
        <v>0</v>
      </c>
      <c r="G118" s="793">
        <f>IF(G86="改修",G92-SUM(G119:G130)-G134-G133,0)</f>
        <v>0</v>
      </c>
      <c r="H118" s="793">
        <f t="shared" ref="H118:N118" si="68">IF(H86="改修",H92-SUM(H119:H130)-H134-H133,0)</f>
        <v>0</v>
      </c>
      <c r="I118" s="793">
        <f t="shared" si="68"/>
        <v>0</v>
      </c>
      <c r="J118" s="793">
        <f t="shared" si="68"/>
        <v>0</v>
      </c>
      <c r="K118" s="793">
        <f t="shared" si="68"/>
        <v>0</v>
      </c>
      <c r="L118" s="793">
        <f t="shared" si="68"/>
        <v>0</v>
      </c>
      <c r="M118" s="793">
        <f t="shared" si="68"/>
        <v>0</v>
      </c>
      <c r="N118" s="793">
        <f t="shared" si="68"/>
        <v>0</v>
      </c>
    </row>
    <row r="119" spans="1:14" s="759" customFormat="1" ht="15" customHeight="1">
      <c r="A119" s="2848"/>
      <c r="B119" s="2851"/>
      <c r="C119" s="1666" t="s">
        <v>3984</v>
      </c>
      <c r="D119" s="797"/>
      <c r="E119" s="756"/>
      <c r="F119" s="757">
        <f t="shared" si="66"/>
        <v>0</v>
      </c>
      <c r="G119" s="1805"/>
      <c r="H119" s="1805"/>
      <c r="I119" s="1805"/>
      <c r="J119" s="1805"/>
      <c r="K119" s="1805"/>
      <c r="L119" s="1805"/>
      <c r="M119" s="1805"/>
      <c r="N119" s="1806"/>
    </row>
    <row r="120" spans="1:14" s="759" customFormat="1" ht="15" customHeight="1">
      <c r="A120" s="2848"/>
      <c r="B120" s="2852"/>
      <c r="C120" s="1666" t="s">
        <v>3985</v>
      </c>
      <c r="D120" s="797"/>
      <c r="E120" s="756"/>
      <c r="F120" s="757">
        <f t="shared" si="66"/>
        <v>0</v>
      </c>
      <c r="G120" s="1805"/>
      <c r="H120" s="1805"/>
      <c r="I120" s="1805"/>
      <c r="J120" s="1805"/>
      <c r="K120" s="1805"/>
      <c r="L120" s="1805"/>
      <c r="M120" s="1805"/>
      <c r="N120" s="1806"/>
    </row>
    <row r="121" spans="1:14" s="759" customFormat="1" ht="15" customHeight="1">
      <c r="A121" s="2848"/>
      <c r="B121" s="2776" t="s">
        <v>3986</v>
      </c>
      <c r="C121" s="755" t="s">
        <v>3987</v>
      </c>
      <c r="D121" s="797"/>
      <c r="E121" s="756"/>
      <c r="F121" s="757">
        <f t="shared" si="66"/>
        <v>0</v>
      </c>
      <c r="G121" s="1805"/>
      <c r="H121" s="1805"/>
      <c r="I121" s="1805"/>
      <c r="J121" s="1805"/>
      <c r="K121" s="1805"/>
      <c r="L121" s="1805"/>
      <c r="M121" s="1805"/>
      <c r="N121" s="1806"/>
    </row>
    <row r="122" spans="1:14" s="759" customFormat="1" ht="15" customHeight="1">
      <c r="A122" s="2848"/>
      <c r="B122" s="2851"/>
      <c r="C122" s="755" t="s">
        <v>3988</v>
      </c>
      <c r="D122" s="797"/>
      <c r="E122" s="756"/>
      <c r="F122" s="757">
        <f t="shared" si="66"/>
        <v>0</v>
      </c>
      <c r="G122" s="1805"/>
      <c r="H122" s="1805"/>
      <c r="I122" s="1805"/>
      <c r="J122" s="1805"/>
      <c r="K122" s="1805"/>
      <c r="L122" s="1805"/>
      <c r="M122" s="1805"/>
      <c r="N122" s="1806"/>
    </row>
    <row r="123" spans="1:14" s="759" customFormat="1" ht="15" customHeight="1">
      <c r="A123" s="2848"/>
      <c r="B123" s="2851"/>
      <c r="C123" s="797" t="s">
        <v>3989</v>
      </c>
      <c r="D123" s="797"/>
      <c r="E123" s="756"/>
      <c r="F123" s="757">
        <f t="shared" si="66"/>
        <v>0</v>
      </c>
      <c r="G123" s="1805"/>
      <c r="H123" s="1805"/>
      <c r="I123" s="1805"/>
      <c r="J123" s="1805"/>
      <c r="K123" s="1805"/>
      <c r="L123" s="1805"/>
      <c r="M123" s="1805"/>
      <c r="N123" s="1806"/>
    </row>
    <row r="124" spans="1:14" s="759" customFormat="1" ht="15" customHeight="1">
      <c r="A124" s="2848"/>
      <c r="B124" s="2851"/>
      <c r="C124" s="797" t="s">
        <v>3990</v>
      </c>
      <c r="D124" s="797"/>
      <c r="E124" s="756"/>
      <c r="F124" s="757"/>
      <c r="G124" s="793"/>
      <c r="H124" s="793"/>
      <c r="I124" s="793"/>
      <c r="J124" s="793"/>
      <c r="K124" s="793"/>
      <c r="L124" s="793"/>
      <c r="M124" s="793"/>
      <c r="N124" s="794"/>
    </row>
    <row r="125" spans="1:14" s="759" customFormat="1" ht="15" customHeight="1">
      <c r="A125" s="2848"/>
      <c r="B125" s="2851"/>
      <c r="C125" s="797" t="s">
        <v>3991</v>
      </c>
      <c r="D125" s="797"/>
      <c r="E125" s="756"/>
      <c r="F125" s="757"/>
      <c r="G125" s="793"/>
      <c r="H125" s="793"/>
      <c r="I125" s="793"/>
      <c r="J125" s="793"/>
      <c r="K125" s="793"/>
      <c r="L125" s="793"/>
      <c r="M125" s="793"/>
      <c r="N125" s="794"/>
    </row>
    <row r="126" spans="1:14" s="759" customFormat="1" ht="15" customHeight="1">
      <c r="A126" s="2848"/>
      <c r="B126" s="2851"/>
      <c r="C126" s="797" t="s">
        <v>3992</v>
      </c>
      <c r="D126" s="797"/>
      <c r="E126" s="756"/>
      <c r="F126" s="757">
        <f t="shared" ref="F126:F136" si="69">SUM(G126:N126)</f>
        <v>0</v>
      </c>
      <c r="G126" s="1805"/>
      <c r="H126" s="1805"/>
      <c r="I126" s="1805"/>
      <c r="J126" s="1805"/>
      <c r="K126" s="1805"/>
      <c r="L126" s="1805"/>
      <c r="M126" s="1805"/>
      <c r="N126" s="1806"/>
    </row>
    <row r="127" spans="1:14" s="759" customFormat="1" ht="15" customHeight="1">
      <c r="A127" s="2848"/>
      <c r="B127" s="2851"/>
      <c r="C127" s="1667" t="s">
        <v>3993</v>
      </c>
      <c r="D127" s="797"/>
      <c r="E127" s="756"/>
      <c r="F127" s="757">
        <f t="shared" si="69"/>
        <v>0</v>
      </c>
      <c r="G127" s="1805"/>
      <c r="H127" s="1805"/>
      <c r="I127" s="1805"/>
      <c r="J127" s="1805"/>
      <c r="K127" s="1805"/>
      <c r="L127" s="1805"/>
      <c r="M127" s="1805"/>
      <c r="N127" s="1806"/>
    </row>
    <row r="128" spans="1:14" s="759" customFormat="1" ht="15" customHeight="1">
      <c r="A128" s="2848"/>
      <c r="B128" s="2851"/>
      <c r="C128" s="1668" t="s">
        <v>3994</v>
      </c>
      <c r="D128" s="797"/>
      <c r="E128" s="756"/>
      <c r="F128" s="757">
        <f t="shared" si="69"/>
        <v>0</v>
      </c>
      <c r="G128" s="1805"/>
      <c r="H128" s="1805"/>
      <c r="I128" s="1805"/>
      <c r="J128" s="1805"/>
      <c r="K128" s="1805"/>
      <c r="L128" s="1805"/>
      <c r="M128" s="1805"/>
      <c r="N128" s="1806"/>
    </row>
    <row r="129" spans="1:14" s="759" customFormat="1" ht="15" customHeight="1">
      <c r="A129" s="2848"/>
      <c r="B129" s="2852"/>
      <c r="C129" s="797" t="s">
        <v>3995</v>
      </c>
      <c r="D129" s="797"/>
      <c r="E129" s="756"/>
      <c r="F129" s="757">
        <f t="shared" si="69"/>
        <v>0</v>
      </c>
      <c r="G129" s="1805"/>
      <c r="H129" s="1805"/>
      <c r="I129" s="1805"/>
      <c r="J129" s="1805"/>
      <c r="K129" s="1805"/>
      <c r="L129" s="1805"/>
      <c r="M129" s="1805"/>
      <c r="N129" s="1806"/>
    </row>
    <row r="130" spans="1:14" s="759" customFormat="1" ht="15" customHeight="1">
      <c r="A130" s="2848"/>
      <c r="B130" s="2776" t="s">
        <v>3996</v>
      </c>
      <c r="C130" s="1666" t="s">
        <v>3997</v>
      </c>
      <c r="D130" s="797"/>
      <c r="E130" s="756"/>
      <c r="F130" s="757">
        <f t="shared" si="69"/>
        <v>0</v>
      </c>
      <c r="G130" s="1805"/>
      <c r="H130" s="1805"/>
      <c r="I130" s="1805"/>
      <c r="J130" s="1805"/>
      <c r="K130" s="1805"/>
      <c r="L130" s="1805"/>
      <c r="M130" s="1805"/>
      <c r="N130" s="1806"/>
    </row>
    <row r="131" spans="1:14" s="759" customFormat="1" ht="15" customHeight="1">
      <c r="A131" s="2848"/>
      <c r="B131" s="2851"/>
      <c r="C131" s="1666" t="s">
        <v>3998</v>
      </c>
      <c r="D131" s="797"/>
      <c r="E131" s="756"/>
      <c r="F131" s="757">
        <f t="shared" si="69"/>
        <v>0</v>
      </c>
      <c r="G131" s="793">
        <f t="shared" ref="G131:N131" si="70">+G100</f>
        <v>0</v>
      </c>
      <c r="H131" s="793">
        <f t="shared" si="70"/>
        <v>0</v>
      </c>
      <c r="I131" s="793">
        <f t="shared" si="70"/>
        <v>0</v>
      </c>
      <c r="J131" s="793">
        <f>+J100</f>
        <v>0</v>
      </c>
      <c r="K131" s="793">
        <f>+K100</f>
        <v>0</v>
      </c>
      <c r="L131" s="793">
        <f t="shared" si="70"/>
        <v>0</v>
      </c>
      <c r="M131" s="793">
        <f t="shared" si="70"/>
        <v>0</v>
      </c>
      <c r="N131" s="794">
        <f t="shared" si="70"/>
        <v>0</v>
      </c>
    </row>
    <row r="132" spans="1:14" s="759" customFormat="1" ht="15" customHeight="1">
      <c r="A132" s="2848"/>
      <c r="B132" s="2851"/>
      <c r="C132" s="797" t="s">
        <v>4764</v>
      </c>
      <c r="D132" s="797"/>
      <c r="E132" s="756"/>
      <c r="F132" s="757">
        <f t="shared" si="69"/>
        <v>0</v>
      </c>
      <c r="G132" s="793">
        <f>+G99</f>
        <v>0</v>
      </c>
      <c r="H132" s="793">
        <f t="shared" ref="H132:N132" si="71">+H99</f>
        <v>0</v>
      </c>
      <c r="I132" s="793">
        <f t="shared" si="71"/>
        <v>0</v>
      </c>
      <c r="J132" s="793">
        <f>+J99</f>
        <v>0</v>
      </c>
      <c r="K132" s="793">
        <f>+K99</f>
        <v>0</v>
      </c>
      <c r="L132" s="793">
        <f t="shared" si="71"/>
        <v>0</v>
      </c>
      <c r="M132" s="793">
        <f t="shared" si="71"/>
        <v>0</v>
      </c>
      <c r="N132" s="794">
        <f t="shared" si="71"/>
        <v>0</v>
      </c>
    </row>
    <row r="133" spans="1:14" s="759" customFormat="1" ht="15" customHeight="1">
      <c r="A133" s="2848"/>
      <c r="B133" s="2851"/>
      <c r="C133" s="797" t="s">
        <v>4765</v>
      </c>
      <c r="D133" s="797"/>
      <c r="E133" s="756"/>
      <c r="F133" s="757">
        <f t="shared" si="69"/>
        <v>0</v>
      </c>
      <c r="G133" s="1805"/>
      <c r="H133" s="1805"/>
      <c r="I133" s="1805"/>
      <c r="J133" s="1805"/>
      <c r="K133" s="1805"/>
      <c r="L133" s="1805"/>
      <c r="M133" s="1805"/>
      <c r="N133" s="1806"/>
    </row>
    <row r="134" spans="1:14" s="759" customFormat="1" ht="15" customHeight="1">
      <c r="A134" s="2848"/>
      <c r="B134" s="2851"/>
      <c r="C134" s="1670" t="s">
        <v>4001</v>
      </c>
      <c r="D134" s="1670"/>
      <c r="E134" s="1671"/>
      <c r="F134" s="757">
        <f t="shared" si="69"/>
        <v>0</v>
      </c>
      <c r="G134" s="1819"/>
      <c r="H134" s="1819"/>
      <c r="I134" s="1819"/>
      <c r="J134" s="1819"/>
      <c r="K134" s="1819"/>
      <c r="L134" s="1819"/>
      <c r="M134" s="1819"/>
      <c r="N134" s="1820"/>
    </row>
    <row r="135" spans="1:14" s="759" customFormat="1" ht="15" customHeight="1">
      <c r="A135" s="2848"/>
      <c r="B135" s="2851"/>
      <c r="C135" s="1670" t="s">
        <v>4002</v>
      </c>
      <c r="D135" s="1670"/>
      <c r="E135" s="1671"/>
      <c r="F135" s="757">
        <f t="shared" si="69"/>
        <v>0</v>
      </c>
      <c r="G135" s="1819"/>
      <c r="H135" s="1819"/>
      <c r="I135" s="1819"/>
      <c r="J135" s="1819"/>
      <c r="K135" s="1819"/>
      <c r="L135" s="1819"/>
      <c r="M135" s="1819"/>
      <c r="N135" s="1820"/>
    </row>
    <row r="136" spans="1:14" s="759" customFormat="1" ht="15" customHeight="1">
      <c r="A136" s="2849"/>
      <c r="B136" s="2853"/>
      <c r="C136" s="1674" t="s">
        <v>4003</v>
      </c>
      <c r="D136" s="1674"/>
      <c r="E136" s="960"/>
      <c r="F136" s="915">
        <f t="shared" si="69"/>
        <v>0</v>
      </c>
      <c r="G136" s="1821"/>
      <c r="H136" s="1821"/>
      <c r="I136" s="1821"/>
      <c r="J136" s="1821"/>
      <c r="K136" s="1821"/>
      <c r="L136" s="1821"/>
      <c r="M136" s="1821"/>
      <c r="N136" s="1822"/>
    </row>
    <row r="137" spans="1:14" s="759" customFormat="1" ht="15" hidden="1" customHeight="1">
      <c r="A137" s="754"/>
      <c r="B137" s="754"/>
      <c r="C137" s="881" t="s">
        <v>4004</v>
      </c>
      <c r="D137" s="881"/>
      <c r="E137" s="882"/>
      <c r="F137" s="646"/>
      <c r="G137" s="651"/>
      <c r="H137" s="651"/>
      <c r="I137" s="651"/>
      <c r="J137" s="651"/>
      <c r="K137" s="651"/>
      <c r="L137" s="651"/>
      <c r="M137" s="651"/>
      <c r="N137" s="653" t="s">
        <v>4799</v>
      </c>
    </row>
    <row r="138" spans="1:14" s="759" customFormat="1" ht="15" hidden="1" customHeight="1">
      <c r="A138" s="754"/>
      <c r="B138" s="754"/>
      <c r="C138" s="883" t="s">
        <v>4006</v>
      </c>
      <c r="D138" s="883"/>
      <c r="E138" s="882"/>
      <c r="F138" s="646"/>
      <c r="G138" s="651"/>
      <c r="H138" s="651"/>
      <c r="I138" s="651"/>
      <c r="J138" s="651"/>
      <c r="K138" s="651"/>
      <c r="L138" s="651"/>
      <c r="M138" s="651"/>
      <c r="N138" s="653"/>
    </row>
    <row r="139" spans="1:14" s="759" customFormat="1" ht="15" hidden="1" customHeight="1">
      <c r="A139" s="884"/>
      <c r="B139" s="885"/>
      <c r="C139" s="885"/>
      <c r="D139" s="2673" t="s">
        <v>4007</v>
      </c>
      <c r="E139" s="2673" t="s">
        <v>4008</v>
      </c>
      <c r="F139" s="886" t="s">
        <v>3979</v>
      </c>
      <c r="G139" s="887">
        <f t="shared" ref="G139:N139" si="72">+G87</f>
        <v>0</v>
      </c>
      <c r="H139" s="887">
        <f t="shared" si="72"/>
        <v>0</v>
      </c>
      <c r="I139" s="887">
        <f t="shared" si="72"/>
        <v>0</v>
      </c>
      <c r="J139" s="887">
        <f t="shared" si="72"/>
        <v>0</v>
      </c>
      <c r="K139" s="887">
        <f>+K87</f>
        <v>0</v>
      </c>
      <c r="L139" s="887">
        <f t="shared" si="72"/>
        <v>0</v>
      </c>
      <c r="M139" s="887">
        <f t="shared" si="72"/>
        <v>0</v>
      </c>
      <c r="N139" s="888">
        <f t="shared" si="72"/>
        <v>0</v>
      </c>
    </row>
    <row r="140" spans="1:14" s="759" customFormat="1" ht="15" hidden="1" customHeight="1">
      <c r="A140" s="2675" t="s">
        <v>4009</v>
      </c>
      <c r="B140" s="2676"/>
      <c r="C140" s="2870"/>
      <c r="D140" s="2674"/>
      <c r="E140" s="2674"/>
      <c r="F140" s="889"/>
      <c r="G140" s="890"/>
      <c r="H140" s="890"/>
      <c r="I140" s="890"/>
      <c r="J140" s="890"/>
      <c r="K140" s="890"/>
      <c r="L140" s="890"/>
      <c r="M140" s="890"/>
      <c r="N140" s="891"/>
    </row>
    <row r="141" spans="1:14" s="759" customFormat="1" ht="15" hidden="1" customHeight="1">
      <c r="A141" s="2677"/>
      <c r="B141" s="892" t="s">
        <v>4800</v>
      </c>
      <c r="C141" s="893"/>
      <c r="D141" s="894"/>
      <c r="E141" s="895"/>
      <c r="F141" s="896">
        <f t="shared" ref="F141:F148" si="73">SUM(G141:N141)</f>
        <v>0</v>
      </c>
      <c r="G141" s="897">
        <f>SUM(G117:G129)+G133</f>
        <v>0</v>
      </c>
      <c r="H141" s="897">
        <f t="shared" ref="H141:N141" si="74">SUM(H117:H129)+H133</f>
        <v>0</v>
      </c>
      <c r="I141" s="897">
        <f t="shared" si="74"/>
        <v>0</v>
      </c>
      <c r="J141" s="897">
        <f t="shared" si="74"/>
        <v>0</v>
      </c>
      <c r="K141" s="897">
        <f t="shared" si="74"/>
        <v>0</v>
      </c>
      <c r="L141" s="897">
        <f t="shared" si="74"/>
        <v>0</v>
      </c>
      <c r="M141" s="897">
        <f t="shared" si="74"/>
        <v>0</v>
      </c>
      <c r="N141" s="897">
        <f t="shared" si="74"/>
        <v>0</v>
      </c>
    </row>
    <row r="142" spans="1:14" s="759" customFormat="1" ht="15" hidden="1" customHeight="1">
      <c r="A142" s="2678"/>
      <c r="B142" s="2776" t="s">
        <v>3981</v>
      </c>
      <c r="C142" s="900" t="s">
        <v>3982</v>
      </c>
      <c r="D142" s="901">
        <v>1</v>
      </c>
      <c r="E142" s="902" t="s">
        <v>4011</v>
      </c>
      <c r="F142" s="757">
        <f t="shared" si="73"/>
        <v>0</v>
      </c>
      <c r="G142" s="793">
        <f>IF(G89="積上げ",0,+G117)</f>
        <v>0</v>
      </c>
      <c r="H142" s="793">
        <f t="shared" ref="H142:N142" si="75">IF(H89="積上げ",0,+H117)</f>
        <v>0</v>
      </c>
      <c r="I142" s="793">
        <f t="shared" si="75"/>
        <v>0</v>
      </c>
      <c r="J142" s="793">
        <f t="shared" si="75"/>
        <v>0</v>
      </c>
      <c r="K142" s="793">
        <f>IF(K89="積上げ",0,+K117)</f>
        <v>0</v>
      </c>
      <c r="L142" s="793">
        <f t="shared" si="75"/>
        <v>0</v>
      </c>
      <c r="M142" s="793">
        <f t="shared" si="75"/>
        <v>0</v>
      </c>
      <c r="N142" s="793">
        <f t="shared" si="75"/>
        <v>0</v>
      </c>
    </row>
    <row r="143" spans="1:14" s="759" customFormat="1" ht="15" hidden="1" customHeight="1">
      <c r="A143" s="2678"/>
      <c r="B143" s="2851"/>
      <c r="C143" s="900" t="s">
        <v>3983</v>
      </c>
      <c r="D143" s="901">
        <v>1</v>
      </c>
      <c r="E143" s="902" t="s">
        <v>4011</v>
      </c>
      <c r="F143" s="757">
        <f t="shared" si="73"/>
        <v>0</v>
      </c>
      <c r="G143" s="793">
        <f>IF(G89="積上げ",0,+G118)</f>
        <v>0</v>
      </c>
      <c r="H143" s="793">
        <f t="shared" ref="H143:N143" si="76">IF(H89="積上げ",0,+H118)</f>
        <v>0</v>
      </c>
      <c r="I143" s="793">
        <f t="shared" si="76"/>
        <v>0</v>
      </c>
      <c r="J143" s="793">
        <f t="shared" si="76"/>
        <v>0</v>
      </c>
      <c r="K143" s="793">
        <f>IF(K89="積上げ",0,+K118)</f>
        <v>0</v>
      </c>
      <c r="L143" s="793">
        <f t="shared" si="76"/>
        <v>0</v>
      </c>
      <c r="M143" s="793">
        <f t="shared" si="76"/>
        <v>0</v>
      </c>
      <c r="N143" s="793">
        <f t="shared" si="76"/>
        <v>0</v>
      </c>
    </row>
    <row r="144" spans="1:14" s="759" customFormat="1" ht="15" hidden="1" customHeight="1">
      <c r="A144" s="2678"/>
      <c r="B144" s="2851"/>
      <c r="C144" s="900" t="s">
        <v>4012</v>
      </c>
      <c r="D144" s="901">
        <v>0.9</v>
      </c>
      <c r="E144" s="902" t="s">
        <v>4011</v>
      </c>
      <c r="F144" s="757">
        <f t="shared" si="73"/>
        <v>0</v>
      </c>
      <c r="G144" s="793">
        <f>IF(G89="積上げ",0,+G119)</f>
        <v>0</v>
      </c>
      <c r="H144" s="793">
        <f t="shared" ref="H144:N144" si="77">IF(H89="積上げ",0,+H119)</f>
        <v>0</v>
      </c>
      <c r="I144" s="793">
        <f t="shared" si="77"/>
        <v>0</v>
      </c>
      <c r="J144" s="793">
        <f t="shared" si="77"/>
        <v>0</v>
      </c>
      <c r="K144" s="793">
        <f>IF(K89="積上げ",0,+K119)</f>
        <v>0</v>
      </c>
      <c r="L144" s="793">
        <f t="shared" si="77"/>
        <v>0</v>
      </c>
      <c r="M144" s="793">
        <f t="shared" si="77"/>
        <v>0</v>
      </c>
      <c r="N144" s="793">
        <f t="shared" si="77"/>
        <v>0</v>
      </c>
    </row>
    <row r="145" spans="1:14" s="759" customFormat="1" ht="15" hidden="1" customHeight="1">
      <c r="A145" s="2678"/>
      <c r="B145" s="2852"/>
      <c r="C145" s="900" t="s">
        <v>4013</v>
      </c>
      <c r="D145" s="901">
        <v>0.9</v>
      </c>
      <c r="E145" s="902" t="s">
        <v>4011</v>
      </c>
      <c r="F145" s="757">
        <f t="shared" si="73"/>
        <v>0</v>
      </c>
      <c r="G145" s="793">
        <f>IF(G89="積上げ",0,+G120)</f>
        <v>0</v>
      </c>
      <c r="H145" s="793">
        <f t="shared" ref="H145:N145" si="78">IF(H89="積上げ",0,+H120)</f>
        <v>0</v>
      </c>
      <c r="I145" s="793">
        <f t="shared" si="78"/>
        <v>0</v>
      </c>
      <c r="J145" s="793">
        <f t="shared" si="78"/>
        <v>0</v>
      </c>
      <c r="K145" s="793">
        <f>IF(K89="積上げ",0,+K120)</f>
        <v>0</v>
      </c>
      <c r="L145" s="793">
        <f t="shared" si="78"/>
        <v>0</v>
      </c>
      <c r="M145" s="793">
        <f t="shared" si="78"/>
        <v>0</v>
      </c>
      <c r="N145" s="793">
        <f t="shared" si="78"/>
        <v>0</v>
      </c>
    </row>
    <row r="146" spans="1:14" s="759" customFormat="1" ht="15" hidden="1" customHeight="1">
      <c r="A146" s="2678"/>
      <c r="B146" s="2776" t="s">
        <v>3986</v>
      </c>
      <c r="C146" s="900" t="s">
        <v>4014</v>
      </c>
      <c r="D146" s="901">
        <v>1</v>
      </c>
      <c r="E146" s="909">
        <v>0.01</v>
      </c>
      <c r="F146" s="757">
        <f t="shared" si="73"/>
        <v>0</v>
      </c>
      <c r="G146" s="793">
        <f>IF(G89="積上げ",0,+G121)</f>
        <v>0</v>
      </c>
      <c r="H146" s="793">
        <f t="shared" ref="H146:N146" si="79">IF(H89="積上げ",0,+H121)</f>
        <v>0</v>
      </c>
      <c r="I146" s="793">
        <f t="shared" si="79"/>
        <v>0</v>
      </c>
      <c r="J146" s="793">
        <f t="shared" si="79"/>
        <v>0</v>
      </c>
      <c r="K146" s="793">
        <f>IF(K89="積上げ",0,+K121)</f>
        <v>0</v>
      </c>
      <c r="L146" s="793">
        <f t="shared" si="79"/>
        <v>0</v>
      </c>
      <c r="M146" s="793">
        <f t="shared" si="79"/>
        <v>0</v>
      </c>
      <c r="N146" s="793">
        <f t="shared" si="79"/>
        <v>0</v>
      </c>
    </row>
    <row r="147" spans="1:14" s="759" customFormat="1" ht="15" hidden="1" customHeight="1">
      <c r="A147" s="2678"/>
      <c r="B147" s="2851"/>
      <c r="C147" s="900" t="s">
        <v>4015</v>
      </c>
      <c r="D147" s="901">
        <v>1</v>
      </c>
      <c r="E147" s="909">
        <v>0.01</v>
      </c>
      <c r="F147" s="757">
        <f t="shared" si="73"/>
        <v>0</v>
      </c>
      <c r="G147" s="793">
        <f>IF(G89="積上げ",0,G122)</f>
        <v>0</v>
      </c>
      <c r="H147" s="793">
        <f t="shared" ref="H147:N147" si="80">IF(H89="積上げ",0,H122)</f>
        <v>0</v>
      </c>
      <c r="I147" s="793">
        <f t="shared" si="80"/>
        <v>0</v>
      </c>
      <c r="J147" s="793">
        <f t="shared" si="80"/>
        <v>0</v>
      </c>
      <c r="K147" s="793">
        <f>IF(K89="積上げ",0,K122)</f>
        <v>0</v>
      </c>
      <c r="L147" s="793">
        <f t="shared" si="80"/>
        <v>0</v>
      </c>
      <c r="M147" s="793">
        <f t="shared" si="80"/>
        <v>0</v>
      </c>
      <c r="N147" s="793">
        <f t="shared" si="80"/>
        <v>0</v>
      </c>
    </row>
    <row r="148" spans="1:14" s="759" customFormat="1" ht="15" hidden="1" customHeight="1">
      <c r="A148" s="2678"/>
      <c r="B148" s="2851"/>
      <c r="C148" s="900" t="s">
        <v>3989</v>
      </c>
      <c r="D148" s="901">
        <v>1</v>
      </c>
      <c r="E148" s="909">
        <v>0.01</v>
      </c>
      <c r="F148" s="757">
        <f t="shared" si="73"/>
        <v>0</v>
      </c>
      <c r="G148" s="793">
        <f>IF(G89="積上げ",0,G123)</f>
        <v>0</v>
      </c>
      <c r="H148" s="793">
        <f t="shared" ref="H148:N148" si="81">IF(H89="積上げ",0,H123)</f>
        <v>0</v>
      </c>
      <c r="I148" s="793">
        <f t="shared" si="81"/>
        <v>0</v>
      </c>
      <c r="J148" s="793">
        <f t="shared" si="81"/>
        <v>0</v>
      </c>
      <c r="K148" s="793">
        <f>IF(K89="積上げ",0,K123)</f>
        <v>0</v>
      </c>
      <c r="L148" s="793">
        <f t="shared" si="81"/>
        <v>0</v>
      </c>
      <c r="M148" s="793">
        <f t="shared" si="81"/>
        <v>0</v>
      </c>
      <c r="N148" s="793">
        <f t="shared" si="81"/>
        <v>0</v>
      </c>
    </row>
    <row r="149" spans="1:14" s="759" customFormat="1" ht="14.25" hidden="1" customHeight="1">
      <c r="A149" s="2678"/>
      <c r="B149" s="2851"/>
      <c r="C149" s="900" t="s">
        <v>3990</v>
      </c>
      <c r="D149" s="901"/>
      <c r="E149" s="909"/>
      <c r="F149" s="757"/>
      <c r="G149" s="793"/>
      <c r="H149" s="793"/>
      <c r="I149" s="793"/>
      <c r="J149" s="793"/>
      <c r="K149" s="793"/>
      <c r="L149" s="793"/>
      <c r="M149" s="793"/>
      <c r="N149" s="793"/>
    </row>
    <row r="150" spans="1:14" s="759" customFormat="1" ht="14.25" hidden="1" customHeight="1">
      <c r="A150" s="2678"/>
      <c r="B150" s="2851"/>
      <c r="C150" s="900" t="s">
        <v>3991</v>
      </c>
      <c r="D150" s="901"/>
      <c r="E150" s="909"/>
      <c r="F150" s="757"/>
      <c r="G150" s="793"/>
      <c r="H150" s="793"/>
      <c r="I150" s="793"/>
      <c r="J150" s="793"/>
      <c r="K150" s="793"/>
      <c r="L150" s="793"/>
      <c r="M150" s="793"/>
      <c r="N150" s="793"/>
    </row>
    <row r="151" spans="1:14" s="759" customFormat="1" ht="15" hidden="1" customHeight="1">
      <c r="A151" s="2678"/>
      <c r="B151" s="2851"/>
      <c r="C151" s="900" t="s">
        <v>3992</v>
      </c>
      <c r="D151" s="901">
        <v>1</v>
      </c>
      <c r="E151" s="909">
        <v>0.01</v>
      </c>
      <c r="F151" s="757">
        <f>SUM(G151:N151)</f>
        <v>0</v>
      </c>
      <c r="G151" s="793">
        <f>IF(G89="積上げ",0,+G126)</f>
        <v>0</v>
      </c>
      <c r="H151" s="793">
        <f t="shared" ref="H151:N151" si="82">IF(H89="積上げ",0,+H126)</f>
        <v>0</v>
      </c>
      <c r="I151" s="793">
        <f t="shared" si="82"/>
        <v>0</v>
      </c>
      <c r="J151" s="793">
        <f t="shared" si="82"/>
        <v>0</v>
      </c>
      <c r="K151" s="793">
        <f>IF(K89="積上げ",0,+K126)</f>
        <v>0</v>
      </c>
      <c r="L151" s="793">
        <f t="shared" si="82"/>
        <v>0</v>
      </c>
      <c r="M151" s="793">
        <f t="shared" si="82"/>
        <v>0</v>
      </c>
      <c r="N151" s="793">
        <f t="shared" si="82"/>
        <v>0</v>
      </c>
    </row>
    <row r="152" spans="1:14" s="759" customFormat="1" ht="15" hidden="1" customHeight="1">
      <c r="A152" s="2678"/>
      <c r="B152" s="2851"/>
      <c r="C152" s="1823" t="s">
        <v>3993</v>
      </c>
      <c r="D152" s="901">
        <v>1</v>
      </c>
      <c r="E152" s="909">
        <v>0.01</v>
      </c>
      <c r="F152" s="757">
        <f>SUM(G152:N152)</f>
        <v>0</v>
      </c>
      <c r="G152" s="793">
        <f>IF(G89="積上げ",0,+G127)</f>
        <v>0</v>
      </c>
      <c r="H152" s="793">
        <f t="shared" ref="H152:N152" si="83">IF(H89="積上げ",0,+H127)</f>
        <v>0</v>
      </c>
      <c r="I152" s="793">
        <f t="shared" si="83"/>
        <v>0</v>
      </c>
      <c r="J152" s="793">
        <f t="shared" si="83"/>
        <v>0</v>
      </c>
      <c r="K152" s="793">
        <f>IF(K89="積上げ",0,+K127)</f>
        <v>0</v>
      </c>
      <c r="L152" s="793">
        <f t="shared" si="83"/>
        <v>0</v>
      </c>
      <c r="M152" s="793">
        <f t="shared" si="83"/>
        <v>0</v>
      </c>
      <c r="N152" s="793">
        <f t="shared" si="83"/>
        <v>0</v>
      </c>
    </row>
    <row r="153" spans="1:14" s="759" customFormat="1" ht="15" hidden="1" customHeight="1">
      <c r="A153" s="2678"/>
      <c r="B153" s="2851"/>
      <c r="C153" s="1823" t="s">
        <v>3994</v>
      </c>
      <c r="D153" s="901">
        <v>1</v>
      </c>
      <c r="E153" s="909">
        <v>0.01</v>
      </c>
      <c r="F153" s="757">
        <f>SUM(G153:N153)</f>
        <v>0</v>
      </c>
      <c r="G153" s="793">
        <f>IF(G89="積上げ",0,+G128)</f>
        <v>0</v>
      </c>
      <c r="H153" s="793">
        <f t="shared" ref="H153:N153" si="84">IF(H89="積上げ",0,+H128)</f>
        <v>0</v>
      </c>
      <c r="I153" s="793">
        <f t="shared" si="84"/>
        <v>0</v>
      </c>
      <c r="J153" s="793">
        <f t="shared" si="84"/>
        <v>0</v>
      </c>
      <c r="K153" s="793">
        <f>IF(K89="積上げ",0,+K128)</f>
        <v>0</v>
      </c>
      <c r="L153" s="793">
        <f t="shared" si="84"/>
        <v>0</v>
      </c>
      <c r="M153" s="793">
        <f t="shared" si="84"/>
        <v>0</v>
      </c>
      <c r="N153" s="793">
        <f t="shared" si="84"/>
        <v>0</v>
      </c>
    </row>
    <row r="154" spans="1:14" s="759" customFormat="1" ht="15" hidden="1" customHeight="1">
      <c r="A154" s="2678"/>
      <c r="B154" s="2852"/>
      <c r="C154" s="900" t="s">
        <v>3995</v>
      </c>
      <c r="D154" s="901">
        <v>1</v>
      </c>
      <c r="E154" s="909">
        <v>0.01</v>
      </c>
      <c r="F154" s="757">
        <f>SUM(G154:N154)</f>
        <v>0</v>
      </c>
      <c r="G154" s="793">
        <f>IF(G89="積上げ",0,+G129)</f>
        <v>0</v>
      </c>
      <c r="H154" s="793">
        <f t="shared" ref="H154:N154" si="85">IF(H89="積上げ",0,+H129)</f>
        <v>0</v>
      </c>
      <c r="I154" s="793">
        <f t="shared" si="85"/>
        <v>0</v>
      </c>
      <c r="J154" s="793">
        <f t="shared" si="85"/>
        <v>0</v>
      </c>
      <c r="K154" s="793">
        <f>IF(K89="積上げ",0,+K129)</f>
        <v>0</v>
      </c>
      <c r="L154" s="793">
        <f t="shared" si="85"/>
        <v>0</v>
      </c>
      <c r="M154" s="793">
        <f t="shared" si="85"/>
        <v>0</v>
      </c>
      <c r="N154" s="793">
        <f t="shared" si="85"/>
        <v>0</v>
      </c>
    </row>
    <row r="155" spans="1:14" s="759" customFormat="1" ht="15" hidden="1" customHeight="1">
      <c r="A155" s="2679"/>
      <c r="B155" s="1824" t="s">
        <v>4016</v>
      </c>
      <c r="C155" s="836" t="s">
        <v>4017</v>
      </c>
      <c r="D155" s="913">
        <v>1</v>
      </c>
      <c r="E155" s="914">
        <v>0</v>
      </c>
      <c r="F155" s="915">
        <f>SUM(G155:N155)</f>
        <v>0</v>
      </c>
      <c r="G155" s="916">
        <f>IF(G89="積上げ",0,SUM(G133:G136)+G130)</f>
        <v>0</v>
      </c>
      <c r="H155" s="916">
        <f t="shared" ref="H155:N155" si="86">IF(H89="積上げ",0,SUM(H133:H136)+H130)</f>
        <v>0</v>
      </c>
      <c r="I155" s="916">
        <f t="shared" si="86"/>
        <v>0</v>
      </c>
      <c r="J155" s="916">
        <f t="shared" si="86"/>
        <v>0</v>
      </c>
      <c r="K155" s="916">
        <f t="shared" si="86"/>
        <v>0</v>
      </c>
      <c r="L155" s="916">
        <f t="shared" si="86"/>
        <v>0</v>
      </c>
      <c r="M155" s="916">
        <f t="shared" si="86"/>
        <v>0</v>
      </c>
      <c r="N155" s="916">
        <f t="shared" si="86"/>
        <v>0</v>
      </c>
    </row>
    <row r="156" spans="1:14" s="759" customFormat="1" ht="15" hidden="1" customHeight="1">
      <c r="A156" s="918"/>
      <c r="B156" s="1825"/>
      <c r="C156" s="1826"/>
      <c r="D156" s="2681"/>
      <c r="E156" s="2681"/>
      <c r="F156" s="896"/>
      <c r="G156" s="897"/>
      <c r="H156" s="897"/>
      <c r="I156" s="897"/>
      <c r="J156" s="897"/>
      <c r="K156" s="897"/>
      <c r="L156" s="897"/>
      <c r="M156" s="897"/>
      <c r="N156" s="921"/>
    </row>
    <row r="157" spans="1:14" s="759" customFormat="1" ht="15" hidden="1" customHeight="1">
      <c r="A157" s="2675" t="s">
        <v>4018</v>
      </c>
      <c r="B157" s="2676"/>
      <c r="C157" s="2870"/>
      <c r="D157" s="2682"/>
      <c r="E157" s="2682"/>
      <c r="F157" s="889"/>
      <c r="G157" s="890"/>
      <c r="H157" s="890"/>
      <c r="I157" s="890"/>
      <c r="J157" s="890"/>
      <c r="K157" s="890"/>
      <c r="L157" s="890"/>
      <c r="M157" s="890"/>
      <c r="N157" s="891"/>
    </row>
    <row r="158" spans="1:14" s="759" customFormat="1" ht="15" hidden="1" customHeight="1">
      <c r="A158" s="2677"/>
      <c r="B158" s="2850" t="s">
        <v>3981</v>
      </c>
      <c r="C158" s="922" t="s">
        <v>3982</v>
      </c>
      <c r="D158" s="923"/>
      <c r="E158" s="924" t="s">
        <v>4011</v>
      </c>
      <c r="F158" s="925" t="s">
        <v>4019</v>
      </c>
      <c r="G158" s="926">
        <f>IF(G142=0,0,IF(G90="有り",+G264/100,G265/100))</f>
        <v>0</v>
      </c>
      <c r="H158" s="926">
        <f t="shared" ref="H158:N158" si="87">IF(H142=0,0,IF(H90="有り",+H264/100,H265/100))</f>
        <v>0</v>
      </c>
      <c r="I158" s="926">
        <f t="shared" si="87"/>
        <v>0</v>
      </c>
      <c r="J158" s="926">
        <f t="shared" si="87"/>
        <v>0</v>
      </c>
      <c r="K158" s="926">
        <f>IF(K142=0,0,IF(K90="有り",+K264/100,K265/100))</f>
        <v>0</v>
      </c>
      <c r="L158" s="926">
        <f t="shared" si="87"/>
        <v>0</v>
      </c>
      <c r="M158" s="926">
        <f t="shared" si="87"/>
        <v>0</v>
      </c>
      <c r="N158" s="927">
        <f t="shared" si="87"/>
        <v>0</v>
      </c>
    </row>
    <row r="159" spans="1:14" s="759" customFormat="1" ht="15" hidden="1" customHeight="1">
      <c r="A159" s="2678"/>
      <c r="B159" s="2851"/>
      <c r="C159" s="928"/>
      <c r="D159" s="929">
        <f>+D142</f>
        <v>1</v>
      </c>
      <c r="E159" s="930" t="s">
        <v>4011</v>
      </c>
      <c r="F159" s="931">
        <f>SUM(G159:N159)</f>
        <v>0</v>
      </c>
      <c r="G159" s="748">
        <f>ROUNDDOWN(G142*G158*$D159,0)</f>
        <v>0</v>
      </c>
      <c r="H159" s="748">
        <f t="shared" ref="H159:N159" si="88">ROUNDDOWN(H142*H158*$D159,0)</f>
        <v>0</v>
      </c>
      <c r="I159" s="748">
        <f t="shared" si="88"/>
        <v>0</v>
      </c>
      <c r="J159" s="748">
        <f t="shared" si="88"/>
        <v>0</v>
      </c>
      <c r="K159" s="748">
        <f>ROUNDDOWN(K142*K158*$D159,0)</f>
        <v>0</v>
      </c>
      <c r="L159" s="748">
        <f t="shared" si="88"/>
        <v>0</v>
      </c>
      <c r="M159" s="748">
        <f t="shared" si="88"/>
        <v>0</v>
      </c>
      <c r="N159" s="932">
        <f t="shared" si="88"/>
        <v>0</v>
      </c>
    </row>
    <row r="160" spans="1:14" s="759" customFormat="1" ht="15" hidden="1" customHeight="1">
      <c r="A160" s="2678"/>
      <c r="B160" s="2851"/>
      <c r="C160" s="933" t="s">
        <v>3983</v>
      </c>
      <c r="D160" s="934"/>
      <c r="E160" s="930" t="s">
        <v>4011</v>
      </c>
      <c r="F160" s="935" t="s">
        <v>4019</v>
      </c>
      <c r="G160" s="937">
        <f t="shared" ref="G160:N160" si="89">IF(G143=0,0,IF(G90="有り",G273/100,+G274/100))</f>
        <v>0</v>
      </c>
      <c r="H160" s="937">
        <f t="shared" si="89"/>
        <v>0</v>
      </c>
      <c r="I160" s="937">
        <f t="shared" si="89"/>
        <v>0</v>
      </c>
      <c r="J160" s="937">
        <f t="shared" si="89"/>
        <v>0</v>
      </c>
      <c r="K160" s="937">
        <f>IF(K143=0,0,IF(K90="有り",K273/100,+K274/100))</f>
        <v>0</v>
      </c>
      <c r="L160" s="937">
        <f t="shared" si="89"/>
        <v>0</v>
      </c>
      <c r="M160" s="937">
        <f t="shared" si="89"/>
        <v>0</v>
      </c>
      <c r="N160" s="938">
        <f t="shared" si="89"/>
        <v>0</v>
      </c>
    </row>
    <row r="161" spans="1:14" s="759" customFormat="1" ht="15" hidden="1" customHeight="1">
      <c r="A161" s="2678"/>
      <c r="B161" s="2851"/>
      <c r="C161" s="928"/>
      <c r="D161" s="939">
        <f t="shared" ref="D161:D166" si="90">+D143</f>
        <v>1</v>
      </c>
      <c r="E161" s="930" t="s">
        <v>4011</v>
      </c>
      <c r="F161" s="931">
        <f>SUM(G161:N161)</f>
        <v>0</v>
      </c>
      <c r="G161" s="748">
        <f>ROUNDDOWN(G143*G160*$D161,0)</f>
        <v>0</v>
      </c>
      <c r="H161" s="748">
        <f t="shared" ref="H161:N161" si="91">ROUNDDOWN(H143*H160*$D161,0)</f>
        <v>0</v>
      </c>
      <c r="I161" s="748">
        <f t="shared" si="91"/>
        <v>0</v>
      </c>
      <c r="J161" s="748">
        <f t="shared" si="91"/>
        <v>0</v>
      </c>
      <c r="K161" s="748">
        <f>ROUNDDOWN(K143*K160*$D161,0)</f>
        <v>0</v>
      </c>
      <c r="L161" s="748">
        <f t="shared" si="91"/>
        <v>0</v>
      </c>
      <c r="M161" s="748">
        <f t="shared" si="91"/>
        <v>0</v>
      </c>
      <c r="N161" s="932">
        <f t="shared" si="91"/>
        <v>0</v>
      </c>
    </row>
    <row r="162" spans="1:14" s="759" customFormat="1" ht="15" hidden="1" customHeight="1">
      <c r="A162" s="2678"/>
      <c r="B162" s="2851"/>
      <c r="C162" s="900" t="s">
        <v>4020</v>
      </c>
      <c r="D162" s="940">
        <v>0.9</v>
      </c>
      <c r="E162" s="930" t="s">
        <v>4011</v>
      </c>
      <c r="F162" s="931">
        <f>SUM(G162:N162)</f>
        <v>0</v>
      </c>
      <c r="G162" s="748">
        <f>ROUNDDOWN(G144*G158*$D162,0)</f>
        <v>0</v>
      </c>
      <c r="H162" s="748">
        <f t="shared" ref="H162:N162" si="92">ROUNDDOWN(H144*H158*$D162,0)</f>
        <v>0</v>
      </c>
      <c r="I162" s="748">
        <f t="shared" si="92"/>
        <v>0</v>
      </c>
      <c r="J162" s="748">
        <f t="shared" si="92"/>
        <v>0</v>
      </c>
      <c r="K162" s="748">
        <f>ROUNDDOWN(K144*K158*$D162,0)</f>
        <v>0</v>
      </c>
      <c r="L162" s="748">
        <f t="shared" si="92"/>
        <v>0</v>
      </c>
      <c r="M162" s="748">
        <f t="shared" si="92"/>
        <v>0</v>
      </c>
      <c r="N162" s="932">
        <f t="shared" si="92"/>
        <v>0</v>
      </c>
    </row>
    <row r="163" spans="1:14" s="759" customFormat="1" ht="15" hidden="1" customHeight="1">
      <c r="A163" s="2678"/>
      <c r="B163" s="2852"/>
      <c r="C163" s="900" t="s">
        <v>4021</v>
      </c>
      <c r="D163" s="940">
        <v>0.9</v>
      </c>
      <c r="E163" s="930" t="s">
        <v>4011</v>
      </c>
      <c r="F163" s="931">
        <f>SUM(G163:N163)</f>
        <v>0</v>
      </c>
      <c r="G163" s="748">
        <f>ROUNDDOWN(G145*G160*$D163,0)</f>
        <v>0</v>
      </c>
      <c r="H163" s="748">
        <f t="shared" ref="H163:N163" si="93">ROUNDDOWN(H145*H160*$D163,0)</f>
        <v>0</v>
      </c>
      <c r="I163" s="748">
        <f t="shared" si="93"/>
        <v>0</v>
      </c>
      <c r="J163" s="748">
        <f t="shared" si="93"/>
        <v>0</v>
      </c>
      <c r="K163" s="748">
        <f>ROUNDDOWN(K145*K160*$D163,0)</f>
        <v>0</v>
      </c>
      <c r="L163" s="748">
        <f t="shared" si="93"/>
        <v>0</v>
      </c>
      <c r="M163" s="748">
        <f t="shared" si="93"/>
        <v>0</v>
      </c>
      <c r="N163" s="932">
        <f t="shared" si="93"/>
        <v>0</v>
      </c>
    </row>
    <row r="164" spans="1:14" s="759" customFormat="1" ht="15" hidden="1" customHeight="1">
      <c r="A164" s="2678"/>
      <c r="B164" s="2776" t="s">
        <v>3986</v>
      </c>
      <c r="C164" s="900" t="s">
        <v>4014</v>
      </c>
      <c r="D164" s="940">
        <f>+D146</f>
        <v>1</v>
      </c>
      <c r="E164" s="909">
        <f>+E146</f>
        <v>0.01</v>
      </c>
      <c r="F164" s="757">
        <v>0</v>
      </c>
      <c r="G164" s="748">
        <f t="shared" ref="G164:N173" si="94">ROUNDDOWN(G146*$E164*$D164,0)</f>
        <v>0</v>
      </c>
      <c r="H164" s="748">
        <f t="shared" si="94"/>
        <v>0</v>
      </c>
      <c r="I164" s="748">
        <f t="shared" si="94"/>
        <v>0</v>
      </c>
      <c r="J164" s="748">
        <f t="shared" si="94"/>
        <v>0</v>
      </c>
      <c r="K164" s="748">
        <f t="shared" si="94"/>
        <v>0</v>
      </c>
      <c r="L164" s="748">
        <f t="shared" si="94"/>
        <v>0</v>
      </c>
      <c r="M164" s="748">
        <f t="shared" si="94"/>
        <v>0</v>
      </c>
      <c r="N164" s="748">
        <f t="shared" si="94"/>
        <v>0</v>
      </c>
    </row>
    <row r="165" spans="1:14" s="759" customFormat="1" ht="15" hidden="1" customHeight="1">
      <c r="A165" s="2678"/>
      <c r="B165" s="2851"/>
      <c r="C165" s="900" t="s">
        <v>4022</v>
      </c>
      <c r="D165" s="940">
        <f t="shared" si="90"/>
        <v>1</v>
      </c>
      <c r="E165" s="909">
        <f>+E147</f>
        <v>0.01</v>
      </c>
      <c r="F165" s="757">
        <v>0</v>
      </c>
      <c r="G165" s="748">
        <f t="shared" si="94"/>
        <v>0</v>
      </c>
      <c r="H165" s="748">
        <f t="shared" si="94"/>
        <v>0</v>
      </c>
      <c r="I165" s="748">
        <f t="shared" si="94"/>
        <v>0</v>
      </c>
      <c r="J165" s="748">
        <f t="shared" si="94"/>
        <v>0</v>
      </c>
      <c r="K165" s="748">
        <f t="shared" si="94"/>
        <v>0</v>
      </c>
      <c r="L165" s="748">
        <f t="shared" si="94"/>
        <v>0</v>
      </c>
      <c r="M165" s="748">
        <f t="shared" si="94"/>
        <v>0</v>
      </c>
      <c r="N165" s="748">
        <f t="shared" si="94"/>
        <v>0</v>
      </c>
    </row>
    <row r="166" spans="1:14" s="759" customFormat="1" ht="15" hidden="1" customHeight="1">
      <c r="A166" s="2678"/>
      <c r="B166" s="2851"/>
      <c r="C166" s="900" t="s">
        <v>3989</v>
      </c>
      <c r="D166" s="940">
        <f t="shared" si="90"/>
        <v>1</v>
      </c>
      <c r="E166" s="909">
        <f>+E148</f>
        <v>0.01</v>
      </c>
      <c r="F166" s="757">
        <v>0</v>
      </c>
      <c r="G166" s="748">
        <f t="shared" si="94"/>
        <v>0</v>
      </c>
      <c r="H166" s="748">
        <f t="shared" si="94"/>
        <v>0</v>
      </c>
      <c r="I166" s="748">
        <f t="shared" si="94"/>
        <v>0</v>
      </c>
      <c r="J166" s="748">
        <f t="shared" si="94"/>
        <v>0</v>
      </c>
      <c r="K166" s="748">
        <f t="shared" si="94"/>
        <v>0</v>
      </c>
      <c r="L166" s="748">
        <f t="shared" si="94"/>
        <v>0</v>
      </c>
      <c r="M166" s="748">
        <f t="shared" si="94"/>
        <v>0</v>
      </c>
      <c r="N166" s="748">
        <f t="shared" si="94"/>
        <v>0</v>
      </c>
    </row>
    <row r="167" spans="1:14" s="759" customFormat="1" ht="15" hidden="1" customHeight="1">
      <c r="A167" s="2678"/>
      <c r="B167" s="2851"/>
      <c r="C167" s="900" t="s">
        <v>4023</v>
      </c>
      <c r="D167" s="940"/>
      <c r="E167" s="909"/>
      <c r="F167" s="757"/>
      <c r="G167" s="748"/>
      <c r="H167" s="748"/>
      <c r="I167" s="748"/>
      <c r="J167" s="748"/>
      <c r="K167" s="748"/>
      <c r="L167" s="748"/>
      <c r="M167" s="748"/>
      <c r="N167" s="748"/>
    </row>
    <row r="168" spans="1:14" s="759" customFormat="1" ht="15" hidden="1" customHeight="1">
      <c r="A168" s="2678"/>
      <c r="B168" s="2851"/>
      <c r="C168" s="1827" t="s">
        <v>3991</v>
      </c>
      <c r="D168" s="940"/>
      <c r="E168" s="909"/>
      <c r="F168" s="757"/>
      <c r="G168" s="748"/>
      <c r="H168" s="748"/>
      <c r="I168" s="748"/>
      <c r="J168" s="748"/>
      <c r="K168" s="748"/>
      <c r="L168" s="748"/>
      <c r="M168" s="748"/>
      <c r="N168" s="748"/>
    </row>
    <row r="169" spans="1:14" s="759" customFormat="1" ht="15" hidden="1" customHeight="1">
      <c r="A169" s="2678"/>
      <c r="B169" s="2851"/>
      <c r="C169" s="900" t="s">
        <v>3992</v>
      </c>
      <c r="D169" s="940">
        <f t="shared" ref="D169:E173" si="95">+D151</f>
        <v>1</v>
      </c>
      <c r="E169" s="909">
        <f t="shared" si="95"/>
        <v>0.01</v>
      </c>
      <c r="F169" s="757">
        <v>0</v>
      </c>
      <c r="G169" s="748">
        <f t="shared" si="94"/>
        <v>0</v>
      </c>
      <c r="H169" s="748">
        <f t="shared" si="94"/>
        <v>0</v>
      </c>
      <c r="I169" s="748">
        <f t="shared" si="94"/>
        <v>0</v>
      </c>
      <c r="J169" s="748">
        <f t="shared" si="94"/>
        <v>0</v>
      </c>
      <c r="K169" s="748">
        <f t="shared" si="94"/>
        <v>0</v>
      </c>
      <c r="L169" s="748">
        <f t="shared" si="94"/>
        <v>0</v>
      </c>
      <c r="M169" s="748">
        <f t="shared" si="94"/>
        <v>0</v>
      </c>
      <c r="N169" s="748">
        <f t="shared" si="94"/>
        <v>0</v>
      </c>
    </row>
    <row r="170" spans="1:14" s="759" customFormat="1" ht="15" hidden="1" customHeight="1">
      <c r="A170" s="2678"/>
      <c r="B170" s="2851"/>
      <c r="C170" s="1823" t="s">
        <v>4024</v>
      </c>
      <c r="D170" s="940">
        <f t="shared" si="95"/>
        <v>1</v>
      </c>
      <c r="E170" s="909">
        <f t="shared" si="95"/>
        <v>0.01</v>
      </c>
      <c r="F170" s="757">
        <v>0</v>
      </c>
      <c r="G170" s="748">
        <f t="shared" si="94"/>
        <v>0</v>
      </c>
      <c r="H170" s="748">
        <f t="shared" si="94"/>
        <v>0</v>
      </c>
      <c r="I170" s="748">
        <f t="shared" si="94"/>
        <v>0</v>
      </c>
      <c r="J170" s="748">
        <f t="shared" si="94"/>
        <v>0</v>
      </c>
      <c r="K170" s="748">
        <f t="shared" si="94"/>
        <v>0</v>
      </c>
      <c r="L170" s="748">
        <f t="shared" si="94"/>
        <v>0</v>
      </c>
      <c r="M170" s="748">
        <f t="shared" si="94"/>
        <v>0</v>
      </c>
      <c r="N170" s="748">
        <f t="shared" si="94"/>
        <v>0</v>
      </c>
    </row>
    <row r="171" spans="1:14" s="759" customFormat="1" ht="15" hidden="1" customHeight="1">
      <c r="A171" s="2678"/>
      <c r="B171" s="2851"/>
      <c r="C171" s="1823" t="s">
        <v>4025</v>
      </c>
      <c r="D171" s="940">
        <f t="shared" si="95"/>
        <v>1</v>
      </c>
      <c r="E171" s="909">
        <f t="shared" si="95"/>
        <v>0.01</v>
      </c>
      <c r="F171" s="757">
        <v>0</v>
      </c>
      <c r="G171" s="748">
        <f t="shared" si="94"/>
        <v>0</v>
      </c>
      <c r="H171" s="748">
        <f t="shared" si="94"/>
        <v>0</v>
      </c>
      <c r="I171" s="748">
        <f t="shared" si="94"/>
        <v>0</v>
      </c>
      <c r="J171" s="748">
        <f t="shared" si="94"/>
        <v>0</v>
      </c>
      <c r="K171" s="748">
        <f t="shared" si="94"/>
        <v>0</v>
      </c>
      <c r="L171" s="748">
        <f t="shared" si="94"/>
        <v>0</v>
      </c>
      <c r="M171" s="748">
        <f t="shared" si="94"/>
        <v>0</v>
      </c>
      <c r="N171" s="748">
        <f t="shared" si="94"/>
        <v>0</v>
      </c>
    </row>
    <row r="172" spans="1:14" s="759" customFormat="1" ht="15" hidden="1" customHeight="1">
      <c r="A172" s="2678"/>
      <c r="B172" s="2852"/>
      <c r="C172" s="900" t="s">
        <v>3995</v>
      </c>
      <c r="D172" s="940">
        <f t="shared" si="95"/>
        <v>1</v>
      </c>
      <c r="E172" s="909">
        <f t="shared" si="95"/>
        <v>0.01</v>
      </c>
      <c r="F172" s="757">
        <v>0</v>
      </c>
      <c r="G172" s="748">
        <f t="shared" si="94"/>
        <v>0</v>
      </c>
      <c r="H172" s="748">
        <f t="shared" si="94"/>
        <v>0</v>
      </c>
      <c r="I172" s="748">
        <f t="shared" si="94"/>
        <v>0</v>
      </c>
      <c r="J172" s="748">
        <f t="shared" si="94"/>
        <v>0</v>
      </c>
      <c r="K172" s="748">
        <f t="shared" si="94"/>
        <v>0</v>
      </c>
      <c r="L172" s="748">
        <f t="shared" si="94"/>
        <v>0</v>
      </c>
      <c r="M172" s="748">
        <f t="shared" si="94"/>
        <v>0</v>
      </c>
      <c r="N172" s="748">
        <f t="shared" si="94"/>
        <v>0</v>
      </c>
    </row>
    <row r="173" spans="1:14" s="759" customFormat="1" ht="15" hidden="1" customHeight="1" thickBot="1">
      <c r="A173" s="2874"/>
      <c r="B173" s="2505" t="s">
        <v>4016</v>
      </c>
      <c r="C173" s="1828" t="s">
        <v>4026</v>
      </c>
      <c r="D173" s="2506">
        <f t="shared" si="95"/>
        <v>1</v>
      </c>
      <c r="E173" s="2507">
        <f t="shared" si="95"/>
        <v>0</v>
      </c>
      <c r="F173" s="2447">
        <f>ROUNDDOWN(D173*E173*F155,0)</f>
        <v>0</v>
      </c>
      <c r="G173" s="748">
        <f>ROUNDDOWN(G155*$E173*$D173,0)</f>
        <v>0</v>
      </c>
      <c r="H173" s="748">
        <f>ROUNDDOWN(H155*$E173*$D173,0)</f>
        <v>0</v>
      </c>
      <c r="I173" s="748">
        <f t="shared" si="94"/>
        <v>0</v>
      </c>
      <c r="J173" s="748">
        <f t="shared" si="94"/>
        <v>0</v>
      </c>
      <c r="K173" s="748">
        <f t="shared" si="94"/>
        <v>0</v>
      </c>
      <c r="L173" s="748">
        <f t="shared" si="94"/>
        <v>0</v>
      </c>
      <c r="M173" s="748">
        <f t="shared" si="94"/>
        <v>0</v>
      </c>
      <c r="N173" s="748">
        <f t="shared" si="94"/>
        <v>0</v>
      </c>
    </row>
    <row r="174" spans="1:14" s="759" customFormat="1" ht="15" hidden="1" customHeight="1" thickTop="1">
      <c r="A174" s="1829"/>
      <c r="B174" s="1830"/>
      <c r="C174" s="1831" t="s">
        <v>4027</v>
      </c>
      <c r="D174" s="1832"/>
      <c r="E174" s="1833"/>
      <c r="F174" s="1834">
        <f>SUM(G174:N174)</f>
        <v>0</v>
      </c>
      <c r="G174" s="1835">
        <f>SUM(G161:G173)+G159</f>
        <v>0</v>
      </c>
      <c r="H174" s="1835">
        <f t="shared" ref="H174:N174" si="96">SUM(H161:H173)+H159</f>
        <v>0</v>
      </c>
      <c r="I174" s="1835">
        <f t="shared" si="96"/>
        <v>0</v>
      </c>
      <c r="J174" s="1835">
        <f t="shared" si="96"/>
        <v>0</v>
      </c>
      <c r="K174" s="1835">
        <f>SUM(K161:K173)+K159</f>
        <v>0</v>
      </c>
      <c r="L174" s="1835">
        <f t="shared" si="96"/>
        <v>0</v>
      </c>
      <c r="M174" s="1835">
        <f t="shared" si="96"/>
        <v>0</v>
      </c>
      <c r="N174" s="1836">
        <f t="shared" si="96"/>
        <v>0</v>
      </c>
    </row>
    <row r="175" spans="1:14" s="759" customFormat="1" ht="15" customHeight="1">
      <c r="A175" s="754"/>
      <c r="B175" s="754"/>
      <c r="C175" s="762"/>
      <c r="D175" s="762"/>
      <c r="E175" s="754"/>
      <c r="F175" s="879"/>
      <c r="G175" s="880"/>
      <c r="H175" s="880"/>
      <c r="I175" s="880"/>
      <c r="J175" s="880"/>
      <c r="K175" s="880"/>
      <c r="L175" s="880"/>
      <c r="M175" s="880"/>
      <c r="N175" s="880"/>
    </row>
    <row r="176" spans="1:14" s="759" customFormat="1" ht="15" customHeight="1">
      <c r="A176" s="754"/>
      <c r="B176" s="754"/>
      <c r="C176" s="881" t="s">
        <v>4801</v>
      </c>
      <c r="D176" s="881"/>
      <c r="E176" s="882"/>
      <c r="F176" s="646"/>
      <c r="G176" s="651"/>
      <c r="H176" s="651"/>
      <c r="I176" s="651"/>
      <c r="J176" s="651"/>
      <c r="K176" s="651"/>
      <c r="L176" s="651"/>
      <c r="M176" s="651"/>
      <c r="N176" s="653" t="s">
        <v>4719</v>
      </c>
    </row>
    <row r="177" spans="1:14" s="759" customFormat="1" ht="15" customHeight="1">
      <c r="A177" s="754"/>
      <c r="B177" s="754"/>
      <c r="C177" s="883" t="s">
        <v>4030</v>
      </c>
      <c r="D177" s="883"/>
      <c r="E177" s="882"/>
      <c r="F177" s="646"/>
      <c r="G177" s="651"/>
      <c r="H177" s="651"/>
      <c r="I177" s="651"/>
      <c r="J177" s="651"/>
      <c r="K177" s="651"/>
      <c r="L177" s="651"/>
      <c r="M177" s="651"/>
      <c r="N177" s="653"/>
    </row>
    <row r="178" spans="1:14" s="759" customFormat="1" ht="15" customHeight="1">
      <c r="A178" s="884"/>
      <c r="B178" s="885"/>
      <c r="C178" s="885"/>
      <c r="D178" s="2673" t="s">
        <v>4007</v>
      </c>
      <c r="E178" s="2673" t="s">
        <v>4008</v>
      </c>
      <c r="F178" s="886" t="s">
        <v>3979</v>
      </c>
      <c r="G178" s="887">
        <f t="shared" ref="G178:N178" si="97">+G87</f>
        <v>0</v>
      </c>
      <c r="H178" s="887">
        <f t="shared" si="97"/>
        <v>0</v>
      </c>
      <c r="I178" s="887">
        <f t="shared" si="97"/>
        <v>0</v>
      </c>
      <c r="J178" s="887">
        <f t="shared" si="97"/>
        <v>0</v>
      </c>
      <c r="K178" s="887">
        <f>+K87</f>
        <v>0</v>
      </c>
      <c r="L178" s="887">
        <f t="shared" si="97"/>
        <v>0</v>
      </c>
      <c r="M178" s="887">
        <f t="shared" si="97"/>
        <v>0</v>
      </c>
      <c r="N178" s="888">
        <f t="shared" si="97"/>
        <v>0</v>
      </c>
    </row>
    <row r="179" spans="1:14" s="759" customFormat="1" ht="15" customHeight="1">
      <c r="A179" s="2675" t="s">
        <v>4031</v>
      </c>
      <c r="B179" s="2676"/>
      <c r="C179" s="2870"/>
      <c r="D179" s="2674"/>
      <c r="E179" s="2674"/>
      <c r="F179" s="889"/>
      <c r="G179" s="890"/>
      <c r="H179" s="890"/>
      <c r="I179" s="890"/>
      <c r="J179" s="890"/>
      <c r="K179" s="890"/>
      <c r="L179" s="890"/>
      <c r="M179" s="890"/>
      <c r="N179" s="891"/>
    </row>
    <row r="180" spans="1:14" s="759" customFormat="1" ht="15" customHeight="1">
      <c r="A180" s="2677"/>
      <c r="B180" s="892" t="s">
        <v>4032</v>
      </c>
      <c r="C180" s="893"/>
      <c r="D180" s="894"/>
      <c r="E180" s="895"/>
      <c r="F180" s="896">
        <f t="shared" ref="F180:F187" si="98">SUM(G180:N180)</f>
        <v>0</v>
      </c>
      <c r="G180" s="897">
        <f>+G91-G135-G134-G130-G131</f>
        <v>0</v>
      </c>
      <c r="H180" s="897">
        <f t="shared" ref="H180:N180" si="99">+H91-H135-H134-H130-H131</f>
        <v>0</v>
      </c>
      <c r="I180" s="897">
        <f t="shared" si="99"/>
        <v>0</v>
      </c>
      <c r="J180" s="897">
        <f t="shared" si="99"/>
        <v>0</v>
      </c>
      <c r="K180" s="897">
        <f>+K91-K135-K134-K130-K131</f>
        <v>0</v>
      </c>
      <c r="L180" s="897">
        <f t="shared" si="99"/>
        <v>0</v>
      </c>
      <c r="M180" s="897">
        <f t="shared" si="99"/>
        <v>0</v>
      </c>
      <c r="N180" s="921">
        <f t="shared" si="99"/>
        <v>0</v>
      </c>
    </row>
    <row r="181" spans="1:14" s="759" customFormat="1" ht="15" customHeight="1">
      <c r="A181" s="2678"/>
      <c r="B181" s="2776" t="s">
        <v>3981</v>
      </c>
      <c r="C181" s="900" t="s">
        <v>3982</v>
      </c>
      <c r="D181" s="901">
        <v>1</v>
      </c>
      <c r="E181" s="902" t="s">
        <v>4011</v>
      </c>
      <c r="F181" s="757">
        <f t="shared" si="98"/>
        <v>0</v>
      </c>
      <c r="G181" s="793">
        <f>IF(G117&gt;=G118,+G117+G159+G98-G99-G100-G135,G117+G159)</f>
        <v>0</v>
      </c>
      <c r="H181" s="793">
        <f t="shared" ref="H181:N181" si="100">IF(H117&gt;=H118,+H117+H159+H98-H99-H100-H135,H117+H159)</f>
        <v>0</v>
      </c>
      <c r="I181" s="793">
        <f t="shared" si="100"/>
        <v>0</v>
      </c>
      <c r="J181" s="793">
        <f t="shared" si="100"/>
        <v>0</v>
      </c>
      <c r="K181" s="793">
        <f t="shared" si="100"/>
        <v>0</v>
      </c>
      <c r="L181" s="793">
        <f t="shared" si="100"/>
        <v>0</v>
      </c>
      <c r="M181" s="793">
        <f t="shared" si="100"/>
        <v>0</v>
      </c>
      <c r="N181" s="794">
        <f t="shared" si="100"/>
        <v>0</v>
      </c>
    </row>
    <row r="182" spans="1:14" s="759" customFormat="1" ht="15" customHeight="1">
      <c r="A182" s="2678"/>
      <c r="B182" s="2851"/>
      <c r="C182" s="900" t="s">
        <v>3983</v>
      </c>
      <c r="D182" s="901">
        <v>1</v>
      </c>
      <c r="E182" s="902" t="s">
        <v>4011</v>
      </c>
      <c r="F182" s="757">
        <f t="shared" si="98"/>
        <v>0</v>
      </c>
      <c r="G182" s="793">
        <f>IF(G117&gt;=G118,+G118+G161,G118+G161+G98-G99-G100-G135)</f>
        <v>0</v>
      </c>
      <c r="H182" s="793">
        <f t="shared" ref="H182:N182" si="101">IF(H117&gt;=H118,+H118+H161,H118+H161+H98-H99-H100-H135)</f>
        <v>0</v>
      </c>
      <c r="I182" s="793">
        <f t="shared" si="101"/>
        <v>0</v>
      </c>
      <c r="J182" s="793">
        <f t="shared" si="101"/>
        <v>0</v>
      </c>
      <c r="K182" s="793">
        <f t="shared" si="101"/>
        <v>0</v>
      </c>
      <c r="L182" s="793">
        <f t="shared" si="101"/>
        <v>0</v>
      </c>
      <c r="M182" s="793">
        <f t="shared" si="101"/>
        <v>0</v>
      </c>
      <c r="N182" s="794">
        <f t="shared" si="101"/>
        <v>0</v>
      </c>
    </row>
    <row r="183" spans="1:14" s="759" customFormat="1" ht="15" customHeight="1">
      <c r="A183" s="2678"/>
      <c r="B183" s="2851"/>
      <c r="C183" s="900" t="s">
        <v>4012</v>
      </c>
      <c r="D183" s="901">
        <v>1</v>
      </c>
      <c r="E183" s="902" t="s">
        <v>4011</v>
      </c>
      <c r="F183" s="757">
        <f t="shared" si="98"/>
        <v>0</v>
      </c>
      <c r="G183" s="793">
        <f>+G119+G162</f>
        <v>0</v>
      </c>
      <c r="H183" s="793">
        <f t="shared" ref="H183:N187" si="102">+H119+H162</f>
        <v>0</v>
      </c>
      <c r="I183" s="793">
        <f t="shared" si="102"/>
        <v>0</v>
      </c>
      <c r="J183" s="793">
        <f t="shared" si="102"/>
        <v>0</v>
      </c>
      <c r="K183" s="793">
        <f t="shared" si="102"/>
        <v>0</v>
      </c>
      <c r="L183" s="793">
        <f t="shared" si="102"/>
        <v>0</v>
      </c>
      <c r="M183" s="793">
        <f t="shared" si="102"/>
        <v>0</v>
      </c>
      <c r="N183" s="794">
        <f t="shared" si="102"/>
        <v>0</v>
      </c>
    </row>
    <row r="184" spans="1:14" s="759" customFormat="1" ht="15" customHeight="1">
      <c r="A184" s="2678"/>
      <c r="B184" s="2852"/>
      <c r="C184" s="900" t="s">
        <v>4013</v>
      </c>
      <c r="D184" s="901">
        <v>1</v>
      </c>
      <c r="E184" s="902" t="s">
        <v>4011</v>
      </c>
      <c r="F184" s="757">
        <f t="shared" si="98"/>
        <v>0</v>
      </c>
      <c r="G184" s="793">
        <f>+G120+G163</f>
        <v>0</v>
      </c>
      <c r="H184" s="793">
        <f t="shared" si="102"/>
        <v>0</v>
      </c>
      <c r="I184" s="793">
        <f t="shared" si="102"/>
        <v>0</v>
      </c>
      <c r="J184" s="793">
        <f t="shared" si="102"/>
        <v>0</v>
      </c>
      <c r="K184" s="793">
        <f t="shared" si="102"/>
        <v>0</v>
      </c>
      <c r="L184" s="793">
        <f t="shared" si="102"/>
        <v>0</v>
      </c>
      <c r="M184" s="793">
        <f t="shared" si="102"/>
        <v>0</v>
      </c>
      <c r="N184" s="794">
        <f t="shared" si="102"/>
        <v>0</v>
      </c>
    </row>
    <row r="185" spans="1:14" s="759" customFormat="1" ht="15" customHeight="1">
      <c r="A185" s="2678"/>
      <c r="B185" s="2776" t="s">
        <v>3986</v>
      </c>
      <c r="C185" s="900" t="s">
        <v>4014</v>
      </c>
      <c r="D185" s="901">
        <v>1</v>
      </c>
      <c r="E185" s="909">
        <v>0.02</v>
      </c>
      <c r="F185" s="757">
        <f t="shared" si="98"/>
        <v>0</v>
      </c>
      <c r="G185" s="793">
        <f>+G121+G164</f>
        <v>0</v>
      </c>
      <c r="H185" s="793">
        <f t="shared" si="102"/>
        <v>0</v>
      </c>
      <c r="I185" s="793">
        <f t="shared" si="102"/>
        <v>0</v>
      </c>
      <c r="J185" s="793">
        <f t="shared" si="102"/>
        <v>0</v>
      </c>
      <c r="K185" s="793">
        <f t="shared" si="102"/>
        <v>0</v>
      </c>
      <c r="L185" s="793">
        <f t="shared" si="102"/>
        <v>0</v>
      </c>
      <c r="M185" s="793">
        <f t="shared" si="102"/>
        <v>0</v>
      </c>
      <c r="N185" s="794">
        <f t="shared" si="102"/>
        <v>0</v>
      </c>
    </row>
    <row r="186" spans="1:14" s="759" customFormat="1" ht="15" customHeight="1">
      <c r="A186" s="2678"/>
      <c r="B186" s="2851"/>
      <c r="C186" s="900" t="s">
        <v>4015</v>
      </c>
      <c r="D186" s="901">
        <v>1</v>
      </c>
      <c r="E186" s="909">
        <v>0.02</v>
      </c>
      <c r="F186" s="757">
        <f t="shared" si="98"/>
        <v>0</v>
      </c>
      <c r="G186" s="793">
        <f>+G122+G165</f>
        <v>0</v>
      </c>
      <c r="H186" s="793">
        <f t="shared" si="102"/>
        <v>0</v>
      </c>
      <c r="I186" s="793">
        <f t="shared" si="102"/>
        <v>0</v>
      </c>
      <c r="J186" s="793">
        <f t="shared" si="102"/>
        <v>0</v>
      </c>
      <c r="K186" s="793">
        <f t="shared" si="102"/>
        <v>0</v>
      </c>
      <c r="L186" s="793">
        <f t="shared" si="102"/>
        <v>0</v>
      </c>
      <c r="M186" s="793">
        <f t="shared" si="102"/>
        <v>0</v>
      </c>
      <c r="N186" s="794">
        <f t="shared" si="102"/>
        <v>0</v>
      </c>
    </row>
    <row r="187" spans="1:14" s="759" customFormat="1" ht="15" customHeight="1">
      <c r="A187" s="2678"/>
      <c r="B187" s="2851"/>
      <c r="C187" s="900" t="s">
        <v>3989</v>
      </c>
      <c r="D187" s="901">
        <v>1</v>
      </c>
      <c r="E187" s="909">
        <v>0.02</v>
      </c>
      <c r="F187" s="757">
        <f t="shared" si="98"/>
        <v>0</v>
      </c>
      <c r="G187" s="793">
        <f>+G123+G166</f>
        <v>0</v>
      </c>
      <c r="H187" s="793">
        <f t="shared" si="102"/>
        <v>0</v>
      </c>
      <c r="I187" s="793">
        <f t="shared" si="102"/>
        <v>0</v>
      </c>
      <c r="J187" s="793">
        <f t="shared" si="102"/>
        <v>0</v>
      </c>
      <c r="K187" s="793">
        <f t="shared" si="102"/>
        <v>0</v>
      </c>
      <c r="L187" s="793">
        <f t="shared" si="102"/>
        <v>0</v>
      </c>
      <c r="M187" s="793">
        <f t="shared" si="102"/>
        <v>0</v>
      </c>
      <c r="N187" s="794">
        <f t="shared" si="102"/>
        <v>0</v>
      </c>
    </row>
    <row r="188" spans="1:14" s="759" customFormat="1" ht="15" customHeight="1">
      <c r="A188" s="2678"/>
      <c r="B188" s="2851"/>
      <c r="C188" s="900" t="s">
        <v>3990</v>
      </c>
      <c r="D188" s="901"/>
      <c r="E188" s="909"/>
      <c r="F188" s="757"/>
      <c r="G188" s="793"/>
      <c r="H188" s="793"/>
      <c r="I188" s="793"/>
      <c r="J188" s="793"/>
      <c r="K188" s="793"/>
      <c r="L188" s="793"/>
      <c r="M188" s="793"/>
      <c r="N188" s="794"/>
    </row>
    <row r="189" spans="1:14" s="759" customFormat="1" ht="15" customHeight="1">
      <c r="A189" s="2678"/>
      <c r="B189" s="2851"/>
      <c r="C189" s="900" t="s">
        <v>3991</v>
      </c>
      <c r="D189" s="901"/>
      <c r="E189" s="909"/>
      <c r="F189" s="757"/>
      <c r="G189" s="793"/>
      <c r="H189" s="793"/>
      <c r="I189" s="793"/>
      <c r="J189" s="793"/>
      <c r="K189" s="793"/>
      <c r="L189" s="793"/>
      <c r="M189" s="793"/>
      <c r="N189" s="794"/>
    </row>
    <row r="190" spans="1:14" s="759" customFormat="1" ht="15" customHeight="1">
      <c r="A190" s="2678"/>
      <c r="B190" s="2851"/>
      <c r="C190" s="900" t="s">
        <v>3992</v>
      </c>
      <c r="D190" s="901">
        <v>1</v>
      </c>
      <c r="E190" s="909">
        <v>0.02</v>
      </c>
      <c r="F190" s="757">
        <f>SUM(G190:N190)</f>
        <v>0</v>
      </c>
      <c r="G190" s="793">
        <f t="shared" ref="G190:N193" si="103">+G126+G169</f>
        <v>0</v>
      </c>
      <c r="H190" s="793">
        <f t="shared" si="103"/>
        <v>0</v>
      </c>
      <c r="I190" s="793">
        <f t="shared" si="103"/>
        <v>0</v>
      </c>
      <c r="J190" s="793">
        <f t="shared" si="103"/>
        <v>0</v>
      </c>
      <c r="K190" s="793">
        <f t="shared" si="103"/>
        <v>0</v>
      </c>
      <c r="L190" s="793">
        <f t="shared" si="103"/>
        <v>0</v>
      </c>
      <c r="M190" s="793">
        <f t="shared" si="103"/>
        <v>0</v>
      </c>
      <c r="N190" s="794">
        <f t="shared" si="103"/>
        <v>0</v>
      </c>
    </row>
    <row r="191" spans="1:14" s="759" customFormat="1" ht="15" customHeight="1">
      <c r="A191" s="2678"/>
      <c r="B191" s="2851"/>
      <c r="C191" s="1823" t="s">
        <v>3993</v>
      </c>
      <c r="D191" s="901">
        <v>1</v>
      </c>
      <c r="E191" s="909">
        <v>0.02</v>
      </c>
      <c r="F191" s="757">
        <f>SUM(G191:N191)</f>
        <v>0</v>
      </c>
      <c r="G191" s="793">
        <f t="shared" si="103"/>
        <v>0</v>
      </c>
      <c r="H191" s="793">
        <f t="shared" si="103"/>
        <v>0</v>
      </c>
      <c r="I191" s="793">
        <f t="shared" si="103"/>
        <v>0</v>
      </c>
      <c r="J191" s="793">
        <f t="shared" si="103"/>
        <v>0</v>
      </c>
      <c r="K191" s="793">
        <f t="shared" si="103"/>
        <v>0</v>
      </c>
      <c r="L191" s="793">
        <f t="shared" si="103"/>
        <v>0</v>
      </c>
      <c r="M191" s="793">
        <f t="shared" si="103"/>
        <v>0</v>
      </c>
      <c r="N191" s="794">
        <f t="shared" si="103"/>
        <v>0</v>
      </c>
    </row>
    <row r="192" spans="1:14" s="759" customFormat="1" ht="14.25" customHeight="1">
      <c r="A192" s="2678"/>
      <c r="B192" s="2851"/>
      <c r="C192" s="1823" t="s">
        <v>3994</v>
      </c>
      <c r="D192" s="901">
        <v>1</v>
      </c>
      <c r="E192" s="909">
        <v>0.02</v>
      </c>
      <c r="F192" s="757">
        <f>SUM(G192:N192)</f>
        <v>0</v>
      </c>
      <c r="G192" s="793">
        <f t="shared" si="103"/>
        <v>0</v>
      </c>
      <c r="H192" s="793">
        <f t="shared" si="103"/>
        <v>0</v>
      </c>
      <c r="I192" s="793">
        <f t="shared" si="103"/>
        <v>0</v>
      </c>
      <c r="J192" s="793">
        <f t="shared" si="103"/>
        <v>0</v>
      </c>
      <c r="K192" s="793">
        <f t="shared" si="103"/>
        <v>0</v>
      </c>
      <c r="L192" s="793">
        <f t="shared" si="103"/>
        <v>0</v>
      </c>
      <c r="M192" s="793">
        <f t="shared" si="103"/>
        <v>0</v>
      </c>
      <c r="N192" s="794">
        <f t="shared" si="103"/>
        <v>0</v>
      </c>
    </row>
    <row r="193" spans="1:14" s="759" customFormat="1" ht="14.25" customHeight="1">
      <c r="A193" s="2678"/>
      <c r="B193" s="2852"/>
      <c r="C193" s="900" t="s">
        <v>3995</v>
      </c>
      <c r="D193" s="901">
        <v>1</v>
      </c>
      <c r="E193" s="909">
        <v>0.02</v>
      </c>
      <c r="F193" s="757">
        <f>SUM(G193:N193)</f>
        <v>0</v>
      </c>
      <c r="G193" s="793">
        <f t="shared" si="103"/>
        <v>0</v>
      </c>
      <c r="H193" s="793">
        <f t="shared" si="103"/>
        <v>0</v>
      </c>
      <c r="I193" s="793">
        <f t="shared" si="103"/>
        <v>0</v>
      </c>
      <c r="J193" s="793">
        <f t="shared" si="103"/>
        <v>0</v>
      </c>
      <c r="K193" s="793">
        <f t="shared" si="103"/>
        <v>0</v>
      </c>
      <c r="L193" s="793">
        <f t="shared" si="103"/>
        <v>0</v>
      </c>
      <c r="M193" s="793">
        <f t="shared" si="103"/>
        <v>0</v>
      </c>
      <c r="N193" s="794">
        <f t="shared" si="103"/>
        <v>0</v>
      </c>
    </row>
    <row r="194" spans="1:14" s="759" customFormat="1" ht="14.25" customHeight="1">
      <c r="A194" s="2679"/>
      <c r="B194" s="1824" t="s">
        <v>4016</v>
      </c>
      <c r="C194" s="1002" t="s">
        <v>4033</v>
      </c>
      <c r="D194" s="913">
        <v>1</v>
      </c>
      <c r="E194" s="914">
        <v>0</v>
      </c>
      <c r="F194" s="915">
        <f>SUM(G194:N194)</f>
        <v>0</v>
      </c>
      <c r="G194" s="916">
        <f>SUM(G130:G136)</f>
        <v>0</v>
      </c>
      <c r="H194" s="916">
        <f t="shared" ref="H194:N194" si="104">SUM(H130:H136)</f>
        <v>0</v>
      </c>
      <c r="I194" s="916">
        <f t="shared" si="104"/>
        <v>0</v>
      </c>
      <c r="J194" s="916">
        <f t="shared" si="104"/>
        <v>0</v>
      </c>
      <c r="K194" s="916">
        <f>SUM(K130:K136)</f>
        <v>0</v>
      </c>
      <c r="L194" s="916">
        <f t="shared" si="104"/>
        <v>0</v>
      </c>
      <c r="M194" s="916">
        <f t="shared" si="104"/>
        <v>0</v>
      </c>
      <c r="N194" s="917">
        <f t="shared" si="104"/>
        <v>0</v>
      </c>
    </row>
    <row r="195" spans="1:14" s="759" customFormat="1" ht="14.25" customHeight="1">
      <c r="A195" s="918"/>
      <c r="B195" s="1825"/>
      <c r="C195" s="1826"/>
      <c r="D195" s="2681"/>
      <c r="E195" s="2681"/>
      <c r="F195" s="896"/>
      <c r="G195" s="897"/>
      <c r="H195" s="897"/>
      <c r="I195" s="897"/>
      <c r="J195" s="897"/>
      <c r="K195" s="897"/>
      <c r="L195" s="897"/>
      <c r="M195" s="897"/>
      <c r="N195" s="921"/>
    </row>
    <row r="196" spans="1:14" s="759" customFormat="1" ht="14.25" customHeight="1">
      <c r="A196" s="2675" t="s">
        <v>4034</v>
      </c>
      <c r="B196" s="2676"/>
      <c r="C196" s="2870"/>
      <c r="D196" s="2682"/>
      <c r="E196" s="2682"/>
      <c r="F196" s="889"/>
      <c r="G196" s="890"/>
      <c r="H196" s="890"/>
      <c r="I196" s="890"/>
      <c r="J196" s="890"/>
      <c r="K196" s="890"/>
      <c r="L196" s="890"/>
      <c r="M196" s="890"/>
      <c r="N196" s="891"/>
    </row>
    <row r="197" spans="1:14" s="759" customFormat="1" ht="14.25" customHeight="1">
      <c r="A197" s="2677"/>
      <c r="B197" s="2850" t="s">
        <v>3981</v>
      </c>
      <c r="C197" s="922" t="s">
        <v>3982</v>
      </c>
      <c r="D197" s="923"/>
      <c r="E197" s="924" t="s">
        <v>4011</v>
      </c>
      <c r="F197" s="925" t="s">
        <v>4019</v>
      </c>
      <c r="G197" s="926">
        <f>IF(G181=0,0,+G282/100)</f>
        <v>0</v>
      </c>
      <c r="H197" s="926">
        <f t="shared" ref="H197:N197" si="105">IF(H181=0,0,+H282/100)</f>
        <v>0</v>
      </c>
      <c r="I197" s="926">
        <f t="shared" si="105"/>
        <v>0</v>
      </c>
      <c r="J197" s="926">
        <f t="shared" si="105"/>
        <v>0</v>
      </c>
      <c r="K197" s="926">
        <f>IF(K181=0,0,+K282/100)</f>
        <v>0</v>
      </c>
      <c r="L197" s="926">
        <f t="shared" si="105"/>
        <v>0</v>
      </c>
      <c r="M197" s="926">
        <f t="shared" si="105"/>
        <v>0</v>
      </c>
      <c r="N197" s="927">
        <f t="shared" si="105"/>
        <v>0</v>
      </c>
    </row>
    <row r="198" spans="1:14" s="759" customFormat="1" ht="14.25" customHeight="1">
      <c r="A198" s="2678"/>
      <c r="B198" s="2851"/>
      <c r="C198" s="928"/>
      <c r="D198" s="929">
        <f>+D181</f>
        <v>1</v>
      </c>
      <c r="E198" s="930" t="s">
        <v>4011</v>
      </c>
      <c r="F198" s="931">
        <f>SUM(G198:N198)</f>
        <v>0</v>
      </c>
      <c r="G198" s="748">
        <f>ROUNDDOWN(G181*G197*$D198,0)</f>
        <v>0</v>
      </c>
      <c r="H198" s="748">
        <f t="shared" ref="H198:N198" si="106">ROUNDDOWN(H181*H197*$D198,0)</f>
        <v>0</v>
      </c>
      <c r="I198" s="748">
        <f t="shared" si="106"/>
        <v>0</v>
      </c>
      <c r="J198" s="748">
        <f t="shared" si="106"/>
        <v>0</v>
      </c>
      <c r="K198" s="748">
        <f>ROUNDDOWN(K181*K197*$D198,0)</f>
        <v>0</v>
      </c>
      <c r="L198" s="748">
        <f t="shared" si="106"/>
        <v>0</v>
      </c>
      <c r="M198" s="748">
        <f t="shared" si="106"/>
        <v>0</v>
      </c>
      <c r="N198" s="932">
        <f t="shared" si="106"/>
        <v>0</v>
      </c>
    </row>
    <row r="199" spans="1:14" s="759" customFormat="1" ht="14.25" customHeight="1">
      <c r="A199" s="2678"/>
      <c r="B199" s="2851"/>
      <c r="C199" s="933" t="s">
        <v>3983</v>
      </c>
      <c r="D199" s="934"/>
      <c r="E199" s="930" t="s">
        <v>4011</v>
      </c>
      <c r="F199" s="935" t="s">
        <v>4019</v>
      </c>
      <c r="G199" s="1837">
        <f>IF(G182=0,0,+G290/100)</f>
        <v>0</v>
      </c>
      <c r="H199" s="937">
        <f t="shared" ref="H199:N199" si="107">IF(H182=0,0,+H290/100)</f>
        <v>0</v>
      </c>
      <c r="I199" s="937">
        <f t="shared" si="107"/>
        <v>0</v>
      </c>
      <c r="J199" s="937">
        <f t="shared" si="107"/>
        <v>0</v>
      </c>
      <c r="K199" s="937">
        <f>IF(K182=0,0,+K290/100)</f>
        <v>0</v>
      </c>
      <c r="L199" s="937">
        <f t="shared" si="107"/>
        <v>0</v>
      </c>
      <c r="M199" s="937">
        <f t="shared" si="107"/>
        <v>0</v>
      </c>
      <c r="N199" s="938">
        <f t="shared" si="107"/>
        <v>0</v>
      </c>
    </row>
    <row r="200" spans="1:14" s="759" customFormat="1" ht="14.25" customHeight="1">
      <c r="A200" s="2678"/>
      <c r="B200" s="2851"/>
      <c r="C200" s="928"/>
      <c r="D200" s="939">
        <f t="shared" ref="D200:D205" si="108">+D182</f>
        <v>1</v>
      </c>
      <c r="E200" s="930" t="s">
        <v>4011</v>
      </c>
      <c r="F200" s="931">
        <f t="shared" ref="F200:F205" si="109">SUM(G200:N200)</f>
        <v>0</v>
      </c>
      <c r="G200" s="748">
        <f>ROUNDDOWN(G182*G199*$D200,0)</f>
        <v>0</v>
      </c>
      <c r="H200" s="748">
        <f t="shared" ref="H200:N200" si="110">ROUNDDOWN(H182*H199*$D200,0)</f>
        <v>0</v>
      </c>
      <c r="I200" s="748">
        <f t="shared" si="110"/>
        <v>0</v>
      </c>
      <c r="J200" s="748">
        <f t="shared" si="110"/>
        <v>0</v>
      </c>
      <c r="K200" s="748">
        <f>ROUNDDOWN(K182*K199*$D200,0)</f>
        <v>0</v>
      </c>
      <c r="L200" s="748">
        <f t="shared" si="110"/>
        <v>0</v>
      </c>
      <c r="M200" s="748">
        <f t="shared" si="110"/>
        <v>0</v>
      </c>
      <c r="N200" s="932">
        <f t="shared" si="110"/>
        <v>0</v>
      </c>
    </row>
    <row r="201" spans="1:14" s="759" customFormat="1" ht="14.25" customHeight="1">
      <c r="A201" s="2678"/>
      <c r="B201" s="2851"/>
      <c r="C201" s="900" t="s">
        <v>4020</v>
      </c>
      <c r="D201" s="940">
        <f t="shared" si="108"/>
        <v>1</v>
      </c>
      <c r="E201" s="930" t="s">
        <v>4011</v>
      </c>
      <c r="F201" s="931">
        <f t="shared" si="109"/>
        <v>0</v>
      </c>
      <c r="G201" s="748">
        <f t="shared" ref="G201:N201" si="111">ROUNDDOWN(G183*G197*$D201,0)</f>
        <v>0</v>
      </c>
      <c r="H201" s="748">
        <f t="shared" si="111"/>
        <v>0</v>
      </c>
      <c r="I201" s="748">
        <f t="shared" si="111"/>
        <v>0</v>
      </c>
      <c r="J201" s="748">
        <f t="shared" si="111"/>
        <v>0</v>
      </c>
      <c r="K201" s="748">
        <f>ROUNDDOWN(K183*K197*$D201,0)</f>
        <v>0</v>
      </c>
      <c r="L201" s="748">
        <f t="shared" si="111"/>
        <v>0</v>
      </c>
      <c r="M201" s="748">
        <f t="shared" si="111"/>
        <v>0</v>
      </c>
      <c r="N201" s="932">
        <f t="shared" si="111"/>
        <v>0</v>
      </c>
    </row>
    <row r="202" spans="1:14" s="759" customFormat="1" ht="14.25" customHeight="1">
      <c r="A202" s="2678"/>
      <c r="B202" s="2852"/>
      <c r="C202" s="900" t="s">
        <v>4021</v>
      </c>
      <c r="D202" s="940">
        <f t="shared" si="108"/>
        <v>1</v>
      </c>
      <c r="E202" s="930" t="s">
        <v>4011</v>
      </c>
      <c r="F202" s="931">
        <f t="shared" si="109"/>
        <v>0</v>
      </c>
      <c r="G202" s="748">
        <f>ROUNDDOWN(G184*G199*$D202,0)</f>
        <v>0</v>
      </c>
      <c r="H202" s="748">
        <f t="shared" ref="H202:N202" si="112">ROUNDDOWN(H184*H199*$D202,0)</f>
        <v>0</v>
      </c>
      <c r="I202" s="748">
        <f t="shared" si="112"/>
        <v>0</v>
      </c>
      <c r="J202" s="748">
        <f t="shared" si="112"/>
        <v>0</v>
      </c>
      <c r="K202" s="748">
        <f>ROUNDDOWN(K184*K199*$D202,0)</f>
        <v>0</v>
      </c>
      <c r="L202" s="748">
        <f t="shared" si="112"/>
        <v>0</v>
      </c>
      <c r="M202" s="748">
        <f t="shared" si="112"/>
        <v>0</v>
      </c>
      <c r="N202" s="932">
        <f t="shared" si="112"/>
        <v>0</v>
      </c>
    </row>
    <row r="203" spans="1:14" s="759" customFormat="1" ht="14.25" customHeight="1">
      <c r="A203" s="2678"/>
      <c r="B203" s="2776" t="s">
        <v>3986</v>
      </c>
      <c r="C203" s="900" t="s">
        <v>4014</v>
      </c>
      <c r="D203" s="940">
        <f t="shared" si="108"/>
        <v>1</v>
      </c>
      <c r="E203" s="909">
        <f>+E185</f>
        <v>0.02</v>
      </c>
      <c r="F203" s="931">
        <f t="shared" si="109"/>
        <v>0</v>
      </c>
      <c r="G203" s="748">
        <f t="shared" ref="G203:N205" si="113">ROUNDDOWN(G185*$E203*$D203,0)</f>
        <v>0</v>
      </c>
      <c r="H203" s="748">
        <f t="shared" si="113"/>
        <v>0</v>
      </c>
      <c r="I203" s="748">
        <f t="shared" si="113"/>
        <v>0</v>
      </c>
      <c r="J203" s="748">
        <f t="shared" si="113"/>
        <v>0</v>
      </c>
      <c r="K203" s="748">
        <f t="shared" si="113"/>
        <v>0</v>
      </c>
      <c r="L203" s="748">
        <f t="shared" si="113"/>
        <v>0</v>
      </c>
      <c r="M203" s="748">
        <f t="shared" si="113"/>
        <v>0</v>
      </c>
      <c r="N203" s="932">
        <f t="shared" si="113"/>
        <v>0</v>
      </c>
    </row>
    <row r="204" spans="1:14" s="759" customFormat="1" ht="14.25" customHeight="1">
      <c r="A204" s="2678"/>
      <c r="B204" s="2851"/>
      <c r="C204" s="900" t="s">
        <v>4022</v>
      </c>
      <c r="D204" s="940">
        <f t="shared" si="108"/>
        <v>1</v>
      </c>
      <c r="E204" s="909">
        <f>+E186</f>
        <v>0.02</v>
      </c>
      <c r="F204" s="931">
        <f t="shared" si="109"/>
        <v>0</v>
      </c>
      <c r="G204" s="748">
        <f t="shared" si="113"/>
        <v>0</v>
      </c>
      <c r="H204" s="748">
        <f t="shared" si="113"/>
        <v>0</v>
      </c>
      <c r="I204" s="748">
        <f t="shared" si="113"/>
        <v>0</v>
      </c>
      <c r="J204" s="748">
        <f t="shared" si="113"/>
        <v>0</v>
      </c>
      <c r="K204" s="748">
        <f>ROUNDDOWN(K186*$E204*$D204,0)</f>
        <v>0</v>
      </c>
      <c r="L204" s="748">
        <f t="shared" si="113"/>
        <v>0</v>
      </c>
      <c r="M204" s="748">
        <f t="shared" si="113"/>
        <v>0</v>
      </c>
      <c r="N204" s="932">
        <f t="shared" si="113"/>
        <v>0</v>
      </c>
    </row>
    <row r="205" spans="1:14" s="759" customFormat="1" ht="14.25" customHeight="1">
      <c r="A205" s="2678"/>
      <c r="B205" s="2851"/>
      <c r="C205" s="900" t="s">
        <v>3989</v>
      </c>
      <c r="D205" s="940">
        <f t="shared" si="108"/>
        <v>1</v>
      </c>
      <c r="E205" s="909">
        <f>+E187</f>
        <v>0.02</v>
      </c>
      <c r="F205" s="931">
        <f t="shared" si="109"/>
        <v>0</v>
      </c>
      <c r="G205" s="748">
        <f>ROUNDDOWN(G187*$E205*$D205,0)</f>
        <v>0</v>
      </c>
      <c r="H205" s="748">
        <f t="shared" si="113"/>
        <v>0</v>
      </c>
      <c r="I205" s="748">
        <f t="shared" si="113"/>
        <v>0</v>
      </c>
      <c r="J205" s="748">
        <f t="shared" si="113"/>
        <v>0</v>
      </c>
      <c r="K205" s="748">
        <f>ROUNDDOWN(K187*$E205*$D205,0)</f>
        <v>0</v>
      </c>
      <c r="L205" s="748">
        <f t="shared" si="113"/>
        <v>0</v>
      </c>
      <c r="M205" s="748">
        <f t="shared" si="113"/>
        <v>0</v>
      </c>
      <c r="N205" s="932">
        <f t="shared" si="113"/>
        <v>0</v>
      </c>
    </row>
    <row r="206" spans="1:14" s="759" customFormat="1" ht="14.25" customHeight="1">
      <c r="A206" s="2678"/>
      <c r="B206" s="2851"/>
      <c r="C206" s="900" t="s">
        <v>3990</v>
      </c>
      <c r="D206" s="940"/>
      <c r="E206" s="909"/>
      <c r="F206" s="931"/>
      <c r="G206" s="748"/>
      <c r="H206" s="748"/>
      <c r="I206" s="748"/>
      <c r="J206" s="748"/>
      <c r="K206" s="748"/>
      <c r="L206" s="748"/>
      <c r="M206" s="748"/>
      <c r="N206" s="932"/>
    </row>
    <row r="207" spans="1:14" s="759" customFormat="1" ht="14.25" customHeight="1">
      <c r="A207" s="2678"/>
      <c r="B207" s="2851"/>
      <c r="C207" s="1827"/>
      <c r="D207" s="940"/>
      <c r="E207" s="909"/>
      <c r="F207" s="931"/>
      <c r="G207" s="748"/>
      <c r="H207" s="748"/>
      <c r="I207" s="748"/>
      <c r="J207" s="748"/>
      <c r="K207" s="748"/>
      <c r="L207" s="748"/>
      <c r="M207" s="748"/>
      <c r="N207" s="932"/>
    </row>
    <row r="208" spans="1:14" s="759" customFormat="1" ht="14.25" customHeight="1">
      <c r="A208" s="2678"/>
      <c r="B208" s="2851"/>
      <c r="C208" s="900" t="s">
        <v>3992</v>
      </c>
      <c r="D208" s="940">
        <f t="shared" ref="D208:E211" si="114">+D190</f>
        <v>1</v>
      </c>
      <c r="E208" s="909">
        <f t="shared" si="114"/>
        <v>0.02</v>
      </c>
      <c r="F208" s="931">
        <f t="shared" ref="F208:F216" si="115">SUM(G208:N208)</f>
        <v>0</v>
      </c>
      <c r="G208" s="748">
        <f t="shared" ref="G208:N211" si="116">ROUNDDOWN(G190*$E208*$D208,0)</f>
        <v>0</v>
      </c>
      <c r="H208" s="748">
        <f t="shared" si="116"/>
        <v>0</v>
      </c>
      <c r="I208" s="748">
        <f t="shared" si="116"/>
        <v>0</v>
      </c>
      <c r="J208" s="748">
        <f t="shared" si="116"/>
        <v>0</v>
      </c>
      <c r="K208" s="748">
        <f>ROUNDDOWN(K190*$E208*$D208,0)</f>
        <v>0</v>
      </c>
      <c r="L208" s="748">
        <f t="shared" si="116"/>
        <v>0</v>
      </c>
      <c r="M208" s="748">
        <f t="shared" si="116"/>
        <v>0</v>
      </c>
      <c r="N208" s="932">
        <f t="shared" si="116"/>
        <v>0</v>
      </c>
    </row>
    <row r="209" spans="1:14" s="759" customFormat="1" ht="14.25" customHeight="1">
      <c r="A209" s="2678"/>
      <c r="B209" s="2851"/>
      <c r="C209" s="1823" t="s">
        <v>3993</v>
      </c>
      <c r="D209" s="940">
        <f t="shared" si="114"/>
        <v>1</v>
      </c>
      <c r="E209" s="909">
        <f t="shared" si="114"/>
        <v>0.02</v>
      </c>
      <c r="F209" s="931">
        <f t="shared" si="115"/>
        <v>0</v>
      </c>
      <c r="G209" s="748">
        <f t="shared" si="116"/>
        <v>0</v>
      </c>
      <c r="H209" s="748">
        <f t="shared" si="116"/>
        <v>0</v>
      </c>
      <c r="I209" s="748">
        <f t="shared" si="116"/>
        <v>0</v>
      </c>
      <c r="J209" s="748">
        <f t="shared" si="116"/>
        <v>0</v>
      </c>
      <c r="K209" s="748">
        <f>ROUNDDOWN(K191*$E209*$D209,0)</f>
        <v>0</v>
      </c>
      <c r="L209" s="748">
        <f t="shared" si="116"/>
        <v>0</v>
      </c>
      <c r="M209" s="748">
        <f t="shared" si="116"/>
        <v>0</v>
      </c>
      <c r="N209" s="932">
        <f t="shared" si="116"/>
        <v>0</v>
      </c>
    </row>
    <row r="210" spans="1:14" s="759" customFormat="1" ht="14.25" customHeight="1">
      <c r="A210" s="2678"/>
      <c r="B210" s="2851"/>
      <c r="C210" s="1823" t="s">
        <v>3994</v>
      </c>
      <c r="D210" s="940">
        <f t="shared" si="114"/>
        <v>1</v>
      </c>
      <c r="E210" s="909">
        <f t="shared" si="114"/>
        <v>0.02</v>
      </c>
      <c r="F210" s="931">
        <f t="shared" si="115"/>
        <v>0</v>
      </c>
      <c r="G210" s="748">
        <f t="shared" si="116"/>
        <v>0</v>
      </c>
      <c r="H210" s="748">
        <f t="shared" si="116"/>
        <v>0</v>
      </c>
      <c r="I210" s="748">
        <f t="shared" si="116"/>
        <v>0</v>
      </c>
      <c r="J210" s="748">
        <f t="shared" si="116"/>
        <v>0</v>
      </c>
      <c r="K210" s="748">
        <f>ROUNDDOWN(K192*$E210*$D210,0)</f>
        <v>0</v>
      </c>
      <c r="L210" s="748">
        <f t="shared" si="116"/>
        <v>0</v>
      </c>
      <c r="M210" s="748">
        <f t="shared" si="116"/>
        <v>0</v>
      </c>
      <c r="N210" s="932">
        <f t="shared" si="116"/>
        <v>0</v>
      </c>
    </row>
    <row r="211" spans="1:14" s="759" customFormat="1" ht="14.25" customHeight="1">
      <c r="A211" s="2678"/>
      <c r="B211" s="2852"/>
      <c r="C211" s="900" t="s">
        <v>4035</v>
      </c>
      <c r="D211" s="940">
        <f t="shared" si="114"/>
        <v>1</v>
      </c>
      <c r="E211" s="909">
        <f t="shared" si="114"/>
        <v>0.02</v>
      </c>
      <c r="F211" s="931">
        <f t="shared" si="115"/>
        <v>0</v>
      </c>
      <c r="G211" s="748">
        <f>ROUNDDOWN(G193*$E211*$D211,0)</f>
        <v>0</v>
      </c>
      <c r="H211" s="748">
        <f t="shared" si="116"/>
        <v>0</v>
      </c>
      <c r="I211" s="748">
        <f t="shared" si="116"/>
        <v>0</v>
      </c>
      <c r="J211" s="748">
        <f t="shared" si="116"/>
        <v>0</v>
      </c>
      <c r="K211" s="748">
        <f>ROUNDDOWN(K193*$E211*$D211,0)</f>
        <v>0</v>
      </c>
      <c r="L211" s="748">
        <f t="shared" si="116"/>
        <v>0</v>
      </c>
      <c r="M211" s="748">
        <f t="shared" si="116"/>
        <v>0</v>
      </c>
      <c r="N211" s="932">
        <f t="shared" si="116"/>
        <v>0</v>
      </c>
    </row>
    <row r="212" spans="1:14" s="759" customFormat="1" ht="14.25" customHeight="1">
      <c r="A212" s="2678"/>
      <c r="B212" s="2887" t="s">
        <v>4036</v>
      </c>
      <c r="C212" s="900" t="s">
        <v>4037</v>
      </c>
      <c r="D212" s="943"/>
      <c r="E212" s="944"/>
      <c r="F212" s="931">
        <f t="shared" si="115"/>
        <v>0</v>
      </c>
      <c r="G212" s="1838"/>
      <c r="H212" s="1838"/>
      <c r="I212" s="1838"/>
      <c r="J212" s="1838"/>
      <c r="K212" s="1838"/>
      <c r="L212" s="1838"/>
      <c r="M212" s="1838"/>
      <c r="N212" s="1839"/>
    </row>
    <row r="213" spans="1:14" s="759" customFormat="1" ht="14.25" customHeight="1">
      <c r="A213" s="2678"/>
      <c r="B213" s="2888"/>
      <c r="C213" s="1840" t="s">
        <v>4038</v>
      </c>
      <c r="D213" s="943"/>
      <c r="E213" s="944"/>
      <c r="F213" s="931">
        <f t="shared" si="115"/>
        <v>0</v>
      </c>
      <c r="G213" s="793"/>
      <c r="H213" s="793"/>
      <c r="I213" s="793"/>
      <c r="J213" s="793"/>
      <c r="K213" s="793"/>
      <c r="L213" s="793"/>
      <c r="M213" s="793"/>
      <c r="N213" s="794"/>
    </row>
    <row r="214" spans="1:14" s="759" customFormat="1" ht="13.5" customHeight="1" thickBot="1">
      <c r="A214" s="2874"/>
      <c r="B214" s="1841" t="s">
        <v>4016</v>
      </c>
      <c r="C214" s="1002" t="s">
        <v>4033</v>
      </c>
      <c r="D214" s="943">
        <f>+D194</f>
        <v>1</v>
      </c>
      <c r="E214" s="944">
        <f>+E194</f>
        <v>0</v>
      </c>
      <c r="F214" s="931">
        <f t="shared" si="115"/>
        <v>0</v>
      </c>
      <c r="G214" s="748">
        <f>ROUNDDOWN(G194*$E214*$D214,0)</f>
        <v>0</v>
      </c>
      <c r="H214" s="748">
        <f t="shared" ref="H214:N214" si="117">ROUNDDOWN(H194*$E214*$D214,0)</f>
        <v>0</v>
      </c>
      <c r="I214" s="748">
        <f t="shared" si="117"/>
        <v>0</v>
      </c>
      <c r="J214" s="748">
        <f t="shared" si="117"/>
        <v>0</v>
      </c>
      <c r="K214" s="748">
        <f>ROUNDDOWN(K194*$E214*$D214,0)</f>
        <v>0</v>
      </c>
      <c r="L214" s="748">
        <f t="shared" si="117"/>
        <v>0</v>
      </c>
      <c r="M214" s="748">
        <f t="shared" si="117"/>
        <v>0</v>
      </c>
      <c r="N214" s="947">
        <f t="shared" si="117"/>
        <v>0</v>
      </c>
    </row>
    <row r="215" spans="1:14" s="759" customFormat="1" ht="13.5" customHeight="1" thickTop="1">
      <c r="A215" s="948"/>
      <c r="B215" s="949"/>
      <c r="C215" s="950" t="s">
        <v>4039</v>
      </c>
      <c r="D215" s="951"/>
      <c r="E215" s="952"/>
      <c r="F215" s="953">
        <f t="shared" si="115"/>
        <v>0</v>
      </c>
      <c r="G215" s="954">
        <f t="shared" ref="G215:N215" si="118">SUM(G200:G214)+G198</f>
        <v>0</v>
      </c>
      <c r="H215" s="954">
        <f>SUM(H200:H214)+H198</f>
        <v>0</v>
      </c>
      <c r="I215" s="954">
        <f>SUM(I200:I214)+I198</f>
        <v>0</v>
      </c>
      <c r="J215" s="954">
        <f t="shared" si="118"/>
        <v>0</v>
      </c>
      <c r="K215" s="954">
        <f>SUM(K200:K214)+K198</f>
        <v>0</v>
      </c>
      <c r="L215" s="954">
        <f t="shared" si="118"/>
        <v>0</v>
      </c>
      <c r="M215" s="954">
        <f t="shared" si="118"/>
        <v>0</v>
      </c>
      <c r="N215" s="955">
        <f t="shared" si="118"/>
        <v>0</v>
      </c>
    </row>
    <row r="216" spans="1:14" s="759" customFormat="1" ht="13.5" customHeight="1">
      <c r="A216" s="956"/>
      <c r="B216" s="957"/>
      <c r="C216" s="958" t="s">
        <v>4040</v>
      </c>
      <c r="D216" s="959"/>
      <c r="E216" s="960"/>
      <c r="F216" s="915">
        <f t="shared" si="115"/>
        <v>0</v>
      </c>
      <c r="G216" s="916">
        <f t="shared" ref="G216:N216" si="119">+G91+G215</f>
        <v>0</v>
      </c>
      <c r="H216" s="916">
        <f>+H91+H215</f>
        <v>0</v>
      </c>
      <c r="I216" s="916">
        <f t="shared" si="119"/>
        <v>0</v>
      </c>
      <c r="J216" s="916">
        <f t="shared" si="119"/>
        <v>0</v>
      </c>
      <c r="K216" s="916">
        <f>+K91+K215</f>
        <v>0</v>
      </c>
      <c r="L216" s="916">
        <f t="shared" si="119"/>
        <v>0</v>
      </c>
      <c r="M216" s="916">
        <f t="shared" si="119"/>
        <v>0</v>
      </c>
      <c r="N216" s="917">
        <f t="shared" si="119"/>
        <v>0</v>
      </c>
    </row>
    <row r="217" spans="1:14" s="759" customFormat="1" ht="13.5" customHeight="1">
      <c r="A217" s="754"/>
      <c r="B217" s="754"/>
      <c r="C217" s="762"/>
      <c r="D217" s="762"/>
      <c r="E217" s="754"/>
      <c r="F217" s="879"/>
      <c r="G217" s="880"/>
      <c r="H217" s="880"/>
      <c r="I217" s="880"/>
      <c r="J217" s="880"/>
      <c r="K217" s="880"/>
      <c r="L217" s="880"/>
      <c r="M217" s="880"/>
      <c r="N217" s="880"/>
    </row>
    <row r="218" spans="1:14" s="759" customFormat="1" ht="13.5" customHeight="1">
      <c r="A218" s="754"/>
      <c r="B218" s="754"/>
      <c r="C218" s="881" t="s">
        <v>4802</v>
      </c>
      <c r="D218" s="881"/>
      <c r="E218" s="882"/>
      <c r="F218" s="646"/>
      <c r="G218" s="653"/>
      <c r="H218" s="651"/>
      <c r="I218" s="651"/>
      <c r="J218" s="651"/>
      <c r="K218" s="651"/>
      <c r="L218" s="651"/>
      <c r="M218" s="651"/>
      <c r="N218" s="653" t="s">
        <v>4738</v>
      </c>
    </row>
    <row r="219" spans="1:14" s="759" customFormat="1" ht="13.5" customHeight="1">
      <c r="A219" s="1637"/>
      <c r="B219" s="1637"/>
      <c r="C219" s="1637"/>
      <c r="D219" s="1637"/>
      <c r="E219" s="1637"/>
      <c r="F219" s="655"/>
      <c r="G219" s="1842"/>
      <c r="H219" s="1842"/>
      <c r="I219" s="1842"/>
      <c r="J219" s="1842"/>
      <c r="K219" s="1842"/>
      <c r="L219" s="1842"/>
      <c r="M219" s="1842"/>
      <c r="N219" s="1842"/>
    </row>
    <row r="220" spans="1:14" s="759" customFormat="1" ht="13.5" customHeight="1">
      <c r="A220" s="2666"/>
      <c r="B220" s="2667"/>
      <c r="C220" s="2875"/>
      <c r="D220" s="968"/>
      <c r="E220" s="969" t="s">
        <v>4043</v>
      </c>
      <c r="F220" s="886" t="s">
        <v>3979</v>
      </c>
      <c r="G220" s="887">
        <f t="shared" ref="G220:N220" si="120">+G87</f>
        <v>0</v>
      </c>
      <c r="H220" s="887">
        <f t="shared" si="120"/>
        <v>0</v>
      </c>
      <c r="I220" s="887">
        <f t="shared" si="120"/>
        <v>0</v>
      </c>
      <c r="J220" s="887">
        <f t="shared" si="120"/>
        <v>0</v>
      </c>
      <c r="K220" s="887">
        <f>+K87</f>
        <v>0</v>
      </c>
      <c r="L220" s="887">
        <f t="shared" si="120"/>
        <v>0</v>
      </c>
      <c r="M220" s="887">
        <f t="shared" si="120"/>
        <v>0</v>
      </c>
      <c r="N220" s="888">
        <f t="shared" si="120"/>
        <v>0</v>
      </c>
    </row>
    <row r="221" spans="1:14" s="759" customFormat="1" ht="13.5" customHeight="1" thickBot="1">
      <c r="A221" s="2876"/>
      <c r="B221" s="2877"/>
      <c r="C221" s="2878"/>
      <c r="D221" s="970"/>
      <c r="E221" s="971"/>
      <c r="F221" s="972"/>
      <c r="G221" s="973"/>
      <c r="H221" s="973"/>
      <c r="I221" s="973"/>
      <c r="J221" s="973"/>
      <c r="K221" s="973"/>
      <c r="L221" s="973"/>
      <c r="M221" s="973"/>
      <c r="N221" s="974"/>
    </row>
    <row r="222" spans="1:14" s="759" customFormat="1" ht="13.5" customHeight="1" thickBot="1">
      <c r="A222" s="975"/>
      <c r="B222" s="976"/>
      <c r="C222" s="977" t="s">
        <v>4044</v>
      </c>
      <c r="D222" s="978"/>
      <c r="E222" s="979"/>
      <c r="F222" s="980">
        <f>SUM(G222:N222)</f>
        <v>0</v>
      </c>
      <c r="G222" s="981">
        <f t="shared" ref="G222:N222" si="121">IF(G223="",+G216,0)</f>
        <v>0</v>
      </c>
      <c r="H222" s="981">
        <f t="shared" si="121"/>
        <v>0</v>
      </c>
      <c r="I222" s="981">
        <f t="shared" si="121"/>
        <v>0</v>
      </c>
      <c r="J222" s="981">
        <f t="shared" si="121"/>
        <v>0</v>
      </c>
      <c r="K222" s="981">
        <f t="shared" si="121"/>
        <v>0</v>
      </c>
      <c r="L222" s="981">
        <f t="shared" si="121"/>
        <v>0</v>
      </c>
      <c r="M222" s="981">
        <f t="shared" si="121"/>
        <v>0</v>
      </c>
      <c r="N222" s="982">
        <f t="shared" si="121"/>
        <v>0</v>
      </c>
    </row>
    <row r="223" spans="1:14" s="759" customFormat="1" ht="13.5" customHeight="1">
      <c r="A223" s="753"/>
      <c r="B223" s="754"/>
      <c r="C223" s="983" t="s">
        <v>4045</v>
      </c>
      <c r="D223" s="984"/>
      <c r="E223" s="985"/>
      <c r="F223" s="764">
        <f>SUM(G223:N223)</f>
        <v>0</v>
      </c>
      <c r="G223" s="764" t="str">
        <f>IF(G245="","",G216)</f>
        <v/>
      </c>
      <c r="H223" s="764" t="str">
        <f t="shared" ref="H223:N223" si="122">IF(H245="","",H216)</f>
        <v/>
      </c>
      <c r="I223" s="764" t="str">
        <f>IF(I245="","",I216)</f>
        <v/>
      </c>
      <c r="J223" s="764" t="str">
        <f t="shared" si="122"/>
        <v/>
      </c>
      <c r="K223" s="764" t="str">
        <f t="shared" si="122"/>
        <v/>
      </c>
      <c r="L223" s="764" t="str">
        <f t="shared" si="122"/>
        <v/>
      </c>
      <c r="M223" s="764" t="str">
        <f t="shared" si="122"/>
        <v/>
      </c>
      <c r="N223" s="1843" t="str">
        <f t="shared" si="122"/>
        <v/>
      </c>
    </row>
    <row r="224" spans="1:14" s="759" customFormat="1" ht="13.5" customHeight="1">
      <c r="A224" s="956"/>
      <c r="B224" s="957"/>
      <c r="C224" s="2777" t="s">
        <v>4046</v>
      </c>
      <c r="D224" s="2777"/>
      <c r="E224" s="2879"/>
      <c r="F224" s="915">
        <f>F222+F223-F232</f>
        <v>0</v>
      </c>
      <c r="G224" s="916"/>
      <c r="H224" s="916"/>
      <c r="I224" s="916"/>
      <c r="J224" s="916"/>
      <c r="K224" s="916"/>
      <c r="L224" s="916"/>
      <c r="M224" s="916"/>
      <c r="N224" s="917"/>
    </row>
    <row r="225" spans="1:14" s="759" customFormat="1" ht="13.5" customHeight="1">
      <c r="A225" s="884"/>
      <c r="B225" s="885"/>
      <c r="C225" s="885"/>
      <c r="D225" s="986"/>
      <c r="E225" s="664" t="str">
        <f>E87</f>
        <v>有り</v>
      </c>
      <c r="F225" s="2880" t="s">
        <v>4047</v>
      </c>
      <c r="G225" s="2881"/>
      <c r="H225" s="987"/>
      <c r="I225" s="987"/>
      <c r="J225" s="987"/>
      <c r="K225" s="987"/>
      <c r="L225" s="987"/>
      <c r="M225" s="987"/>
      <c r="N225" s="988"/>
    </row>
    <row r="226" spans="1:14" s="759" customFormat="1" ht="13.5" customHeight="1">
      <c r="A226" s="2690" t="s">
        <v>4048</v>
      </c>
      <c r="B226" s="2882"/>
      <c r="C226" s="2883"/>
      <c r="D226" s="989"/>
      <c r="E226" s="990" t="str">
        <f>+E88</f>
        <v>有り</v>
      </c>
      <c r="F226" s="2884" t="s">
        <v>4049</v>
      </c>
      <c r="G226" s="2885"/>
      <c r="H226" s="916"/>
      <c r="I226" s="916"/>
      <c r="J226" s="916"/>
      <c r="K226" s="916"/>
      <c r="L226" s="916"/>
      <c r="M226" s="916"/>
      <c r="N226" s="917"/>
    </row>
    <row r="227" spans="1:14" s="759" customFormat="1" ht="13.5" customHeight="1">
      <c r="A227" s="2886"/>
      <c r="B227" s="991" t="s">
        <v>4050</v>
      </c>
      <c r="C227" s="992" t="s">
        <v>4051</v>
      </c>
      <c r="D227" s="993">
        <v>1</v>
      </c>
      <c r="E227" s="1844">
        <f>+G296/100</f>
        <v>0.1724</v>
      </c>
      <c r="F227" s="995">
        <f>SUM(G227:N227)</f>
        <v>0</v>
      </c>
      <c r="G227" s="987">
        <f>+G222-G232</f>
        <v>0</v>
      </c>
      <c r="H227" s="987">
        <f t="shared" ref="H227:N227" si="123">+H222-H232</f>
        <v>0</v>
      </c>
      <c r="I227" s="987">
        <f>+I222-I232</f>
        <v>0</v>
      </c>
      <c r="J227" s="987">
        <f t="shared" si="123"/>
        <v>0</v>
      </c>
      <c r="K227" s="987">
        <f t="shared" si="123"/>
        <v>0</v>
      </c>
      <c r="L227" s="987">
        <f t="shared" si="123"/>
        <v>0</v>
      </c>
      <c r="M227" s="987">
        <f t="shared" si="123"/>
        <v>0</v>
      </c>
      <c r="N227" s="988">
        <f t="shared" si="123"/>
        <v>0</v>
      </c>
    </row>
    <row r="228" spans="1:14" s="759" customFormat="1" ht="13.5" customHeight="1">
      <c r="A228" s="2848"/>
      <c r="B228" s="2776" t="s">
        <v>4052</v>
      </c>
      <c r="C228" s="756" t="s">
        <v>4053</v>
      </c>
      <c r="D228" s="940">
        <v>0.05</v>
      </c>
      <c r="E228" s="909">
        <f>IF(OR(G84="無し",G84="なし"),IF(E225="無し",E227,0),0)</f>
        <v>0</v>
      </c>
      <c r="F228" s="757">
        <f>SUM(G228:N228)</f>
        <v>0</v>
      </c>
      <c r="G228" s="793">
        <f>IF(G245=0,+G227,0)</f>
        <v>0</v>
      </c>
      <c r="H228" s="793">
        <f>IF(H245=0,+H227,0)</f>
        <v>0</v>
      </c>
      <c r="I228" s="793">
        <f t="shared" ref="I228:N228" si="124">IF(I245=0,+I227,0)</f>
        <v>0</v>
      </c>
      <c r="J228" s="793">
        <f t="shared" si="124"/>
        <v>0</v>
      </c>
      <c r="K228" s="793">
        <f t="shared" si="124"/>
        <v>0</v>
      </c>
      <c r="L228" s="793">
        <f t="shared" si="124"/>
        <v>0</v>
      </c>
      <c r="M228" s="793">
        <f t="shared" si="124"/>
        <v>0</v>
      </c>
      <c r="N228" s="794">
        <f t="shared" si="124"/>
        <v>0</v>
      </c>
    </row>
    <row r="229" spans="1:14" s="759" customFormat="1" ht="13.5" customHeight="1">
      <c r="A229" s="2848"/>
      <c r="B229" s="2852"/>
      <c r="C229" s="756" t="s">
        <v>4054</v>
      </c>
      <c r="D229" s="996">
        <v>1</v>
      </c>
      <c r="E229" s="909">
        <f>IF(OR(E226="無し",E226="なし"),0,0.0004)</f>
        <v>4.0000000000000002E-4</v>
      </c>
      <c r="F229" s="757">
        <f>SUM(G229:N229)</f>
        <v>0</v>
      </c>
      <c r="G229" s="793">
        <f>IF(G245=0,+G227,0)</f>
        <v>0</v>
      </c>
      <c r="H229" s="793">
        <f t="shared" ref="H229:N229" si="125">IF(H245=0,+H227,0)</f>
        <v>0</v>
      </c>
      <c r="I229" s="793">
        <f t="shared" si="125"/>
        <v>0</v>
      </c>
      <c r="J229" s="793">
        <f t="shared" si="125"/>
        <v>0</v>
      </c>
      <c r="K229" s="793">
        <f t="shared" si="125"/>
        <v>0</v>
      </c>
      <c r="L229" s="793">
        <f t="shared" si="125"/>
        <v>0</v>
      </c>
      <c r="M229" s="793">
        <f t="shared" si="125"/>
        <v>0</v>
      </c>
      <c r="N229" s="794">
        <f t="shared" si="125"/>
        <v>0</v>
      </c>
    </row>
    <row r="230" spans="1:14" s="759" customFormat="1" ht="13.5" customHeight="1">
      <c r="A230" s="2848"/>
      <c r="B230" s="673"/>
      <c r="C230" s="756"/>
      <c r="D230" s="997"/>
      <c r="E230" s="997"/>
      <c r="F230" s="757"/>
      <c r="G230" s="793"/>
      <c r="H230" s="793"/>
      <c r="I230" s="793"/>
      <c r="J230" s="793"/>
      <c r="K230" s="793"/>
      <c r="L230" s="793"/>
      <c r="M230" s="793"/>
      <c r="N230" s="794"/>
    </row>
    <row r="231" spans="1:14" s="759" customFormat="1" ht="13.5" customHeight="1">
      <c r="A231" s="2848"/>
      <c r="B231" s="673"/>
      <c r="C231" s="756"/>
      <c r="D231" s="997"/>
      <c r="E231" s="997"/>
      <c r="F231" s="757"/>
      <c r="G231" s="793"/>
      <c r="H231" s="793"/>
      <c r="I231" s="793"/>
      <c r="J231" s="793"/>
      <c r="K231" s="793"/>
      <c r="L231" s="793"/>
      <c r="M231" s="793"/>
      <c r="N231" s="794"/>
    </row>
    <row r="232" spans="1:14" s="759" customFormat="1" ht="13.5" customHeight="1">
      <c r="A232" s="2848"/>
      <c r="B232" s="2776" t="s">
        <v>4055</v>
      </c>
      <c r="C232" s="900" t="str">
        <f>+C136</f>
        <v>(17)下水道使用料、各種負担金（共通仮設）</v>
      </c>
      <c r="D232" s="998">
        <v>1</v>
      </c>
      <c r="E232" s="999">
        <v>0</v>
      </c>
      <c r="F232" s="757">
        <f>SUM(G232:N232)</f>
        <v>0</v>
      </c>
      <c r="G232" s="793">
        <f>+G136</f>
        <v>0</v>
      </c>
      <c r="H232" s="793">
        <f t="shared" ref="H232:N232" si="126">+H136</f>
        <v>0</v>
      </c>
      <c r="I232" s="793">
        <f t="shared" si="126"/>
        <v>0</v>
      </c>
      <c r="J232" s="793">
        <f t="shared" si="126"/>
        <v>0</v>
      </c>
      <c r="K232" s="793">
        <f>+K136</f>
        <v>0</v>
      </c>
      <c r="L232" s="793">
        <f t="shared" si="126"/>
        <v>0</v>
      </c>
      <c r="M232" s="793">
        <f t="shared" si="126"/>
        <v>0</v>
      </c>
      <c r="N232" s="794">
        <f t="shared" si="126"/>
        <v>0</v>
      </c>
    </row>
    <row r="233" spans="1:14" s="759" customFormat="1" ht="13.5" customHeight="1">
      <c r="A233" s="2848"/>
      <c r="B233" s="2851"/>
      <c r="C233" s="1000"/>
      <c r="D233" s="900"/>
      <c r="E233" s="999"/>
      <c r="F233" s="757"/>
      <c r="G233" s="793"/>
      <c r="H233" s="793"/>
      <c r="I233" s="793"/>
      <c r="J233" s="793"/>
      <c r="K233" s="793"/>
      <c r="L233" s="793"/>
      <c r="M233" s="793"/>
      <c r="N233" s="794"/>
    </row>
    <row r="234" spans="1:14" s="759" customFormat="1" ht="13.5" customHeight="1">
      <c r="A234" s="2849"/>
      <c r="B234" s="2853"/>
      <c r="C234" s="1001"/>
      <c r="D234" s="1002"/>
      <c r="E234" s="1003"/>
      <c r="F234" s="915"/>
      <c r="G234" s="916"/>
      <c r="H234" s="916"/>
      <c r="I234" s="916"/>
      <c r="J234" s="916"/>
      <c r="K234" s="916"/>
      <c r="L234" s="916"/>
      <c r="M234" s="916"/>
      <c r="N234" s="917"/>
    </row>
    <row r="235" spans="1:14" s="759" customFormat="1" ht="13.5" customHeight="1">
      <c r="A235" s="884"/>
      <c r="B235" s="885"/>
      <c r="C235" s="1004"/>
      <c r="D235" s="1005"/>
      <c r="E235" s="1006"/>
      <c r="F235" s="995"/>
      <c r="G235" s="987"/>
      <c r="H235" s="987"/>
      <c r="I235" s="987"/>
      <c r="J235" s="987"/>
      <c r="K235" s="987"/>
      <c r="L235" s="987"/>
      <c r="M235" s="987"/>
      <c r="N235" s="988"/>
    </row>
    <row r="236" spans="1:14" s="759" customFormat="1" ht="13.5" customHeight="1">
      <c r="A236" s="2690" t="s">
        <v>4056</v>
      </c>
      <c r="B236" s="2882"/>
      <c r="C236" s="2883"/>
      <c r="D236" s="1007"/>
      <c r="E236" s="1008"/>
      <c r="F236" s="1009"/>
      <c r="G236" s="916"/>
      <c r="H236" s="916"/>
      <c r="I236" s="916"/>
      <c r="J236" s="916"/>
      <c r="K236" s="916"/>
      <c r="L236" s="916"/>
      <c r="M236" s="916"/>
      <c r="N236" s="917"/>
    </row>
    <row r="237" spans="1:14" s="759" customFormat="1" ht="13.5" customHeight="1">
      <c r="A237" s="753"/>
      <c r="B237" s="1010" t="s">
        <v>4050</v>
      </c>
      <c r="C237" s="992" t="s">
        <v>4051</v>
      </c>
      <c r="D237" s="993">
        <f t="shared" ref="D237:E239" si="127">+D227</f>
        <v>1</v>
      </c>
      <c r="E237" s="1011">
        <f>+E227</f>
        <v>0.1724</v>
      </c>
      <c r="F237" s="757">
        <f>INT(D237*E237*F227)</f>
        <v>0</v>
      </c>
      <c r="G237" s="987">
        <f>F237-SUM(H237:N237)</f>
        <v>0</v>
      </c>
      <c r="H237" s="987">
        <f>IF(H227=0,0,ROUND($F237/$F227*H227,0))</f>
        <v>0</v>
      </c>
      <c r="I237" s="987">
        <f t="shared" ref="H237:N239" si="128">IF(I227=0,0,ROUND($F237/$F227*I227,0))</f>
        <v>0</v>
      </c>
      <c r="J237" s="987">
        <f t="shared" si="128"/>
        <v>0</v>
      </c>
      <c r="K237" s="987">
        <f t="shared" si="128"/>
        <v>0</v>
      </c>
      <c r="L237" s="987">
        <f t="shared" si="128"/>
        <v>0</v>
      </c>
      <c r="M237" s="987">
        <f t="shared" si="128"/>
        <v>0</v>
      </c>
      <c r="N237" s="988">
        <f t="shared" si="128"/>
        <v>0</v>
      </c>
    </row>
    <row r="238" spans="1:14" s="759" customFormat="1" ht="13.5" customHeight="1">
      <c r="A238" s="753"/>
      <c r="B238" s="2776" t="s">
        <v>4052</v>
      </c>
      <c r="C238" s="756" t="s">
        <v>4053</v>
      </c>
      <c r="D238" s="998">
        <f t="shared" si="127"/>
        <v>0.05</v>
      </c>
      <c r="E238" s="909">
        <f t="shared" si="127"/>
        <v>0</v>
      </c>
      <c r="F238" s="757">
        <f>INT(D238*E238*F228)</f>
        <v>0</v>
      </c>
      <c r="G238" s="793">
        <f>F238-SUM(H238:N238)</f>
        <v>0</v>
      </c>
      <c r="H238" s="793">
        <f t="shared" si="128"/>
        <v>0</v>
      </c>
      <c r="I238" s="793">
        <f t="shared" si="128"/>
        <v>0</v>
      </c>
      <c r="J238" s="793">
        <f t="shared" si="128"/>
        <v>0</v>
      </c>
      <c r="K238" s="793">
        <f t="shared" si="128"/>
        <v>0</v>
      </c>
      <c r="L238" s="793">
        <f t="shared" si="128"/>
        <v>0</v>
      </c>
      <c r="M238" s="793">
        <f t="shared" si="128"/>
        <v>0</v>
      </c>
      <c r="N238" s="794">
        <f t="shared" si="128"/>
        <v>0</v>
      </c>
    </row>
    <row r="239" spans="1:14" s="759" customFormat="1" ht="13.5" customHeight="1">
      <c r="A239" s="753"/>
      <c r="B239" s="2852"/>
      <c r="C239" s="756" t="s">
        <v>4054</v>
      </c>
      <c r="D239" s="998">
        <f t="shared" si="127"/>
        <v>1</v>
      </c>
      <c r="E239" s="909">
        <f t="shared" si="127"/>
        <v>4.0000000000000002E-4</v>
      </c>
      <c r="F239" s="757">
        <f>INT(D239*E239*F229)</f>
        <v>0</v>
      </c>
      <c r="G239" s="793">
        <f>F239-SUM(H239:N239)</f>
        <v>0</v>
      </c>
      <c r="H239" s="793">
        <f>IF(H229=0,0,ROUND($F239/$F229*H229,0))</f>
        <v>0</v>
      </c>
      <c r="I239" s="793">
        <f t="shared" si="128"/>
        <v>0</v>
      </c>
      <c r="J239" s="793">
        <f t="shared" si="128"/>
        <v>0</v>
      </c>
      <c r="K239" s="793">
        <f t="shared" si="128"/>
        <v>0</v>
      </c>
      <c r="L239" s="793">
        <f t="shared" si="128"/>
        <v>0</v>
      </c>
      <c r="M239" s="793">
        <f t="shared" si="128"/>
        <v>0</v>
      </c>
      <c r="N239" s="794">
        <f t="shared" si="128"/>
        <v>0</v>
      </c>
    </row>
    <row r="240" spans="1:14" s="759" customFormat="1" ht="13.5" customHeight="1">
      <c r="A240" s="753"/>
      <c r="B240" s="673"/>
      <c r="C240" s="756"/>
      <c r="D240" s="997"/>
      <c r="E240" s="997"/>
      <c r="F240" s="757"/>
      <c r="G240" s="793"/>
      <c r="H240" s="793"/>
      <c r="I240" s="793"/>
      <c r="J240" s="793"/>
      <c r="K240" s="793"/>
      <c r="L240" s="793"/>
      <c r="M240" s="793"/>
      <c r="N240" s="794"/>
    </row>
    <row r="241" spans="1:14" s="759" customFormat="1" ht="13.5" customHeight="1">
      <c r="A241" s="753"/>
      <c r="B241" s="673"/>
      <c r="C241" s="756"/>
      <c r="D241" s="997"/>
      <c r="E241" s="997"/>
      <c r="F241" s="757"/>
      <c r="G241" s="793"/>
      <c r="H241" s="793"/>
      <c r="I241" s="793"/>
      <c r="J241" s="793"/>
      <c r="K241" s="793"/>
      <c r="L241" s="793"/>
      <c r="M241" s="793"/>
      <c r="N241" s="794"/>
    </row>
    <row r="242" spans="1:14" s="759" customFormat="1" ht="13.5" customHeight="1">
      <c r="A242" s="753"/>
      <c r="B242" s="2776" t="s">
        <v>4055</v>
      </c>
      <c r="C242" s="900" t="str">
        <f>+C136</f>
        <v>(17)下水道使用料、各種負担金（共通仮設）</v>
      </c>
      <c r="D242" s="998">
        <f>+D232</f>
        <v>1</v>
      </c>
      <c r="E242" s="909">
        <f>+E232</f>
        <v>0</v>
      </c>
      <c r="F242" s="757">
        <f>INT(D242*E242*F232)</f>
        <v>0</v>
      </c>
      <c r="G242" s="793">
        <f>F242-SUM(H242:N242)</f>
        <v>0</v>
      </c>
      <c r="H242" s="793">
        <f t="shared" ref="H242:N242" si="129">IF(H232=0,0,ROUND($F242/$F232*H232,0))</f>
        <v>0</v>
      </c>
      <c r="I242" s="793">
        <f t="shared" si="129"/>
        <v>0</v>
      </c>
      <c r="J242" s="793">
        <f t="shared" si="129"/>
        <v>0</v>
      </c>
      <c r="K242" s="793">
        <f>IF(K232=0,0,ROUND($F242/$F232*K232,0))</f>
        <v>0</v>
      </c>
      <c r="L242" s="793">
        <f t="shared" si="129"/>
        <v>0</v>
      </c>
      <c r="M242" s="793">
        <f t="shared" si="129"/>
        <v>0</v>
      </c>
      <c r="N242" s="794">
        <f t="shared" si="129"/>
        <v>0</v>
      </c>
    </row>
    <row r="243" spans="1:14" s="759" customFormat="1" ht="13.5" customHeight="1">
      <c r="A243" s="753"/>
      <c r="B243" s="2851"/>
      <c r="C243" s="1000"/>
      <c r="D243" s="900"/>
      <c r="E243" s="997">
        <f>+G234</f>
        <v>0</v>
      </c>
      <c r="F243" s="757"/>
      <c r="G243" s="793"/>
      <c r="H243" s="793"/>
      <c r="I243" s="793"/>
      <c r="J243" s="793"/>
      <c r="K243" s="793"/>
      <c r="L243" s="793"/>
      <c r="M243" s="793"/>
      <c r="N243" s="794"/>
    </row>
    <row r="244" spans="1:14" s="759" customFormat="1" ht="13.5" customHeight="1">
      <c r="A244" s="1012"/>
      <c r="B244" s="2852"/>
      <c r="C244" s="1000"/>
      <c r="D244" s="900"/>
      <c r="E244" s="997">
        <f>+G235</f>
        <v>0</v>
      </c>
      <c r="F244" s="757"/>
      <c r="G244" s="793"/>
      <c r="H244" s="793"/>
      <c r="I244" s="793"/>
      <c r="J244" s="793"/>
      <c r="K244" s="793"/>
      <c r="L244" s="793"/>
      <c r="M244" s="793"/>
      <c r="N244" s="794"/>
    </row>
    <row r="245" spans="1:14" s="759" customFormat="1" ht="13.5" customHeight="1">
      <c r="A245" s="1012"/>
      <c r="B245" s="2887" t="s">
        <v>4036</v>
      </c>
      <c r="C245" s="928" t="s">
        <v>4057</v>
      </c>
      <c r="D245" s="1014"/>
      <c r="E245" s="1015"/>
      <c r="F245" s="1016">
        <f>SUM(G245:N245)</f>
        <v>0</v>
      </c>
      <c r="G245" s="1845"/>
      <c r="H245" s="1845"/>
      <c r="I245" s="1845"/>
      <c r="J245" s="1845"/>
      <c r="K245" s="1845"/>
      <c r="L245" s="1845"/>
      <c r="M245" s="1845"/>
      <c r="N245" s="1846"/>
    </row>
    <row r="246" spans="1:14" s="759" customFormat="1" ht="13.5" customHeight="1">
      <c r="A246" s="753"/>
      <c r="B246" s="2896"/>
      <c r="C246" s="1847" t="s">
        <v>4058</v>
      </c>
      <c r="D246" s="943"/>
      <c r="E246" s="944"/>
      <c r="F246" s="931"/>
      <c r="G246" s="793"/>
      <c r="H246" s="793"/>
      <c r="I246" s="793"/>
      <c r="J246" s="793" t="s">
        <v>4803</v>
      </c>
      <c r="K246" s="793"/>
      <c r="L246" s="793"/>
      <c r="M246" s="793"/>
      <c r="N246" s="794"/>
    </row>
    <row r="247" spans="1:14" s="759" customFormat="1" ht="13.5" customHeight="1">
      <c r="A247" s="975"/>
      <c r="B247" s="976"/>
      <c r="C247" s="976"/>
      <c r="D247" s="665"/>
      <c r="E247" s="665"/>
      <c r="F247" s="995"/>
      <c r="G247" s="987"/>
      <c r="H247" s="987"/>
      <c r="I247" s="987"/>
      <c r="J247" s="987"/>
      <c r="K247" s="987"/>
      <c r="L247" s="987"/>
      <c r="M247" s="987"/>
      <c r="N247" s="988"/>
    </row>
    <row r="248" spans="1:14" s="759" customFormat="1" ht="13.5" customHeight="1">
      <c r="A248" s="1020"/>
      <c r="B248" s="760"/>
      <c r="C248" s="755" t="s">
        <v>4059</v>
      </c>
      <c r="D248" s="1000"/>
      <c r="E248" s="756"/>
      <c r="F248" s="757">
        <f>SUM(G248:N248)</f>
        <v>0</v>
      </c>
      <c r="G248" s="793">
        <f t="shared" ref="G248:N248" si="130">SUM(G237:G246)</f>
        <v>0</v>
      </c>
      <c r="H248" s="793">
        <f t="shared" si="130"/>
        <v>0</v>
      </c>
      <c r="I248" s="793">
        <f t="shared" si="130"/>
        <v>0</v>
      </c>
      <c r="J248" s="793">
        <f t="shared" si="130"/>
        <v>0</v>
      </c>
      <c r="K248" s="793">
        <f t="shared" si="130"/>
        <v>0</v>
      </c>
      <c r="L248" s="793">
        <f t="shared" si="130"/>
        <v>0</v>
      </c>
      <c r="M248" s="793">
        <f t="shared" si="130"/>
        <v>0</v>
      </c>
      <c r="N248" s="794">
        <f t="shared" si="130"/>
        <v>0</v>
      </c>
    </row>
    <row r="249" spans="1:14" s="759" customFormat="1" ht="13.5" customHeight="1">
      <c r="A249" s="1020"/>
      <c r="B249" s="760"/>
      <c r="C249" s="755" t="s">
        <v>4040</v>
      </c>
      <c r="D249" s="1000"/>
      <c r="E249" s="756"/>
      <c r="F249" s="757">
        <f>SUM(G249:N249)</f>
        <v>0</v>
      </c>
      <c r="G249" s="793">
        <f t="shared" ref="G249:N249" si="131">+G216</f>
        <v>0</v>
      </c>
      <c r="H249" s="793">
        <f t="shared" si="131"/>
        <v>0</v>
      </c>
      <c r="I249" s="793">
        <f t="shared" si="131"/>
        <v>0</v>
      </c>
      <c r="J249" s="793">
        <f t="shared" si="131"/>
        <v>0</v>
      </c>
      <c r="K249" s="793">
        <f t="shared" si="131"/>
        <v>0</v>
      </c>
      <c r="L249" s="793">
        <f t="shared" si="131"/>
        <v>0</v>
      </c>
      <c r="M249" s="793">
        <f t="shared" si="131"/>
        <v>0</v>
      </c>
      <c r="N249" s="794">
        <f t="shared" si="131"/>
        <v>0</v>
      </c>
    </row>
    <row r="250" spans="1:14" s="759" customFormat="1" ht="13.5" customHeight="1" thickBot="1">
      <c r="A250" s="2442"/>
      <c r="B250" s="2443"/>
      <c r="C250" s="2444" t="s">
        <v>4060</v>
      </c>
      <c r="D250" s="2445"/>
      <c r="E250" s="2446"/>
      <c r="F250" s="2447">
        <f>SUM(G250:N250)</f>
        <v>0</v>
      </c>
      <c r="G250" s="2448">
        <f>SUM(G248:G249)</f>
        <v>0</v>
      </c>
      <c r="H250" s="2448">
        <f t="shared" ref="H250:N250" si="132">SUM(H248:H249)</f>
        <v>0</v>
      </c>
      <c r="I250" s="2448">
        <f t="shared" si="132"/>
        <v>0</v>
      </c>
      <c r="J250" s="2448">
        <f t="shared" si="132"/>
        <v>0</v>
      </c>
      <c r="K250" s="2448">
        <f>SUM(K248:K249)</f>
        <v>0</v>
      </c>
      <c r="L250" s="2448">
        <f t="shared" si="132"/>
        <v>0</v>
      </c>
      <c r="M250" s="2448">
        <f t="shared" si="132"/>
        <v>0</v>
      </c>
      <c r="N250" s="1028">
        <f t="shared" si="132"/>
        <v>0</v>
      </c>
    </row>
    <row r="251" spans="1:14" s="759" customFormat="1" ht="13.5" customHeight="1" thickTop="1">
      <c r="A251" s="753"/>
      <c r="B251" s="754"/>
      <c r="C251" s="754"/>
      <c r="D251" s="763"/>
      <c r="E251" s="763"/>
      <c r="F251" s="764"/>
      <c r="G251" s="1029">
        <f t="shared" ref="G251:N251" si="133">ROUNDDOWN(G250,-3)</f>
        <v>0</v>
      </c>
      <c r="H251" s="1029">
        <f>ROUNDDOWN(H250,-3)</f>
        <v>0</v>
      </c>
      <c r="I251" s="1029">
        <f t="shared" si="133"/>
        <v>0</v>
      </c>
      <c r="J251" s="1029">
        <f t="shared" si="133"/>
        <v>0</v>
      </c>
      <c r="K251" s="1029">
        <f>ROUNDDOWN(K250,-3)</f>
        <v>0</v>
      </c>
      <c r="L251" s="1029">
        <f t="shared" si="133"/>
        <v>0</v>
      </c>
      <c r="M251" s="1029">
        <f t="shared" si="133"/>
        <v>0</v>
      </c>
      <c r="N251" s="1030">
        <f t="shared" si="133"/>
        <v>0</v>
      </c>
    </row>
    <row r="252" spans="1:14" s="759" customFormat="1" ht="13.5" customHeight="1">
      <c r="A252" s="1020"/>
      <c r="B252" s="760"/>
      <c r="C252" s="755" t="s">
        <v>4040</v>
      </c>
      <c r="D252" s="1000"/>
      <c r="E252" s="756"/>
      <c r="F252" s="757">
        <f>SUM(G252:N252)</f>
        <v>0</v>
      </c>
      <c r="G252" s="793">
        <f t="shared" ref="G252:N252" si="134">+G249</f>
        <v>0</v>
      </c>
      <c r="H252" s="793">
        <f t="shared" si="134"/>
        <v>0</v>
      </c>
      <c r="I252" s="793">
        <f>+I249</f>
        <v>0</v>
      </c>
      <c r="J252" s="793">
        <f>+J249</f>
        <v>0</v>
      </c>
      <c r="K252" s="793">
        <f>+K249</f>
        <v>0</v>
      </c>
      <c r="L252" s="793">
        <f t="shared" si="134"/>
        <v>0</v>
      </c>
      <c r="M252" s="793">
        <f t="shared" si="134"/>
        <v>0</v>
      </c>
      <c r="N252" s="794">
        <f t="shared" si="134"/>
        <v>0</v>
      </c>
    </row>
    <row r="253" spans="1:14" s="759" customFormat="1" ht="13.5" customHeight="1">
      <c r="A253" s="1020"/>
      <c r="B253" s="760"/>
      <c r="C253" s="755" t="s">
        <v>4061</v>
      </c>
      <c r="D253" s="1000"/>
      <c r="E253" s="997"/>
      <c r="F253" s="757" t="e">
        <f>SUM(G253:N253)</f>
        <v>#DIV/0!</v>
      </c>
      <c r="G253" s="793" t="e">
        <f t="shared" ref="G253:N253" si="135">+G248-(G250-G255)</f>
        <v>#DIV/0!</v>
      </c>
      <c r="H253" s="793" t="e">
        <f>+H248-(H250-H255)</f>
        <v>#DIV/0!</v>
      </c>
      <c r="I253" s="793" t="e">
        <f t="shared" si="135"/>
        <v>#DIV/0!</v>
      </c>
      <c r="J253" s="793" t="e">
        <f>+J248-(J250-J255)</f>
        <v>#DIV/0!</v>
      </c>
      <c r="K253" s="793" t="e">
        <f>+K248-(K250-K255)</f>
        <v>#DIV/0!</v>
      </c>
      <c r="L253" s="793" t="e">
        <f t="shared" si="135"/>
        <v>#DIV/0!</v>
      </c>
      <c r="M253" s="793" t="e">
        <f t="shared" si="135"/>
        <v>#DIV/0!</v>
      </c>
      <c r="N253" s="794" t="e">
        <f t="shared" si="135"/>
        <v>#DIV/0!</v>
      </c>
    </row>
    <row r="254" spans="1:14" s="759" customFormat="1" ht="13.5" customHeight="1">
      <c r="A254" s="1020"/>
      <c r="B254" s="760"/>
      <c r="C254" s="760"/>
      <c r="D254" s="756"/>
      <c r="E254" s="1031">
        <f>SUM(G251:N251)</f>
        <v>0</v>
      </c>
      <c r="F254" s="757" t="s">
        <v>4062</v>
      </c>
      <c r="G254" s="793" t="e">
        <f t="shared" ref="G254:N254" si="136">+G248-G253</f>
        <v>#DIV/0!</v>
      </c>
      <c r="H254" s="793" t="e">
        <f t="shared" si="136"/>
        <v>#DIV/0!</v>
      </c>
      <c r="I254" s="793" t="e">
        <f t="shared" si="136"/>
        <v>#DIV/0!</v>
      </c>
      <c r="J254" s="793" t="e">
        <f t="shared" si="136"/>
        <v>#DIV/0!</v>
      </c>
      <c r="K254" s="793" t="e">
        <f>+K248-K253</f>
        <v>#DIV/0!</v>
      </c>
      <c r="L254" s="793" t="e">
        <f t="shared" si="136"/>
        <v>#DIV/0!</v>
      </c>
      <c r="M254" s="1032" t="e">
        <f t="shared" si="136"/>
        <v>#DIV/0!</v>
      </c>
      <c r="N254" s="1033" t="e">
        <f t="shared" si="136"/>
        <v>#DIV/0!</v>
      </c>
    </row>
    <row r="255" spans="1:14" s="759" customFormat="1" ht="13.5" customHeight="1">
      <c r="A255" s="1034"/>
      <c r="B255" s="1035"/>
      <c r="C255" s="1035" t="s">
        <v>4063</v>
      </c>
      <c r="D255" s="1036"/>
      <c r="E255" s="1031">
        <f>ROUNDDOWN(E254,4-LEN(E254))</f>
        <v>0</v>
      </c>
      <c r="F255" s="1037">
        <f>+E255</f>
        <v>0</v>
      </c>
      <c r="G255" s="1032" t="e">
        <f>IF(F256+SUM(H255:N255)=F255,F256,F255-SUM(H255:N255))</f>
        <v>#DIV/0!</v>
      </c>
      <c r="H255" s="1032" t="e">
        <f t="shared" ref="H255:N255" si="137">IF(H245="",+H251-ROUND($E$256*H250/$F$250,-3),H250)</f>
        <v>#DIV/0!</v>
      </c>
      <c r="I255" s="1032" t="e">
        <f t="shared" si="137"/>
        <v>#DIV/0!</v>
      </c>
      <c r="J255" s="1032" t="e">
        <f t="shared" si="137"/>
        <v>#DIV/0!</v>
      </c>
      <c r="K255" s="1032" t="e">
        <f t="shared" si="137"/>
        <v>#DIV/0!</v>
      </c>
      <c r="L255" s="1032" t="e">
        <f t="shared" si="137"/>
        <v>#DIV/0!</v>
      </c>
      <c r="M255" s="1032" t="e">
        <f t="shared" si="137"/>
        <v>#DIV/0!</v>
      </c>
      <c r="N255" s="1033" t="e">
        <f t="shared" si="137"/>
        <v>#DIV/0!</v>
      </c>
    </row>
    <row r="256" spans="1:14" s="759" customFormat="1" ht="13.5" customHeight="1">
      <c r="A256" s="1038"/>
      <c r="B256" s="1039"/>
      <c r="C256" s="1039"/>
      <c r="D256" s="1040"/>
      <c r="E256" s="1041">
        <f>E254-E255</f>
        <v>0</v>
      </c>
      <c r="F256" s="1042" t="e">
        <f>+G251-ROUND($E$256*G250/$F$250,-3)</f>
        <v>#DIV/0!</v>
      </c>
      <c r="G256" s="1041">
        <f t="shared" ref="G256:N256" si="138">IF(LEN(G250)&lt;=7,-3,IF(LEN(G250)=8,-4,IF(LEN(G250)&gt;=9,-5,-6)))</f>
        <v>-3</v>
      </c>
      <c r="H256" s="1041">
        <f t="shared" si="138"/>
        <v>-3</v>
      </c>
      <c r="I256" s="1041">
        <f t="shared" si="138"/>
        <v>-3</v>
      </c>
      <c r="J256" s="1041">
        <f>IF(LEN(J250)&lt;=7,-3,IF(LEN(J250)=8,-4,IF(LEN(J250)&gt;=9,-5,-6)))</f>
        <v>-3</v>
      </c>
      <c r="K256" s="1041">
        <f>IF(LEN(K250)&lt;=7,-3,IF(LEN(K250)=8,-4,IF(LEN(K250)&gt;=9,-5,-6)))</f>
        <v>-3</v>
      </c>
      <c r="L256" s="1041">
        <f t="shared" si="138"/>
        <v>-3</v>
      </c>
      <c r="M256" s="1041">
        <f t="shared" si="138"/>
        <v>-3</v>
      </c>
      <c r="N256" s="1043">
        <f t="shared" si="138"/>
        <v>-3</v>
      </c>
    </row>
    <row r="257" spans="1:14" s="759" customFormat="1" ht="13.5" customHeight="1">
      <c r="F257" s="1848"/>
      <c r="G257" s="1583"/>
      <c r="H257" s="1088"/>
      <c r="I257" s="1088"/>
      <c r="J257" s="1088"/>
      <c r="K257" s="1088"/>
      <c r="L257" s="1088"/>
      <c r="M257" s="1088"/>
      <c r="N257" s="1088"/>
    </row>
    <row r="258" spans="1:14" s="759" customFormat="1" ht="15" hidden="1" customHeight="1">
      <c r="A258" s="1072"/>
      <c r="B258" s="1073"/>
      <c r="C258" s="1074" t="s">
        <v>4064</v>
      </c>
      <c r="D258" s="1075"/>
      <c r="E258" s="1073"/>
      <c r="F258" s="1076" t="s">
        <v>4065</v>
      </c>
      <c r="G258" s="1052">
        <f t="shared" ref="G258:N258" si="139">+G85</f>
        <v>0</v>
      </c>
      <c r="H258" s="1052">
        <f t="shared" si="139"/>
        <v>0</v>
      </c>
      <c r="I258" s="1052">
        <f t="shared" si="139"/>
        <v>0</v>
      </c>
      <c r="J258" s="1052">
        <f t="shared" si="139"/>
        <v>0</v>
      </c>
      <c r="K258" s="1052">
        <f>+K85</f>
        <v>0</v>
      </c>
      <c r="L258" s="1052">
        <f t="shared" si="139"/>
        <v>0</v>
      </c>
      <c r="M258" s="1052">
        <f t="shared" si="139"/>
        <v>0</v>
      </c>
      <c r="N258" s="1053">
        <f t="shared" si="139"/>
        <v>0</v>
      </c>
    </row>
    <row r="259" spans="1:14" s="759" customFormat="1" ht="15" hidden="1" customHeight="1">
      <c r="A259" s="2760"/>
      <c r="B259" s="2761" t="s">
        <v>4066</v>
      </c>
      <c r="C259" s="1077" t="s">
        <v>4067</v>
      </c>
      <c r="D259" s="1035"/>
      <c r="E259" s="1078"/>
      <c r="F259" s="1079" t="s">
        <v>4068</v>
      </c>
      <c r="G259" s="1057">
        <f>IF($F141&lt;=10000000,ROUND(7.56*(10000^-0.1105)*(G258^0.2389),2),ROUND(7.56*(($F141/1000)^-0.1105)*(G258^0.2389),2))</f>
        <v>0</v>
      </c>
      <c r="H259" s="1057">
        <f>IF($F141&lt;=10000000,ROUND(7.56*(10000^-0.1105)*(H258^0.2389),2),ROUND(7.56*(($F141/1000)^-0.1105)*(H258^0.2389),2))</f>
        <v>0</v>
      </c>
      <c r="I259" s="1057">
        <f t="shared" ref="I259:N259" si="140">IF($F141&lt;=10000000,ROUND(7.56*(10000^-0.1105)*(I258^0.2389),2),ROUND(7.56*(($F141/1000)^-0.1105)*(I258^0.2389),2))</f>
        <v>0</v>
      </c>
      <c r="J259" s="1057">
        <f t="shared" si="140"/>
        <v>0</v>
      </c>
      <c r="K259" s="1057">
        <f t="shared" si="140"/>
        <v>0</v>
      </c>
      <c r="L259" s="1057">
        <f t="shared" si="140"/>
        <v>0</v>
      </c>
      <c r="M259" s="1057">
        <f t="shared" si="140"/>
        <v>0</v>
      </c>
      <c r="N259" s="1057">
        <f t="shared" si="140"/>
        <v>0</v>
      </c>
    </row>
    <row r="260" spans="1:14" s="759" customFormat="1" ht="15" hidden="1" customHeight="1">
      <c r="A260" s="2715"/>
      <c r="B260" s="2718"/>
      <c r="C260" s="2766" t="s">
        <v>4069</v>
      </c>
      <c r="D260" s="934"/>
      <c r="E260" s="1080"/>
      <c r="F260" s="1079" t="s">
        <v>4070</v>
      </c>
      <c r="G260" s="1081">
        <f>IF($F141&lt;=10000000,ROUND(4.33,2),0)</f>
        <v>4.33</v>
      </c>
      <c r="H260" s="1081">
        <f t="shared" ref="H260:N260" si="141">IF($F141&lt;=10000000,ROUND(4.33,2),0)</f>
        <v>4.33</v>
      </c>
      <c r="I260" s="1081">
        <f t="shared" si="141"/>
        <v>4.33</v>
      </c>
      <c r="J260" s="1081">
        <f t="shared" si="141"/>
        <v>4.33</v>
      </c>
      <c r="K260" s="1081">
        <f t="shared" si="141"/>
        <v>4.33</v>
      </c>
      <c r="L260" s="1081">
        <f t="shared" si="141"/>
        <v>4.33</v>
      </c>
      <c r="M260" s="1081">
        <f t="shared" si="141"/>
        <v>4.33</v>
      </c>
      <c r="N260" s="1081">
        <f t="shared" si="141"/>
        <v>4.33</v>
      </c>
    </row>
    <row r="261" spans="1:14" s="759" customFormat="1" ht="15" hidden="1" customHeight="1">
      <c r="A261" s="2715"/>
      <c r="B261" s="2718"/>
      <c r="C261" s="2895"/>
      <c r="D261" s="2323"/>
      <c r="E261" s="1083"/>
      <c r="F261" s="1079" t="s">
        <v>4071</v>
      </c>
      <c r="G261" s="1081">
        <f>IF($F141&lt;=10000000,ROUND(3.25,2),0)</f>
        <v>3.25</v>
      </c>
      <c r="H261" s="1081">
        <f t="shared" ref="H261:N261" si="142">IF($F141&lt;=10000000,ROUND(3.25,2),0)</f>
        <v>3.25</v>
      </c>
      <c r="I261" s="1081">
        <f t="shared" si="142"/>
        <v>3.25</v>
      </c>
      <c r="J261" s="1081">
        <f t="shared" si="142"/>
        <v>3.25</v>
      </c>
      <c r="K261" s="1081">
        <f t="shared" si="142"/>
        <v>3.25</v>
      </c>
      <c r="L261" s="1081">
        <f t="shared" si="142"/>
        <v>3.25</v>
      </c>
      <c r="M261" s="1081">
        <f t="shared" si="142"/>
        <v>3.25</v>
      </c>
      <c r="N261" s="1081">
        <f t="shared" si="142"/>
        <v>3.25</v>
      </c>
    </row>
    <row r="262" spans="1:14" s="759" customFormat="1" ht="14.25" hidden="1" customHeight="1">
      <c r="A262" s="2715"/>
      <c r="B262" s="2718"/>
      <c r="C262" s="2766" t="s">
        <v>4072</v>
      </c>
      <c r="D262" s="934"/>
      <c r="E262" s="1080"/>
      <c r="F262" s="1079" t="s">
        <v>4070</v>
      </c>
      <c r="G262" s="1084">
        <f>IF($F141&gt;10000000,ROUND(5.78*($F141/1000)^-0.0313,2),0)</f>
        <v>0</v>
      </c>
      <c r="H262" s="1084">
        <f t="shared" ref="H262:N262" si="143">IF($F141&gt;10000000,ROUND(5.78*($F141/1000)^-0.0313,2),0)</f>
        <v>0</v>
      </c>
      <c r="I262" s="1084">
        <f t="shared" si="143"/>
        <v>0</v>
      </c>
      <c r="J262" s="1084">
        <f t="shared" si="143"/>
        <v>0</v>
      </c>
      <c r="K262" s="1084">
        <f t="shared" si="143"/>
        <v>0</v>
      </c>
      <c r="L262" s="1084">
        <f t="shared" si="143"/>
        <v>0</v>
      </c>
      <c r="M262" s="1084">
        <f t="shared" si="143"/>
        <v>0</v>
      </c>
      <c r="N262" s="1084">
        <f t="shared" si="143"/>
        <v>0</v>
      </c>
    </row>
    <row r="263" spans="1:14" s="759" customFormat="1" ht="15" hidden="1" customHeight="1">
      <c r="A263" s="2716"/>
      <c r="B263" s="2719"/>
      <c r="C263" s="2895"/>
      <c r="D263" s="2323"/>
      <c r="E263" s="1083"/>
      <c r="F263" s="1079" t="s">
        <v>4071</v>
      </c>
      <c r="G263" s="1084">
        <f>IF($F141&gt;10000000,ROUND(4.34*($F141/1000)^-0.0313,2),0)</f>
        <v>0</v>
      </c>
      <c r="H263" s="1084">
        <f t="shared" ref="H263:N263" si="144">IF($F141&gt;10000000,ROUND(4.34*($F141/1000)^-0.0313,2),0)</f>
        <v>0</v>
      </c>
      <c r="I263" s="1084">
        <f t="shared" si="144"/>
        <v>0</v>
      </c>
      <c r="J263" s="1084">
        <f t="shared" si="144"/>
        <v>0</v>
      </c>
      <c r="K263" s="1084">
        <f t="shared" si="144"/>
        <v>0</v>
      </c>
      <c r="L263" s="1084">
        <f t="shared" si="144"/>
        <v>0</v>
      </c>
      <c r="M263" s="1084">
        <f t="shared" si="144"/>
        <v>0</v>
      </c>
      <c r="N263" s="1084">
        <f t="shared" si="144"/>
        <v>0</v>
      </c>
    </row>
    <row r="264" spans="1:14" s="759" customFormat="1" ht="15" hidden="1" customHeight="1">
      <c r="A264" s="2889" t="s">
        <v>4073</v>
      </c>
      <c r="B264" s="2890"/>
      <c r="C264" s="2890"/>
      <c r="D264" s="2890"/>
      <c r="E264" s="2890"/>
      <c r="F264" s="2891"/>
      <c r="G264" s="1084">
        <f>IF($F141&lt;=10000000,IF(G$259&gt;G$260,G$260,IF(G$259&lt;G$261,G$261,G$259)),IF(G$259&gt;G$262,G$262,IF(G$259&lt;G$263,G$263,G$259)))</f>
        <v>3.25</v>
      </c>
      <c r="H264" s="1084">
        <f t="shared" ref="H264:N264" si="145">IF($F141&lt;=10000000,IF(H$259&gt;H$260,H$260,IF(H$259&lt;H$261,H$261,H$259)),IF(H$259&gt;H$262,H$262,IF(H$259&lt;H$263,H$263,H$259)))</f>
        <v>3.25</v>
      </c>
      <c r="I264" s="1084">
        <f t="shared" si="145"/>
        <v>3.25</v>
      </c>
      <c r="J264" s="1084">
        <f t="shared" si="145"/>
        <v>3.25</v>
      </c>
      <c r="K264" s="1084">
        <f t="shared" si="145"/>
        <v>3.25</v>
      </c>
      <c r="L264" s="1084">
        <f t="shared" si="145"/>
        <v>3.25</v>
      </c>
      <c r="M264" s="1084">
        <f t="shared" si="145"/>
        <v>3.25</v>
      </c>
      <c r="N264" s="1084">
        <f t="shared" si="145"/>
        <v>3.25</v>
      </c>
    </row>
    <row r="265" spans="1:14" s="759" customFormat="1" ht="15" hidden="1" customHeight="1" thickBot="1">
      <c r="A265" s="2892" t="s">
        <v>4748</v>
      </c>
      <c r="B265" s="2893"/>
      <c r="C265" s="2893"/>
      <c r="D265" s="2893"/>
      <c r="E265" s="2893"/>
      <c r="F265" s="2894"/>
      <c r="G265" s="1849">
        <f>ROUND(G264*0.9,2)</f>
        <v>2.93</v>
      </c>
      <c r="H265" s="1849">
        <f t="shared" ref="H265:N265" si="146">ROUND(H264*0.9,2)</f>
        <v>2.93</v>
      </c>
      <c r="I265" s="1849">
        <f t="shared" si="146"/>
        <v>2.93</v>
      </c>
      <c r="J265" s="1849">
        <f t="shared" si="146"/>
        <v>2.93</v>
      </c>
      <c r="K265" s="1849">
        <f>ROUND(K264*0.9,2)</f>
        <v>2.93</v>
      </c>
      <c r="L265" s="1849">
        <f t="shared" si="146"/>
        <v>2.93</v>
      </c>
      <c r="M265" s="1849">
        <f t="shared" si="146"/>
        <v>2.93</v>
      </c>
      <c r="N265" s="1850">
        <f t="shared" si="146"/>
        <v>2.93</v>
      </c>
    </row>
    <row r="266" spans="1:14" s="759" customFormat="1" ht="15" hidden="1" customHeight="1" thickBot="1">
      <c r="G266" s="1071"/>
      <c r="H266" s="1071"/>
      <c r="I266" s="1071"/>
      <c r="J266" s="1071"/>
      <c r="K266" s="1071"/>
      <c r="L266" s="1071"/>
      <c r="M266" s="1071"/>
      <c r="N266" s="1071"/>
    </row>
    <row r="267" spans="1:14" s="759" customFormat="1" ht="15" hidden="1" customHeight="1">
      <c r="A267" s="1072"/>
      <c r="B267" s="1073"/>
      <c r="C267" s="1074" t="s">
        <v>4064</v>
      </c>
      <c r="D267" s="1075"/>
      <c r="E267" s="1073"/>
      <c r="F267" s="1076" t="s">
        <v>4065</v>
      </c>
      <c r="G267" s="1052">
        <f t="shared" ref="G267:N267" si="147">+G85</f>
        <v>0</v>
      </c>
      <c r="H267" s="1052">
        <f t="shared" si="147"/>
        <v>0</v>
      </c>
      <c r="I267" s="1052">
        <f t="shared" si="147"/>
        <v>0</v>
      </c>
      <c r="J267" s="1052">
        <f t="shared" si="147"/>
        <v>0</v>
      </c>
      <c r="K267" s="1052">
        <f>+K85</f>
        <v>0</v>
      </c>
      <c r="L267" s="1052">
        <f t="shared" si="147"/>
        <v>0</v>
      </c>
      <c r="M267" s="1052">
        <f t="shared" si="147"/>
        <v>0</v>
      </c>
      <c r="N267" s="1053">
        <f t="shared" si="147"/>
        <v>0</v>
      </c>
    </row>
    <row r="268" spans="1:14" s="759" customFormat="1" ht="15" hidden="1" customHeight="1">
      <c r="A268" s="2760"/>
      <c r="B268" s="2761" t="s">
        <v>4075</v>
      </c>
      <c r="C268" s="1077" t="s">
        <v>4067</v>
      </c>
      <c r="D268" s="1035"/>
      <c r="E268" s="1078"/>
      <c r="F268" s="1079" t="s">
        <v>4076</v>
      </c>
      <c r="G268" s="1057">
        <f>IF($F141&lt;=5000000,ROUND(18.03*(5000^-0.2027)*(G267^0.4017),2),ROUND(18.03*(($F141/1000)^-0.2027)*(G267^0.4017),2))</f>
        <v>0</v>
      </c>
      <c r="H268" s="1057">
        <f t="shared" ref="H268:N268" si="148">IF($F141&lt;=5000000,ROUND(18.03*(5000^-0.2027)*(H267^0.4017),2),ROUND(18.03*(($F141/1000)^-0.2027)*(H267^0.4017),2))</f>
        <v>0</v>
      </c>
      <c r="I268" s="1057">
        <f t="shared" si="148"/>
        <v>0</v>
      </c>
      <c r="J268" s="1057">
        <f t="shared" si="148"/>
        <v>0</v>
      </c>
      <c r="K268" s="1057">
        <f t="shared" si="148"/>
        <v>0</v>
      </c>
      <c r="L268" s="1057">
        <f t="shared" si="148"/>
        <v>0</v>
      </c>
      <c r="M268" s="1057">
        <f t="shared" si="148"/>
        <v>0</v>
      </c>
      <c r="N268" s="1057">
        <f t="shared" si="148"/>
        <v>0</v>
      </c>
    </row>
    <row r="269" spans="1:14" s="759" customFormat="1" ht="15" hidden="1" customHeight="1">
      <c r="A269" s="2715"/>
      <c r="B269" s="2718"/>
      <c r="C269" s="2766" t="s">
        <v>4077</v>
      </c>
      <c r="D269" s="934"/>
      <c r="E269" s="1080"/>
      <c r="F269" s="1079" t="s">
        <v>4070</v>
      </c>
      <c r="G269" s="1081">
        <f>IF($F141&lt;=5000000,ROUND(6.07,2),0)</f>
        <v>6.07</v>
      </c>
      <c r="H269" s="1081">
        <f t="shared" ref="H269:N269" si="149">IF($F141&lt;=5000000,ROUND(6.07,2),0)</f>
        <v>6.07</v>
      </c>
      <c r="I269" s="1081">
        <f t="shared" si="149"/>
        <v>6.07</v>
      </c>
      <c r="J269" s="1081">
        <f t="shared" si="149"/>
        <v>6.07</v>
      </c>
      <c r="K269" s="1081">
        <f t="shared" si="149"/>
        <v>6.07</v>
      </c>
      <c r="L269" s="1081">
        <f t="shared" si="149"/>
        <v>6.07</v>
      </c>
      <c r="M269" s="1081">
        <f t="shared" si="149"/>
        <v>6.07</v>
      </c>
      <c r="N269" s="1081">
        <f t="shared" si="149"/>
        <v>6.07</v>
      </c>
    </row>
    <row r="270" spans="1:14" s="759" customFormat="1" ht="15" hidden="1" customHeight="1">
      <c r="A270" s="2715"/>
      <c r="B270" s="2718"/>
      <c r="C270" s="2895"/>
      <c r="D270" s="2323"/>
      <c r="E270" s="1083"/>
      <c r="F270" s="1079" t="s">
        <v>4071</v>
      </c>
      <c r="G270" s="1081">
        <f>IF($F141&lt;=5000000,ROUND(3.59,2),0)</f>
        <v>3.59</v>
      </c>
      <c r="H270" s="1081">
        <f t="shared" ref="H270:N270" si="150">IF($F141&lt;=5000000,ROUND(3.59,2),0)</f>
        <v>3.59</v>
      </c>
      <c r="I270" s="1081">
        <f t="shared" si="150"/>
        <v>3.59</v>
      </c>
      <c r="J270" s="1081">
        <f t="shared" si="150"/>
        <v>3.59</v>
      </c>
      <c r="K270" s="1081">
        <f t="shared" si="150"/>
        <v>3.59</v>
      </c>
      <c r="L270" s="1081">
        <f t="shared" si="150"/>
        <v>3.59</v>
      </c>
      <c r="M270" s="1081">
        <f t="shared" si="150"/>
        <v>3.59</v>
      </c>
      <c r="N270" s="1081">
        <f t="shared" si="150"/>
        <v>3.59</v>
      </c>
    </row>
    <row r="271" spans="1:14" s="759" customFormat="1" ht="15" hidden="1" customHeight="1">
      <c r="A271" s="2715"/>
      <c r="B271" s="2718"/>
      <c r="C271" s="2766" t="s">
        <v>4078</v>
      </c>
      <c r="D271" s="934"/>
      <c r="E271" s="1080"/>
      <c r="F271" s="1079" t="s">
        <v>4070</v>
      </c>
      <c r="G271" s="1084">
        <f>IF($F141&gt;5000000,ROUND(11.74*($F141/1000)^-0.0774,2),0)</f>
        <v>0</v>
      </c>
      <c r="H271" s="1084">
        <f t="shared" ref="H271:N271" si="151">IF($F141&gt;5000000,ROUND(11.74*($F141/1000)^-0.0774,2),0)</f>
        <v>0</v>
      </c>
      <c r="I271" s="1084">
        <f t="shared" si="151"/>
        <v>0</v>
      </c>
      <c r="J271" s="1084">
        <f t="shared" si="151"/>
        <v>0</v>
      </c>
      <c r="K271" s="1084">
        <f t="shared" si="151"/>
        <v>0</v>
      </c>
      <c r="L271" s="1084">
        <f t="shared" si="151"/>
        <v>0</v>
      </c>
      <c r="M271" s="1084">
        <f t="shared" si="151"/>
        <v>0</v>
      </c>
      <c r="N271" s="1084">
        <f t="shared" si="151"/>
        <v>0</v>
      </c>
    </row>
    <row r="272" spans="1:14" s="759" customFormat="1" ht="15" hidden="1" customHeight="1">
      <c r="A272" s="2716"/>
      <c r="B272" s="2719"/>
      <c r="C272" s="2895"/>
      <c r="D272" s="2323"/>
      <c r="E272" s="1083"/>
      <c r="F272" s="1079" t="s">
        <v>4071</v>
      </c>
      <c r="G272" s="1084">
        <f>IF($F141&gt;5000000,ROUND(6.94*($F141/1000)^-0.0774,2),0)</f>
        <v>0</v>
      </c>
      <c r="H272" s="1084">
        <f t="shared" ref="H272:N272" si="152">IF($F141&gt;5000000,ROUND(6.94*($F141/1000)^-0.0774,2),0)</f>
        <v>0</v>
      </c>
      <c r="I272" s="1084">
        <f t="shared" si="152"/>
        <v>0</v>
      </c>
      <c r="J272" s="1084">
        <f t="shared" si="152"/>
        <v>0</v>
      </c>
      <c r="K272" s="1084">
        <f t="shared" si="152"/>
        <v>0</v>
      </c>
      <c r="L272" s="1084">
        <f t="shared" si="152"/>
        <v>0</v>
      </c>
      <c r="M272" s="1084">
        <f t="shared" si="152"/>
        <v>0</v>
      </c>
      <c r="N272" s="1084">
        <f t="shared" si="152"/>
        <v>0</v>
      </c>
    </row>
    <row r="273" spans="1:14" s="759" customFormat="1" ht="15" hidden="1" customHeight="1">
      <c r="A273" s="2889" t="s">
        <v>4073</v>
      </c>
      <c r="B273" s="2890"/>
      <c r="C273" s="2890"/>
      <c r="D273" s="2890"/>
      <c r="E273" s="2890"/>
      <c r="F273" s="2891"/>
      <c r="G273" s="1851">
        <f>IF($F141&lt;=5000000,IF(G$268&gt;G$269,G$269,IF(G$268&lt;G$270,G$270,G$268)),IF(G$268&gt;G$271,G$271,IF(G$268&lt;G$272,G$272,G$268)))</f>
        <v>3.59</v>
      </c>
      <c r="H273" s="1851">
        <f t="shared" ref="H273:N273" si="153">IF($F141&lt;=5000000,IF(H$268&gt;H$269,H$269,IF(H$268&lt;H$270,H$270,H$268)),IF(H$268&gt;H$271,H$271,IF(H$268&lt;H$272,H$272,H$268)))</f>
        <v>3.59</v>
      </c>
      <c r="I273" s="1851">
        <f t="shared" si="153"/>
        <v>3.59</v>
      </c>
      <c r="J273" s="1851">
        <f t="shared" si="153"/>
        <v>3.59</v>
      </c>
      <c r="K273" s="1851">
        <f t="shared" si="153"/>
        <v>3.59</v>
      </c>
      <c r="L273" s="1851">
        <f t="shared" si="153"/>
        <v>3.59</v>
      </c>
      <c r="M273" s="1851">
        <f t="shared" si="153"/>
        <v>3.59</v>
      </c>
      <c r="N273" s="1851">
        <f t="shared" si="153"/>
        <v>3.59</v>
      </c>
    </row>
    <row r="274" spans="1:14" s="759" customFormat="1" ht="15" hidden="1" customHeight="1" thickBot="1">
      <c r="A274" s="2892" t="s">
        <v>4748</v>
      </c>
      <c r="B274" s="2893"/>
      <c r="C274" s="2893"/>
      <c r="D274" s="2893"/>
      <c r="E274" s="2893"/>
      <c r="F274" s="2894"/>
      <c r="G274" s="1849">
        <f>ROUND(G273*0.9,2)</f>
        <v>3.23</v>
      </c>
      <c r="H274" s="1849">
        <f t="shared" ref="H274:N274" si="154">ROUND(H273*0.9,2)</f>
        <v>3.23</v>
      </c>
      <c r="I274" s="1849">
        <f t="shared" si="154"/>
        <v>3.23</v>
      </c>
      <c r="J274" s="1849">
        <f t="shared" si="154"/>
        <v>3.23</v>
      </c>
      <c r="K274" s="1849">
        <f>ROUND(K273*0.9,2)</f>
        <v>3.23</v>
      </c>
      <c r="L274" s="1849">
        <f t="shared" si="154"/>
        <v>3.23</v>
      </c>
      <c r="M274" s="1849">
        <f t="shared" si="154"/>
        <v>3.23</v>
      </c>
      <c r="N274" s="1850">
        <f t="shared" si="154"/>
        <v>3.23</v>
      </c>
    </row>
    <row r="275" spans="1:14" s="759" customFormat="1" ht="15" hidden="1" customHeight="1" thickBot="1">
      <c r="G275" s="1088"/>
      <c r="H275" s="1088"/>
      <c r="I275" s="1088"/>
      <c r="J275" s="1088"/>
      <c r="K275" s="1088"/>
      <c r="L275" s="1088"/>
      <c r="M275" s="1088"/>
      <c r="N275" s="1088"/>
    </row>
    <row r="276" spans="1:14" s="759" customFormat="1" ht="15" hidden="1" customHeight="1">
      <c r="A276" s="1072"/>
      <c r="B276" s="1073"/>
      <c r="C276" s="1074" t="s">
        <v>4079</v>
      </c>
      <c r="D276" s="1075"/>
      <c r="E276" s="1073"/>
      <c r="F276" s="1076" t="s">
        <v>4065</v>
      </c>
      <c r="G276" s="1052">
        <f>+G284</f>
        <v>0</v>
      </c>
      <c r="H276" s="1052">
        <f t="shared" ref="H276:N276" si="155">+H284</f>
        <v>0</v>
      </c>
      <c r="I276" s="1052">
        <f t="shared" si="155"/>
        <v>0</v>
      </c>
      <c r="J276" s="1052">
        <f t="shared" si="155"/>
        <v>0</v>
      </c>
      <c r="K276" s="1052">
        <f>+K284</f>
        <v>0</v>
      </c>
      <c r="L276" s="1052">
        <f t="shared" si="155"/>
        <v>0</v>
      </c>
      <c r="M276" s="1052">
        <f t="shared" si="155"/>
        <v>0</v>
      </c>
      <c r="N276" s="1053">
        <f t="shared" si="155"/>
        <v>0</v>
      </c>
    </row>
    <row r="277" spans="1:14" s="759" customFormat="1" ht="15" hidden="1" customHeight="1">
      <c r="A277" s="2760"/>
      <c r="B277" s="2761" t="s">
        <v>4066</v>
      </c>
      <c r="C277" s="1077" t="s">
        <v>4080</v>
      </c>
      <c r="D277" s="1035"/>
      <c r="E277" s="1078"/>
      <c r="F277" s="1079" t="s">
        <v>4081</v>
      </c>
      <c r="G277" s="1057">
        <f>IF($F180&lt;=10000000,ROUND(151.08*((10000)^-0.3396)*(G276^0.586),2),ROUND(151.08*(($F180/1000)^-0.3396)*(G276^0.586),2))</f>
        <v>0</v>
      </c>
      <c r="H277" s="1057">
        <f t="shared" ref="H277:N277" si="156">IF($F180&lt;=10000000,ROUND(151.08*((10000)^-0.3396)*(H276^0.586),2),ROUND(151.08*(($F180/1000)^-0.3396)*(H276^0.586),2))</f>
        <v>0</v>
      </c>
      <c r="I277" s="1057">
        <f t="shared" si="156"/>
        <v>0</v>
      </c>
      <c r="J277" s="1057">
        <f t="shared" si="156"/>
        <v>0</v>
      </c>
      <c r="K277" s="1057">
        <f t="shared" si="156"/>
        <v>0</v>
      </c>
      <c r="L277" s="1057">
        <f t="shared" si="156"/>
        <v>0</v>
      </c>
      <c r="M277" s="1057">
        <f t="shared" si="156"/>
        <v>0</v>
      </c>
      <c r="N277" s="1057">
        <f t="shared" si="156"/>
        <v>0</v>
      </c>
    </row>
    <row r="278" spans="1:14" s="759" customFormat="1" ht="15" hidden="1" customHeight="1">
      <c r="A278" s="2715"/>
      <c r="B278" s="2718"/>
      <c r="C278" s="2766" t="s">
        <v>4082</v>
      </c>
      <c r="D278" s="934"/>
      <c r="E278" s="1080"/>
      <c r="F278" s="1079" t="s">
        <v>4070</v>
      </c>
      <c r="G278" s="1081">
        <f>IF($F180&lt;=10000000,ROUND(20.13,2),0)</f>
        <v>20.13</v>
      </c>
      <c r="H278" s="1081">
        <f t="shared" ref="H278:N278" si="157">IF($F180&lt;=10000000,ROUND(20.13,2),0)</f>
        <v>20.13</v>
      </c>
      <c r="I278" s="1081">
        <f t="shared" si="157"/>
        <v>20.13</v>
      </c>
      <c r="J278" s="1081">
        <f t="shared" si="157"/>
        <v>20.13</v>
      </c>
      <c r="K278" s="1081">
        <f t="shared" si="157"/>
        <v>20.13</v>
      </c>
      <c r="L278" s="1081">
        <f t="shared" si="157"/>
        <v>20.13</v>
      </c>
      <c r="M278" s="1081">
        <f t="shared" si="157"/>
        <v>20.13</v>
      </c>
      <c r="N278" s="1081">
        <f t="shared" si="157"/>
        <v>20.13</v>
      </c>
    </row>
    <row r="279" spans="1:14" s="759" customFormat="1" ht="15" hidden="1" customHeight="1">
      <c r="A279" s="2715"/>
      <c r="B279" s="2718"/>
      <c r="C279" s="2895"/>
      <c r="D279" s="2323"/>
      <c r="E279" s="1083"/>
      <c r="F279" s="1079" t="s">
        <v>4071</v>
      </c>
      <c r="G279" s="1081">
        <f>IF($F180&lt;=10000000,ROUND(10.01,2),0)</f>
        <v>10.01</v>
      </c>
      <c r="H279" s="1081">
        <f t="shared" ref="H279:N279" si="158">IF($F180&lt;=10000000,ROUND(10.01,2),0)</f>
        <v>10.01</v>
      </c>
      <c r="I279" s="1081">
        <f t="shared" si="158"/>
        <v>10.01</v>
      </c>
      <c r="J279" s="1081">
        <f t="shared" si="158"/>
        <v>10.01</v>
      </c>
      <c r="K279" s="1081">
        <f t="shared" si="158"/>
        <v>10.01</v>
      </c>
      <c r="L279" s="1081">
        <f t="shared" si="158"/>
        <v>10.01</v>
      </c>
      <c r="M279" s="1081">
        <f t="shared" si="158"/>
        <v>10.01</v>
      </c>
      <c r="N279" s="1081">
        <f t="shared" si="158"/>
        <v>10.01</v>
      </c>
    </row>
    <row r="280" spans="1:14" s="759" customFormat="1" ht="15" hidden="1" customHeight="1">
      <c r="A280" s="2715"/>
      <c r="B280" s="2718"/>
      <c r="C280" s="2766" t="s">
        <v>4083</v>
      </c>
      <c r="D280" s="934"/>
      <c r="E280" s="1080"/>
      <c r="F280" s="1079" t="s">
        <v>4070</v>
      </c>
      <c r="G280" s="1084">
        <f>IF($F180&gt;10000000,ROUND(75.97*($F180/1000)^-0.1442,2),0)</f>
        <v>0</v>
      </c>
      <c r="H280" s="1084">
        <f t="shared" ref="H280:N280" si="159">IF($F180&gt;10000000,ROUND(75.97*($F180/1000)^-0.1442,2),0)</f>
        <v>0</v>
      </c>
      <c r="I280" s="1084">
        <f t="shared" si="159"/>
        <v>0</v>
      </c>
      <c r="J280" s="1084">
        <f t="shared" si="159"/>
        <v>0</v>
      </c>
      <c r="K280" s="1084">
        <f t="shared" si="159"/>
        <v>0</v>
      </c>
      <c r="L280" s="1084">
        <f t="shared" si="159"/>
        <v>0</v>
      </c>
      <c r="M280" s="1084">
        <f t="shared" si="159"/>
        <v>0</v>
      </c>
      <c r="N280" s="1084">
        <f t="shared" si="159"/>
        <v>0</v>
      </c>
    </row>
    <row r="281" spans="1:14" s="759" customFormat="1" ht="15" hidden="1" customHeight="1">
      <c r="A281" s="2716"/>
      <c r="B281" s="2719"/>
      <c r="C281" s="2895"/>
      <c r="D281" s="2323"/>
      <c r="E281" s="1083"/>
      <c r="F281" s="1079" t="s">
        <v>4071</v>
      </c>
      <c r="G281" s="1084">
        <f>IF($F180&gt;10000000,ROUND(37.76*($F180/1000)^-0.1442,2),0)</f>
        <v>0</v>
      </c>
      <c r="H281" s="1084">
        <f t="shared" ref="H281:N281" si="160">IF($F180&gt;10000000,ROUND(37.76*($F180/1000)^-0.1442,2),0)</f>
        <v>0</v>
      </c>
      <c r="I281" s="1084">
        <f t="shared" si="160"/>
        <v>0</v>
      </c>
      <c r="J281" s="1084">
        <f t="shared" si="160"/>
        <v>0</v>
      </c>
      <c r="K281" s="1084">
        <f t="shared" si="160"/>
        <v>0</v>
      </c>
      <c r="L281" s="1084">
        <f t="shared" si="160"/>
        <v>0</v>
      </c>
      <c r="M281" s="1084">
        <f t="shared" si="160"/>
        <v>0</v>
      </c>
      <c r="N281" s="1084">
        <f t="shared" si="160"/>
        <v>0</v>
      </c>
    </row>
    <row r="282" spans="1:14" s="759" customFormat="1" ht="15" hidden="1" customHeight="1" thickBot="1">
      <c r="A282" s="2897" t="s">
        <v>4084</v>
      </c>
      <c r="B282" s="2898"/>
      <c r="C282" s="2898"/>
      <c r="D282" s="2898"/>
      <c r="E282" s="1852"/>
      <c r="F282" s="1853"/>
      <c r="G282" s="1854">
        <f>IF($F180&lt;=10000000,IF(G$277&gt;G$278,G$278,IF(G$277&lt;G$279,G$279,G$277)),IF(G$277&gt;G$280,G$280,IF(G$277&lt;G$281,G$281,G$277)))</f>
        <v>10.01</v>
      </c>
      <c r="H282" s="1854">
        <f t="shared" ref="H282:N282" si="161">IF($F180&lt;=10000000,IF(H$277&gt;H$278,H$278,IF(H$277&lt;H$279,H$279,H$277)),IF(H$277&gt;H$280,H$280,IF(H$277&lt;H$281,H$281,H$277)))</f>
        <v>10.01</v>
      </c>
      <c r="I282" s="1854">
        <f t="shared" si="161"/>
        <v>10.01</v>
      </c>
      <c r="J282" s="1854">
        <f t="shared" si="161"/>
        <v>10.01</v>
      </c>
      <c r="K282" s="1854">
        <f t="shared" si="161"/>
        <v>10.01</v>
      </c>
      <c r="L282" s="1854">
        <f t="shared" si="161"/>
        <v>10.01</v>
      </c>
      <c r="M282" s="1854">
        <f t="shared" si="161"/>
        <v>10.01</v>
      </c>
      <c r="N282" s="1854">
        <f t="shared" si="161"/>
        <v>10.01</v>
      </c>
    </row>
    <row r="283" spans="1:14" s="759" customFormat="1" ht="15" hidden="1" customHeight="1" thickBot="1">
      <c r="G283" s="1071"/>
      <c r="H283" s="1071"/>
      <c r="I283" s="1071"/>
      <c r="J283" s="1071"/>
      <c r="K283" s="1071"/>
      <c r="L283" s="1071"/>
      <c r="M283" s="1071"/>
      <c r="N283" s="1071"/>
    </row>
    <row r="284" spans="1:14" s="759" customFormat="1" ht="15" hidden="1" customHeight="1">
      <c r="A284" s="1072"/>
      <c r="B284" s="1073"/>
      <c r="C284" s="1074" t="s">
        <v>4079</v>
      </c>
      <c r="D284" s="1075"/>
      <c r="E284" s="1073"/>
      <c r="F284" s="1076" t="s">
        <v>4065</v>
      </c>
      <c r="G284" s="1052">
        <f>+G85</f>
        <v>0</v>
      </c>
      <c r="H284" s="1052">
        <f>+H85</f>
        <v>0</v>
      </c>
      <c r="I284" s="1052">
        <f t="shared" ref="I284:N284" si="162">+I85</f>
        <v>0</v>
      </c>
      <c r="J284" s="1052">
        <f t="shared" si="162"/>
        <v>0</v>
      </c>
      <c r="K284" s="1052">
        <f>+K85</f>
        <v>0</v>
      </c>
      <c r="L284" s="1052">
        <f t="shared" si="162"/>
        <v>0</v>
      </c>
      <c r="M284" s="1052">
        <f t="shared" si="162"/>
        <v>0</v>
      </c>
      <c r="N284" s="1053">
        <f t="shared" si="162"/>
        <v>0</v>
      </c>
    </row>
    <row r="285" spans="1:14" s="759" customFormat="1" ht="15" hidden="1" customHeight="1">
      <c r="A285" s="2760"/>
      <c r="B285" s="2761" t="s">
        <v>4075</v>
      </c>
      <c r="C285" s="1077" t="s">
        <v>4080</v>
      </c>
      <c r="D285" s="1035"/>
      <c r="E285" s="1078"/>
      <c r="F285" s="1079" t="s">
        <v>4081</v>
      </c>
      <c r="G285" s="1057">
        <f>IF($F180&lt;=5000000,ROUND(356.2*((5000)^-0.4085)*(G284^0.5766),2),ROUND(356.2*(($F180/1000)^-0.4085)*(G284^0.5766),2))</f>
        <v>0</v>
      </c>
      <c r="H285" s="1057">
        <f t="shared" ref="H285:N285" si="163">IF($F180&lt;=5000000,ROUND(356.2*((5000)^-0.4085)*(H284^0.5766),2),ROUND(356.2*(($F180/1000)^-0.4085)*(H284^0.5766),2))</f>
        <v>0</v>
      </c>
      <c r="I285" s="1057">
        <f t="shared" si="163"/>
        <v>0</v>
      </c>
      <c r="J285" s="1057">
        <f t="shared" si="163"/>
        <v>0</v>
      </c>
      <c r="K285" s="1057">
        <f t="shared" si="163"/>
        <v>0</v>
      </c>
      <c r="L285" s="1057">
        <f t="shared" si="163"/>
        <v>0</v>
      </c>
      <c r="M285" s="1057">
        <f t="shared" si="163"/>
        <v>0</v>
      </c>
      <c r="N285" s="1057">
        <f t="shared" si="163"/>
        <v>0</v>
      </c>
    </row>
    <row r="286" spans="1:14" s="759" customFormat="1" ht="15" hidden="1" customHeight="1">
      <c r="A286" s="2715"/>
      <c r="B286" s="2718"/>
      <c r="C286" s="2766" t="s">
        <v>4085</v>
      </c>
      <c r="D286" s="934"/>
      <c r="E286" s="1080"/>
      <c r="F286" s="1079" t="s">
        <v>4070</v>
      </c>
      <c r="G286" s="1081">
        <f>IF($F180&lt;=5000000,ROUND(26.86,2),0)</f>
        <v>26.86</v>
      </c>
      <c r="H286" s="1081">
        <f t="shared" ref="H286:N286" si="164">IF($F180&lt;=5000000,ROUND(26.86,2),0)</f>
        <v>26.86</v>
      </c>
      <c r="I286" s="1081">
        <f t="shared" si="164"/>
        <v>26.86</v>
      </c>
      <c r="J286" s="1081">
        <f t="shared" si="164"/>
        <v>26.86</v>
      </c>
      <c r="K286" s="1081">
        <f t="shared" si="164"/>
        <v>26.86</v>
      </c>
      <c r="L286" s="1081">
        <f t="shared" si="164"/>
        <v>26.86</v>
      </c>
      <c r="M286" s="1081">
        <f t="shared" si="164"/>
        <v>26.86</v>
      </c>
      <c r="N286" s="1081">
        <f t="shared" si="164"/>
        <v>26.86</v>
      </c>
    </row>
    <row r="287" spans="1:14" s="759" customFormat="1" ht="15" hidden="1" customHeight="1">
      <c r="A287" s="2715"/>
      <c r="B287" s="2718"/>
      <c r="C287" s="2895"/>
      <c r="D287" s="2323"/>
      <c r="E287" s="1083"/>
      <c r="F287" s="1079" t="s">
        <v>4071</v>
      </c>
      <c r="G287" s="1081">
        <f>IF($F180&lt;=5000000,ROUND(12.7,2),0)</f>
        <v>12.7</v>
      </c>
      <c r="H287" s="1081">
        <f t="shared" ref="H287:N287" si="165">IF($F180&lt;=5000000,ROUND(12.7,2),0)</f>
        <v>12.7</v>
      </c>
      <c r="I287" s="1081">
        <f t="shared" si="165"/>
        <v>12.7</v>
      </c>
      <c r="J287" s="1081">
        <f t="shared" si="165"/>
        <v>12.7</v>
      </c>
      <c r="K287" s="1081">
        <f t="shared" si="165"/>
        <v>12.7</v>
      </c>
      <c r="L287" s="1081">
        <f t="shared" si="165"/>
        <v>12.7</v>
      </c>
      <c r="M287" s="1081">
        <f t="shared" si="165"/>
        <v>12.7</v>
      </c>
      <c r="N287" s="1081">
        <f t="shared" si="165"/>
        <v>12.7</v>
      </c>
    </row>
    <row r="288" spans="1:14" s="759" customFormat="1" ht="15" hidden="1" customHeight="1">
      <c r="A288" s="2715"/>
      <c r="B288" s="2718"/>
      <c r="C288" s="2766" t="s">
        <v>4086</v>
      </c>
      <c r="D288" s="934"/>
      <c r="E288" s="1080"/>
      <c r="F288" s="1079" t="s">
        <v>4070</v>
      </c>
      <c r="G288" s="1084">
        <f>IF($F180&gt;5000000,ROUND(184.58*($F180/1000)^-0.2263,2),0)</f>
        <v>0</v>
      </c>
      <c r="H288" s="1084">
        <f t="shared" ref="H288:N288" si="166">IF($F180&gt;5000000,ROUND(184.58*($F180/1000)^-0.2263,2),0)</f>
        <v>0</v>
      </c>
      <c r="I288" s="1084">
        <f t="shared" si="166"/>
        <v>0</v>
      </c>
      <c r="J288" s="1084">
        <f t="shared" si="166"/>
        <v>0</v>
      </c>
      <c r="K288" s="1084">
        <f t="shared" si="166"/>
        <v>0</v>
      </c>
      <c r="L288" s="1084">
        <f t="shared" si="166"/>
        <v>0</v>
      </c>
      <c r="M288" s="1084">
        <f t="shared" si="166"/>
        <v>0</v>
      </c>
      <c r="N288" s="1084">
        <f t="shared" si="166"/>
        <v>0</v>
      </c>
    </row>
    <row r="289" spans="1:14" s="759" customFormat="1" ht="15" hidden="1" customHeight="1">
      <c r="A289" s="2716"/>
      <c r="B289" s="2719"/>
      <c r="C289" s="2895"/>
      <c r="D289" s="2323"/>
      <c r="E289" s="1083"/>
      <c r="F289" s="1079" t="s">
        <v>4071</v>
      </c>
      <c r="G289" s="1084">
        <f>IF($F180&gt;5000000,ROUND(87.29*($F180/1000)^-0.2263,2),0)</f>
        <v>0</v>
      </c>
      <c r="H289" s="1084">
        <f t="shared" ref="H289:N289" si="167">IF($F180&gt;5000000,ROUND(87.29*($F180/1000)^-0.2263,2),0)</f>
        <v>0</v>
      </c>
      <c r="I289" s="1084">
        <f t="shared" si="167"/>
        <v>0</v>
      </c>
      <c r="J289" s="1084">
        <f t="shared" si="167"/>
        <v>0</v>
      </c>
      <c r="K289" s="1084">
        <f t="shared" si="167"/>
        <v>0</v>
      </c>
      <c r="L289" s="1084">
        <f t="shared" si="167"/>
        <v>0</v>
      </c>
      <c r="M289" s="1084">
        <f t="shared" si="167"/>
        <v>0</v>
      </c>
      <c r="N289" s="1084">
        <f t="shared" si="167"/>
        <v>0</v>
      </c>
    </row>
    <row r="290" spans="1:14" s="759" customFormat="1" ht="15" hidden="1" customHeight="1" thickBot="1">
      <c r="A290" s="2897" t="s">
        <v>4084</v>
      </c>
      <c r="B290" s="2898"/>
      <c r="C290" s="2898"/>
      <c r="D290" s="2898"/>
      <c r="E290" s="1855"/>
      <c r="F290" s="1853"/>
      <c r="G290" s="1856">
        <f>IF($F180&lt;=5000000,IF(G$285&gt;G$286,G$286,IF(G$285&lt;G$287,G$287,G$285)),IF(G$285&gt;G$288,G$288,IF(G$285&lt;G$289,G$289,G$285)))</f>
        <v>12.7</v>
      </c>
      <c r="H290" s="1856">
        <f t="shared" ref="H290:N290" si="168">IF($F180&lt;=5000000,IF(H$285&gt;H$286,H$286,IF(H$285&lt;H$287,H$287,H$285)),IF(H$285&gt;H$288,H$288,IF(H$285&lt;H$289,H$289,H$285)))</f>
        <v>12.7</v>
      </c>
      <c r="I290" s="1856">
        <f t="shared" si="168"/>
        <v>12.7</v>
      </c>
      <c r="J290" s="1856">
        <f t="shared" si="168"/>
        <v>12.7</v>
      </c>
      <c r="K290" s="1856">
        <f t="shared" si="168"/>
        <v>12.7</v>
      </c>
      <c r="L290" s="1856">
        <f t="shared" si="168"/>
        <v>12.7</v>
      </c>
      <c r="M290" s="1856">
        <f t="shared" si="168"/>
        <v>12.7</v>
      </c>
      <c r="N290" s="1856">
        <f t="shared" si="168"/>
        <v>12.7</v>
      </c>
    </row>
    <row r="291" spans="1:14" s="759" customFormat="1" ht="15" hidden="1" customHeight="1" thickBot="1">
      <c r="G291" s="1088"/>
      <c r="H291" s="1088"/>
      <c r="I291" s="1088"/>
      <c r="J291" s="1088"/>
      <c r="K291" s="1088"/>
      <c r="L291" s="1088"/>
      <c r="M291" s="1088"/>
      <c r="N291" s="1088"/>
    </row>
    <row r="292" spans="1:14" s="759" customFormat="1" ht="15" hidden="1" customHeight="1">
      <c r="A292" s="1072"/>
      <c r="B292" s="1073"/>
      <c r="C292" s="1074" t="s">
        <v>4087</v>
      </c>
      <c r="D292" s="1075"/>
      <c r="E292" s="1073"/>
      <c r="F292" s="1076"/>
      <c r="G292" s="1096"/>
      <c r="H292" s="1097"/>
      <c r="I292" s="1098"/>
      <c r="J292" s="1098"/>
      <c r="K292" s="1098"/>
      <c r="L292" s="1098"/>
      <c r="M292" s="1098"/>
      <c r="N292" s="1098"/>
    </row>
    <row r="293" spans="1:14" s="759" customFormat="1" ht="14.25" hidden="1" customHeight="1">
      <c r="A293" s="2760"/>
      <c r="B293" s="2761" t="s">
        <v>37</v>
      </c>
      <c r="C293" s="1077" t="s">
        <v>4088</v>
      </c>
      <c r="D293" s="1035"/>
      <c r="E293" s="1078"/>
      <c r="F293" s="1079" t="s">
        <v>4089</v>
      </c>
      <c r="G293" s="1099" t="e">
        <f>ROUND(28.978-3.173*LOG($F224/1000),2)</f>
        <v>#NUM!</v>
      </c>
      <c r="H293" s="1100"/>
      <c r="I293" s="1101"/>
      <c r="J293" s="1101"/>
      <c r="K293" s="1101"/>
      <c r="L293" s="1101"/>
      <c r="M293" s="1101"/>
      <c r="N293" s="1101"/>
    </row>
    <row r="294" spans="1:14" s="759" customFormat="1" ht="14.25" hidden="1" customHeight="1">
      <c r="A294" s="2715"/>
      <c r="B294" s="2718"/>
      <c r="C294" s="2006" t="s">
        <v>4090</v>
      </c>
      <c r="D294" s="934"/>
      <c r="E294" s="934"/>
      <c r="F294" s="1102"/>
      <c r="G294" s="1103">
        <f>IF($F224&lt;=5000000,17.24,0)</f>
        <v>17.239999999999998</v>
      </c>
      <c r="H294" s="1104"/>
      <c r="I294" s="1105"/>
      <c r="J294" s="118"/>
      <c r="K294" s="1105"/>
      <c r="L294" s="1105"/>
      <c r="M294" s="1105"/>
      <c r="N294" s="1105"/>
    </row>
    <row r="295" spans="1:14" s="759" customFormat="1" ht="15" hidden="1" customHeight="1">
      <c r="A295" s="2716"/>
      <c r="B295" s="2719"/>
      <c r="C295" s="2006" t="s">
        <v>4091</v>
      </c>
      <c r="D295" s="934"/>
      <c r="E295" s="1035"/>
      <c r="F295" s="1102"/>
      <c r="G295" s="1103">
        <f>IF($F224&gt;3000000000,8.43,0)</f>
        <v>0</v>
      </c>
      <c r="H295" s="1106"/>
      <c r="I295" s="1107"/>
      <c r="J295" s="1107"/>
      <c r="K295" s="1107"/>
      <c r="L295" s="1107"/>
      <c r="M295" s="1107"/>
      <c r="N295" s="1107"/>
    </row>
    <row r="296" spans="1:14" s="759" customFormat="1" ht="15" hidden="1" customHeight="1" thickBot="1">
      <c r="A296" s="2897" t="s">
        <v>4092</v>
      </c>
      <c r="B296" s="2898"/>
      <c r="C296" s="2898"/>
      <c r="D296" s="2898"/>
      <c r="E296" s="1855"/>
      <c r="F296" s="1853"/>
      <c r="G296" s="1857">
        <f>IF($F224&lt;=5000000,G294,IF($F224&gt;3000000000,G295,G293))</f>
        <v>17.239999999999998</v>
      </c>
      <c r="H296" s="1858"/>
      <c r="I296" s="1859"/>
      <c r="J296" s="1859"/>
      <c r="K296" s="1859"/>
      <c r="L296" s="1859"/>
      <c r="M296" s="1859"/>
      <c r="N296" s="1859"/>
    </row>
    <row r="297" spans="1:14" ht="15" customHeight="1"/>
    <row r="298" spans="1:14" s="1625" customFormat="1" ht="15" customHeight="1">
      <c r="A298" s="1781"/>
      <c r="B298" s="1781"/>
      <c r="C298" s="1782"/>
      <c r="D298" s="1783"/>
      <c r="E298" s="1784" t="s">
        <v>242</v>
      </c>
      <c r="F298" s="1785">
        <f>+F83</f>
        <v>0</v>
      </c>
      <c r="G298" s="1786"/>
      <c r="H298" s="1787"/>
      <c r="I298" s="1788"/>
      <c r="J298" s="652"/>
      <c r="K298" s="652"/>
      <c r="L298" s="652"/>
      <c r="M298" s="652"/>
      <c r="N298" s="1598" t="s">
        <v>4804</v>
      </c>
    </row>
    <row r="299" spans="1:14" s="759" customFormat="1" ht="15" customHeight="1">
      <c r="A299" s="655"/>
      <c r="B299" s="655"/>
      <c r="C299" s="1789" t="s">
        <v>4805</v>
      </c>
      <c r="D299" s="657"/>
      <c r="E299" s="646"/>
      <c r="F299" s="645" t="s">
        <v>4795</v>
      </c>
      <c r="G299" s="1790" t="s">
        <v>4806</v>
      </c>
      <c r="H299" s="1791"/>
      <c r="J299" s="651"/>
      <c r="K299" s="651"/>
      <c r="L299" s="651"/>
      <c r="M299" s="645" t="s">
        <v>4807</v>
      </c>
      <c r="N299" s="1860" t="s">
        <v>4808</v>
      </c>
    </row>
    <row r="300" spans="1:14" s="1625" customFormat="1" ht="15" customHeight="1">
      <c r="A300" s="884"/>
      <c r="B300" s="885"/>
      <c r="C300" s="662" t="s">
        <v>3941</v>
      </c>
      <c r="D300" s="663"/>
      <c r="E300" s="664"/>
      <c r="F300" s="665" t="s">
        <v>3942</v>
      </c>
      <c r="G300" s="1623">
        <f t="shared" ref="G300:N300" si="169">+G8</f>
        <v>0</v>
      </c>
      <c r="H300" s="1623">
        <f t="shared" si="169"/>
        <v>0</v>
      </c>
      <c r="I300" s="1623">
        <f t="shared" si="169"/>
        <v>15.9</v>
      </c>
      <c r="J300" s="1623">
        <f t="shared" si="169"/>
        <v>15.9</v>
      </c>
      <c r="K300" s="1623">
        <f t="shared" si="169"/>
        <v>0</v>
      </c>
      <c r="L300" s="1623">
        <f t="shared" si="169"/>
        <v>0</v>
      </c>
      <c r="M300" s="1623">
        <f t="shared" si="169"/>
        <v>0</v>
      </c>
      <c r="N300" s="1624">
        <f t="shared" si="169"/>
        <v>0</v>
      </c>
    </row>
    <row r="301" spans="1:14" s="1625" customFormat="1" ht="15" customHeight="1">
      <c r="A301" s="753"/>
      <c r="B301" s="754"/>
      <c r="C301" s="2496" t="s">
        <v>3943</v>
      </c>
      <c r="D301" s="2497"/>
      <c r="E301" s="1626"/>
      <c r="F301" s="1627" t="s">
        <v>4797</v>
      </c>
      <c r="G301" s="1861">
        <f>G86</f>
        <v>0</v>
      </c>
      <c r="H301" s="1861">
        <f t="shared" ref="H301:N301" si="170">H86</f>
        <v>0</v>
      </c>
      <c r="I301" s="1861">
        <f t="shared" si="170"/>
        <v>0</v>
      </c>
      <c r="J301" s="1861">
        <f t="shared" si="170"/>
        <v>0</v>
      </c>
      <c r="K301" s="1861">
        <f t="shared" si="170"/>
        <v>0</v>
      </c>
      <c r="L301" s="1861">
        <f t="shared" si="170"/>
        <v>0</v>
      </c>
      <c r="M301" s="1861">
        <f t="shared" si="170"/>
        <v>0</v>
      </c>
      <c r="N301" s="1861">
        <f t="shared" si="170"/>
        <v>0</v>
      </c>
    </row>
    <row r="302" spans="1:14" s="759" customFormat="1" ht="15" customHeight="1">
      <c r="A302" s="753"/>
      <c r="B302" s="754"/>
      <c r="C302" s="754" t="s">
        <v>3946</v>
      </c>
      <c r="D302" s="754"/>
      <c r="E302" s="985" t="str">
        <f>+E87</f>
        <v>有り</v>
      </c>
      <c r="F302" s="972" t="s">
        <v>3979</v>
      </c>
      <c r="G302" s="1862">
        <f>+G3</f>
        <v>0</v>
      </c>
      <c r="H302" s="1862">
        <f t="shared" ref="H302:N302" si="171">+H3</f>
        <v>0</v>
      </c>
      <c r="I302" s="1862">
        <f t="shared" si="171"/>
        <v>0</v>
      </c>
      <c r="J302" s="1862">
        <f t="shared" si="171"/>
        <v>0</v>
      </c>
      <c r="K302" s="1862">
        <f t="shared" si="171"/>
        <v>0</v>
      </c>
      <c r="L302" s="1862">
        <f t="shared" si="171"/>
        <v>0</v>
      </c>
      <c r="M302" s="1862">
        <f t="shared" si="171"/>
        <v>0</v>
      </c>
      <c r="N302" s="1863">
        <f t="shared" si="171"/>
        <v>0</v>
      </c>
    </row>
    <row r="303" spans="1:14" s="759" customFormat="1" ht="15" customHeight="1">
      <c r="A303" s="753"/>
      <c r="B303" s="754"/>
      <c r="C303" s="754" t="s">
        <v>3948</v>
      </c>
      <c r="D303" s="754"/>
      <c r="E303" s="985" t="str">
        <f>+E88</f>
        <v>有り</v>
      </c>
      <c r="F303" s="1800" t="s">
        <v>3949</v>
      </c>
      <c r="G303" s="1801"/>
      <c r="H303" s="1864"/>
      <c r="I303" s="1864"/>
      <c r="J303" s="1864"/>
      <c r="K303" s="1864"/>
      <c r="L303" s="1864"/>
      <c r="M303" s="1864"/>
      <c r="N303" s="1865"/>
    </row>
    <row r="304" spans="1:14" s="759" customFormat="1" ht="15" hidden="1" customHeight="1">
      <c r="A304" s="753"/>
      <c r="B304" s="754"/>
      <c r="C304" s="1630" t="s">
        <v>3950</v>
      </c>
      <c r="D304" s="1631"/>
      <c r="E304" s="985">
        <f>+E89</f>
        <v>0</v>
      </c>
      <c r="F304" s="1633"/>
      <c r="G304" s="1634" t="str">
        <f t="shared" ref="G304:N305" si="172">+G10</f>
        <v>積上げ</v>
      </c>
      <c r="H304" s="1634" t="str">
        <f t="shared" si="172"/>
        <v>積上げ</v>
      </c>
      <c r="I304" s="1634" t="str">
        <f t="shared" si="172"/>
        <v>積上げ</v>
      </c>
      <c r="J304" s="1634" t="str">
        <f t="shared" si="172"/>
        <v>積上げ</v>
      </c>
      <c r="K304" s="1634" t="str">
        <f t="shared" si="172"/>
        <v>積上げ</v>
      </c>
      <c r="L304" s="1634" t="str">
        <f t="shared" si="172"/>
        <v>積上げ</v>
      </c>
      <c r="M304" s="1634">
        <f t="shared" si="172"/>
        <v>0</v>
      </c>
      <c r="N304" s="1635">
        <f t="shared" si="172"/>
        <v>0</v>
      </c>
    </row>
    <row r="305" spans="1:14" s="759" customFormat="1" ht="15" hidden="1" customHeight="1">
      <c r="A305" s="1636"/>
      <c r="B305" s="1637"/>
      <c r="C305" s="1638" t="s">
        <v>4756</v>
      </c>
      <c r="D305" s="1639"/>
      <c r="E305" s="985">
        <f>+E90</f>
        <v>0</v>
      </c>
      <c r="F305" s="1040"/>
      <c r="G305" s="1641" t="str">
        <f t="shared" si="172"/>
        <v>　　　</v>
      </c>
      <c r="H305" s="1641" t="str">
        <f t="shared" si="172"/>
        <v>　　　</v>
      </c>
      <c r="I305" s="1641" t="str">
        <f t="shared" si="172"/>
        <v>　　　</v>
      </c>
      <c r="J305" s="1641" t="str">
        <f t="shared" si="172"/>
        <v>　　　</v>
      </c>
      <c r="K305" s="1641" t="str">
        <f t="shared" si="172"/>
        <v>　　　</v>
      </c>
      <c r="L305" s="1641" t="str">
        <f t="shared" si="172"/>
        <v>　　　</v>
      </c>
      <c r="M305" s="1641" t="str">
        <f t="shared" si="172"/>
        <v>　　　</v>
      </c>
      <c r="N305" s="1642" t="str">
        <f t="shared" si="172"/>
        <v>　　　</v>
      </c>
    </row>
    <row r="306" spans="1:14" s="759" customFormat="1" ht="15" customHeight="1">
      <c r="A306" s="884"/>
      <c r="B306" s="1643" t="s">
        <v>3955</v>
      </c>
      <c r="C306" s="1644"/>
      <c r="D306" s="1644"/>
      <c r="E306" s="1645"/>
      <c r="F306" s="1646">
        <f>SUM(G306:N306)</f>
        <v>0</v>
      </c>
      <c r="G306" s="1647">
        <f>+G307+G311</f>
        <v>0</v>
      </c>
      <c r="H306" s="1647">
        <f t="shared" ref="H306:N306" si="173">+H307+H311</f>
        <v>0</v>
      </c>
      <c r="I306" s="1647">
        <f t="shared" si="173"/>
        <v>0</v>
      </c>
      <c r="J306" s="1647">
        <f t="shared" si="173"/>
        <v>0</v>
      </c>
      <c r="K306" s="1647">
        <f t="shared" si="173"/>
        <v>0</v>
      </c>
      <c r="L306" s="1647">
        <f t="shared" si="173"/>
        <v>0</v>
      </c>
      <c r="M306" s="1647">
        <f t="shared" si="173"/>
        <v>0</v>
      </c>
      <c r="N306" s="1648">
        <f t="shared" si="173"/>
        <v>0</v>
      </c>
    </row>
    <row r="307" spans="1:14" s="759" customFormat="1" ht="15" customHeight="1">
      <c r="A307" s="753"/>
      <c r="B307" s="754"/>
      <c r="C307" s="580" t="s">
        <v>3956</v>
      </c>
      <c r="D307" s="581"/>
      <c r="E307" s="664"/>
      <c r="F307" s="995">
        <f>SUM(G307:N307)</f>
        <v>0</v>
      </c>
      <c r="G307" s="1866">
        <f t="shared" ref="G307:N307" si="174">+G92+G13</f>
        <v>0</v>
      </c>
      <c r="H307" s="1866">
        <f t="shared" si="174"/>
        <v>0</v>
      </c>
      <c r="I307" s="1866">
        <f t="shared" si="174"/>
        <v>0</v>
      </c>
      <c r="J307" s="1866">
        <f t="shared" si="174"/>
        <v>0</v>
      </c>
      <c r="K307" s="1866">
        <f t="shared" si="174"/>
        <v>0</v>
      </c>
      <c r="L307" s="1866">
        <f t="shared" si="174"/>
        <v>0</v>
      </c>
      <c r="M307" s="1866">
        <f t="shared" si="174"/>
        <v>0</v>
      </c>
      <c r="N307" s="1867">
        <f t="shared" si="174"/>
        <v>0</v>
      </c>
    </row>
    <row r="308" spans="1:14" s="759" customFormat="1" ht="15" customHeight="1">
      <c r="A308" s="753"/>
      <c r="B308" s="754"/>
      <c r="C308" s="1035"/>
      <c r="D308" s="1035"/>
      <c r="E308" s="756"/>
      <c r="F308" s="757" t="s">
        <v>3957</v>
      </c>
      <c r="G308" s="793">
        <f t="shared" ref="G308:N308" si="175">SUM(G400:G409)</f>
        <v>0</v>
      </c>
      <c r="H308" s="793">
        <f t="shared" si="175"/>
        <v>0</v>
      </c>
      <c r="I308" s="793">
        <f t="shared" si="175"/>
        <v>0</v>
      </c>
      <c r="J308" s="793">
        <f t="shared" si="175"/>
        <v>0</v>
      </c>
      <c r="K308" s="793">
        <f t="shared" si="175"/>
        <v>0</v>
      </c>
      <c r="L308" s="793">
        <f t="shared" si="175"/>
        <v>0</v>
      </c>
      <c r="M308" s="793">
        <f t="shared" si="175"/>
        <v>0</v>
      </c>
      <c r="N308" s="794">
        <f t="shared" si="175"/>
        <v>0</v>
      </c>
    </row>
    <row r="309" spans="1:14" s="759" customFormat="1" ht="15" customHeight="1">
      <c r="A309" s="753"/>
      <c r="B309" s="754"/>
      <c r="C309" s="1035"/>
      <c r="D309" s="1035"/>
      <c r="E309" s="756"/>
      <c r="F309" s="757" t="s">
        <v>3958</v>
      </c>
      <c r="G309" s="793">
        <f t="shared" ref="G309:N309" si="176">SUM(G446:G448)</f>
        <v>0</v>
      </c>
      <c r="H309" s="793">
        <f t="shared" si="176"/>
        <v>0</v>
      </c>
      <c r="I309" s="793">
        <f t="shared" si="176"/>
        <v>0</v>
      </c>
      <c r="J309" s="793">
        <f t="shared" si="176"/>
        <v>0</v>
      </c>
      <c r="K309" s="793">
        <f t="shared" si="176"/>
        <v>0</v>
      </c>
      <c r="L309" s="793">
        <f t="shared" si="176"/>
        <v>0</v>
      </c>
      <c r="M309" s="793">
        <f t="shared" si="176"/>
        <v>0</v>
      </c>
      <c r="N309" s="794">
        <f t="shared" si="176"/>
        <v>0</v>
      </c>
    </row>
    <row r="310" spans="1:14" s="759" customFormat="1" ht="15" customHeight="1">
      <c r="A310" s="753"/>
      <c r="B310" s="754"/>
      <c r="C310" s="1035"/>
      <c r="D310" s="1035"/>
      <c r="E310" s="756"/>
      <c r="F310" s="931" t="s">
        <v>3959</v>
      </c>
      <c r="G310" s="793">
        <f t="shared" ref="G310:N310" si="177">+G349</f>
        <v>0</v>
      </c>
      <c r="H310" s="793">
        <f t="shared" si="177"/>
        <v>0</v>
      </c>
      <c r="I310" s="793">
        <f t="shared" si="177"/>
        <v>0</v>
      </c>
      <c r="J310" s="793">
        <f t="shared" si="177"/>
        <v>0</v>
      </c>
      <c r="K310" s="793">
        <f t="shared" si="177"/>
        <v>0</v>
      </c>
      <c r="L310" s="793">
        <f t="shared" si="177"/>
        <v>0</v>
      </c>
      <c r="M310" s="793">
        <f t="shared" si="177"/>
        <v>0</v>
      </c>
      <c r="N310" s="794">
        <f t="shared" si="177"/>
        <v>0</v>
      </c>
    </row>
    <row r="311" spans="1:14" s="759" customFormat="1" ht="15" customHeight="1">
      <c r="A311" s="753"/>
      <c r="B311" s="754"/>
      <c r="C311" s="755" t="s">
        <v>3960</v>
      </c>
      <c r="D311" s="755"/>
      <c r="E311" s="756"/>
      <c r="F311" s="757">
        <f t="shared" ref="F311:F328" si="178">SUM(G311:N311)</f>
        <v>0</v>
      </c>
      <c r="G311" s="793">
        <f t="shared" ref="G311:N311" si="179">G312+G313</f>
        <v>0</v>
      </c>
      <c r="H311" s="793">
        <f t="shared" si="179"/>
        <v>0</v>
      </c>
      <c r="I311" s="793">
        <f t="shared" si="179"/>
        <v>0</v>
      </c>
      <c r="J311" s="793">
        <f t="shared" si="179"/>
        <v>0</v>
      </c>
      <c r="K311" s="793">
        <f t="shared" si="179"/>
        <v>0</v>
      </c>
      <c r="L311" s="793">
        <f t="shared" si="179"/>
        <v>0</v>
      </c>
      <c r="M311" s="793">
        <f t="shared" si="179"/>
        <v>0</v>
      </c>
      <c r="N311" s="794">
        <f t="shared" si="179"/>
        <v>0</v>
      </c>
    </row>
    <row r="312" spans="1:14" s="759" customFormat="1" ht="15" customHeight="1">
      <c r="A312" s="753"/>
      <c r="B312" s="754"/>
      <c r="C312" s="1651" t="s">
        <v>3961</v>
      </c>
      <c r="D312" s="755"/>
      <c r="E312" s="756"/>
      <c r="F312" s="757">
        <f t="shared" si="178"/>
        <v>0</v>
      </c>
      <c r="G312" s="793">
        <f>IF(G304="積上げ",0,G389)</f>
        <v>0</v>
      </c>
      <c r="H312" s="793">
        <f t="shared" ref="H312:N312" si="180">IF(H304="積上げ",0,H389)</f>
        <v>0</v>
      </c>
      <c r="I312" s="793">
        <f t="shared" si="180"/>
        <v>0</v>
      </c>
      <c r="J312" s="793">
        <f t="shared" si="180"/>
        <v>0</v>
      </c>
      <c r="K312" s="793">
        <f t="shared" si="180"/>
        <v>0</v>
      </c>
      <c r="L312" s="793">
        <f t="shared" si="180"/>
        <v>0</v>
      </c>
      <c r="M312" s="793">
        <f t="shared" si="180"/>
        <v>0</v>
      </c>
      <c r="N312" s="794">
        <f t="shared" si="180"/>
        <v>0</v>
      </c>
    </row>
    <row r="313" spans="1:14" s="759" customFormat="1" ht="15" customHeight="1">
      <c r="A313" s="753"/>
      <c r="B313" s="754"/>
      <c r="C313" s="1651" t="s">
        <v>3962</v>
      </c>
      <c r="D313" s="755"/>
      <c r="E313" s="756"/>
      <c r="F313" s="757">
        <f t="shared" si="178"/>
        <v>0</v>
      </c>
      <c r="G313" s="1868">
        <f t="shared" ref="G313:N315" si="181">+G98+G21</f>
        <v>0</v>
      </c>
      <c r="H313" s="1868">
        <f t="shared" si="181"/>
        <v>0</v>
      </c>
      <c r="I313" s="1868">
        <f t="shared" si="181"/>
        <v>0</v>
      </c>
      <c r="J313" s="1868">
        <f t="shared" si="181"/>
        <v>0</v>
      </c>
      <c r="K313" s="1868">
        <f t="shared" si="181"/>
        <v>0</v>
      </c>
      <c r="L313" s="1868">
        <f t="shared" si="181"/>
        <v>0</v>
      </c>
      <c r="M313" s="1868">
        <f t="shared" si="181"/>
        <v>0</v>
      </c>
      <c r="N313" s="1869">
        <f t="shared" si="181"/>
        <v>0</v>
      </c>
    </row>
    <row r="314" spans="1:14" s="759" customFormat="1" ht="15" customHeight="1">
      <c r="A314" s="753"/>
      <c r="B314" s="754"/>
      <c r="C314" s="723" t="s">
        <v>4809</v>
      </c>
      <c r="D314" s="755"/>
      <c r="E314" s="756"/>
      <c r="F314" s="757">
        <f t="shared" si="178"/>
        <v>0</v>
      </c>
      <c r="G314" s="793">
        <f t="shared" si="181"/>
        <v>0</v>
      </c>
      <c r="H314" s="793">
        <f t="shared" si="181"/>
        <v>0</v>
      </c>
      <c r="I314" s="793">
        <f t="shared" si="181"/>
        <v>0</v>
      </c>
      <c r="J314" s="793">
        <f t="shared" si="181"/>
        <v>0</v>
      </c>
      <c r="K314" s="793">
        <f t="shared" si="181"/>
        <v>0</v>
      </c>
      <c r="L314" s="793">
        <f t="shared" si="181"/>
        <v>0</v>
      </c>
      <c r="M314" s="793">
        <f t="shared" si="181"/>
        <v>0</v>
      </c>
      <c r="N314" s="794">
        <f t="shared" si="181"/>
        <v>0</v>
      </c>
    </row>
    <row r="315" spans="1:14" s="759" customFormat="1" ht="15" customHeight="1">
      <c r="A315" s="753"/>
      <c r="B315" s="754"/>
      <c r="C315" s="882" t="s">
        <v>3964</v>
      </c>
      <c r="D315" s="762"/>
      <c r="E315" s="763"/>
      <c r="F315" s="764">
        <f t="shared" si="178"/>
        <v>0</v>
      </c>
      <c r="G315" s="793">
        <f t="shared" si="181"/>
        <v>0</v>
      </c>
      <c r="H315" s="793">
        <f t="shared" si="181"/>
        <v>0</v>
      </c>
      <c r="I315" s="793">
        <f t="shared" si="181"/>
        <v>0</v>
      </c>
      <c r="J315" s="793">
        <f t="shared" si="181"/>
        <v>0</v>
      </c>
      <c r="K315" s="793">
        <f t="shared" si="181"/>
        <v>0</v>
      </c>
      <c r="L315" s="793">
        <f t="shared" si="181"/>
        <v>0</v>
      </c>
      <c r="M315" s="793">
        <f t="shared" si="181"/>
        <v>0</v>
      </c>
      <c r="N315" s="794">
        <f t="shared" si="181"/>
        <v>0</v>
      </c>
    </row>
    <row r="316" spans="1:14" s="759" customFormat="1" ht="15" customHeight="1">
      <c r="A316" s="1636"/>
      <c r="B316" s="1637"/>
      <c r="C316" s="1809" t="s">
        <v>3965</v>
      </c>
      <c r="D316" s="958"/>
      <c r="E316" s="960"/>
      <c r="F316" s="915">
        <f t="shared" si="178"/>
        <v>0</v>
      </c>
      <c r="G316" s="916">
        <f t="shared" ref="G316:N316" si="182">+G350</f>
        <v>0</v>
      </c>
      <c r="H316" s="916">
        <f t="shared" si="182"/>
        <v>0</v>
      </c>
      <c r="I316" s="916">
        <f t="shared" si="182"/>
        <v>0</v>
      </c>
      <c r="J316" s="916">
        <f t="shared" si="182"/>
        <v>0</v>
      </c>
      <c r="K316" s="916">
        <f t="shared" si="182"/>
        <v>0</v>
      </c>
      <c r="L316" s="916">
        <f t="shared" si="182"/>
        <v>0</v>
      </c>
      <c r="M316" s="916">
        <f t="shared" si="182"/>
        <v>0</v>
      </c>
      <c r="N316" s="917">
        <f t="shared" si="182"/>
        <v>0</v>
      </c>
    </row>
    <row r="317" spans="1:14" s="759" customFormat="1" ht="15" customHeight="1">
      <c r="A317" s="753"/>
      <c r="B317" s="762" t="s">
        <v>3966</v>
      </c>
      <c r="C317" s="762"/>
      <c r="D317" s="762"/>
      <c r="E317" s="763"/>
      <c r="F317" s="764">
        <f t="shared" si="178"/>
        <v>0</v>
      </c>
      <c r="G317" s="1810">
        <f t="shared" ref="G317:N317" si="183">G318+G323</f>
        <v>0</v>
      </c>
      <c r="H317" s="1810">
        <f t="shared" si="183"/>
        <v>0</v>
      </c>
      <c r="I317" s="1810">
        <f t="shared" si="183"/>
        <v>0</v>
      </c>
      <c r="J317" s="1810">
        <f t="shared" si="183"/>
        <v>0</v>
      </c>
      <c r="K317" s="1810">
        <f t="shared" si="183"/>
        <v>0</v>
      </c>
      <c r="L317" s="1810">
        <f t="shared" si="183"/>
        <v>0</v>
      </c>
      <c r="M317" s="1810">
        <f t="shared" si="183"/>
        <v>0</v>
      </c>
      <c r="N317" s="1811">
        <f t="shared" si="183"/>
        <v>0</v>
      </c>
    </row>
    <row r="318" spans="1:14" s="759" customFormat="1" ht="15" customHeight="1">
      <c r="A318" s="753"/>
      <c r="B318" s="754"/>
      <c r="C318" s="580" t="s">
        <v>3967</v>
      </c>
      <c r="D318" s="580"/>
      <c r="E318" s="665"/>
      <c r="F318" s="995">
        <f t="shared" si="178"/>
        <v>0</v>
      </c>
      <c r="G318" s="987">
        <f t="shared" ref="G318:N318" si="184">G319+G322</f>
        <v>0</v>
      </c>
      <c r="H318" s="987">
        <f t="shared" si="184"/>
        <v>0</v>
      </c>
      <c r="I318" s="987">
        <f t="shared" si="184"/>
        <v>0</v>
      </c>
      <c r="J318" s="987">
        <f t="shared" si="184"/>
        <v>0</v>
      </c>
      <c r="K318" s="987">
        <f t="shared" si="184"/>
        <v>0</v>
      </c>
      <c r="L318" s="987">
        <f t="shared" si="184"/>
        <v>0</v>
      </c>
      <c r="M318" s="987">
        <f t="shared" si="184"/>
        <v>0</v>
      </c>
      <c r="N318" s="988">
        <f t="shared" si="184"/>
        <v>0</v>
      </c>
    </row>
    <row r="319" spans="1:14" s="759" customFormat="1" ht="15" customHeight="1">
      <c r="A319" s="753"/>
      <c r="B319" s="754"/>
      <c r="C319" s="2504" t="s">
        <v>3968</v>
      </c>
      <c r="D319" s="2504"/>
      <c r="E319" s="1627"/>
      <c r="F319" s="757">
        <f t="shared" si="178"/>
        <v>0</v>
      </c>
      <c r="G319" s="748">
        <f t="shared" ref="G319:N319" si="185">SUM(G320:G321)-G322</f>
        <v>0</v>
      </c>
      <c r="H319" s="748">
        <f t="shared" si="185"/>
        <v>0</v>
      </c>
      <c r="I319" s="748">
        <f t="shared" si="185"/>
        <v>0</v>
      </c>
      <c r="J319" s="748">
        <f t="shared" si="185"/>
        <v>0</v>
      </c>
      <c r="K319" s="748">
        <f t="shared" si="185"/>
        <v>0</v>
      </c>
      <c r="L319" s="748">
        <f t="shared" si="185"/>
        <v>0</v>
      </c>
      <c r="M319" s="748">
        <f t="shared" si="185"/>
        <v>0</v>
      </c>
      <c r="N319" s="932">
        <f t="shared" si="185"/>
        <v>0</v>
      </c>
    </row>
    <row r="320" spans="1:14" s="759" customFormat="1" ht="15" customHeight="1">
      <c r="A320" s="753"/>
      <c r="B320" s="754"/>
      <c r="C320" s="760" t="s">
        <v>3969</v>
      </c>
      <c r="D320" s="760"/>
      <c r="E320" s="756"/>
      <c r="F320" s="757">
        <f t="shared" si="178"/>
        <v>0</v>
      </c>
      <c r="G320" s="793">
        <f t="shared" ref="G320:N320" si="186">SUM(G415:G417)+G413</f>
        <v>0</v>
      </c>
      <c r="H320" s="793">
        <f t="shared" si="186"/>
        <v>0</v>
      </c>
      <c r="I320" s="793">
        <f t="shared" si="186"/>
        <v>0</v>
      </c>
      <c r="J320" s="793">
        <f t="shared" si="186"/>
        <v>0</v>
      </c>
      <c r="K320" s="793">
        <f t="shared" si="186"/>
        <v>0</v>
      </c>
      <c r="L320" s="793">
        <f t="shared" si="186"/>
        <v>0</v>
      </c>
      <c r="M320" s="793">
        <f t="shared" si="186"/>
        <v>0</v>
      </c>
      <c r="N320" s="794">
        <f t="shared" si="186"/>
        <v>0</v>
      </c>
    </row>
    <row r="321" spans="1:14" s="759" customFormat="1" ht="15" customHeight="1">
      <c r="A321" s="753"/>
      <c r="B321" s="754"/>
      <c r="C321" s="760" t="s">
        <v>3970</v>
      </c>
      <c r="D321" s="760"/>
      <c r="E321" s="756"/>
      <c r="F321" s="757">
        <f t="shared" si="178"/>
        <v>0</v>
      </c>
      <c r="G321" s="793">
        <f t="shared" ref="G321:N321" si="187">SUM(G418:G429)</f>
        <v>0</v>
      </c>
      <c r="H321" s="793">
        <f t="shared" si="187"/>
        <v>0</v>
      </c>
      <c r="I321" s="793">
        <f t="shared" si="187"/>
        <v>0</v>
      </c>
      <c r="J321" s="793">
        <f t="shared" si="187"/>
        <v>0</v>
      </c>
      <c r="K321" s="793">
        <f t="shared" si="187"/>
        <v>0</v>
      </c>
      <c r="L321" s="793">
        <f t="shared" si="187"/>
        <v>0</v>
      </c>
      <c r="M321" s="793">
        <f t="shared" si="187"/>
        <v>0</v>
      </c>
      <c r="N321" s="794">
        <f t="shared" si="187"/>
        <v>0</v>
      </c>
    </row>
    <row r="322" spans="1:14" s="759" customFormat="1" ht="15" customHeight="1">
      <c r="A322" s="753"/>
      <c r="B322" s="754"/>
      <c r="C322" s="760" t="s">
        <v>3971</v>
      </c>
      <c r="D322" s="760"/>
      <c r="E322" s="756"/>
      <c r="F322" s="757">
        <f t="shared" si="178"/>
        <v>0</v>
      </c>
      <c r="G322" s="793">
        <f t="shared" ref="G322:N322" si="188">+G427</f>
        <v>0</v>
      </c>
      <c r="H322" s="793">
        <f t="shared" si="188"/>
        <v>0</v>
      </c>
      <c r="I322" s="793">
        <f t="shared" si="188"/>
        <v>0</v>
      </c>
      <c r="J322" s="793">
        <f t="shared" si="188"/>
        <v>0</v>
      </c>
      <c r="K322" s="793">
        <f t="shared" si="188"/>
        <v>0</v>
      </c>
      <c r="L322" s="793">
        <f t="shared" si="188"/>
        <v>0</v>
      </c>
      <c r="M322" s="793">
        <f t="shared" si="188"/>
        <v>0</v>
      </c>
      <c r="N322" s="794">
        <f t="shared" si="188"/>
        <v>0</v>
      </c>
    </row>
    <row r="323" spans="1:14" s="759" customFormat="1" ht="15" customHeight="1">
      <c r="A323" s="753"/>
      <c r="B323" s="754"/>
      <c r="C323" s="755" t="s">
        <v>3972</v>
      </c>
      <c r="D323" s="755"/>
      <c r="E323" s="756"/>
      <c r="F323" s="757">
        <f t="shared" si="178"/>
        <v>0</v>
      </c>
      <c r="G323" s="793">
        <f>SUM(G324:G327)</f>
        <v>0</v>
      </c>
      <c r="H323" s="793">
        <f t="shared" ref="H323:N323" si="189">SUM(H324:H327)</f>
        <v>0</v>
      </c>
      <c r="I323" s="793">
        <f t="shared" si="189"/>
        <v>0</v>
      </c>
      <c r="J323" s="793">
        <f t="shared" si="189"/>
        <v>0</v>
      </c>
      <c r="K323" s="793">
        <f t="shared" si="189"/>
        <v>0</v>
      </c>
      <c r="L323" s="793">
        <f t="shared" si="189"/>
        <v>0</v>
      </c>
      <c r="M323" s="793">
        <f t="shared" si="189"/>
        <v>0</v>
      </c>
      <c r="N323" s="794">
        <f t="shared" si="189"/>
        <v>0</v>
      </c>
    </row>
    <row r="324" spans="1:14" s="759" customFormat="1" ht="15" customHeight="1">
      <c r="A324" s="753"/>
      <c r="B324" s="754"/>
      <c r="C324" s="760" t="s">
        <v>3969</v>
      </c>
      <c r="D324" s="760"/>
      <c r="E324" s="756"/>
      <c r="F324" s="761">
        <f t="shared" si="178"/>
        <v>0</v>
      </c>
      <c r="G324" s="793">
        <f>IF(G451=0,0,+G451-G468)</f>
        <v>0</v>
      </c>
      <c r="H324" s="793">
        <f t="shared" ref="H324:N324" si="190">IF(H451=0,0,+H451-H468)</f>
        <v>0</v>
      </c>
      <c r="I324" s="793">
        <f t="shared" si="190"/>
        <v>0</v>
      </c>
      <c r="J324" s="793">
        <f t="shared" si="190"/>
        <v>0</v>
      </c>
      <c r="K324" s="793">
        <f t="shared" si="190"/>
        <v>0</v>
      </c>
      <c r="L324" s="793">
        <f t="shared" si="190"/>
        <v>0</v>
      </c>
      <c r="M324" s="793">
        <f t="shared" si="190"/>
        <v>0</v>
      </c>
      <c r="N324" s="794">
        <f t="shared" si="190"/>
        <v>0</v>
      </c>
    </row>
    <row r="325" spans="1:14" s="759" customFormat="1" ht="15" customHeight="1">
      <c r="A325" s="753"/>
      <c r="B325" s="754"/>
      <c r="C325" s="760" t="s">
        <v>3973</v>
      </c>
      <c r="D325" s="760"/>
      <c r="E325" s="756"/>
      <c r="F325" s="757">
        <f t="shared" si="178"/>
        <v>0</v>
      </c>
      <c r="G325" s="793">
        <f t="shared" ref="G325:N325" si="191">+G452+G453</f>
        <v>0</v>
      </c>
      <c r="H325" s="793">
        <f t="shared" si="191"/>
        <v>0</v>
      </c>
      <c r="I325" s="793">
        <f t="shared" si="191"/>
        <v>0</v>
      </c>
      <c r="J325" s="793">
        <f t="shared" si="191"/>
        <v>0</v>
      </c>
      <c r="K325" s="793">
        <f t="shared" si="191"/>
        <v>0</v>
      </c>
      <c r="L325" s="793">
        <f t="shared" si="191"/>
        <v>0</v>
      </c>
      <c r="M325" s="793">
        <f t="shared" si="191"/>
        <v>0</v>
      </c>
      <c r="N325" s="794">
        <f t="shared" si="191"/>
        <v>0</v>
      </c>
    </row>
    <row r="326" spans="1:14" s="759" customFormat="1" ht="15" customHeight="1">
      <c r="A326" s="753"/>
      <c r="B326" s="754"/>
      <c r="C326" s="760" t="s">
        <v>3974</v>
      </c>
      <c r="D326" s="760"/>
      <c r="E326" s="756"/>
      <c r="F326" s="757">
        <f t="shared" si="178"/>
        <v>0</v>
      </c>
      <c r="G326" s="793">
        <f t="shared" ref="G326:N326" si="192">SUM(G454:G458)</f>
        <v>0</v>
      </c>
      <c r="H326" s="793">
        <f t="shared" si="192"/>
        <v>0</v>
      </c>
      <c r="I326" s="793">
        <f t="shared" si="192"/>
        <v>0</v>
      </c>
      <c r="J326" s="793">
        <f t="shared" si="192"/>
        <v>0</v>
      </c>
      <c r="K326" s="793">
        <f t="shared" si="192"/>
        <v>0</v>
      </c>
      <c r="L326" s="793">
        <f t="shared" si="192"/>
        <v>0</v>
      </c>
      <c r="M326" s="793">
        <f t="shared" si="192"/>
        <v>0</v>
      </c>
      <c r="N326" s="794">
        <f t="shared" si="192"/>
        <v>0</v>
      </c>
    </row>
    <row r="327" spans="1:14" s="759" customFormat="1" ht="15" customHeight="1">
      <c r="A327" s="753"/>
      <c r="B327" s="754"/>
      <c r="C327" s="762" t="s">
        <v>3975</v>
      </c>
      <c r="D327" s="754"/>
      <c r="E327" s="763"/>
      <c r="F327" s="764">
        <f t="shared" si="178"/>
        <v>0</v>
      </c>
      <c r="G327" s="1810">
        <f>IF(G459=0,0,+G459-G468)</f>
        <v>0</v>
      </c>
      <c r="H327" s="1810">
        <f t="shared" ref="H327:N327" si="193">IF(H459=0,0,+H459-H468)</f>
        <v>0</v>
      </c>
      <c r="I327" s="1810">
        <f t="shared" si="193"/>
        <v>0</v>
      </c>
      <c r="J327" s="1810">
        <f t="shared" si="193"/>
        <v>0</v>
      </c>
      <c r="K327" s="1810">
        <f t="shared" si="193"/>
        <v>0</v>
      </c>
      <c r="L327" s="1810">
        <f t="shared" si="193"/>
        <v>0</v>
      </c>
      <c r="M327" s="1810">
        <f t="shared" si="193"/>
        <v>0</v>
      </c>
      <c r="N327" s="1811">
        <f t="shared" si="193"/>
        <v>0</v>
      </c>
    </row>
    <row r="328" spans="1:14" s="759" customFormat="1" ht="15" customHeight="1">
      <c r="A328" s="1812"/>
      <c r="B328" s="1644" t="s">
        <v>3976</v>
      </c>
      <c r="C328" s="1644"/>
      <c r="D328" s="1644"/>
      <c r="E328" s="1813"/>
      <c r="F328" s="1646">
        <f t="shared" si="178"/>
        <v>0</v>
      </c>
      <c r="G328" s="1647">
        <f t="shared" ref="G328:N328" si="194">G306+G317</f>
        <v>0</v>
      </c>
      <c r="H328" s="1647">
        <f t="shared" si="194"/>
        <v>0</v>
      </c>
      <c r="I328" s="1647">
        <f t="shared" si="194"/>
        <v>0</v>
      </c>
      <c r="J328" s="1647">
        <f t="shared" si="194"/>
        <v>0</v>
      </c>
      <c r="K328" s="1647">
        <f t="shared" si="194"/>
        <v>0</v>
      </c>
      <c r="L328" s="1647">
        <f t="shared" si="194"/>
        <v>0</v>
      </c>
      <c r="M328" s="1647">
        <f t="shared" si="194"/>
        <v>0</v>
      </c>
      <c r="N328" s="1648">
        <f t="shared" si="194"/>
        <v>0</v>
      </c>
    </row>
    <row r="329" spans="1:14" s="759" customFormat="1" ht="15" customHeight="1">
      <c r="A329" s="1814"/>
      <c r="B329" s="754"/>
      <c r="C329" s="1815" t="s">
        <v>3977</v>
      </c>
      <c r="D329" s="1815"/>
      <c r="E329" s="1816"/>
      <c r="F329" s="646"/>
      <c r="G329" s="1817" t="s">
        <v>3978</v>
      </c>
      <c r="H329" s="1818"/>
      <c r="I329" s="651"/>
      <c r="J329" s="651"/>
      <c r="K329" s="651"/>
      <c r="L329" s="651"/>
      <c r="M329" s="651"/>
      <c r="N329" s="651"/>
    </row>
    <row r="330" spans="1:14" s="759" customFormat="1" ht="15" customHeight="1">
      <c r="A330" s="884"/>
      <c r="B330" s="885"/>
      <c r="C330" s="885"/>
      <c r="D330" s="885"/>
      <c r="E330" s="969"/>
      <c r="F330" s="886" t="s">
        <v>3979</v>
      </c>
      <c r="G330" s="1870">
        <f>+G302</f>
        <v>0</v>
      </c>
      <c r="H330" s="887">
        <f t="shared" ref="H330:N330" si="195">+H302</f>
        <v>0</v>
      </c>
      <c r="I330" s="887">
        <f t="shared" si="195"/>
        <v>0</v>
      </c>
      <c r="J330" s="887">
        <f t="shared" si="195"/>
        <v>0</v>
      </c>
      <c r="K330" s="887">
        <f t="shared" si="195"/>
        <v>0</v>
      </c>
      <c r="L330" s="887">
        <f t="shared" si="195"/>
        <v>0</v>
      </c>
      <c r="M330" s="887">
        <f t="shared" si="195"/>
        <v>0</v>
      </c>
      <c r="N330" s="888">
        <f t="shared" si="195"/>
        <v>0</v>
      </c>
    </row>
    <row r="331" spans="1:14" s="759" customFormat="1" ht="15" customHeight="1">
      <c r="A331" s="1660" t="s">
        <v>3980</v>
      </c>
      <c r="B331" s="883"/>
      <c r="C331" s="883"/>
      <c r="D331" s="883"/>
      <c r="E331" s="985"/>
      <c r="F331" s="1871"/>
      <c r="G331" s="1872"/>
      <c r="H331" s="1872"/>
      <c r="I331" s="1872"/>
      <c r="J331" s="1872"/>
      <c r="K331" s="1872"/>
      <c r="L331" s="1872"/>
      <c r="M331" s="1872"/>
      <c r="N331" s="1873"/>
    </row>
    <row r="332" spans="1:14" s="759" customFormat="1" ht="15" customHeight="1">
      <c r="A332" s="2886"/>
      <c r="B332" s="2850" t="s">
        <v>3981</v>
      </c>
      <c r="C332" s="581" t="s">
        <v>3982</v>
      </c>
      <c r="D332" s="581"/>
      <c r="E332" s="665"/>
      <c r="F332" s="995">
        <f t="shared" ref="F332:F338" si="196">SUM(G332:N332)</f>
        <v>0</v>
      </c>
      <c r="G332" s="987">
        <f t="shared" ref="G332:N347" si="197">+G117+G25</f>
        <v>0</v>
      </c>
      <c r="H332" s="987">
        <f t="shared" si="197"/>
        <v>0</v>
      </c>
      <c r="I332" s="987">
        <f t="shared" si="197"/>
        <v>0</v>
      </c>
      <c r="J332" s="987">
        <f t="shared" si="197"/>
        <v>0</v>
      </c>
      <c r="K332" s="987">
        <f t="shared" si="197"/>
        <v>0</v>
      </c>
      <c r="L332" s="987">
        <f t="shared" si="197"/>
        <v>0</v>
      </c>
      <c r="M332" s="987">
        <f t="shared" si="197"/>
        <v>0</v>
      </c>
      <c r="N332" s="988">
        <f t="shared" si="197"/>
        <v>0</v>
      </c>
    </row>
    <row r="333" spans="1:14" s="759" customFormat="1" ht="15" customHeight="1">
      <c r="A333" s="2848"/>
      <c r="B333" s="2851"/>
      <c r="C333" s="797" t="s">
        <v>3983</v>
      </c>
      <c r="D333" s="797"/>
      <c r="E333" s="756"/>
      <c r="F333" s="757">
        <f t="shared" si="196"/>
        <v>0</v>
      </c>
      <c r="G333" s="793">
        <f t="shared" si="197"/>
        <v>0</v>
      </c>
      <c r="H333" s="793">
        <f t="shared" si="197"/>
        <v>0</v>
      </c>
      <c r="I333" s="793">
        <f t="shared" si="197"/>
        <v>0</v>
      </c>
      <c r="J333" s="793">
        <f t="shared" si="197"/>
        <v>0</v>
      </c>
      <c r="K333" s="793">
        <f t="shared" si="197"/>
        <v>0</v>
      </c>
      <c r="L333" s="793">
        <f t="shared" si="197"/>
        <v>0</v>
      </c>
      <c r="M333" s="793">
        <f t="shared" si="197"/>
        <v>0</v>
      </c>
      <c r="N333" s="794">
        <f t="shared" si="197"/>
        <v>0</v>
      </c>
    </row>
    <row r="334" spans="1:14" s="759" customFormat="1" ht="15" customHeight="1">
      <c r="A334" s="2848"/>
      <c r="B334" s="2851"/>
      <c r="C334" s="1666" t="s">
        <v>3984</v>
      </c>
      <c r="D334" s="797"/>
      <c r="E334" s="756"/>
      <c r="F334" s="757">
        <f t="shared" si="196"/>
        <v>0</v>
      </c>
      <c r="G334" s="793">
        <f t="shared" si="197"/>
        <v>0</v>
      </c>
      <c r="H334" s="793">
        <f t="shared" si="197"/>
        <v>0</v>
      </c>
      <c r="I334" s="793">
        <f t="shared" si="197"/>
        <v>0</v>
      </c>
      <c r="J334" s="793">
        <f t="shared" si="197"/>
        <v>0</v>
      </c>
      <c r="K334" s="793">
        <f t="shared" si="197"/>
        <v>0</v>
      </c>
      <c r="L334" s="793">
        <f t="shared" si="197"/>
        <v>0</v>
      </c>
      <c r="M334" s="793">
        <f t="shared" si="197"/>
        <v>0</v>
      </c>
      <c r="N334" s="794">
        <f t="shared" si="197"/>
        <v>0</v>
      </c>
    </row>
    <row r="335" spans="1:14" s="759" customFormat="1" ht="15" customHeight="1">
      <c r="A335" s="2848"/>
      <c r="B335" s="2852"/>
      <c r="C335" s="1666" t="s">
        <v>3985</v>
      </c>
      <c r="D335" s="797"/>
      <c r="E335" s="756"/>
      <c r="F335" s="757">
        <f t="shared" si="196"/>
        <v>0</v>
      </c>
      <c r="G335" s="793">
        <f t="shared" si="197"/>
        <v>0</v>
      </c>
      <c r="H335" s="793">
        <f t="shared" si="197"/>
        <v>0</v>
      </c>
      <c r="I335" s="793">
        <f t="shared" si="197"/>
        <v>0</v>
      </c>
      <c r="J335" s="793">
        <f t="shared" si="197"/>
        <v>0</v>
      </c>
      <c r="K335" s="793">
        <f t="shared" si="197"/>
        <v>0</v>
      </c>
      <c r="L335" s="793">
        <f t="shared" si="197"/>
        <v>0</v>
      </c>
      <c r="M335" s="793">
        <f t="shared" si="197"/>
        <v>0</v>
      </c>
      <c r="N335" s="794">
        <f t="shared" si="197"/>
        <v>0</v>
      </c>
    </row>
    <row r="336" spans="1:14" s="759" customFormat="1" ht="15" customHeight="1">
      <c r="A336" s="2848"/>
      <c r="B336" s="2776" t="s">
        <v>3986</v>
      </c>
      <c r="C336" s="755" t="s">
        <v>3987</v>
      </c>
      <c r="D336" s="797"/>
      <c r="E336" s="756"/>
      <c r="F336" s="757">
        <f t="shared" si="196"/>
        <v>0</v>
      </c>
      <c r="G336" s="1868">
        <f t="shared" si="197"/>
        <v>0</v>
      </c>
      <c r="H336" s="1868">
        <f t="shared" si="197"/>
        <v>0</v>
      </c>
      <c r="I336" s="1868">
        <f t="shared" si="197"/>
        <v>0</v>
      </c>
      <c r="J336" s="1868">
        <f t="shared" si="197"/>
        <v>0</v>
      </c>
      <c r="K336" s="1868">
        <f t="shared" si="197"/>
        <v>0</v>
      </c>
      <c r="L336" s="1868">
        <f t="shared" si="197"/>
        <v>0</v>
      </c>
      <c r="M336" s="1868">
        <f t="shared" si="197"/>
        <v>0</v>
      </c>
      <c r="N336" s="1869">
        <f t="shared" si="197"/>
        <v>0</v>
      </c>
    </row>
    <row r="337" spans="1:14" s="759" customFormat="1" ht="13.5" customHeight="1">
      <c r="A337" s="2848"/>
      <c r="B337" s="2851"/>
      <c r="C337" s="755" t="s">
        <v>3988</v>
      </c>
      <c r="D337" s="797"/>
      <c r="E337" s="756"/>
      <c r="F337" s="757">
        <f t="shared" si="196"/>
        <v>0</v>
      </c>
      <c r="G337" s="1868">
        <f t="shared" si="197"/>
        <v>0</v>
      </c>
      <c r="H337" s="1868">
        <f t="shared" si="197"/>
        <v>0</v>
      </c>
      <c r="I337" s="1868">
        <f t="shared" si="197"/>
        <v>0</v>
      </c>
      <c r="J337" s="1868">
        <f t="shared" si="197"/>
        <v>0</v>
      </c>
      <c r="K337" s="1868">
        <f t="shared" si="197"/>
        <v>0</v>
      </c>
      <c r="L337" s="1868">
        <f t="shared" si="197"/>
        <v>0</v>
      </c>
      <c r="M337" s="1868">
        <f t="shared" si="197"/>
        <v>0</v>
      </c>
      <c r="N337" s="1869">
        <f t="shared" si="197"/>
        <v>0</v>
      </c>
    </row>
    <row r="338" spans="1:14" s="759" customFormat="1" ht="13.5" customHeight="1">
      <c r="A338" s="2848"/>
      <c r="B338" s="2851"/>
      <c r="C338" s="797" t="s">
        <v>3989</v>
      </c>
      <c r="D338" s="797"/>
      <c r="E338" s="756"/>
      <c r="F338" s="757">
        <f t="shared" si="196"/>
        <v>0</v>
      </c>
      <c r="G338" s="1868">
        <f t="shared" si="197"/>
        <v>0</v>
      </c>
      <c r="H338" s="1868">
        <f t="shared" si="197"/>
        <v>0</v>
      </c>
      <c r="I338" s="1868">
        <f t="shared" si="197"/>
        <v>0</v>
      </c>
      <c r="J338" s="1868">
        <f t="shared" si="197"/>
        <v>0</v>
      </c>
      <c r="K338" s="1868">
        <f t="shared" si="197"/>
        <v>0</v>
      </c>
      <c r="L338" s="1868">
        <f t="shared" si="197"/>
        <v>0</v>
      </c>
      <c r="M338" s="1868">
        <f t="shared" si="197"/>
        <v>0</v>
      </c>
      <c r="N338" s="1869">
        <f t="shared" si="197"/>
        <v>0</v>
      </c>
    </row>
    <row r="339" spans="1:14" s="759" customFormat="1" ht="13.5" customHeight="1">
      <c r="A339" s="2848"/>
      <c r="B339" s="2851"/>
      <c r="C339" s="797" t="s">
        <v>3990</v>
      </c>
      <c r="D339" s="797"/>
      <c r="E339" s="756"/>
      <c r="F339" s="757"/>
      <c r="G339" s="793">
        <f t="shared" si="197"/>
        <v>0</v>
      </c>
      <c r="H339" s="793">
        <f t="shared" si="197"/>
        <v>0</v>
      </c>
      <c r="I339" s="793">
        <f t="shared" si="197"/>
        <v>0</v>
      </c>
      <c r="J339" s="793">
        <f t="shared" si="197"/>
        <v>0</v>
      </c>
      <c r="K339" s="793">
        <f t="shared" si="197"/>
        <v>0</v>
      </c>
      <c r="L339" s="793">
        <f t="shared" si="197"/>
        <v>0</v>
      </c>
      <c r="M339" s="793">
        <f t="shared" si="197"/>
        <v>0</v>
      </c>
      <c r="N339" s="794">
        <f t="shared" si="197"/>
        <v>0</v>
      </c>
    </row>
    <row r="340" spans="1:14" s="759" customFormat="1" ht="13.5" customHeight="1">
      <c r="A340" s="2848"/>
      <c r="B340" s="2851"/>
      <c r="C340" s="797" t="s">
        <v>3991</v>
      </c>
      <c r="D340" s="797"/>
      <c r="E340" s="756"/>
      <c r="F340" s="757"/>
      <c r="G340" s="793">
        <f t="shared" si="197"/>
        <v>0</v>
      </c>
      <c r="H340" s="793">
        <f t="shared" si="197"/>
        <v>0</v>
      </c>
      <c r="I340" s="793">
        <f t="shared" si="197"/>
        <v>0</v>
      </c>
      <c r="J340" s="793">
        <f t="shared" si="197"/>
        <v>0</v>
      </c>
      <c r="K340" s="793">
        <f t="shared" si="197"/>
        <v>0</v>
      </c>
      <c r="L340" s="793">
        <f t="shared" si="197"/>
        <v>0</v>
      </c>
      <c r="M340" s="793">
        <f t="shared" si="197"/>
        <v>0</v>
      </c>
      <c r="N340" s="794">
        <f t="shared" si="197"/>
        <v>0</v>
      </c>
    </row>
    <row r="341" spans="1:14" s="759" customFormat="1" ht="13.5" customHeight="1">
      <c r="A341" s="2848"/>
      <c r="B341" s="2851"/>
      <c r="C341" s="797" t="s">
        <v>3992</v>
      </c>
      <c r="D341" s="797"/>
      <c r="E341" s="756"/>
      <c r="F341" s="757">
        <f t="shared" ref="F341:F351" si="198">SUM(G341:N341)</f>
        <v>0</v>
      </c>
      <c r="G341" s="1868">
        <f t="shared" si="197"/>
        <v>0</v>
      </c>
      <c r="H341" s="1868">
        <f t="shared" si="197"/>
        <v>0</v>
      </c>
      <c r="I341" s="1868">
        <f t="shared" si="197"/>
        <v>0</v>
      </c>
      <c r="J341" s="1868">
        <f t="shared" si="197"/>
        <v>0</v>
      </c>
      <c r="K341" s="1868">
        <f t="shared" si="197"/>
        <v>0</v>
      </c>
      <c r="L341" s="1868">
        <f t="shared" si="197"/>
        <v>0</v>
      </c>
      <c r="M341" s="1868">
        <f t="shared" si="197"/>
        <v>0</v>
      </c>
      <c r="N341" s="1869">
        <f t="shared" si="197"/>
        <v>0</v>
      </c>
    </row>
    <row r="342" spans="1:14" s="759" customFormat="1" ht="13.5" customHeight="1">
      <c r="A342" s="2848"/>
      <c r="B342" s="2851"/>
      <c r="C342" s="1667" t="s">
        <v>3993</v>
      </c>
      <c r="D342" s="797"/>
      <c r="E342" s="756"/>
      <c r="F342" s="757">
        <f t="shared" si="198"/>
        <v>0</v>
      </c>
      <c r="G342" s="793">
        <f t="shared" si="197"/>
        <v>0</v>
      </c>
      <c r="H342" s="793">
        <f t="shared" si="197"/>
        <v>0</v>
      </c>
      <c r="I342" s="793">
        <f t="shared" si="197"/>
        <v>0</v>
      </c>
      <c r="J342" s="793">
        <f t="shared" si="197"/>
        <v>0</v>
      </c>
      <c r="K342" s="793">
        <f t="shared" si="197"/>
        <v>0</v>
      </c>
      <c r="L342" s="793">
        <f t="shared" si="197"/>
        <v>0</v>
      </c>
      <c r="M342" s="793">
        <f t="shared" si="197"/>
        <v>0</v>
      </c>
      <c r="N342" s="794">
        <f t="shared" si="197"/>
        <v>0</v>
      </c>
    </row>
    <row r="343" spans="1:14" s="759" customFormat="1" ht="13.5" customHeight="1">
      <c r="A343" s="2848"/>
      <c r="B343" s="2851"/>
      <c r="C343" s="1668" t="s">
        <v>3994</v>
      </c>
      <c r="D343" s="797"/>
      <c r="E343" s="756"/>
      <c r="F343" s="757">
        <f t="shared" si="198"/>
        <v>0</v>
      </c>
      <c r="G343" s="793">
        <f t="shared" si="197"/>
        <v>0</v>
      </c>
      <c r="H343" s="793">
        <f t="shared" si="197"/>
        <v>0</v>
      </c>
      <c r="I343" s="793">
        <f t="shared" si="197"/>
        <v>0</v>
      </c>
      <c r="J343" s="793">
        <f t="shared" si="197"/>
        <v>0</v>
      </c>
      <c r="K343" s="793">
        <f t="shared" si="197"/>
        <v>0</v>
      </c>
      <c r="L343" s="793">
        <f t="shared" si="197"/>
        <v>0</v>
      </c>
      <c r="M343" s="793">
        <f t="shared" si="197"/>
        <v>0</v>
      </c>
      <c r="N343" s="794">
        <f t="shared" si="197"/>
        <v>0</v>
      </c>
    </row>
    <row r="344" spans="1:14" s="759" customFormat="1" ht="13.5" customHeight="1">
      <c r="A344" s="2848"/>
      <c r="B344" s="2852"/>
      <c r="C344" s="797" t="s">
        <v>3995</v>
      </c>
      <c r="D344" s="797"/>
      <c r="E344" s="756"/>
      <c r="F344" s="757">
        <f t="shared" si="198"/>
        <v>0</v>
      </c>
      <c r="G344" s="1868">
        <f t="shared" si="197"/>
        <v>0</v>
      </c>
      <c r="H344" s="1868">
        <f t="shared" si="197"/>
        <v>0</v>
      </c>
      <c r="I344" s="1868">
        <f t="shared" si="197"/>
        <v>0</v>
      </c>
      <c r="J344" s="1868">
        <f t="shared" si="197"/>
        <v>0</v>
      </c>
      <c r="K344" s="1868">
        <f t="shared" si="197"/>
        <v>0</v>
      </c>
      <c r="L344" s="1868">
        <f t="shared" si="197"/>
        <v>0</v>
      </c>
      <c r="M344" s="1868">
        <f t="shared" si="197"/>
        <v>0</v>
      </c>
      <c r="N344" s="1869">
        <f t="shared" si="197"/>
        <v>0</v>
      </c>
    </row>
    <row r="345" spans="1:14" s="759" customFormat="1" ht="13.5" customHeight="1">
      <c r="A345" s="2848"/>
      <c r="B345" s="2776" t="s">
        <v>3996</v>
      </c>
      <c r="C345" s="1666" t="s">
        <v>3997</v>
      </c>
      <c r="D345" s="797"/>
      <c r="E345" s="756"/>
      <c r="F345" s="757">
        <f t="shared" si="198"/>
        <v>0</v>
      </c>
      <c r="G345" s="1868">
        <f t="shared" si="197"/>
        <v>0</v>
      </c>
      <c r="H345" s="1868">
        <f t="shared" si="197"/>
        <v>0</v>
      </c>
      <c r="I345" s="1868">
        <f t="shared" si="197"/>
        <v>0</v>
      </c>
      <c r="J345" s="1868">
        <f t="shared" si="197"/>
        <v>0</v>
      </c>
      <c r="K345" s="1868">
        <f t="shared" si="197"/>
        <v>0</v>
      </c>
      <c r="L345" s="1868">
        <f t="shared" si="197"/>
        <v>0</v>
      </c>
      <c r="M345" s="1868">
        <f t="shared" si="197"/>
        <v>0</v>
      </c>
      <c r="N345" s="1869">
        <f t="shared" si="197"/>
        <v>0</v>
      </c>
    </row>
    <row r="346" spans="1:14" s="759" customFormat="1" ht="13.5" customHeight="1">
      <c r="A346" s="2848"/>
      <c r="B346" s="2851"/>
      <c r="C346" s="1666" t="s">
        <v>3998</v>
      </c>
      <c r="D346" s="797"/>
      <c r="E346" s="756"/>
      <c r="F346" s="757">
        <f t="shared" si="198"/>
        <v>0</v>
      </c>
      <c r="G346" s="793">
        <f t="shared" si="197"/>
        <v>0</v>
      </c>
      <c r="H346" s="793">
        <f t="shared" si="197"/>
        <v>0</v>
      </c>
      <c r="I346" s="793">
        <f t="shared" si="197"/>
        <v>0</v>
      </c>
      <c r="J346" s="793">
        <f t="shared" si="197"/>
        <v>0</v>
      </c>
      <c r="K346" s="793">
        <f t="shared" si="197"/>
        <v>0</v>
      </c>
      <c r="L346" s="793">
        <f t="shared" si="197"/>
        <v>0</v>
      </c>
      <c r="M346" s="793">
        <f t="shared" si="197"/>
        <v>0</v>
      </c>
      <c r="N346" s="794">
        <f t="shared" si="197"/>
        <v>0</v>
      </c>
    </row>
    <row r="347" spans="1:14" s="759" customFormat="1" ht="13.5" customHeight="1">
      <c r="A347" s="2848"/>
      <c r="B347" s="2851"/>
      <c r="C347" s="797" t="s">
        <v>4764</v>
      </c>
      <c r="D347" s="797"/>
      <c r="E347" s="756"/>
      <c r="F347" s="757">
        <f t="shared" si="198"/>
        <v>0</v>
      </c>
      <c r="G347" s="793">
        <f t="shared" si="197"/>
        <v>0</v>
      </c>
      <c r="H347" s="793">
        <f t="shared" si="197"/>
        <v>0</v>
      </c>
      <c r="I347" s="793">
        <f t="shared" si="197"/>
        <v>0</v>
      </c>
      <c r="J347" s="793">
        <f t="shared" si="197"/>
        <v>0</v>
      </c>
      <c r="K347" s="793">
        <f t="shared" si="197"/>
        <v>0</v>
      </c>
      <c r="L347" s="793">
        <f t="shared" si="197"/>
        <v>0</v>
      </c>
      <c r="M347" s="793">
        <f t="shared" si="197"/>
        <v>0</v>
      </c>
      <c r="N347" s="794">
        <f t="shared" si="197"/>
        <v>0</v>
      </c>
    </row>
    <row r="348" spans="1:14" s="759" customFormat="1" ht="13.5" customHeight="1">
      <c r="A348" s="2848"/>
      <c r="B348" s="2851"/>
      <c r="C348" s="797" t="s">
        <v>4810</v>
      </c>
      <c r="D348" s="797"/>
      <c r="E348" s="756"/>
      <c r="F348" s="757">
        <f t="shared" si="198"/>
        <v>0</v>
      </c>
      <c r="G348" s="1868">
        <f t="shared" ref="G348:N351" si="199">+G133+G41</f>
        <v>0</v>
      </c>
      <c r="H348" s="1868">
        <f t="shared" si="199"/>
        <v>0</v>
      </c>
      <c r="I348" s="1868">
        <f t="shared" si="199"/>
        <v>0</v>
      </c>
      <c r="J348" s="1868">
        <f t="shared" si="199"/>
        <v>0</v>
      </c>
      <c r="K348" s="1868">
        <f t="shared" si="199"/>
        <v>0</v>
      </c>
      <c r="L348" s="1868">
        <f t="shared" si="199"/>
        <v>0</v>
      </c>
      <c r="M348" s="1868">
        <f t="shared" si="199"/>
        <v>0</v>
      </c>
      <c r="N348" s="1869">
        <f t="shared" si="199"/>
        <v>0</v>
      </c>
    </row>
    <row r="349" spans="1:14" s="759" customFormat="1" ht="13.5" customHeight="1">
      <c r="A349" s="2848"/>
      <c r="B349" s="2851"/>
      <c r="C349" s="1670" t="s">
        <v>4001</v>
      </c>
      <c r="D349" s="1670"/>
      <c r="E349" s="1671"/>
      <c r="F349" s="757">
        <f t="shared" si="198"/>
        <v>0</v>
      </c>
      <c r="G349" s="1868">
        <f t="shared" si="199"/>
        <v>0</v>
      </c>
      <c r="H349" s="1868">
        <f t="shared" si="199"/>
        <v>0</v>
      </c>
      <c r="I349" s="1868">
        <f t="shared" si="199"/>
        <v>0</v>
      </c>
      <c r="J349" s="1868">
        <f t="shared" si="199"/>
        <v>0</v>
      </c>
      <c r="K349" s="1868">
        <f t="shared" si="199"/>
        <v>0</v>
      </c>
      <c r="L349" s="1868">
        <f t="shared" si="199"/>
        <v>0</v>
      </c>
      <c r="M349" s="1868">
        <f t="shared" si="199"/>
        <v>0</v>
      </c>
      <c r="N349" s="1869">
        <f t="shared" si="199"/>
        <v>0</v>
      </c>
    </row>
    <row r="350" spans="1:14" s="759" customFormat="1" ht="13.5" customHeight="1">
      <c r="A350" s="2848"/>
      <c r="B350" s="2851"/>
      <c r="C350" s="1670" t="s">
        <v>4002</v>
      </c>
      <c r="D350" s="1670"/>
      <c r="E350" s="1671"/>
      <c r="F350" s="757">
        <f t="shared" si="198"/>
        <v>0</v>
      </c>
      <c r="G350" s="1868">
        <f t="shared" si="199"/>
        <v>0</v>
      </c>
      <c r="H350" s="1868">
        <f t="shared" si="199"/>
        <v>0</v>
      </c>
      <c r="I350" s="1868">
        <f t="shared" si="199"/>
        <v>0</v>
      </c>
      <c r="J350" s="1868">
        <f t="shared" si="199"/>
        <v>0</v>
      </c>
      <c r="K350" s="1868">
        <f t="shared" si="199"/>
        <v>0</v>
      </c>
      <c r="L350" s="1868">
        <f t="shared" si="199"/>
        <v>0</v>
      </c>
      <c r="M350" s="1868">
        <f t="shared" si="199"/>
        <v>0</v>
      </c>
      <c r="N350" s="1869">
        <f t="shared" si="199"/>
        <v>0</v>
      </c>
    </row>
    <row r="351" spans="1:14" s="759" customFormat="1" ht="13.5" customHeight="1">
      <c r="A351" s="2849"/>
      <c r="B351" s="2853"/>
      <c r="C351" s="1674" t="s">
        <v>4003</v>
      </c>
      <c r="D351" s="1674"/>
      <c r="E351" s="960"/>
      <c r="F351" s="915">
        <f t="shared" si="198"/>
        <v>0</v>
      </c>
      <c r="G351" s="1874">
        <f t="shared" si="199"/>
        <v>0</v>
      </c>
      <c r="H351" s="1874">
        <f t="shared" si="199"/>
        <v>0</v>
      </c>
      <c r="I351" s="1874">
        <f t="shared" si="199"/>
        <v>0</v>
      </c>
      <c r="J351" s="1874">
        <f t="shared" si="199"/>
        <v>0</v>
      </c>
      <c r="K351" s="1874">
        <f t="shared" si="199"/>
        <v>0</v>
      </c>
      <c r="L351" s="1874">
        <f t="shared" si="199"/>
        <v>0</v>
      </c>
      <c r="M351" s="1874">
        <f t="shared" si="199"/>
        <v>0</v>
      </c>
      <c r="N351" s="1875">
        <f t="shared" si="199"/>
        <v>0</v>
      </c>
    </row>
    <row r="352" spans="1:14" s="759" customFormat="1" ht="13.5" hidden="1" customHeight="1">
      <c r="A352" s="754"/>
      <c r="B352" s="754"/>
      <c r="C352" s="881" t="s">
        <v>4004</v>
      </c>
      <c r="D352" s="881"/>
      <c r="E352" s="882"/>
      <c r="F352" s="646"/>
      <c r="G352" s="651"/>
      <c r="H352" s="651"/>
      <c r="I352" s="651"/>
      <c r="J352" s="651"/>
      <c r="K352" s="651"/>
      <c r="L352" s="651"/>
      <c r="M352" s="651"/>
      <c r="N352" s="653" t="s">
        <v>4811</v>
      </c>
    </row>
    <row r="353" spans="1:14" s="759" customFormat="1" ht="13.5" hidden="1" customHeight="1">
      <c r="A353" s="754"/>
      <c r="B353" s="754"/>
      <c r="C353" s="883" t="s">
        <v>4006</v>
      </c>
      <c r="D353" s="883"/>
      <c r="E353" s="882"/>
      <c r="F353" s="646"/>
      <c r="G353" s="651"/>
      <c r="H353" s="651"/>
      <c r="I353" s="651"/>
      <c r="J353" s="651"/>
      <c r="K353" s="651"/>
      <c r="L353" s="651"/>
      <c r="M353" s="651"/>
      <c r="N353" s="653"/>
    </row>
    <row r="354" spans="1:14" s="759" customFormat="1" ht="13.5" hidden="1" customHeight="1">
      <c r="A354" s="884"/>
      <c r="B354" s="885"/>
      <c r="C354" s="885"/>
      <c r="D354" s="2673" t="s">
        <v>4007</v>
      </c>
      <c r="E354" s="2673" t="s">
        <v>4008</v>
      </c>
      <c r="F354" s="886" t="s">
        <v>3979</v>
      </c>
      <c r="G354" s="1870">
        <f>+G302</f>
        <v>0</v>
      </c>
      <c r="H354" s="887">
        <f t="shared" ref="H354:N354" si="200">+H302</f>
        <v>0</v>
      </c>
      <c r="I354" s="887">
        <f t="shared" si="200"/>
        <v>0</v>
      </c>
      <c r="J354" s="887">
        <f t="shared" si="200"/>
        <v>0</v>
      </c>
      <c r="K354" s="887">
        <f t="shared" si="200"/>
        <v>0</v>
      </c>
      <c r="L354" s="887">
        <f t="shared" si="200"/>
        <v>0</v>
      </c>
      <c r="M354" s="887">
        <f t="shared" si="200"/>
        <v>0</v>
      </c>
      <c r="N354" s="888">
        <f t="shared" si="200"/>
        <v>0</v>
      </c>
    </row>
    <row r="355" spans="1:14" s="759" customFormat="1" ht="13.5" hidden="1" customHeight="1">
      <c r="A355" s="2675" t="s">
        <v>4009</v>
      </c>
      <c r="B355" s="2676"/>
      <c r="C355" s="2870"/>
      <c r="D355" s="2674"/>
      <c r="E355" s="2674"/>
      <c r="F355" s="889"/>
      <c r="G355" s="890"/>
      <c r="H355" s="890"/>
      <c r="I355" s="890"/>
      <c r="J355" s="890"/>
      <c r="K355" s="890"/>
      <c r="L355" s="890"/>
      <c r="M355" s="890"/>
      <c r="N355" s="891"/>
    </row>
    <row r="356" spans="1:14" s="759" customFormat="1" ht="13.5" hidden="1" customHeight="1">
      <c r="A356" s="2677"/>
      <c r="B356" s="892" t="s">
        <v>4812</v>
      </c>
      <c r="C356" s="893"/>
      <c r="D356" s="894"/>
      <c r="E356" s="895"/>
      <c r="F356" s="896">
        <f t="shared" ref="F356:F363" si="201">SUM(G356:N356)</f>
        <v>0</v>
      </c>
      <c r="G356" s="897">
        <f>SUM(G332:G344)+G348</f>
        <v>0</v>
      </c>
      <c r="H356" s="897">
        <f t="shared" ref="H356:N356" si="202">SUM(H332:H344)+H348</f>
        <v>0</v>
      </c>
      <c r="I356" s="897">
        <f t="shared" si="202"/>
        <v>0</v>
      </c>
      <c r="J356" s="897">
        <f t="shared" si="202"/>
        <v>0</v>
      </c>
      <c r="K356" s="897">
        <f t="shared" si="202"/>
        <v>0</v>
      </c>
      <c r="L356" s="897">
        <f t="shared" si="202"/>
        <v>0</v>
      </c>
      <c r="M356" s="897">
        <f t="shared" si="202"/>
        <v>0</v>
      </c>
      <c r="N356" s="897">
        <f t="shared" si="202"/>
        <v>0</v>
      </c>
    </row>
    <row r="357" spans="1:14" s="759" customFormat="1" ht="13.5" hidden="1" customHeight="1">
      <c r="A357" s="2678"/>
      <c r="B357" s="2776" t="s">
        <v>3981</v>
      </c>
      <c r="C357" s="900" t="s">
        <v>3982</v>
      </c>
      <c r="D357" s="901">
        <v>1</v>
      </c>
      <c r="E357" s="902" t="s">
        <v>4011</v>
      </c>
      <c r="F357" s="757">
        <f t="shared" si="201"/>
        <v>0</v>
      </c>
      <c r="G357" s="793">
        <f t="shared" ref="G357:N357" si="203">IF(G304="積上げ",0,+G332)</f>
        <v>0</v>
      </c>
      <c r="H357" s="793">
        <f t="shared" si="203"/>
        <v>0</v>
      </c>
      <c r="I357" s="793">
        <f t="shared" si="203"/>
        <v>0</v>
      </c>
      <c r="J357" s="793">
        <f t="shared" si="203"/>
        <v>0</v>
      </c>
      <c r="K357" s="793">
        <f t="shared" si="203"/>
        <v>0</v>
      </c>
      <c r="L357" s="793">
        <f t="shared" si="203"/>
        <v>0</v>
      </c>
      <c r="M357" s="793">
        <f t="shared" si="203"/>
        <v>0</v>
      </c>
      <c r="N357" s="793">
        <f t="shared" si="203"/>
        <v>0</v>
      </c>
    </row>
    <row r="358" spans="1:14" s="759" customFormat="1" ht="13.5" hidden="1" customHeight="1">
      <c r="A358" s="2678"/>
      <c r="B358" s="2851"/>
      <c r="C358" s="900" t="s">
        <v>3983</v>
      </c>
      <c r="D358" s="901">
        <v>1</v>
      </c>
      <c r="E358" s="902" t="s">
        <v>4011</v>
      </c>
      <c r="F358" s="757">
        <f t="shared" si="201"/>
        <v>0</v>
      </c>
      <c r="G358" s="793">
        <f t="shared" ref="G358:N358" si="204">IF(G304="積上げ",0,+G333)</f>
        <v>0</v>
      </c>
      <c r="H358" s="793">
        <f t="shared" si="204"/>
        <v>0</v>
      </c>
      <c r="I358" s="793">
        <f t="shared" si="204"/>
        <v>0</v>
      </c>
      <c r="J358" s="793">
        <f t="shared" si="204"/>
        <v>0</v>
      </c>
      <c r="K358" s="793">
        <f t="shared" si="204"/>
        <v>0</v>
      </c>
      <c r="L358" s="793">
        <f t="shared" si="204"/>
        <v>0</v>
      </c>
      <c r="M358" s="793">
        <f t="shared" si="204"/>
        <v>0</v>
      </c>
      <c r="N358" s="793">
        <f t="shared" si="204"/>
        <v>0</v>
      </c>
    </row>
    <row r="359" spans="1:14" s="759" customFormat="1" ht="12" hidden="1">
      <c r="A359" s="2678"/>
      <c r="B359" s="2851"/>
      <c r="C359" s="900" t="s">
        <v>4012</v>
      </c>
      <c r="D359" s="901">
        <v>0.9</v>
      </c>
      <c r="E359" s="902" t="s">
        <v>4011</v>
      </c>
      <c r="F359" s="757">
        <f t="shared" si="201"/>
        <v>0</v>
      </c>
      <c r="G359" s="793">
        <f t="shared" ref="G359:N359" si="205">IF(G304="積上げ",0,+G334)</f>
        <v>0</v>
      </c>
      <c r="H359" s="793">
        <f t="shared" si="205"/>
        <v>0</v>
      </c>
      <c r="I359" s="793">
        <f t="shared" si="205"/>
        <v>0</v>
      </c>
      <c r="J359" s="793">
        <f t="shared" si="205"/>
        <v>0</v>
      </c>
      <c r="K359" s="793">
        <f t="shared" si="205"/>
        <v>0</v>
      </c>
      <c r="L359" s="793">
        <f t="shared" si="205"/>
        <v>0</v>
      </c>
      <c r="M359" s="793">
        <f t="shared" si="205"/>
        <v>0</v>
      </c>
      <c r="N359" s="793">
        <f t="shared" si="205"/>
        <v>0</v>
      </c>
    </row>
    <row r="360" spans="1:14" s="759" customFormat="1" ht="12" hidden="1">
      <c r="A360" s="2678"/>
      <c r="B360" s="2852"/>
      <c r="C360" s="900" t="s">
        <v>4013</v>
      </c>
      <c r="D360" s="901">
        <v>0.9</v>
      </c>
      <c r="E360" s="902" t="s">
        <v>4011</v>
      </c>
      <c r="F360" s="757">
        <f t="shared" si="201"/>
        <v>0</v>
      </c>
      <c r="G360" s="793">
        <f t="shared" ref="G360:N360" si="206">IF(G304="積上げ",0,+G335)</f>
        <v>0</v>
      </c>
      <c r="H360" s="793">
        <f t="shared" si="206"/>
        <v>0</v>
      </c>
      <c r="I360" s="793">
        <f t="shared" si="206"/>
        <v>0</v>
      </c>
      <c r="J360" s="793">
        <f t="shared" si="206"/>
        <v>0</v>
      </c>
      <c r="K360" s="793">
        <f t="shared" si="206"/>
        <v>0</v>
      </c>
      <c r="L360" s="793">
        <f t="shared" si="206"/>
        <v>0</v>
      </c>
      <c r="M360" s="793">
        <f t="shared" si="206"/>
        <v>0</v>
      </c>
      <c r="N360" s="793">
        <f t="shared" si="206"/>
        <v>0</v>
      </c>
    </row>
    <row r="361" spans="1:14" s="759" customFormat="1" ht="12" hidden="1">
      <c r="A361" s="2678"/>
      <c r="B361" s="2776" t="s">
        <v>3986</v>
      </c>
      <c r="C361" s="900" t="s">
        <v>4014</v>
      </c>
      <c r="D361" s="901">
        <v>1</v>
      </c>
      <c r="E361" s="909">
        <v>0.01</v>
      </c>
      <c r="F361" s="757">
        <f t="shared" si="201"/>
        <v>0</v>
      </c>
      <c r="G361" s="793">
        <f t="shared" ref="G361:N361" si="207">IF(G304="積上げ",0,+G336)</f>
        <v>0</v>
      </c>
      <c r="H361" s="793">
        <f t="shared" si="207"/>
        <v>0</v>
      </c>
      <c r="I361" s="793">
        <f t="shared" si="207"/>
        <v>0</v>
      </c>
      <c r="J361" s="793">
        <f t="shared" si="207"/>
        <v>0</v>
      </c>
      <c r="K361" s="793">
        <f t="shared" si="207"/>
        <v>0</v>
      </c>
      <c r="L361" s="793">
        <f t="shared" si="207"/>
        <v>0</v>
      </c>
      <c r="M361" s="793">
        <f t="shared" si="207"/>
        <v>0</v>
      </c>
      <c r="N361" s="793">
        <f t="shared" si="207"/>
        <v>0</v>
      </c>
    </row>
    <row r="362" spans="1:14" s="759" customFormat="1" ht="12" hidden="1">
      <c r="A362" s="2678"/>
      <c r="B362" s="2851"/>
      <c r="C362" s="900" t="s">
        <v>4015</v>
      </c>
      <c r="D362" s="901">
        <v>1</v>
      </c>
      <c r="E362" s="909">
        <v>0.01</v>
      </c>
      <c r="F362" s="757">
        <f t="shared" si="201"/>
        <v>0</v>
      </c>
      <c r="G362" s="793">
        <f t="shared" ref="G362:N362" si="208">IF(G304="積上げ",0,G337)</f>
        <v>0</v>
      </c>
      <c r="H362" s="793">
        <f t="shared" si="208"/>
        <v>0</v>
      </c>
      <c r="I362" s="793">
        <f t="shared" si="208"/>
        <v>0</v>
      </c>
      <c r="J362" s="793">
        <f t="shared" si="208"/>
        <v>0</v>
      </c>
      <c r="K362" s="793">
        <f t="shared" si="208"/>
        <v>0</v>
      </c>
      <c r="L362" s="793">
        <f t="shared" si="208"/>
        <v>0</v>
      </c>
      <c r="M362" s="793">
        <f t="shared" si="208"/>
        <v>0</v>
      </c>
      <c r="N362" s="793">
        <f t="shared" si="208"/>
        <v>0</v>
      </c>
    </row>
    <row r="363" spans="1:14" s="759" customFormat="1" ht="12" hidden="1">
      <c r="A363" s="2678"/>
      <c r="B363" s="2851"/>
      <c r="C363" s="900" t="s">
        <v>3989</v>
      </c>
      <c r="D363" s="901">
        <v>1</v>
      </c>
      <c r="E363" s="909">
        <v>0.01</v>
      </c>
      <c r="F363" s="757">
        <f t="shared" si="201"/>
        <v>0</v>
      </c>
      <c r="G363" s="793">
        <f t="shared" ref="G363:N363" si="209">IF(G304="積上げ",0,G338)</f>
        <v>0</v>
      </c>
      <c r="H363" s="793">
        <f t="shared" si="209"/>
        <v>0</v>
      </c>
      <c r="I363" s="793">
        <f t="shared" si="209"/>
        <v>0</v>
      </c>
      <c r="J363" s="793">
        <f t="shared" si="209"/>
        <v>0</v>
      </c>
      <c r="K363" s="793">
        <f t="shared" si="209"/>
        <v>0</v>
      </c>
      <c r="L363" s="793">
        <f t="shared" si="209"/>
        <v>0</v>
      </c>
      <c r="M363" s="793">
        <f t="shared" si="209"/>
        <v>0</v>
      </c>
      <c r="N363" s="793">
        <f t="shared" si="209"/>
        <v>0</v>
      </c>
    </row>
    <row r="364" spans="1:14" s="759" customFormat="1" ht="12" hidden="1">
      <c r="A364" s="2678"/>
      <c r="B364" s="2851"/>
      <c r="C364" s="900" t="s">
        <v>3990</v>
      </c>
      <c r="D364" s="901"/>
      <c r="E364" s="909"/>
      <c r="F364" s="757"/>
      <c r="G364" s="793"/>
      <c r="H364" s="793"/>
      <c r="I364" s="793"/>
      <c r="J364" s="793"/>
      <c r="K364" s="793"/>
      <c r="L364" s="793"/>
      <c r="M364" s="793"/>
      <c r="N364" s="793"/>
    </row>
    <row r="365" spans="1:14" s="759" customFormat="1" ht="12" hidden="1">
      <c r="A365" s="2678"/>
      <c r="B365" s="2851"/>
      <c r="C365" s="900" t="s">
        <v>3991</v>
      </c>
      <c r="D365" s="901"/>
      <c r="E365" s="909"/>
      <c r="F365" s="757"/>
      <c r="G365" s="793"/>
      <c r="H365" s="793"/>
      <c r="I365" s="793"/>
      <c r="J365" s="793"/>
      <c r="K365" s="793"/>
      <c r="L365" s="793"/>
      <c r="M365" s="793"/>
      <c r="N365" s="793"/>
    </row>
    <row r="366" spans="1:14" s="759" customFormat="1" ht="12" hidden="1">
      <c r="A366" s="2678"/>
      <c r="B366" s="2851"/>
      <c r="C366" s="900" t="s">
        <v>3992</v>
      </c>
      <c r="D366" s="901">
        <v>1</v>
      </c>
      <c r="E366" s="909">
        <v>0.01</v>
      </c>
      <c r="F366" s="757">
        <f>SUM(G366:N366)</f>
        <v>0</v>
      </c>
      <c r="G366" s="793">
        <f t="shared" ref="G366:N366" si="210">IF(G304="積上げ",0,+G341)</f>
        <v>0</v>
      </c>
      <c r="H366" s="793">
        <f t="shared" si="210"/>
        <v>0</v>
      </c>
      <c r="I366" s="793">
        <f t="shared" si="210"/>
        <v>0</v>
      </c>
      <c r="J366" s="793">
        <f t="shared" si="210"/>
        <v>0</v>
      </c>
      <c r="K366" s="793">
        <f t="shared" si="210"/>
        <v>0</v>
      </c>
      <c r="L366" s="793">
        <f t="shared" si="210"/>
        <v>0</v>
      </c>
      <c r="M366" s="793">
        <f t="shared" si="210"/>
        <v>0</v>
      </c>
      <c r="N366" s="793">
        <f t="shared" si="210"/>
        <v>0</v>
      </c>
    </row>
    <row r="367" spans="1:14" s="759" customFormat="1" ht="12" hidden="1">
      <c r="A367" s="2678"/>
      <c r="B367" s="2851"/>
      <c r="C367" s="1823" t="s">
        <v>3993</v>
      </c>
      <c r="D367" s="901">
        <v>1</v>
      </c>
      <c r="E367" s="909">
        <v>0.01</v>
      </c>
      <c r="F367" s="757">
        <f>SUM(G367:N367)</f>
        <v>0</v>
      </c>
      <c r="G367" s="793">
        <f t="shared" ref="G367:N367" si="211">IF(G304="積上げ",0,+G342)</f>
        <v>0</v>
      </c>
      <c r="H367" s="793">
        <f t="shared" si="211"/>
        <v>0</v>
      </c>
      <c r="I367" s="793">
        <f t="shared" si="211"/>
        <v>0</v>
      </c>
      <c r="J367" s="793">
        <f t="shared" si="211"/>
        <v>0</v>
      </c>
      <c r="K367" s="793">
        <f t="shared" si="211"/>
        <v>0</v>
      </c>
      <c r="L367" s="793">
        <f t="shared" si="211"/>
        <v>0</v>
      </c>
      <c r="M367" s="793">
        <f t="shared" si="211"/>
        <v>0</v>
      </c>
      <c r="N367" s="793">
        <f t="shared" si="211"/>
        <v>0</v>
      </c>
    </row>
    <row r="368" spans="1:14" s="759" customFormat="1" ht="12" hidden="1">
      <c r="A368" s="2678"/>
      <c r="B368" s="2851"/>
      <c r="C368" s="1823" t="s">
        <v>3994</v>
      </c>
      <c r="D368" s="901">
        <v>1</v>
      </c>
      <c r="E368" s="909">
        <v>0.01</v>
      </c>
      <c r="F368" s="757">
        <f>SUM(G368:N368)</f>
        <v>0</v>
      </c>
      <c r="G368" s="793">
        <f t="shared" ref="G368:N368" si="212">IF(G304="積上げ",0,+G343)</f>
        <v>0</v>
      </c>
      <c r="H368" s="793">
        <f t="shared" si="212"/>
        <v>0</v>
      </c>
      <c r="I368" s="793">
        <f t="shared" si="212"/>
        <v>0</v>
      </c>
      <c r="J368" s="793">
        <f t="shared" si="212"/>
        <v>0</v>
      </c>
      <c r="K368" s="793">
        <f t="shared" si="212"/>
        <v>0</v>
      </c>
      <c r="L368" s="793">
        <f t="shared" si="212"/>
        <v>0</v>
      </c>
      <c r="M368" s="793">
        <f t="shared" si="212"/>
        <v>0</v>
      </c>
      <c r="N368" s="793">
        <f t="shared" si="212"/>
        <v>0</v>
      </c>
    </row>
    <row r="369" spans="1:14" s="759" customFormat="1" ht="12" hidden="1">
      <c r="A369" s="2678"/>
      <c r="B369" s="2852"/>
      <c r="C369" s="900" t="s">
        <v>3995</v>
      </c>
      <c r="D369" s="901">
        <v>1</v>
      </c>
      <c r="E369" s="909">
        <v>0.01</v>
      </c>
      <c r="F369" s="757">
        <f>SUM(G369:N369)</f>
        <v>0</v>
      </c>
      <c r="G369" s="793">
        <f t="shared" ref="G369:N369" si="213">IF(G304="積上げ",0,+G344)</f>
        <v>0</v>
      </c>
      <c r="H369" s="793">
        <f t="shared" si="213"/>
        <v>0</v>
      </c>
      <c r="I369" s="793">
        <f t="shared" si="213"/>
        <v>0</v>
      </c>
      <c r="J369" s="793">
        <f t="shared" si="213"/>
        <v>0</v>
      </c>
      <c r="K369" s="793">
        <f t="shared" si="213"/>
        <v>0</v>
      </c>
      <c r="L369" s="793">
        <f t="shared" si="213"/>
        <v>0</v>
      </c>
      <c r="M369" s="793">
        <f t="shared" si="213"/>
        <v>0</v>
      </c>
      <c r="N369" s="793">
        <f t="shared" si="213"/>
        <v>0</v>
      </c>
    </row>
    <row r="370" spans="1:14" s="759" customFormat="1" ht="12" hidden="1">
      <c r="A370" s="2679"/>
      <c r="B370" s="1824" t="s">
        <v>4016</v>
      </c>
      <c r="C370" s="1828" t="s">
        <v>4813</v>
      </c>
      <c r="D370" s="913">
        <v>1</v>
      </c>
      <c r="E370" s="914">
        <v>0</v>
      </c>
      <c r="F370" s="915">
        <f>SUM(G370:N370)</f>
        <v>0</v>
      </c>
      <c r="G370" s="916">
        <f>IF(G304="積上げ",0,SUM(G348:G351)+G345)</f>
        <v>0</v>
      </c>
      <c r="H370" s="916">
        <f t="shared" ref="H370:N370" si="214">IF(H304="積上げ",0,SUM(H348:H351)+H345)</f>
        <v>0</v>
      </c>
      <c r="I370" s="916">
        <f t="shared" si="214"/>
        <v>0</v>
      </c>
      <c r="J370" s="916">
        <f t="shared" si="214"/>
        <v>0</v>
      </c>
      <c r="K370" s="916">
        <f t="shared" si="214"/>
        <v>0</v>
      </c>
      <c r="L370" s="916">
        <f t="shared" si="214"/>
        <v>0</v>
      </c>
      <c r="M370" s="916">
        <f t="shared" si="214"/>
        <v>0</v>
      </c>
      <c r="N370" s="916">
        <f t="shared" si="214"/>
        <v>0</v>
      </c>
    </row>
    <row r="371" spans="1:14" s="759" customFormat="1" ht="12" hidden="1">
      <c r="A371" s="918"/>
      <c r="B371" s="1825"/>
      <c r="C371" s="1826"/>
      <c r="D371" s="2681"/>
      <c r="E371" s="2681"/>
      <c r="F371" s="896"/>
      <c r="G371" s="897"/>
      <c r="H371" s="897"/>
      <c r="I371" s="897"/>
      <c r="J371" s="897"/>
      <c r="K371" s="897"/>
      <c r="L371" s="897"/>
      <c r="M371" s="897"/>
      <c r="N371" s="921"/>
    </row>
    <row r="372" spans="1:14" s="759" customFormat="1" hidden="1">
      <c r="A372" s="2675" t="s">
        <v>4018</v>
      </c>
      <c r="B372" s="2676"/>
      <c r="C372" s="2870"/>
      <c r="D372" s="2682"/>
      <c r="E372" s="2682"/>
      <c r="F372" s="889"/>
      <c r="G372" s="890"/>
      <c r="H372" s="890"/>
      <c r="I372" s="890"/>
      <c r="J372" s="890"/>
      <c r="K372" s="890"/>
      <c r="L372" s="890"/>
      <c r="M372" s="890"/>
      <c r="N372" s="891"/>
    </row>
    <row r="373" spans="1:14" s="759" customFormat="1" ht="12" hidden="1">
      <c r="A373" s="2677"/>
      <c r="B373" s="2850" t="s">
        <v>3981</v>
      </c>
      <c r="C373" s="922" t="s">
        <v>3982</v>
      </c>
      <c r="D373" s="923"/>
      <c r="E373" s="924" t="s">
        <v>4011</v>
      </c>
      <c r="F373" s="925" t="s">
        <v>4019</v>
      </c>
      <c r="G373" s="926">
        <f t="shared" ref="G373:N373" si="215">IF(G357=0,0,IF(G305="有り",+G478/100,G479/100))</f>
        <v>0</v>
      </c>
      <c r="H373" s="926">
        <f t="shared" si="215"/>
        <v>0</v>
      </c>
      <c r="I373" s="926">
        <f t="shared" si="215"/>
        <v>0</v>
      </c>
      <c r="J373" s="926">
        <f t="shared" si="215"/>
        <v>0</v>
      </c>
      <c r="K373" s="926">
        <f t="shared" si="215"/>
        <v>0</v>
      </c>
      <c r="L373" s="926">
        <f t="shared" si="215"/>
        <v>0</v>
      </c>
      <c r="M373" s="926">
        <f t="shared" si="215"/>
        <v>0</v>
      </c>
      <c r="N373" s="927">
        <f t="shared" si="215"/>
        <v>0</v>
      </c>
    </row>
    <row r="374" spans="1:14" s="759" customFormat="1" ht="12" hidden="1">
      <c r="A374" s="2678"/>
      <c r="B374" s="2851"/>
      <c r="C374" s="928"/>
      <c r="D374" s="929">
        <f>+D357</f>
        <v>1</v>
      </c>
      <c r="E374" s="930" t="s">
        <v>4011</v>
      </c>
      <c r="F374" s="931">
        <f>SUM(G374:N374)</f>
        <v>0</v>
      </c>
      <c r="G374" s="748">
        <f t="shared" ref="G374:N374" si="216">ROUNDDOWN(G357*G373*$D374,0)</f>
        <v>0</v>
      </c>
      <c r="H374" s="748">
        <f t="shared" si="216"/>
        <v>0</v>
      </c>
      <c r="I374" s="748">
        <f t="shared" si="216"/>
        <v>0</v>
      </c>
      <c r="J374" s="748">
        <f t="shared" si="216"/>
        <v>0</v>
      </c>
      <c r="K374" s="748">
        <f t="shared" si="216"/>
        <v>0</v>
      </c>
      <c r="L374" s="748">
        <f t="shared" si="216"/>
        <v>0</v>
      </c>
      <c r="M374" s="748">
        <f t="shared" si="216"/>
        <v>0</v>
      </c>
      <c r="N374" s="932">
        <f t="shared" si="216"/>
        <v>0</v>
      </c>
    </row>
    <row r="375" spans="1:14" s="759" customFormat="1" ht="12" hidden="1">
      <c r="A375" s="2678"/>
      <c r="B375" s="2851"/>
      <c r="C375" s="933" t="s">
        <v>3983</v>
      </c>
      <c r="D375" s="934"/>
      <c r="E375" s="930" t="s">
        <v>4011</v>
      </c>
      <c r="F375" s="935" t="s">
        <v>4019</v>
      </c>
      <c r="G375" s="937">
        <f t="shared" ref="G375:N375" si="217">IF(G358=0,0,IF(G305="有り",G487/100,+G488/100))</f>
        <v>0</v>
      </c>
      <c r="H375" s="937">
        <f t="shared" si="217"/>
        <v>0</v>
      </c>
      <c r="I375" s="937">
        <f t="shared" si="217"/>
        <v>0</v>
      </c>
      <c r="J375" s="937">
        <f t="shared" si="217"/>
        <v>0</v>
      </c>
      <c r="K375" s="937">
        <f t="shared" si="217"/>
        <v>0</v>
      </c>
      <c r="L375" s="937">
        <f t="shared" si="217"/>
        <v>0</v>
      </c>
      <c r="M375" s="937">
        <f t="shared" si="217"/>
        <v>0</v>
      </c>
      <c r="N375" s="938">
        <f t="shared" si="217"/>
        <v>0</v>
      </c>
    </row>
    <row r="376" spans="1:14" s="759" customFormat="1" ht="12" hidden="1">
      <c r="A376" s="2678"/>
      <c r="B376" s="2851"/>
      <c r="C376" s="928"/>
      <c r="D376" s="939">
        <f t="shared" ref="D376:D381" si="218">+D358</f>
        <v>1</v>
      </c>
      <c r="E376" s="930" t="s">
        <v>4011</v>
      </c>
      <c r="F376" s="931">
        <f>SUM(G376:N376)</f>
        <v>0</v>
      </c>
      <c r="G376" s="748">
        <f t="shared" ref="G376:N376" si="219">ROUNDDOWN(G358*G375*$D376,0)</f>
        <v>0</v>
      </c>
      <c r="H376" s="748">
        <f t="shared" si="219"/>
        <v>0</v>
      </c>
      <c r="I376" s="748">
        <f t="shared" si="219"/>
        <v>0</v>
      </c>
      <c r="J376" s="748">
        <f t="shared" si="219"/>
        <v>0</v>
      </c>
      <c r="K376" s="748">
        <f t="shared" si="219"/>
        <v>0</v>
      </c>
      <c r="L376" s="748">
        <f t="shared" si="219"/>
        <v>0</v>
      </c>
      <c r="M376" s="748">
        <f t="shared" si="219"/>
        <v>0</v>
      </c>
      <c r="N376" s="932">
        <f t="shared" si="219"/>
        <v>0</v>
      </c>
    </row>
    <row r="377" spans="1:14" s="759" customFormat="1" ht="12" hidden="1">
      <c r="A377" s="2678"/>
      <c r="B377" s="2851"/>
      <c r="C377" s="900" t="s">
        <v>4020</v>
      </c>
      <c r="D377" s="940">
        <v>0.9</v>
      </c>
      <c r="E377" s="930" t="s">
        <v>4011</v>
      </c>
      <c r="F377" s="931">
        <f>SUM(G377:N377)</f>
        <v>0</v>
      </c>
      <c r="G377" s="748">
        <f t="shared" ref="G377:N377" si="220">ROUNDDOWN(G359*G373*$D377,0)</f>
        <v>0</v>
      </c>
      <c r="H377" s="748">
        <f t="shared" si="220"/>
        <v>0</v>
      </c>
      <c r="I377" s="748">
        <f t="shared" si="220"/>
        <v>0</v>
      </c>
      <c r="J377" s="748">
        <f t="shared" si="220"/>
        <v>0</v>
      </c>
      <c r="K377" s="748">
        <f t="shared" si="220"/>
        <v>0</v>
      </c>
      <c r="L377" s="748">
        <f t="shared" si="220"/>
        <v>0</v>
      </c>
      <c r="M377" s="748">
        <f t="shared" si="220"/>
        <v>0</v>
      </c>
      <c r="N377" s="932">
        <f t="shared" si="220"/>
        <v>0</v>
      </c>
    </row>
    <row r="378" spans="1:14" s="759" customFormat="1" ht="12" hidden="1">
      <c r="A378" s="2678"/>
      <c r="B378" s="2852"/>
      <c r="C378" s="900" t="s">
        <v>4021</v>
      </c>
      <c r="D378" s="940">
        <v>0.9</v>
      </c>
      <c r="E378" s="930" t="s">
        <v>4011</v>
      </c>
      <c r="F378" s="931">
        <f>SUM(G378:N378)</f>
        <v>0</v>
      </c>
      <c r="G378" s="748">
        <f t="shared" ref="G378:N378" si="221">ROUNDDOWN(G360*G375*$D378,0)</f>
        <v>0</v>
      </c>
      <c r="H378" s="748">
        <f t="shared" si="221"/>
        <v>0</v>
      </c>
      <c r="I378" s="748">
        <f t="shared" si="221"/>
        <v>0</v>
      </c>
      <c r="J378" s="748">
        <f t="shared" si="221"/>
        <v>0</v>
      </c>
      <c r="K378" s="748">
        <f t="shared" si="221"/>
        <v>0</v>
      </c>
      <c r="L378" s="748">
        <f t="shared" si="221"/>
        <v>0</v>
      </c>
      <c r="M378" s="748">
        <f t="shared" si="221"/>
        <v>0</v>
      </c>
      <c r="N378" s="932">
        <f t="shared" si="221"/>
        <v>0</v>
      </c>
    </row>
    <row r="379" spans="1:14" s="759" customFormat="1" ht="12" hidden="1">
      <c r="A379" s="2678"/>
      <c r="B379" s="2776" t="s">
        <v>3986</v>
      </c>
      <c r="C379" s="900" t="s">
        <v>4014</v>
      </c>
      <c r="D379" s="940">
        <f>+D361</f>
        <v>1</v>
      </c>
      <c r="E379" s="909">
        <f>+E361</f>
        <v>0.01</v>
      </c>
      <c r="F379" s="757">
        <v>0</v>
      </c>
      <c r="G379" s="748">
        <f t="shared" ref="G379:N388" si="222">ROUNDDOWN(G361*$E379*$D379,0)</f>
        <v>0</v>
      </c>
      <c r="H379" s="748">
        <f t="shared" si="222"/>
        <v>0</v>
      </c>
      <c r="I379" s="748">
        <f t="shared" si="222"/>
        <v>0</v>
      </c>
      <c r="J379" s="748">
        <f t="shared" si="222"/>
        <v>0</v>
      </c>
      <c r="K379" s="748">
        <f t="shared" si="222"/>
        <v>0</v>
      </c>
      <c r="L379" s="748">
        <f t="shared" si="222"/>
        <v>0</v>
      </c>
      <c r="M379" s="748">
        <f t="shared" si="222"/>
        <v>0</v>
      </c>
      <c r="N379" s="748">
        <f t="shared" si="222"/>
        <v>0</v>
      </c>
    </row>
    <row r="380" spans="1:14" s="759" customFormat="1" ht="12" hidden="1">
      <c r="A380" s="2678"/>
      <c r="B380" s="2851"/>
      <c r="C380" s="900" t="s">
        <v>4022</v>
      </c>
      <c r="D380" s="940">
        <f t="shared" si="218"/>
        <v>1</v>
      </c>
      <c r="E380" s="909">
        <f>+E362</f>
        <v>0.01</v>
      </c>
      <c r="F380" s="757">
        <v>0</v>
      </c>
      <c r="G380" s="748">
        <f t="shared" si="222"/>
        <v>0</v>
      </c>
      <c r="H380" s="748">
        <f t="shared" si="222"/>
        <v>0</v>
      </c>
      <c r="I380" s="748">
        <f t="shared" si="222"/>
        <v>0</v>
      </c>
      <c r="J380" s="748">
        <f t="shared" si="222"/>
        <v>0</v>
      </c>
      <c r="K380" s="748">
        <f t="shared" si="222"/>
        <v>0</v>
      </c>
      <c r="L380" s="748">
        <f t="shared" si="222"/>
        <v>0</v>
      </c>
      <c r="M380" s="748">
        <f t="shared" si="222"/>
        <v>0</v>
      </c>
      <c r="N380" s="748">
        <f t="shared" si="222"/>
        <v>0</v>
      </c>
    </row>
    <row r="381" spans="1:14" s="759" customFormat="1" ht="12" hidden="1">
      <c r="A381" s="2678"/>
      <c r="B381" s="2851"/>
      <c r="C381" s="900" t="s">
        <v>3989</v>
      </c>
      <c r="D381" s="940">
        <f t="shared" si="218"/>
        <v>1</v>
      </c>
      <c r="E381" s="909">
        <f>+E363</f>
        <v>0.01</v>
      </c>
      <c r="F381" s="757">
        <v>0</v>
      </c>
      <c r="G381" s="748">
        <f t="shared" si="222"/>
        <v>0</v>
      </c>
      <c r="H381" s="748">
        <f t="shared" si="222"/>
        <v>0</v>
      </c>
      <c r="I381" s="748">
        <f t="shared" si="222"/>
        <v>0</v>
      </c>
      <c r="J381" s="748">
        <f t="shared" si="222"/>
        <v>0</v>
      </c>
      <c r="K381" s="748">
        <f t="shared" si="222"/>
        <v>0</v>
      </c>
      <c r="L381" s="748">
        <f t="shared" si="222"/>
        <v>0</v>
      </c>
      <c r="M381" s="748">
        <f t="shared" si="222"/>
        <v>0</v>
      </c>
      <c r="N381" s="748">
        <f t="shared" si="222"/>
        <v>0</v>
      </c>
    </row>
    <row r="382" spans="1:14" s="759" customFormat="1" ht="12" hidden="1">
      <c r="A382" s="2678"/>
      <c r="B382" s="2851"/>
      <c r="C382" s="900" t="s">
        <v>4023</v>
      </c>
      <c r="D382" s="940"/>
      <c r="E382" s="909"/>
      <c r="F382" s="757"/>
      <c r="G382" s="748"/>
      <c r="H382" s="748"/>
      <c r="I382" s="748"/>
      <c r="J382" s="748"/>
      <c r="K382" s="748"/>
      <c r="L382" s="748"/>
      <c r="M382" s="748"/>
      <c r="N382" s="748"/>
    </row>
    <row r="383" spans="1:14" s="759" customFormat="1" ht="12" hidden="1">
      <c r="A383" s="2678"/>
      <c r="B383" s="2851"/>
      <c r="C383" s="1827" t="s">
        <v>3991</v>
      </c>
      <c r="D383" s="940"/>
      <c r="E383" s="909"/>
      <c r="F383" s="757"/>
      <c r="G383" s="748"/>
      <c r="H383" s="748"/>
      <c r="I383" s="748"/>
      <c r="J383" s="748"/>
      <c r="K383" s="748"/>
      <c r="L383" s="748"/>
      <c r="M383" s="748"/>
      <c r="N383" s="748"/>
    </row>
    <row r="384" spans="1:14" s="759" customFormat="1" ht="12" hidden="1">
      <c r="A384" s="2678"/>
      <c r="B384" s="2851"/>
      <c r="C384" s="900" t="s">
        <v>3992</v>
      </c>
      <c r="D384" s="940">
        <f t="shared" ref="D384:E388" si="223">+D366</f>
        <v>1</v>
      </c>
      <c r="E384" s="909">
        <f t="shared" si="223"/>
        <v>0.01</v>
      </c>
      <c r="F384" s="757">
        <v>0</v>
      </c>
      <c r="G384" s="748">
        <f t="shared" si="222"/>
        <v>0</v>
      </c>
      <c r="H384" s="748">
        <f t="shared" si="222"/>
        <v>0</v>
      </c>
      <c r="I384" s="748">
        <f t="shared" si="222"/>
        <v>0</v>
      </c>
      <c r="J384" s="748">
        <f t="shared" si="222"/>
        <v>0</v>
      </c>
      <c r="K384" s="748">
        <f t="shared" si="222"/>
        <v>0</v>
      </c>
      <c r="L384" s="748">
        <f t="shared" si="222"/>
        <v>0</v>
      </c>
      <c r="M384" s="748">
        <f t="shared" si="222"/>
        <v>0</v>
      </c>
      <c r="N384" s="748">
        <f t="shared" si="222"/>
        <v>0</v>
      </c>
    </row>
    <row r="385" spans="1:14" s="759" customFormat="1" ht="12" hidden="1">
      <c r="A385" s="2678"/>
      <c r="B385" s="2851"/>
      <c r="C385" s="1823" t="s">
        <v>4024</v>
      </c>
      <c r="D385" s="940">
        <f t="shared" si="223"/>
        <v>1</v>
      </c>
      <c r="E385" s="909">
        <f t="shared" si="223"/>
        <v>0.01</v>
      </c>
      <c r="F385" s="757">
        <v>0</v>
      </c>
      <c r="G385" s="748">
        <f t="shared" si="222"/>
        <v>0</v>
      </c>
      <c r="H385" s="748">
        <f t="shared" si="222"/>
        <v>0</v>
      </c>
      <c r="I385" s="748">
        <f t="shared" si="222"/>
        <v>0</v>
      </c>
      <c r="J385" s="748">
        <f t="shared" si="222"/>
        <v>0</v>
      </c>
      <c r="K385" s="748">
        <f t="shared" si="222"/>
        <v>0</v>
      </c>
      <c r="L385" s="748">
        <f t="shared" si="222"/>
        <v>0</v>
      </c>
      <c r="M385" s="748">
        <f t="shared" si="222"/>
        <v>0</v>
      </c>
      <c r="N385" s="748">
        <f t="shared" si="222"/>
        <v>0</v>
      </c>
    </row>
    <row r="386" spans="1:14" s="759" customFormat="1" ht="12" hidden="1">
      <c r="A386" s="2678"/>
      <c r="B386" s="2851"/>
      <c r="C386" s="1823" t="s">
        <v>4025</v>
      </c>
      <c r="D386" s="940">
        <f t="shared" si="223"/>
        <v>1</v>
      </c>
      <c r="E386" s="909">
        <f t="shared" si="223"/>
        <v>0.01</v>
      </c>
      <c r="F386" s="757">
        <v>0</v>
      </c>
      <c r="G386" s="748">
        <f t="shared" si="222"/>
        <v>0</v>
      </c>
      <c r="H386" s="748">
        <f t="shared" si="222"/>
        <v>0</v>
      </c>
      <c r="I386" s="748">
        <f t="shared" si="222"/>
        <v>0</v>
      </c>
      <c r="J386" s="748">
        <f t="shared" si="222"/>
        <v>0</v>
      </c>
      <c r="K386" s="748">
        <f t="shared" si="222"/>
        <v>0</v>
      </c>
      <c r="L386" s="748">
        <f t="shared" si="222"/>
        <v>0</v>
      </c>
      <c r="M386" s="748">
        <f t="shared" si="222"/>
        <v>0</v>
      </c>
      <c r="N386" s="748">
        <f t="shared" si="222"/>
        <v>0</v>
      </c>
    </row>
    <row r="387" spans="1:14" s="759" customFormat="1" ht="12" hidden="1">
      <c r="A387" s="2678"/>
      <c r="B387" s="2852"/>
      <c r="C387" s="900" t="s">
        <v>3995</v>
      </c>
      <c r="D387" s="940">
        <f t="shared" si="223"/>
        <v>1</v>
      </c>
      <c r="E387" s="909">
        <f t="shared" si="223"/>
        <v>0.01</v>
      </c>
      <c r="F387" s="757">
        <v>0</v>
      </c>
      <c r="G387" s="748">
        <f t="shared" si="222"/>
        <v>0</v>
      </c>
      <c r="H387" s="748">
        <f t="shared" si="222"/>
        <v>0</v>
      </c>
      <c r="I387" s="748">
        <f t="shared" si="222"/>
        <v>0</v>
      </c>
      <c r="J387" s="748">
        <f t="shared" si="222"/>
        <v>0</v>
      </c>
      <c r="K387" s="748">
        <f t="shared" si="222"/>
        <v>0</v>
      </c>
      <c r="L387" s="748">
        <f t="shared" si="222"/>
        <v>0</v>
      </c>
      <c r="M387" s="748">
        <f t="shared" si="222"/>
        <v>0</v>
      </c>
      <c r="N387" s="748">
        <f t="shared" si="222"/>
        <v>0</v>
      </c>
    </row>
    <row r="388" spans="1:14" s="759" customFormat="1" ht="12.75" hidden="1" thickBot="1">
      <c r="A388" s="2874"/>
      <c r="B388" s="2505" t="s">
        <v>4016</v>
      </c>
      <c r="C388" s="1828" t="s">
        <v>4026</v>
      </c>
      <c r="D388" s="2506">
        <f t="shared" si="223"/>
        <v>1</v>
      </c>
      <c r="E388" s="2507">
        <f t="shared" si="223"/>
        <v>0</v>
      </c>
      <c r="F388" s="2447">
        <f>ROUNDDOWN(D388*E388*F370,0)</f>
        <v>0</v>
      </c>
      <c r="G388" s="748">
        <f>ROUNDDOWN(G370*$E388*$D388,0)</f>
        <v>0</v>
      </c>
      <c r="H388" s="748">
        <f>ROUNDDOWN(H370*$E388*$D388,0)</f>
        <v>0</v>
      </c>
      <c r="I388" s="748">
        <f>ROUNDDOWN(I370*$E388*$D388,0)</f>
        <v>0</v>
      </c>
      <c r="J388" s="748">
        <f>ROUNDDOWN(J370*$E388*$D388,0)</f>
        <v>0</v>
      </c>
      <c r="K388" s="748">
        <f t="shared" si="222"/>
        <v>0</v>
      </c>
      <c r="L388" s="748">
        <f t="shared" si="222"/>
        <v>0</v>
      </c>
      <c r="M388" s="748">
        <f t="shared" si="222"/>
        <v>0</v>
      </c>
      <c r="N388" s="748">
        <f t="shared" si="222"/>
        <v>0</v>
      </c>
    </row>
    <row r="389" spans="1:14" s="759" customFormat="1" ht="12.75" hidden="1" thickTop="1">
      <c r="A389" s="1829"/>
      <c r="B389" s="1830"/>
      <c r="C389" s="1831" t="s">
        <v>4027</v>
      </c>
      <c r="D389" s="1832"/>
      <c r="E389" s="1833"/>
      <c r="F389" s="1834">
        <f>SUM(G389:N389)</f>
        <v>0</v>
      </c>
      <c r="G389" s="1835">
        <f>SUM(G376:G388)+G374</f>
        <v>0</v>
      </c>
      <c r="H389" s="1835">
        <f t="shared" ref="H389:N389" si="224">SUM(H376:H388)+H374</f>
        <v>0</v>
      </c>
      <c r="I389" s="1835">
        <f t="shared" si="224"/>
        <v>0</v>
      </c>
      <c r="J389" s="1835">
        <f t="shared" si="224"/>
        <v>0</v>
      </c>
      <c r="K389" s="1835">
        <f t="shared" si="224"/>
        <v>0</v>
      </c>
      <c r="L389" s="1835">
        <f t="shared" si="224"/>
        <v>0</v>
      </c>
      <c r="M389" s="1835">
        <f t="shared" si="224"/>
        <v>0</v>
      </c>
      <c r="N389" s="1836">
        <f t="shared" si="224"/>
        <v>0</v>
      </c>
    </row>
    <row r="390" spans="1:14" s="759" customFormat="1" ht="12">
      <c r="A390" s="754"/>
      <c r="B390" s="754"/>
      <c r="C390" s="762"/>
      <c r="D390" s="762"/>
      <c r="E390" s="754"/>
      <c r="F390" s="879"/>
      <c r="G390" s="880"/>
      <c r="H390" s="880"/>
      <c r="I390" s="880"/>
      <c r="J390" s="880"/>
      <c r="K390" s="880"/>
      <c r="L390" s="880"/>
      <c r="M390" s="880"/>
      <c r="N390" s="880"/>
    </row>
    <row r="391" spans="1:14" s="759" customFormat="1">
      <c r="A391" s="754"/>
      <c r="B391" s="754"/>
      <c r="C391" s="881" t="s">
        <v>4814</v>
      </c>
      <c r="D391" s="881"/>
      <c r="E391" s="882"/>
      <c r="F391" s="646"/>
      <c r="G391" s="651"/>
      <c r="H391" s="651"/>
      <c r="I391" s="651"/>
      <c r="J391" s="651"/>
      <c r="K391" s="651"/>
      <c r="L391" s="651"/>
      <c r="M391" s="651"/>
      <c r="N391" s="653" t="s">
        <v>4815</v>
      </c>
    </row>
    <row r="392" spans="1:14" s="759" customFormat="1" ht="12">
      <c r="A392" s="754"/>
      <c r="B392" s="754"/>
      <c r="C392" s="883" t="s">
        <v>4030</v>
      </c>
      <c r="D392" s="883"/>
      <c r="E392" s="882"/>
      <c r="F392" s="646"/>
      <c r="G392" s="651"/>
      <c r="H392" s="651"/>
      <c r="I392" s="651"/>
      <c r="J392" s="651"/>
      <c r="K392" s="651"/>
      <c r="L392" s="651"/>
      <c r="M392" s="651"/>
      <c r="N392" s="653"/>
    </row>
    <row r="393" spans="1:14" s="759" customFormat="1" ht="12">
      <c r="A393" s="884"/>
      <c r="B393" s="885"/>
      <c r="C393" s="885"/>
      <c r="D393" s="2673" t="s">
        <v>4007</v>
      </c>
      <c r="E393" s="2673" t="s">
        <v>4008</v>
      </c>
      <c r="F393" s="886" t="s">
        <v>3979</v>
      </c>
      <c r="G393" s="887">
        <f t="shared" ref="G393:N393" si="225">+G302</f>
        <v>0</v>
      </c>
      <c r="H393" s="887">
        <f t="shared" si="225"/>
        <v>0</v>
      </c>
      <c r="I393" s="887">
        <f t="shared" si="225"/>
        <v>0</v>
      </c>
      <c r="J393" s="887">
        <f t="shared" si="225"/>
        <v>0</v>
      </c>
      <c r="K393" s="887">
        <f t="shared" si="225"/>
        <v>0</v>
      </c>
      <c r="L393" s="887">
        <f t="shared" si="225"/>
        <v>0</v>
      </c>
      <c r="M393" s="887">
        <f t="shared" si="225"/>
        <v>0</v>
      </c>
      <c r="N393" s="888">
        <f t="shared" si="225"/>
        <v>0</v>
      </c>
    </row>
    <row r="394" spans="1:14" s="759" customFormat="1">
      <c r="A394" s="2675" t="s">
        <v>4031</v>
      </c>
      <c r="B394" s="2676"/>
      <c r="C394" s="2870"/>
      <c r="D394" s="2674"/>
      <c r="E394" s="2674"/>
      <c r="F394" s="889"/>
      <c r="G394" s="890"/>
      <c r="H394" s="890"/>
      <c r="I394" s="890"/>
      <c r="J394" s="890"/>
      <c r="K394" s="890"/>
      <c r="L394" s="890"/>
      <c r="M394" s="890"/>
      <c r="N394" s="891"/>
    </row>
    <row r="395" spans="1:14" s="759" customFormat="1" ht="12">
      <c r="A395" s="2677"/>
      <c r="B395" s="892" t="s">
        <v>4032</v>
      </c>
      <c r="C395" s="893"/>
      <c r="D395" s="894"/>
      <c r="E395" s="895"/>
      <c r="F395" s="896">
        <f t="shared" ref="F395:F402" si="226">SUM(G395:N395)</f>
        <v>0</v>
      </c>
      <c r="G395" s="897">
        <f t="shared" ref="G395:N395" si="227">+G306-G350-G349-G345-G346</f>
        <v>0</v>
      </c>
      <c r="H395" s="897">
        <f t="shared" si="227"/>
        <v>0</v>
      </c>
      <c r="I395" s="897">
        <f t="shared" si="227"/>
        <v>0</v>
      </c>
      <c r="J395" s="897">
        <f t="shared" si="227"/>
        <v>0</v>
      </c>
      <c r="K395" s="897">
        <f t="shared" si="227"/>
        <v>0</v>
      </c>
      <c r="L395" s="897">
        <f t="shared" si="227"/>
        <v>0</v>
      </c>
      <c r="M395" s="897">
        <f t="shared" si="227"/>
        <v>0</v>
      </c>
      <c r="N395" s="921">
        <f t="shared" si="227"/>
        <v>0</v>
      </c>
    </row>
    <row r="396" spans="1:14" s="759" customFormat="1" ht="12">
      <c r="A396" s="2678"/>
      <c r="B396" s="2776" t="s">
        <v>3981</v>
      </c>
      <c r="C396" s="900" t="s">
        <v>3982</v>
      </c>
      <c r="D396" s="901">
        <v>1</v>
      </c>
      <c r="E396" s="902" t="s">
        <v>4011</v>
      </c>
      <c r="F396" s="757">
        <f t="shared" si="226"/>
        <v>0</v>
      </c>
      <c r="G396" s="793">
        <f>IF(G332&gt;=G333,+G332+G374+G313-G314-G315-G350,G332+G374)</f>
        <v>0</v>
      </c>
      <c r="H396" s="793">
        <f t="shared" ref="H396:N396" si="228">IF(H332&gt;=H333,+H332+H374+H313-H314-H315-H350,H332+H374)</f>
        <v>0</v>
      </c>
      <c r="I396" s="793">
        <f t="shared" si="228"/>
        <v>0</v>
      </c>
      <c r="J396" s="793">
        <f t="shared" si="228"/>
        <v>0</v>
      </c>
      <c r="K396" s="793">
        <f t="shared" si="228"/>
        <v>0</v>
      </c>
      <c r="L396" s="793">
        <f t="shared" si="228"/>
        <v>0</v>
      </c>
      <c r="M396" s="793">
        <f t="shared" si="228"/>
        <v>0</v>
      </c>
      <c r="N396" s="794">
        <f t="shared" si="228"/>
        <v>0</v>
      </c>
    </row>
    <row r="397" spans="1:14" s="759" customFormat="1" ht="12">
      <c r="A397" s="2678"/>
      <c r="B397" s="2851"/>
      <c r="C397" s="900" t="s">
        <v>3983</v>
      </c>
      <c r="D397" s="901">
        <v>1</v>
      </c>
      <c r="E397" s="902" t="s">
        <v>4011</v>
      </c>
      <c r="F397" s="757">
        <f t="shared" si="226"/>
        <v>0</v>
      </c>
      <c r="G397" s="793">
        <f>IF(G332&gt;=G333,+G333+G376,G333+G376+G313-G314-G315-G350)</f>
        <v>0</v>
      </c>
      <c r="H397" s="793">
        <f t="shared" ref="H397:N397" si="229">IF(H332&gt;=H333,+H333+H376,H333+H376+H313-H314-H315-H350)</f>
        <v>0</v>
      </c>
      <c r="I397" s="793">
        <f t="shared" si="229"/>
        <v>0</v>
      </c>
      <c r="J397" s="793">
        <f t="shared" si="229"/>
        <v>0</v>
      </c>
      <c r="K397" s="793">
        <f t="shared" si="229"/>
        <v>0</v>
      </c>
      <c r="L397" s="793">
        <f t="shared" si="229"/>
        <v>0</v>
      </c>
      <c r="M397" s="793">
        <f t="shared" si="229"/>
        <v>0</v>
      </c>
      <c r="N397" s="794">
        <f t="shared" si="229"/>
        <v>0</v>
      </c>
    </row>
    <row r="398" spans="1:14" s="759" customFormat="1" ht="12">
      <c r="A398" s="2678"/>
      <c r="B398" s="2851"/>
      <c r="C398" s="900" t="s">
        <v>4012</v>
      </c>
      <c r="D398" s="901">
        <v>1</v>
      </c>
      <c r="E398" s="902" t="s">
        <v>4011</v>
      </c>
      <c r="F398" s="757">
        <f t="shared" si="226"/>
        <v>0</v>
      </c>
      <c r="G398" s="793">
        <f>+G334+G377</f>
        <v>0</v>
      </c>
      <c r="H398" s="793">
        <f t="shared" ref="H398:N398" si="230">+H334+H377</f>
        <v>0</v>
      </c>
      <c r="I398" s="793">
        <f t="shared" si="230"/>
        <v>0</v>
      </c>
      <c r="J398" s="793">
        <f t="shared" si="230"/>
        <v>0</v>
      </c>
      <c r="K398" s="793">
        <f t="shared" si="230"/>
        <v>0</v>
      </c>
      <c r="L398" s="793">
        <f t="shared" si="230"/>
        <v>0</v>
      </c>
      <c r="M398" s="793">
        <f t="shared" si="230"/>
        <v>0</v>
      </c>
      <c r="N398" s="794">
        <f t="shared" si="230"/>
        <v>0</v>
      </c>
    </row>
    <row r="399" spans="1:14" s="759" customFormat="1" ht="12">
      <c r="A399" s="2678"/>
      <c r="B399" s="2852"/>
      <c r="C399" s="900" t="s">
        <v>4013</v>
      </c>
      <c r="D399" s="901">
        <v>1</v>
      </c>
      <c r="E399" s="902" t="s">
        <v>4011</v>
      </c>
      <c r="F399" s="757">
        <f t="shared" si="226"/>
        <v>0</v>
      </c>
      <c r="G399" s="793">
        <f>+G335+G360</f>
        <v>0</v>
      </c>
      <c r="H399" s="793">
        <f t="shared" ref="H399:N399" si="231">+H335+H360</f>
        <v>0</v>
      </c>
      <c r="I399" s="793">
        <f t="shared" si="231"/>
        <v>0</v>
      </c>
      <c r="J399" s="793">
        <f t="shared" si="231"/>
        <v>0</v>
      </c>
      <c r="K399" s="793">
        <f t="shared" si="231"/>
        <v>0</v>
      </c>
      <c r="L399" s="793">
        <f t="shared" si="231"/>
        <v>0</v>
      </c>
      <c r="M399" s="793">
        <f t="shared" si="231"/>
        <v>0</v>
      </c>
      <c r="N399" s="794">
        <f t="shared" si="231"/>
        <v>0</v>
      </c>
    </row>
    <row r="400" spans="1:14" s="759" customFormat="1" ht="12">
      <c r="A400" s="2678"/>
      <c r="B400" s="2776" t="s">
        <v>3986</v>
      </c>
      <c r="C400" s="900" t="s">
        <v>4014</v>
      </c>
      <c r="D400" s="901">
        <v>1</v>
      </c>
      <c r="E400" s="909">
        <v>0.02</v>
      </c>
      <c r="F400" s="757">
        <f t="shared" si="226"/>
        <v>0</v>
      </c>
      <c r="G400" s="793">
        <f>+G336+G379</f>
        <v>0</v>
      </c>
      <c r="H400" s="793">
        <f t="shared" ref="H400:N402" si="232">+H336+H379</f>
        <v>0</v>
      </c>
      <c r="I400" s="793">
        <f t="shared" si="232"/>
        <v>0</v>
      </c>
      <c r="J400" s="793">
        <f t="shared" si="232"/>
        <v>0</v>
      </c>
      <c r="K400" s="793">
        <f t="shared" si="232"/>
        <v>0</v>
      </c>
      <c r="L400" s="793">
        <f t="shared" si="232"/>
        <v>0</v>
      </c>
      <c r="M400" s="793">
        <f t="shared" si="232"/>
        <v>0</v>
      </c>
      <c r="N400" s="794">
        <f t="shared" si="232"/>
        <v>0</v>
      </c>
    </row>
    <row r="401" spans="1:14" s="759" customFormat="1" ht="12">
      <c r="A401" s="2678"/>
      <c r="B401" s="2851"/>
      <c r="C401" s="900" t="s">
        <v>4015</v>
      </c>
      <c r="D401" s="901">
        <v>1</v>
      </c>
      <c r="E401" s="909">
        <v>0.02</v>
      </c>
      <c r="F401" s="757">
        <f t="shared" si="226"/>
        <v>0</v>
      </c>
      <c r="G401" s="793">
        <f>+G337+G380</f>
        <v>0</v>
      </c>
      <c r="H401" s="793">
        <f t="shared" si="232"/>
        <v>0</v>
      </c>
      <c r="I401" s="793">
        <f t="shared" si="232"/>
        <v>0</v>
      </c>
      <c r="J401" s="793">
        <f t="shared" si="232"/>
        <v>0</v>
      </c>
      <c r="K401" s="793">
        <f t="shared" si="232"/>
        <v>0</v>
      </c>
      <c r="L401" s="793">
        <f t="shared" si="232"/>
        <v>0</v>
      </c>
      <c r="M401" s="793">
        <f t="shared" si="232"/>
        <v>0</v>
      </c>
      <c r="N401" s="794">
        <f t="shared" si="232"/>
        <v>0</v>
      </c>
    </row>
    <row r="402" spans="1:14" s="759" customFormat="1" ht="12">
      <c r="A402" s="2678"/>
      <c r="B402" s="2851"/>
      <c r="C402" s="900" t="s">
        <v>3989</v>
      </c>
      <c r="D402" s="901">
        <v>1</v>
      </c>
      <c r="E402" s="909">
        <v>0.02</v>
      </c>
      <c r="F402" s="757">
        <f t="shared" si="226"/>
        <v>0</v>
      </c>
      <c r="G402" s="793">
        <f>+G338+G381</f>
        <v>0</v>
      </c>
      <c r="H402" s="793">
        <f t="shared" si="232"/>
        <v>0</v>
      </c>
      <c r="I402" s="793">
        <f t="shared" si="232"/>
        <v>0</v>
      </c>
      <c r="J402" s="793">
        <f t="shared" si="232"/>
        <v>0</v>
      </c>
      <c r="K402" s="793">
        <f t="shared" si="232"/>
        <v>0</v>
      </c>
      <c r="L402" s="793">
        <f t="shared" si="232"/>
        <v>0</v>
      </c>
      <c r="M402" s="793">
        <f t="shared" si="232"/>
        <v>0</v>
      </c>
      <c r="N402" s="794">
        <f t="shared" si="232"/>
        <v>0</v>
      </c>
    </row>
    <row r="403" spans="1:14" s="759" customFormat="1" ht="12">
      <c r="A403" s="2678"/>
      <c r="B403" s="2851"/>
      <c r="C403" s="900" t="s">
        <v>3990</v>
      </c>
      <c r="D403" s="901"/>
      <c r="E403" s="909"/>
      <c r="F403" s="757"/>
      <c r="G403" s="793"/>
      <c r="H403" s="793"/>
      <c r="I403" s="793"/>
      <c r="J403" s="793"/>
      <c r="K403" s="793"/>
      <c r="L403" s="793"/>
      <c r="M403" s="793"/>
      <c r="N403" s="794"/>
    </row>
    <row r="404" spans="1:14" s="759" customFormat="1" ht="12">
      <c r="A404" s="2678"/>
      <c r="B404" s="2851"/>
      <c r="C404" s="900" t="s">
        <v>3991</v>
      </c>
      <c r="D404" s="901"/>
      <c r="E404" s="909"/>
      <c r="F404" s="757"/>
      <c r="G404" s="793"/>
      <c r="H404" s="793"/>
      <c r="I404" s="793"/>
      <c r="J404" s="793"/>
      <c r="K404" s="793"/>
      <c r="L404" s="793"/>
      <c r="M404" s="793"/>
      <c r="N404" s="794"/>
    </row>
    <row r="405" spans="1:14" s="759" customFormat="1" ht="12">
      <c r="A405" s="2678"/>
      <c r="B405" s="2851"/>
      <c r="C405" s="900" t="s">
        <v>3992</v>
      </c>
      <c r="D405" s="901">
        <v>1</v>
      </c>
      <c r="E405" s="909">
        <v>0.02</v>
      </c>
      <c r="F405" s="757">
        <f>SUM(G405:N405)</f>
        <v>0</v>
      </c>
      <c r="G405" s="793">
        <f t="shared" ref="G405:N408" si="233">+G341+G384</f>
        <v>0</v>
      </c>
      <c r="H405" s="793">
        <f t="shared" si="233"/>
        <v>0</v>
      </c>
      <c r="I405" s="793">
        <f t="shared" si="233"/>
        <v>0</v>
      </c>
      <c r="J405" s="793">
        <f t="shared" si="233"/>
        <v>0</v>
      </c>
      <c r="K405" s="793">
        <f t="shared" si="233"/>
        <v>0</v>
      </c>
      <c r="L405" s="793">
        <f t="shared" si="233"/>
        <v>0</v>
      </c>
      <c r="M405" s="793">
        <f t="shared" si="233"/>
        <v>0</v>
      </c>
      <c r="N405" s="794">
        <f t="shared" si="233"/>
        <v>0</v>
      </c>
    </row>
    <row r="406" spans="1:14" s="759" customFormat="1" ht="12">
      <c r="A406" s="2678"/>
      <c r="B406" s="2851"/>
      <c r="C406" s="1823" t="s">
        <v>3993</v>
      </c>
      <c r="D406" s="901">
        <v>1</v>
      </c>
      <c r="E406" s="909">
        <v>0.02</v>
      </c>
      <c r="F406" s="757">
        <f>SUM(G406:N406)</f>
        <v>0</v>
      </c>
      <c r="G406" s="793">
        <f t="shared" si="233"/>
        <v>0</v>
      </c>
      <c r="H406" s="793">
        <f t="shared" si="233"/>
        <v>0</v>
      </c>
      <c r="I406" s="793">
        <f t="shared" si="233"/>
        <v>0</v>
      </c>
      <c r="J406" s="793">
        <f t="shared" si="233"/>
        <v>0</v>
      </c>
      <c r="K406" s="793">
        <f t="shared" si="233"/>
        <v>0</v>
      </c>
      <c r="L406" s="793">
        <f t="shared" si="233"/>
        <v>0</v>
      </c>
      <c r="M406" s="793">
        <f t="shared" si="233"/>
        <v>0</v>
      </c>
      <c r="N406" s="794">
        <f t="shared" si="233"/>
        <v>0</v>
      </c>
    </row>
    <row r="407" spans="1:14" s="759" customFormat="1" ht="12">
      <c r="A407" s="2678"/>
      <c r="B407" s="2851"/>
      <c r="C407" s="1823" t="s">
        <v>3994</v>
      </c>
      <c r="D407" s="901">
        <v>1</v>
      </c>
      <c r="E407" s="909">
        <v>0.02</v>
      </c>
      <c r="F407" s="757">
        <f>SUM(G407:N407)</f>
        <v>0</v>
      </c>
      <c r="G407" s="793">
        <f t="shared" si="233"/>
        <v>0</v>
      </c>
      <c r="H407" s="793">
        <f t="shared" si="233"/>
        <v>0</v>
      </c>
      <c r="I407" s="793">
        <f t="shared" si="233"/>
        <v>0</v>
      </c>
      <c r="J407" s="793">
        <f t="shared" si="233"/>
        <v>0</v>
      </c>
      <c r="K407" s="793">
        <f t="shared" si="233"/>
        <v>0</v>
      </c>
      <c r="L407" s="793">
        <f t="shared" si="233"/>
        <v>0</v>
      </c>
      <c r="M407" s="793">
        <f t="shared" si="233"/>
        <v>0</v>
      </c>
      <c r="N407" s="794">
        <f t="shared" si="233"/>
        <v>0</v>
      </c>
    </row>
    <row r="408" spans="1:14" s="759" customFormat="1" ht="12">
      <c r="A408" s="2678"/>
      <c r="B408" s="2852"/>
      <c r="C408" s="900" t="s">
        <v>3995</v>
      </c>
      <c r="D408" s="901">
        <v>1</v>
      </c>
      <c r="E408" s="909">
        <v>0.02</v>
      </c>
      <c r="F408" s="757">
        <f>SUM(G408:N408)</f>
        <v>0</v>
      </c>
      <c r="G408" s="793">
        <f t="shared" si="233"/>
        <v>0</v>
      </c>
      <c r="H408" s="793">
        <f t="shared" si="233"/>
        <v>0</v>
      </c>
      <c r="I408" s="793">
        <f t="shared" si="233"/>
        <v>0</v>
      </c>
      <c r="J408" s="793">
        <f t="shared" si="233"/>
        <v>0</v>
      </c>
      <c r="K408" s="793">
        <f t="shared" si="233"/>
        <v>0</v>
      </c>
      <c r="L408" s="793">
        <f t="shared" si="233"/>
        <v>0</v>
      </c>
      <c r="M408" s="793">
        <f t="shared" si="233"/>
        <v>0</v>
      </c>
      <c r="N408" s="794">
        <f t="shared" si="233"/>
        <v>0</v>
      </c>
    </row>
    <row r="409" spans="1:14" s="759" customFormat="1" ht="12">
      <c r="A409" s="2679"/>
      <c r="B409" s="1824" t="s">
        <v>4016</v>
      </c>
      <c r="C409" s="1002" t="s">
        <v>4033</v>
      </c>
      <c r="D409" s="913">
        <v>1</v>
      </c>
      <c r="E409" s="914">
        <v>0</v>
      </c>
      <c r="F409" s="915">
        <f>SUM(G409:N409)</f>
        <v>0</v>
      </c>
      <c r="G409" s="916">
        <f t="shared" ref="G409:N409" si="234">SUM(G345:G351)</f>
        <v>0</v>
      </c>
      <c r="H409" s="916">
        <f t="shared" si="234"/>
        <v>0</v>
      </c>
      <c r="I409" s="916">
        <f t="shared" si="234"/>
        <v>0</v>
      </c>
      <c r="J409" s="916">
        <f t="shared" si="234"/>
        <v>0</v>
      </c>
      <c r="K409" s="916">
        <f t="shared" si="234"/>
        <v>0</v>
      </c>
      <c r="L409" s="916">
        <f t="shared" si="234"/>
        <v>0</v>
      </c>
      <c r="M409" s="916">
        <f t="shared" si="234"/>
        <v>0</v>
      </c>
      <c r="N409" s="917">
        <f t="shared" si="234"/>
        <v>0</v>
      </c>
    </row>
    <row r="410" spans="1:14" s="759" customFormat="1" ht="12">
      <c r="A410" s="918"/>
      <c r="B410" s="1825"/>
      <c r="C410" s="1826"/>
      <c r="D410" s="2681"/>
      <c r="E410" s="2681"/>
      <c r="F410" s="896"/>
      <c r="G410" s="897"/>
      <c r="H410" s="897"/>
      <c r="I410" s="897"/>
      <c r="J410" s="897"/>
      <c r="K410" s="897"/>
      <c r="L410" s="897"/>
      <c r="M410" s="897"/>
      <c r="N410" s="921"/>
    </row>
    <row r="411" spans="1:14" s="759" customFormat="1">
      <c r="A411" s="2675" t="s">
        <v>4034</v>
      </c>
      <c r="B411" s="2676"/>
      <c r="C411" s="2870"/>
      <c r="D411" s="2682"/>
      <c r="E411" s="2682"/>
      <c r="F411" s="889"/>
      <c r="G411" s="890"/>
      <c r="H411" s="890"/>
      <c r="I411" s="890"/>
      <c r="J411" s="890"/>
      <c r="K411" s="890"/>
      <c r="L411" s="890"/>
      <c r="M411" s="890"/>
      <c r="N411" s="891"/>
    </row>
    <row r="412" spans="1:14" s="759" customFormat="1" ht="12">
      <c r="A412" s="2677"/>
      <c r="B412" s="2850" t="s">
        <v>3981</v>
      </c>
      <c r="C412" s="922" t="s">
        <v>3982</v>
      </c>
      <c r="D412" s="923"/>
      <c r="E412" s="924" t="s">
        <v>4011</v>
      </c>
      <c r="F412" s="925" t="s">
        <v>4019</v>
      </c>
      <c r="G412" s="926">
        <f t="shared" ref="G412:N412" si="235">IF(G396=0,0,+G496/100)</f>
        <v>0</v>
      </c>
      <c r="H412" s="926">
        <f t="shared" si="235"/>
        <v>0</v>
      </c>
      <c r="I412" s="926">
        <f t="shared" si="235"/>
        <v>0</v>
      </c>
      <c r="J412" s="926">
        <f t="shared" si="235"/>
        <v>0</v>
      </c>
      <c r="K412" s="926">
        <f t="shared" si="235"/>
        <v>0</v>
      </c>
      <c r="L412" s="926">
        <f t="shared" si="235"/>
        <v>0</v>
      </c>
      <c r="M412" s="926">
        <f t="shared" si="235"/>
        <v>0</v>
      </c>
      <c r="N412" s="927">
        <f t="shared" si="235"/>
        <v>0</v>
      </c>
    </row>
    <row r="413" spans="1:14" s="759" customFormat="1" ht="12">
      <c r="A413" s="2678"/>
      <c r="B413" s="2851"/>
      <c r="C413" s="928"/>
      <c r="D413" s="929">
        <f>+D396</f>
        <v>1</v>
      </c>
      <c r="E413" s="930" t="s">
        <v>4011</v>
      </c>
      <c r="F413" s="931">
        <f>SUM(G413:N413)</f>
        <v>0</v>
      </c>
      <c r="G413" s="748">
        <f t="shared" ref="G413:N413" si="236">ROUNDDOWN(G396*G412*$D413,0)</f>
        <v>0</v>
      </c>
      <c r="H413" s="748">
        <f t="shared" si="236"/>
        <v>0</v>
      </c>
      <c r="I413" s="748">
        <f t="shared" si="236"/>
        <v>0</v>
      </c>
      <c r="J413" s="748">
        <f t="shared" si="236"/>
        <v>0</v>
      </c>
      <c r="K413" s="748">
        <f t="shared" si="236"/>
        <v>0</v>
      </c>
      <c r="L413" s="748">
        <f t="shared" si="236"/>
        <v>0</v>
      </c>
      <c r="M413" s="748">
        <f t="shared" si="236"/>
        <v>0</v>
      </c>
      <c r="N413" s="932">
        <f t="shared" si="236"/>
        <v>0</v>
      </c>
    </row>
    <row r="414" spans="1:14" s="759" customFormat="1" ht="12">
      <c r="A414" s="2678"/>
      <c r="B414" s="2851"/>
      <c r="C414" s="933" t="s">
        <v>3983</v>
      </c>
      <c r="D414" s="934"/>
      <c r="E414" s="930" t="s">
        <v>4011</v>
      </c>
      <c r="F414" s="935" t="s">
        <v>4019</v>
      </c>
      <c r="G414" s="1837">
        <f t="shared" ref="G414:N414" si="237">IF(G397=0,0,+G504/100)</f>
        <v>0</v>
      </c>
      <c r="H414" s="937">
        <f>IF(H397=0,0,+H504/100)</f>
        <v>0</v>
      </c>
      <c r="I414" s="937">
        <f t="shared" si="237"/>
        <v>0</v>
      </c>
      <c r="J414" s="937">
        <f t="shared" si="237"/>
        <v>0</v>
      </c>
      <c r="K414" s="937">
        <f t="shared" si="237"/>
        <v>0</v>
      </c>
      <c r="L414" s="937">
        <f t="shared" si="237"/>
        <v>0</v>
      </c>
      <c r="M414" s="937">
        <f t="shared" si="237"/>
        <v>0</v>
      </c>
      <c r="N414" s="938">
        <f t="shared" si="237"/>
        <v>0</v>
      </c>
    </row>
    <row r="415" spans="1:14" s="759" customFormat="1" ht="12">
      <c r="A415" s="2678"/>
      <c r="B415" s="2851"/>
      <c r="C415" s="928"/>
      <c r="D415" s="939">
        <f t="shared" ref="D415:D420" si="238">+D397</f>
        <v>1</v>
      </c>
      <c r="E415" s="930" t="s">
        <v>4011</v>
      </c>
      <c r="F415" s="931">
        <f t="shared" ref="F415:F420" si="239">SUM(G415:N415)</f>
        <v>0</v>
      </c>
      <c r="G415" s="748">
        <f t="shared" ref="G415:N415" si="240">ROUNDDOWN(G397*G414*$D415,0)</f>
        <v>0</v>
      </c>
      <c r="H415" s="748">
        <f t="shared" si="240"/>
        <v>0</v>
      </c>
      <c r="I415" s="748">
        <f t="shared" si="240"/>
        <v>0</v>
      </c>
      <c r="J415" s="748">
        <f t="shared" si="240"/>
        <v>0</v>
      </c>
      <c r="K415" s="748">
        <f t="shared" si="240"/>
        <v>0</v>
      </c>
      <c r="L415" s="748">
        <f t="shared" si="240"/>
        <v>0</v>
      </c>
      <c r="M415" s="748">
        <f t="shared" si="240"/>
        <v>0</v>
      </c>
      <c r="N415" s="932">
        <f t="shared" si="240"/>
        <v>0</v>
      </c>
    </row>
    <row r="416" spans="1:14" s="759" customFormat="1" ht="12">
      <c r="A416" s="2678"/>
      <c r="B416" s="2851"/>
      <c r="C416" s="900" t="s">
        <v>4020</v>
      </c>
      <c r="D416" s="940">
        <f t="shared" si="238"/>
        <v>1</v>
      </c>
      <c r="E416" s="930" t="s">
        <v>4011</v>
      </c>
      <c r="F416" s="931">
        <f t="shared" si="239"/>
        <v>0</v>
      </c>
      <c r="G416" s="748">
        <f t="shared" ref="G416:N416" si="241">ROUNDDOWN(G398*G412*$D416,0)</f>
        <v>0</v>
      </c>
      <c r="H416" s="748">
        <f t="shared" si="241"/>
        <v>0</v>
      </c>
      <c r="I416" s="748">
        <f t="shared" si="241"/>
        <v>0</v>
      </c>
      <c r="J416" s="748">
        <f t="shared" si="241"/>
        <v>0</v>
      </c>
      <c r="K416" s="748">
        <f t="shared" si="241"/>
        <v>0</v>
      </c>
      <c r="L416" s="748">
        <f t="shared" si="241"/>
        <v>0</v>
      </c>
      <c r="M416" s="748">
        <f t="shared" si="241"/>
        <v>0</v>
      </c>
      <c r="N416" s="932">
        <f t="shared" si="241"/>
        <v>0</v>
      </c>
    </row>
    <row r="417" spans="1:14" s="759" customFormat="1" ht="12">
      <c r="A417" s="2678"/>
      <c r="B417" s="2852"/>
      <c r="C417" s="900" t="s">
        <v>4021</v>
      </c>
      <c r="D417" s="940">
        <f t="shared" si="238"/>
        <v>1</v>
      </c>
      <c r="E417" s="930" t="s">
        <v>4011</v>
      </c>
      <c r="F417" s="931">
        <f t="shared" si="239"/>
        <v>0</v>
      </c>
      <c r="G417" s="748">
        <f t="shared" ref="G417:N417" si="242">ROUNDDOWN(G399*G414*$D417,0)</f>
        <v>0</v>
      </c>
      <c r="H417" s="748">
        <f t="shared" si="242"/>
        <v>0</v>
      </c>
      <c r="I417" s="748">
        <f t="shared" si="242"/>
        <v>0</v>
      </c>
      <c r="J417" s="748">
        <f t="shared" si="242"/>
        <v>0</v>
      </c>
      <c r="K417" s="748">
        <f t="shared" si="242"/>
        <v>0</v>
      </c>
      <c r="L417" s="748">
        <f t="shared" si="242"/>
        <v>0</v>
      </c>
      <c r="M417" s="748">
        <f t="shared" si="242"/>
        <v>0</v>
      </c>
      <c r="N417" s="932">
        <f t="shared" si="242"/>
        <v>0</v>
      </c>
    </row>
    <row r="418" spans="1:14" s="759" customFormat="1" ht="12">
      <c r="A418" s="2678"/>
      <c r="B418" s="2776" t="s">
        <v>3986</v>
      </c>
      <c r="C418" s="900" t="s">
        <v>4014</v>
      </c>
      <c r="D418" s="940">
        <f t="shared" si="238"/>
        <v>1</v>
      </c>
      <c r="E418" s="909">
        <f>+E400</f>
        <v>0.02</v>
      </c>
      <c r="F418" s="931">
        <f t="shared" si="239"/>
        <v>0</v>
      </c>
      <c r="G418" s="748">
        <f t="shared" ref="G418:N426" si="243">ROUNDDOWN(G400*$E418*$D418,0)</f>
        <v>0</v>
      </c>
      <c r="H418" s="748">
        <f t="shared" si="243"/>
        <v>0</v>
      </c>
      <c r="I418" s="748">
        <f t="shared" si="243"/>
        <v>0</v>
      </c>
      <c r="J418" s="748">
        <f t="shared" si="243"/>
        <v>0</v>
      </c>
      <c r="K418" s="748">
        <f t="shared" si="243"/>
        <v>0</v>
      </c>
      <c r="L418" s="748">
        <f t="shared" si="243"/>
        <v>0</v>
      </c>
      <c r="M418" s="748">
        <f t="shared" si="243"/>
        <v>0</v>
      </c>
      <c r="N418" s="932">
        <f t="shared" si="243"/>
        <v>0</v>
      </c>
    </row>
    <row r="419" spans="1:14" s="759" customFormat="1" ht="12">
      <c r="A419" s="2678"/>
      <c r="B419" s="2851"/>
      <c r="C419" s="900" t="s">
        <v>4022</v>
      </c>
      <c r="D419" s="940">
        <f t="shared" si="238"/>
        <v>1</v>
      </c>
      <c r="E419" s="909">
        <f>+E401</f>
        <v>0.02</v>
      </c>
      <c r="F419" s="931">
        <f t="shared" si="239"/>
        <v>0</v>
      </c>
      <c r="G419" s="748">
        <f t="shared" si="243"/>
        <v>0</v>
      </c>
      <c r="H419" s="748">
        <f t="shared" si="243"/>
        <v>0</v>
      </c>
      <c r="I419" s="748">
        <f>ROUNDDOWN(I401*$E419*$D419,0)</f>
        <v>0</v>
      </c>
      <c r="J419" s="748">
        <f>ROUNDDOWN(J401*$E419*$D419,0)</f>
        <v>0</v>
      </c>
      <c r="K419" s="748">
        <f t="shared" si="243"/>
        <v>0</v>
      </c>
      <c r="L419" s="748">
        <f t="shared" si="243"/>
        <v>0</v>
      </c>
      <c r="M419" s="748">
        <f t="shared" si="243"/>
        <v>0</v>
      </c>
      <c r="N419" s="932">
        <f t="shared" si="243"/>
        <v>0</v>
      </c>
    </row>
    <row r="420" spans="1:14" s="759" customFormat="1" ht="12">
      <c r="A420" s="2678"/>
      <c r="B420" s="2851"/>
      <c r="C420" s="900" t="s">
        <v>3989</v>
      </c>
      <c r="D420" s="940">
        <f t="shared" si="238"/>
        <v>1</v>
      </c>
      <c r="E420" s="909">
        <f>+E402</f>
        <v>0.02</v>
      </c>
      <c r="F420" s="931">
        <f t="shared" si="239"/>
        <v>0</v>
      </c>
      <c r="G420" s="748">
        <f t="shared" si="243"/>
        <v>0</v>
      </c>
      <c r="H420" s="748">
        <f t="shared" si="243"/>
        <v>0</v>
      </c>
      <c r="I420" s="748">
        <f>ROUNDDOWN(I402*$E420*$D420,0)</f>
        <v>0</v>
      </c>
      <c r="J420" s="748">
        <f>ROUNDDOWN(J402*$E420*$D420,0)</f>
        <v>0</v>
      </c>
      <c r="K420" s="748">
        <f t="shared" si="243"/>
        <v>0</v>
      </c>
      <c r="L420" s="748">
        <f t="shared" si="243"/>
        <v>0</v>
      </c>
      <c r="M420" s="748">
        <f t="shared" si="243"/>
        <v>0</v>
      </c>
      <c r="N420" s="932">
        <f t="shared" si="243"/>
        <v>0</v>
      </c>
    </row>
    <row r="421" spans="1:14" s="759" customFormat="1" ht="12">
      <c r="A421" s="2678"/>
      <c r="B421" s="2851"/>
      <c r="C421" s="900" t="s">
        <v>3990</v>
      </c>
      <c r="D421" s="940"/>
      <c r="E421" s="909"/>
      <c r="F421" s="931"/>
      <c r="G421" s="748"/>
      <c r="H421" s="748"/>
      <c r="I421" s="748"/>
      <c r="J421" s="748"/>
      <c r="K421" s="748"/>
      <c r="L421" s="748"/>
      <c r="M421" s="748"/>
      <c r="N421" s="932"/>
    </row>
    <row r="422" spans="1:14" s="759" customFormat="1" ht="12">
      <c r="A422" s="2678"/>
      <c r="B422" s="2851"/>
      <c r="C422" s="1827"/>
      <c r="D422" s="940"/>
      <c r="E422" s="909"/>
      <c r="F422" s="931"/>
      <c r="G422" s="748"/>
      <c r="H422" s="748"/>
      <c r="I422" s="748"/>
      <c r="J422" s="748"/>
      <c r="K422" s="748"/>
      <c r="L422" s="748"/>
      <c r="M422" s="748"/>
      <c r="N422" s="932"/>
    </row>
    <row r="423" spans="1:14" s="759" customFormat="1" ht="12">
      <c r="A423" s="2678"/>
      <c r="B423" s="2851"/>
      <c r="C423" s="900" t="s">
        <v>3992</v>
      </c>
      <c r="D423" s="940">
        <f t="shared" ref="D423:E426" si="244">+D405</f>
        <v>1</v>
      </c>
      <c r="E423" s="909">
        <f t="shared" si="244"/>
        <v>0.02</v>
      </c>
      <c r="F423" s="931">
        <f t="shared" ref="F423:F431" si="245">SUM(G423:N423)</f>
        <v>0</v>
      </c>
      <c r="G423" s="748">
        <f t="shared" ref="G423:J426" si="246">ROUNDDOWN(G405*$E423*$D423,0)</f>
        <v>0</v>
      </c>
      <c r="H423" s="748">
        <f t="shared" si="246"/>
        <v>0</v>
      </c>
      <c r="I423" s="748">
        <f t="shared" si="246"/>
        <v>0</v>
      </c>
      <c r="J423" s="748">
        <f t="shared" si="246"/>
        <v>0</v>
      </c>
      <c r="K423" s="748">
        <f t="shared" si="243"/>
        <v>0</v>
      </c>
      <c r="L423" s="748">
        <f t="shared" si="243"/>
        <v>0</v>
      </c>
      <c r="M423" s="748">
        <f t="shared" si="243"/>
        <v>0</v>
      </c>
      <c r="N423" s="932">
        <f t="shared" si="243"/>
        <v>0</v>
      </c>
    </row>
    <row r="424" spans="1:14" s="759" customFormat="1" ht="12">
      <c r="A424" s="2678"/>
      <c r="B424" s="2851"/>
      <c r="C424" s="1823" t="s">
        <v>3993</v>
      </c>
      <c r="D424" s="940">
        <f t="shared" si="244"/>
        <v>1</v>
      </c>
      <c r="E424" s="909">
        <f t="shared" si="244"/>
        <v>0.02</v>
      </c>
      <c r="F424" s="931">
        <f t="shared" si="245"/>
        <v>0</v>
      </c>
      <c r="G424" s="748">
        <f t="shared" si="246"/>
        <v>0</v>
      </c>
      <c r="H424" s="748">
        <f t="shared" si="246"/>
        <v>0</v>
      </c>
      <c r="I424" s="748">
        <f t="shared" si="246"/>
        <v>0</v>
      </c>
      <c r="J424" s="748">
        <f t="shared" si="246"/>
        <v>0</v>
      </c>
      <c r="K424" s="748">
        <f t="shared" si="243"/>
        <v>0</v>
      </c>
      <c r="L424" s="748">
        <f t="shared" si="243"/>
        <v>0</v>
      </c>
      <c r="M424" s="748">
        <f t="shared" si="243"/>
        <v>0</v>
      </c>
      <c r="N424" s="932">
        <f t="shared" si="243"/>
        <v>0</v>
      </c>
    </row>
    <row r="425" spans="1:14" s="759" customFormat="1" ht="12">
      <c r="A425" s="2678"/>
      <c r="B425" s="2851"/>
      <c r="C425" s="1823" t="s">
        <v>3994</v>
      </c>
      <c r="D425" s="940">
        <f t="shared" si="244"/>
        <v>1</v>
      </c>
      <c r="E425" s="909">
        <f t="shared" si="244"/>
        <v>0.02</v>
      </c>
      <c r="F425" s="931">
        <f t="shared" si="245"/>
        <v>0</v>
      </c>
      <c r="G425" s="748">
        <f t="shared" si="246"/>
        <v>0</v>
      </c>
      <c r="H425" s="748">
        <f t="shared" si="246"/>
        <v>0</v>
      </c>
      <c r="I425" s="748">
        <f t="shared" si="246"/>
        <v>0</v>
      </c>
      <c r="J425" s="748">
        <f t="shared" si="246"/>
        <v>0</v>
      </c>
      <c r="K425" s="748">
        <f t="shared" si="243"/>
        <v>0</v>
      </c>
      <c r="L425" s="748">
        <f t="shared" si="243"/>
        <v>0</v>
      </c>
      <c r="M425" s="748">
        <f t="shared" si="243"/>
        <v>0</v>
      </c>
      <c r="N425" s="932">
        <f t="shared" si="243"/>
        <v>0</v>
      </c>
    </row>
    <row r="426" spans="1:14" s="759" customFormat="1" ht="12">
      <c r="A426" s="2678"/>
      <c r="B426" s="2852"/>
      <c r="C426" s="900" t="s">
        <v>4035</v>
      </c>
      <c r="D426" s="940">
        <f t="shared" si="244"/>
        <v>1</v>
      </c>
      <c r="E426" s="909">
        <f t="shared" si="244"/>
        <v>0.02</v>
      </c>
      <c r="F426" s="931">
        <f t="shared" si="245"/>
        <v>0</v>
      </c>
      <c r="G426" s="748">
        <f t="shared" si="246"/>
        <v>0</v>
      </c>
      <c r="H426" s="748">
        <f t="shared" si="246"/>
        <v>0</v>
      </c>
      <c r="I426" s="748">
        <f t="shared" si="246"/>
        <v>0</v>
      </c>
      <c r="J426" s="748">
        <f t="shared" si="246"/>
        <v>0</v>
      </c>
      <c r="K426" s="748">
        <f t="shared" si="243"/>
        <v>0</v>
      </c>
      <c r="L426" s="748">
        <f t="shared" si="243"/>
        <v>0</v>
      </c>
      <c r="M426" s="748">
        <f t="shared" si="243"/>
        <v>0</v>
      </c>
      <c r="N426" s="932">
        <f t="shared" si="243"/>
        <v>0</v>
      </c>
    </row>
    <row r="427" spans="1:14" s="759" customFormat="1" ht="12">
      <c r="A427" s="2678"/>
      <c r="B427" s="2887" t="s">
        <v>4036</v>
      </c>
      <c r="C427" s="900" t="s">
        <v>4037</v>
      </c>
      <c r="D427" s="943"/>
      <c r="E427" s="944"/>
      <c r="F427" s="931">
        <f t="shared" si="245"/>
        <v>0</v>
      </c>
      <c r="G427" s="1868">
        <f t="shared" ref="G427:N427" si="247">+G212+G58</f>
        <v>0</v>
      </c>
      <c r="H427" s="1868">
        <f t="shared" si="247"/>
        <v>0</v>
      </c>
      <c r="I427" s="1868">
        <f t="shared" si="247"/>
        <v>0</v>
      </c>
      <c r="J427" s="1868">
        <f t="shared" si="247"/>
        <v>0</v>
      </c>
      <c r="K427" s="1868">
        <f t="shared" si="247"/>
        <v>0</v>
      </c>
      <c r="L427" s="1868">
        <f t="shared" si="247"/>
        <v>0</v>
      </c>
      <c r="M427" s="1868">
        <f t="shared" si="247"/>
        <v>0</v>
      </c>
      <c r="N427" s="1869">
        <f t="shared" si="247"/>
        <v>0</v>
      </c>
    </row>
    <row r="428" spans="1:14" s="759" customFormat="1" ht="12">
      <c r="A428" s="2678"/>
      <c r="B428" s="2888"/>
      <c r="C428" s="1840" t="s">
        <v>4038</v>
      </c>
      <c r="D428" s="943"/>
      <c r="E428" s="944"/>
      <c r="F428" s="931">
        <f t="shared" si="245"/>
        <v>0</v>
      </c>
      <c r="G428" s="793"/>
      <c r="H428" s="793"/>
      <c r="I428" s="793"/>
      <c r="J428" s="793"/>
      <c r="K428" s="793"/>
      <c r="L428" s="793"/>
      <c r="M428" s="793"/>
      <c r="N428" s="794"/>
    </row>
    <row r="429" spans="1:14" s="759" customFormat="1" ht="12.75" thickBot="1">
      <c r="A429" s="2874"/>
      <c r="B429" s="1841" t="s">
        <v>4016</v>
      </c>
      <c r="C429" s="1002" t="s">
        <v>4033</v>
      </c>
      <c r="D429" s="943">
        <f>+D409</f>
        <v>1</v>
      </c>
      <c r="E429" s="944">
        <f>+E409</f>
        <v>0</v>
      </c>
      <c r="F429" s="931">
        <f t="shared" si="245"/>
        <v>0</v>
      </c>
      <c r="G429" s="748">
        <f t="shared" ref="G429:N429" si="248">ROUNDDOWN(G409*$E429*$D429,0)</f>
        <v>0</v>
      </c>
      <c r="H429" s="748">
        <f t="shared" si="248"/>
        <v>0</v>
      </c>
      <c r="I429" s="748">
        <f t="shared" si="248"/>
        <v>0</v>
      </c>
      <c r="J429" s="748">
        <f t="shared" si="248"/>
        <v>0</v>
      </c>
      <c r="K429" s="748">
        <f t="shared" si="248"/>
        <v>0</v>
      </c>
      <c r="L429" s="748">
        <f t="shared" si="248"/>
        <v>0</v>
      </c>
      <c r="M429" s="748">
        <f t="shared" si="248"/>
        <v>0</v>
      </c>
      <c r="N429" s="947">
        <f t="shared" si="248"/>
        <v>0</v>
      </c>
    </row>
    <row r="430" spans="1:14" s="759" customFormat="1" ht="12.75" thickTop="1">
      <c r="A430" s="948"/>
      <c r="B430" s="949"/>
      <c r="C430" s="950" t="s">
        <v>4039</v>
      </c>
      <c r="D430" s="951"/>
      <c r="E430" s="952"/>
      <c r="F430" s="953">
        <f t="shared" si="245"/>
        <v>0</v>
      </c>
      <c r="G430" s="954">
        <f t="shared" ref="G430:N430" si="249">SUM(G415:G429)+G413</f>
        <v>0</v>
      </c>
      <c r="H430" s="954">
        <f t="shared" si="249"/>
        <v>0</v>
      </c>
      <c r="I430" s="954">
        <f t="shared" si="249"/>
        <v>0</v>
      </c>
      <c r="J430" s="954">
        <f t="shared" si="249"/>
        <v>0</v>
      </c>
      <c r="K430" s="954">
        <f t="shared" si="249"/>
        <v>0</v>
      </c>
      <c r="L430" s="954">
        <f t="shared" si="249"/>
        <v>0</v>
      </c>
      <c r="M430" s="954">
        <f t="shared" si="249"/>
        <v>0</v>
      </c>
      <c r="N430" s="955">
        <f t="shared" si="249"/>
        <v>0</v>
      </c>
    </row>
    <row r="431" spans="1:14" s="759" customFormat="1" ht="12">
      <c r="A431" s="956"/>
      <c r="B431" s="957"/>
      <c r="C431" s="958" t="s">
        <v>4040</v>
      </c>
      <c r="D431" s="959"/>
      <c r="E431" s="960"/>
      <c r="F431" s="915">
        <f t="shared" si="245"/>
        <v>0</v>
      </c>
      <c r="G431" s="916">
        <f t="shared" ref="G431:N431" si="250">+G306+G430</f>
        <v>0</v>
      </c>
      <c r="H431" s="916">
        <f t="shared" si="250"/>
        <v>0</v>
      </c>
      <c r="I431" s="916">
        <f t="shared" si="250"/>
        <v>0</v>
      </c>
      <c r="J431" s="916">
        <f t="shared" si="250"/>
        <v>0</v>
      </c>
      <c r="K431" s="916">
        <f t="shared" si="250"/>
        <v>0</v>
      </c>
      <c r="L431" s="916">
        <f t="shared" si="250"/>
        <v>0</v>
      </c>
      <c r="M431" s="916">
        <f t="shared" si="250"/>
        <v>0</v>
      </c>
      <c r="N431" s="917">
        <f t="shared" si="250"/>
        <v>0</v>
      </c>
    </row>
    <row r="432" spans="1:14" s="759" customFormat="1">
      <c r="A432" s="884"/>
      <c r="B432" s="885"/>
      <c r="C432" s="961" t="s">
        <v>4041</v>
      </c>
      <c r="D432" s="961"/>
      <c r="E432" s="962"/>
      <c r="F432" s="963"/>
      <c r="G432" s="964"/>
      <c r="H432" s="965"/>
      <c r="I432" s="965"/>
      <c r="J432" s="965"/>
      <c r="K432" s="965"/>
      <c r="L432" s="965"/>
      <c r="M432" s="965"/>
      <c r="N432" s="966" t="s">
        <v>4816</v>
      </c>
    </row>
    <row r="433" spans="1:14" s="759" customFormat="1" ht="12">
      <c r="A433" s="753"/>
      <c r="B433" s="754"/>
      <c r="C433" s="754"/>
      <c r="D433" s="754"/>
      <c r="E433" s="754"/>
      <c r="F433" s="645"/>
      <c r="G433" s="651"/>
      <c r="H433" s="651"/>
      <c r="I433" s="651"/>
      <c r="J433" s="651"/>
      <c r="K433" s="651"/>
      <c r="L433" s="651"/>
      <c r="M433" s="651"/>
      <c r="N433" s="967"/>
    </row>
    <row r="434" spans="1:14" s="759" customFormat="1" ht="12">
      <c r="A434" s="2666"/>
      <c r="B434" s="2667"/>
      <c r="C434" s="2875"/>
      <c r="D434" s="968"/>
      <c r="E434" s="969" t="s">
        <v>4043</v>
      </c>
      <c r="F434" s="886" t="s">
        <v>3979</v>
      </c>
      <c r="G434" s="887">
        <f t="shared" ref="G434:N434" si="251">+G302</f>
        <v>0</v>
      </c>
      <c r="H434" s="887">
        <f t="shared" si="251"/>
        <v>0</v>
      </c>
      <c r="I434" s="887">
        <f t="shared" si="251"/>
        <v>0</v>
      </c>
      <c r="J434" s="887">
        <f t="shared" si="251"/>
        <v>0</v>
      </c>
      <c r="K434" s="887">
        <f t="shared" si="251"/>
        <v>0</v>
      </c>
      <c r="L434" s="887">
        <f t="shared" si="251"/>
        <v>0</v>
      </c>
      <c r="M434" s="887">
        <f t="shared" si="251"/>
        <v>0</v>
      </c>
      <c r="N434" s="888">
        <f t="shared" si="251"/>
        <v>0</v>
      </c>
    </row>
    <row r="435" spans="1:14" s="759" customFormat="1" ht="12.75" thickBot="1">
      <c r="A435" s="2876"/>
      <c r="B435" s="2877"/>
      <c r="C435" s="2878"/>
      <c r="D435" s="970"/>
      <c r="E435" s="971"/>
      <c r="F435" s="972"/>
      <c r="G435" s="973"/>
      <c r="H435" s="973"/>
      <c r="I435" s="973"/>
      <c r="J435" s="973"/>
      <c r="K435" s="973"/>
      <c r="L435" s="973"/>
      <c r="M435" s="973"/>
      <c r="N435" s="974"/>
    </row>
    <row r="436" spans="1:14" s="759" customFormat="1" ht="12.75" thickBot="1">
      <c r="A436" s="975"/>
      <c r="B436" s="976"/>
      <c r="C436" s="977" t="s">
        <v>4044</v>
      </c>
      <c r="D436" s="978"/>
      <c r="E436" s="979"/>
      <c r="F436" s="980">
        <f>SUM(G436:N436)</f>
        <v>0</v>
      </c>
      <c r="G436" s="981">
        <f t="shared" ref="G436:N436" si="252">IF(G437="",+G431,0)</f>
        <v>0</v>
      </c>
      <c r="H436" s="981">
        <f t="shared" si="252"/>
        <v>0</v>
      </c>
      <c r="I436" s="981">
        <f t="shared" si="252"/>
        <v>0</v>
      </c>
      <c r="J436" s="981">
        <f t="shared" si="252"/>
        <v>0</v>
      </c>
      <c r="K436" s="981">
        <f t="shared" si="252"/>
        <v>0</v>
      </c>
      <c r="L436" s="981">
        <f t="shared" si="252"/>
        <v>0</v>
      </c>
      <c r="M436" s="981">
        <f t="shared" si="252"/>
        <v>0</v>
      </c>
      <c r="N436" s="982">
        <f t="shared" si="252"/>
        <v>0</v>
      </c>
    </row>
    <row r="437" spans="1:14" s="759" customFormat="1" ht="12">
      <c r="A437" s="753"/>
      <c r="B437" s="754"/>
      <c r="C437" s="983" t="s">
        <v>4045</v>
      </c>
      <c r="D437" s="984"/>
      <c r="E437" s="985"/>
      <c r="F437" s="764">
        <f>SUM(G437:N437)</f>
        <v>0</v>
      </c>
      <c r="G437" s="764" t="str">
        <f>IF(G459=0,"",G431)</f>
        <v/>
      </c>
      <c r="H437" s="764" t="str">
        <f t="shared" ref="H437:N437" si="253">IF(H459=0,"",H431)</f>
        <v/>
      </c>
      <c r="I437" s="764" t="str">
        <f t="shared" si="253"/>
        <v/>
      </c>
      <c r="J437" s="764" t="str">
        <f t="shared" si="253"/>
        <v/>
      </c>
      <c r="K437" s="764" t="str">
        <f t="shared" si="253"/>
        <v/>
      </c>
      <c r="L437" s="764" t="str">
        <f t="shared" si="253"/>
        <v/>
      </c>
      <c r="M437" s="764" t="str">
        <f t="shared" si="253"/>
        <v/>
      </c>
      <c r="N437" s="1843" t="str">
        <f t="shared" si="253"/>
        <v/>
      </c>
    </row>
    <row r="438" spans="1:14" s="759" customFormat="1" ht="12">
      <c r="A438" s="956"/>
      <c r="B438" s="957"/>
      <c r="C438" s="2777" t="s">
        <v>4046</v>
      </c>
      <c r="D438" s="2777"/>
      <c r="E438" s="2879"/>
      <c r="F438" s="915">
        <f>F436+F437-F446</f>
        <v>0</v>
      </c>
      <c r="G438" s="916"/>
      <c r="H438" s="916"/>
      <c r="I438" s="916"/>
      <c r="J438" s="916"/>
      <c r="K438" s="916"/>
      <c r="L438" s="916"/>
      <c r="M438" s="916"/>
      <c r="N438" s="917"/>
    </row>
    <row r="439" spans="1:14" s="759" customFormat="1" ht="12">
      <c r="A439" s="884"/>
      <c r="B439" s="885"/>
      <c r="C439" s="885"/>
      <c r="D439" s="986"/>
      <c r="E439" s="664" t="str">
        <f>E302</f>
        <v>有り</v>
      </c>
      <c r="F439" s="2880" t="s">
        <v>4047</v>
      </c>
      <c r="G439" s="2881"/>
      <c r="H439" s="987"/>
      <c r="I439" s="987"/>
      <c r="J439" s="987"/>
      <c r="K439" s="987"/>
      <c r="L439" s="987"/>
      <c r="M439" s="987"/>
      <c r="N439" s="988"/>
    </row>
    <row r="440" spans="1:14" s="759" customFormat="1">
      <c r="A440" s="2690" t="s">
        <v>4048</v>
      </c>
      <c r="B440" s="2882"/>
      <c r="C440" s="2883"/>
      <c r="D440" s="989"/>
      <c r="E440" s="990" t="str">
        <f>+E303</f>
        <v>有り</v>
      </c>
      <c r="F440" s="2884" t="s">
        <v>4049</v>
      </c>
      <c r="G440" s="2885"/>
      <c r="H440" s="916"/>
      <c r="I440" s="916"/>
      <c r="J440" s="916"/>
      <c r="K440" s="916"/>
      <c r="L440" s="916"/>
      <c r="M440" s="916"/>
      <c r="N440" s="917"/>
    </row>
    <row r="441" spans="1:14" s="759" customFormat="1" ht="12">
      <c r="A441" s="2886"/>
      <c r="B441" s="991" t="s">
        <v>4050</v>
      </c>
      <c r="C441" s="992" t="s">
        <v>4051</v>
      </c>
      <c r="D441" s="993">
        <v>1</v>
      </c>
      <c r="E441" s="1844">
        <f>+G510/100</f>
        <v>0.1724</v>
      </c>
      <c r="F441" s="995">
        <f>SUM(G441:N441)</f>
        <v>0</v>
      </c>
      <c r="G441" s="987">
        <f t="shared" ref="G441:N441" si="254">+G436-G446</f>
        <v>0</v>
      </c>
      <c r="H441" s="987">
        <f t="shared" si="254"/>
        <v>0</v>
      </c>
      <c r="I441" s="987">
        <f>+I436-I446</f>
        <v>0</v>
      </c>
      <c r="J441" s="987">
        <f t="shared" si="254"/>
        <v>0</v>
      </c>
      <c r="K441" s="987">
        <f t="shared" si="254"/>
        <v>0</v>
      </c>
      <c r="L441" s="987">
        <f t="shared" si="254"/>
        <v>0</v>
      </c>
      <c r="M441" s="987">
        <f t="shared" si="254"/>
        <v>0</v>
      </c>
      <c r="N441" s="988">
        <f t="shared" si="254"/>
        <v>0</v>
      </c>
    </row>
    <row r="442" spans="1:14" s="759" customFormat="1" ht="12">
      <c r="A442" s="2848"/>
      <c r="B442" s="2776" t="s">
        <v>4052</v>
      </c>
      <c r="C442" s="756" t="s">
        <v>4053</v>
      </c>
      <c r="D442" s="940">
        <v>0.05</v>
      </c>
      <c r="E442" s="909">
        <f>IF(OR(G299="無し",G299="なし"),IF(E439="無し",E441,0),0)</f>
        <v>0</v>
      </c>
      <c r="F442" s="757">
        <f>SUM(G442:N442)</f>
        <v>0</v>
      </c>
      <c r="G442" s="793">
        <f>IF(G459=0,+G441,0)</f>
        <v>0</v>
      </c>
      <c r="H442" s="793">
        <f>IF(H459=0,+H441,0)</f>
        <v>0</v>
      </c>
      <c r="I442" s="793">
        <f t="shared" ref="I442:N442" si="255">IF(I459=0,+I441,0)</f>
        <v>0</v>
      </c>
      <c r="J442" s="793">
        <f t="shared" si="255"/>
        <v>0</v>
      </c>
      <c r="K442" s="793">
        <f t="shared" si="255"/>
        <v>0</v>
      </c>
      <c r="L442" s="793">
        <f t="shared" si="255"/>
        <v>0</v>
      </c>
      <c r="M442" s="793">
        <f t="shared" si="255"/>
        <v>0</v>
      </c>
      <c r="N442" s="794">
        <f t="shared" si="255"/>
        <v>0</v>
      </c>
    </row>
    <row r="443" spans="1:14" s="759" customFormat="1" ht="12">
      <c r="A443" s="2848"/>
      <c r="B443" s="2852"/>
      <c r="C443" s="756" t="s">
        <v>4054</v>
      </c>
      <c r="D443" s="996">
        <v>1</v>
      </c>
      <c r="E443" s="909">
        <f>IF(OR(E440="無し",E440="なし"),0,0.0004)</f>
        <v>4.0000000000000002E-4</v>
      </c>
      <c r="F443" s="757">
        <f>SUM(G443:N443)</f>
        <v>0</v>
      </c>
      <c r="G443" s="793">
        <f>IF(G459=0,+G441,0)</f>
        <v>0</v>
      </c>
      <c r="H443" s="793">
        <f t="shared" ref="H443:N443" si="256">IF(H459=0,+H441,0)</f>
        <v>0</v>
      </c>
      <c r="I443" s="793">
        <f t="shared" si="256"/>
        <v>0</v>
      </c>
      <c r="J443" s="793">
        <f t="shared" si="256"/>
        <v>0</v>
      </c>
      <c r="K443" s="793">
        <f t="shared" si="256"/>
        <v>0</v>
      </c>
      <c r="L443" s="793">
        <f t="shared" si="256"/>
        <v>0</v>
      </c>
      <c r="M443" s="793">
        <f t="shared" si="256"/>
        <v>0</v>
      </c>
      <c r="N443" s="794">
        <f t="shared" si="256"/>
        <v>0</v>
      </c>
    </row>
    <row r="444" spans="1:14" s="759" customFormat="1" ht="12">
      <c r="A444" s="2848"/>
      <c r="B444" s="673"/>
      <c r="C444" s="756"/>
      <c r="D444" s="997"/>
      <c r="E444" s="997"/>
      <c r="F444" s="757"/>
      <c r="G444" s="793"/>
      <c r="H444" s="793"/>
      <c r="I444" s="793"/>
      <c r="J444" s="793"/>
      <c r="K444" s="793"/>
      <c r="L444" s="793"/>
      <c r="M444" s="793"/>
      <c r="N444" s="794"/>
    </row>
    <row r="445" spans="1:14" s="759" customFormat="1" ht="12">
      <c r="A445" s="2848"/>
      <c r="B445" s="673"/>
      <c r="C445" s="756"/>
      <c r="D445" s="997"/>
      <c r="E445" s="997"/>
      <c r="F445" s="757"/>
      <c r="G445" s="793"/>
      <c r="H445" s="793"/>
      <c r="I445" s="793"/>
      <c r="J445" s="793"/>
      <c r="K445" s="793"/>
      <c r="L445" s="793"/>
      <c r="M445" s="793"/>
      <c r="N445" s="794"/>
    </row>
    <row r="446" spans="1:14" s="759" customFormat="1" ht="12">
      <c r="A446" s="2848"/>
      <c r="B446" s="2776" t="s">
        <v>4055</v>
      </c>
      <c r="C446" s="900" t="str">
        <f>+C351</f>
        <v>(17)下水道使用料、各種負担金（共通仮設）</v>
      </c>
      <c r="D446" s="998">
        <v>1</v>
      </c>
      <c r="E446" s="999">
        <v>0</v>
      </c>
      <c r="F446" s="757">
        <f>SUM(G446:N446)</f>
        <v>0</v>
      </c>
      <c r="G446" s="793">
        <f t="shared" ref="G446:N446" si="257">+G351</f>
        <v>0</v>
      </c>
      <c r="H446" s="793">
        <f t="shared" si="257"/>
        <v>0</v>
      </c>
      <c r="I446" s="793">
        <f t="shared" si="257"/>
        <v>0</v>
      </c>
      <c r="J446" s="793">
        <f t="shared" si="257"/>
        <v>0</v>
      </c>
      <c r="K446" s="793">
        <f t="shared" si="257"/>
        <v>0</v>
      </c>
      <c r="L446" s="793">
        <f t="shared" si="257"/>
        <v>0</v>
      </c>
      <c r="M446" s="793">
        <f t="shared" si="257"/>
        <v>0</v>
      </c>
      <c r="N446" s="794">
        <f t="shared" si="257"/>
        <v>0</v>
      </c>
    </row>
    <row r="447" spans="1:14" s="759" customFormat="1" ht="12">
      <c r="A447" s="2848"/>
      <c r="B447" s="2851"/>
      <c r="C447" s="1000"/>
      <c r="D447" s="900"/>
      <c r="E447" s="999"/>
      <c r="F447" s="757"/>
      <c r="G447" s="793"/>
      <c r="H447" s="793"/>
      <c r="I447" s="793"/>
      <c r="J447" s="793"/>
      <c r="K447" s="793"/>
      <c r="L447" s="793"/>
      <c r="M447" s="793"/>
      <c r="N447" s="794"/>
    </row>
    <row r="448" spans="1:14" s="759" customFormat="1" ht="12">
      <c r="A448" s="2849"/>
      <c r="B448" s="2853"/>
      <c r="C448" s="1001"/>
      <c r="D448" s="1002"/>
      <c r="E448" s="1003"/>
      <c r="F448" s="915"/>
      <c r="G448" s="916"/>
      <c r="H448" s="916"/>
      <c r="I448" s="916"/>
      <c r="J448" s="916"/>
      <c r="K448" s="916"/>
      <c r="L448" s="916"/>
      <c r="M448" s="916"/>
      <c r="N448" s="917"/>
    </row>
    <row r="449" spans="1:14" s="759" customFormat="1" ht="12">
      <c r="A449" s="884"/>
      <c r="B449" s="885"/>
      <c r="C449" s="1004"/>
      <c r="D449" s="1005"/>
      <c r="E449" s="1006"/>
      <c r="F449" s="995"/>
      <c r="G449" s="987"/>
      <c r="H449" s="987"/>
      <c r="I449" s="987"/>
      <c r="J449" s="987"/>
      <c r="K449" s="987"/>
      <c r="L449" s="987"/>
      <c r="M449" s="987"/>
      <c r="N449" s="988"/>
    </row>
    <row r="450" spans="1:14" s="759" customFormat="1">
      <c r="A450" s="2690" t="s">
        <v>4056</v>
      </c>
      <c r="B450" s="2882"/>
      <c r="C450" s="2883"/>
      <c r="D450" s="1007"/>
      <c r="E450" s="1008"/>
      <c r="F450" s="1009"/>
      <c r="G450" s="916"/>
      <c r="H450" s="916"/>
      <c r="I450" s="916"/>
      <c r="J450" s="916"/>
      <c r="K450" s="916"/>
      <c r="L450" s="916"/>
      <c r="M450" s="916"/>
      <c r="N450" s="917"/>
    </row>
    <row r="451" spans="1:14" s="759" customFormat="1" ht="12">
      <c r="A451" s="753"/>
      <c r="B451" s="1010" t="s">
        <v>4050</v>
      </c>
      <c r="C451" s="992" t="s">
        <v>4051</v>
      </c>
      <c r="D451" s="993">
        <f t="shared" ref="D451:E453" si="258">+D441</f>
        <v>1</v>
      </c>
      <c r="E451" s="1011">
        <f>+E441</f>
        <v>0.1724</v>
      </c>
      <c r="F451" s="757">
        <f>INT(D451*E451*F441)</f>
        <v>0</v>
      </c>
      <c r="G451" s="987">
        <f>F451-SUM(H451:N451)</f>
        <v>0</v>
      </c>
      <c r="H451" s="987">
        <f>IF(H441=0,0,ROUND($F451/$F441*H441,0))</f>
        <v>0</v>
      </c>
      <c r="I451" s="987">
        <f t="shared" ref="I451:N451" si="259">IF(I441=0,0,ROUND($F451/$F441*I441,0))</f>
        <v>0</v>
      </c>
      <c r="J451" s="987">
        <f t="shared" si="259"/>
        <v>0</v>
      </c>
      <c r="K451" s="987">
        <f t="shared" si="259"/>
        <v>0</v>
      </c>
      <c r="L451" s="987">
        <f t="shared" si="259"/>
        <v>0</v>
      </c>
      <c r="M451" s="987">
        <f t="shared" si="259"/>
        <v>0</v>
      </c>
      <c r="N451" s="988">
        <f t="shared" si="259"/>
        <v>0</v>
      </c>
    </row>
    <row r="452" spans="1:14" s="759" customFormat="1" ht="12">
      <c r="A452" s="753"/>
      <c r="B452" s="2776" t="s">
        <v>4052</v>
      </c>
      <c r="C452" s="756" t="s">
        <v>4053</v>
      </c>
      <c r="D452" s="998">
        <f t="shared" si="258"/>
        <v>0.05</v>
      </c>
      <c r="E452" s="909">
        <f t="shared" si="258"/>
        <v>0</v>
      </c>
      <c r="F452" s="757">
        <f>INT(D452*E452*F442)</f>
        <v>0</v>
      </c>
      <c r="G452" s="793">
        <f>F452-SUM(H452:N452)</f>
        <v>0</v>
      </c>
      <c r="H452" s="793">
        <f t="shared" ref="H452:N453" si="260">IF(H442=0,0,ROUND($F452/$F442*H442,0))</f>
        <v>0</v>
      </c>
      <c r="I452" s="793">
        <f t="shared" si="260"/>
        <v>0</v>
      </c>
      <c r="J452" s="793">
        <f t="shared" si="260"/>
        <v>0</v>
      </c>
      <c r="K452" s="793">
        <f t="shared" si="260"/>
        <v>0</v>
      </c>
      <c r="L452" s="793">
        <f t="shared" si="260"/>
        <v>0</v>
      </c>
      <c r="M452" s="793">
        <f t="shared" si="260"/>
        <v>0</v>
      </c>
      <c r="N452" s="794">
        <f t="shared" si="260"/>
        <v>0</v>
      </c>
    </row>
    <row r="453" spans="1:14" s="759" customFormat="1" ht="12">
      <c r="A453" s="753"/>
      <c r="B453" s="2852"/>
      <c r="C453" s="756" t="s">
        <v>4054</v>
      </c>
      <c r="D453" s="998">
        <f t="shared" si="258"/>
        <v>1</v>
      </c>
      <c r="E453" s="909">
        <f t="shared" si="258"/>
        <v>4.0000000000000002E-4</v>
      </c>
      <c r="F453" s="757">
        <f>INT(D453*E453*F443)</f>
        <v>0</v>
      </c>
      <c r="G453" s="793">
        <f>F453-SUM(H453:N453)</f>
        <v>0</v>
      </c>
      <c r="H453" s="793">
        <f>IF(H443=0,0,ROUND($F453/$F443*H443,0))</f>
        <v>0</v>
      </c>
      <c r="I453" s="793">
        <f t="shared" si="260"/>
        <v>0</v>
      </c>
      <c r="J453" s="793">
        <f t="shared" si="260"/>
        <v>0</v>
      </c>
      <c r="K453" s="793">
        <f t="shared" si="260"/>
        <v>0</v>
      </c>
      <c r="L453" s="793">
        <f t="shared" si="260"/>
        <v>0</v>
      </c>
      <c r="M453" s="793">
        <f t="shared" si="260"/>
        <v>0</v>
      </c>
      <c r="N453" s="794">
        <f t="shared" si="260"/>
        <v>0</v>
      </c>
    </row>
    <row r="454" spans="1:14" s="759" customFormat="1" ht="12">
      <c r="A454" s="753"/>
      <c r="B454" s="673"/>
      <c r="C454" s="756"/>
      <c r="D454" s="997"/>
      <c r="E454" s="997"/>
      <c r="F454" s="757"/>
      <c r="G454" s="793"/>
      <c r="H454" s="793"/>
      <c r="I454" s="793"/>
      <c r="J454" s="793"/>
      <c r="K454" s="793"/>
      <c r="L454" s="793"/>
      <c r="M454" s="793"/>
      <c r="N454" s="794"/>
    </row>
    <row r="455" spans="1:14" s="759" customFormat="1" ht="12">
      <c r="A455" s="753"/>
      <c r="B455" s="673"/>
      <c r="C455" s="756"/>
      <c r="D455" s="997"/>
      <c r="E455" s="997"/>
      <c r="F455" s="757"/>
      <c r="G455" s="793"/>
      <c r="H455" s="793"/>
      <c r="I455" s="793"/>
      <c r="J455" s="793"/>
      <c r="K455" s="793"/>
      <c r="L455" s="793"/>
      <c r="M455" s="793"/>
      <c r="N455" s="794"/>
    </row>
    <row r="456" spans="1:14" s="759" customFormat="1" ht="12">
      <c r="A456" s="753"/>
      <c r="B456" s="2776" t="s">
        <v>4055</v>
      </c>
      <c r="C456" s="900" t="str">
        <f>+C351</f>
        <v>(17)下水道使用料、各種負担金（共通仮設）</v>
      </c>
      <c r="D456" s="998">
        <f>+D446</f>
        <v>1</v>
      </c>
      <c r="E456" s="909">
        <f>+E446</f>
        <v>0</v>
      </c>
      <c r="F456" s="757">
        <f>INT(D456*E456*F446)</f>
        <v>0</v>
      </c>
      <c r="G456" s="793">
        <f>F456-SUM(H456:N456)</f>
        <v>0</v>
      </c>
      <c r="H456" s="793">
        <f t="shared" ref="H456:N456" si="261">IF(H446=0,0,ROUND($F456/$F446*H446,0))</f>
        <v>0</v>
      </c>
      <c r="I456" s="793">
        <f t="shared" si="261"/>
        <v>0</v>
      </c>
      <c r="J456" s="793">
        <f t="shared" si="261"/>
        <v>0</v>
      </c>
      <c r="K456" s="793">
        <f t="shared" si="261"/>
        <v>0</v>
      </c>
      <c r="L456" s="793">
        <f t="shared" si="261"/>
        <v>0</v>
      </c>
      <c r="M456" s="793">
        <f t="shared" si="261"/>
        <v>0</v>
      </c>
      <c r="N456" s="794">
        <f t="shared" si="261"/>
        <v>0</v>
      </c>
    </row>
    <row r="457" spans="1:14" s="759" customFormat="1" ht="12">
      <c r="A457" s="753"/>
      <c r="B457" s="2851"/>
      <c r="C457" s="1000"/>
      <c r="D457" s="900"/>
      <c r="E457" s="997">
        <f>+G448</f>
        <v>0</v>
      </c>
      <c r="F457" s="757"/>
      <c r="G457" s="793"/>
      <c r="H457" s="793"/>
      <c r="I457" s="793"/>
      <c r="J457" s="793"/>
      <c r="K457" s="793"/>
      <c r="L457" s="793"/>
      <c r="M457" s="793"/>
      <c r="N457" s="794"/>
    </row>
    <row r="458" spans="1:14" s="759" customFormat="1" ht="12">
      <c r="A458" s="1012"/>
      <c r="B458" s="2852"/>
      <c r="C458" s="1000"/>
      <c r="D458" s="900"/>
      <c r="E458" s="997">
        <f>+G449</f>
        <v>0</v>
      </c>
      <c r="F458" s="757"/>
      <c r="G458" s="793"/>
      <c r="H458" s="793"/>
      <c r="I458" s="793"/>
      <c r="J458" s="793"/>
      <c r="K458" s="793"/>
      <c r="L458" s="793"/>
      <c r="M458" s="793"/>
      <c r="N458" s="794"/>
    </row>
    <row r="459" spans="1:14" s="759" customFormat="1" ht="12">
      <c r="A459" s="1012"/>
      <c r="B459" s="2887" t="s">
        <v>4036</v>
      </c>
      <c r="C459" s="928" t="s">
        <v>4057</v>
      </c>
      <c r="D459" s="1014"/>
      <c r="E459" s="1015"/>
      <c r="F459" s="1016">
        <f>SUM(G459:N459)</f>
        <v>0</v>
      </c>
      <c r="G459" s="1876">
        <f>+G245+G67</f>
        <v>0</v>
      </c>
      <c r="H459" s="1876">
        <f t="shared" ref="H459:N459" si="262">+H245+H67</f>
        <v>0</v>
      </c>
      <c r="I459" s="1876">
        <f t="shared" si="262"/>
        <v>0</v>
      </c>
      <c r="J459" s="1876">
        <f t="shared" si="262"/>
        <v>0</v>
      </c>
      <c r="K459" s="1876">
        <f t="shared" si="262"/>
        <v>0</v>
      </c>
      <c r="L459" s="1876">
        <f t="shared" si="262"/>
        <v>0</v>
      </c>
      <c r="M459" s="1876">
        <f t="shared" si="262"/>
        <v>0</v>
      </c>
      <c r="N459" s="1877">
        <f t="shared" si="262"/>
        <v>0</v>
      </c>
    </row>
    <row r="460" spans="1:14" s="759" customFormat="1" ht="12">
      <c r="A460" s="753"/>
      <c r="B460" s="2896"/>
      <c r="C460" s="1847" t="s">
        <v>4058</v>
      </c>
      <c r="D460" s="943"/>
      <c r="E460" s="944"/>
      <c r="F460" s="931"/>
      <c r="G460" s="793"/>
      <c r="H460" s="793"/>
      <c r="I460" s="793"/>
      <c r="J460" s="793"/>
      <c r="K460" s="793"/>
      <c r="L460" s="793"/>
      <c r="M460" s="793"/>
      <c r="N460" s="794"/>
    </row>
    <row r="461" spans="1:14" s="759" customFormat="1" ht="12">
      <c r="A461" s="975"/>
      <c r="B461" s="976"/>
      <c r="C461" s="976"/>
      <c r="D461" s="665"/>
      <c r="E461" s="665"/>
      <c r="F461" s="995"/>
      <c r="G461" s="987"/>
      <c r="H461" s="987"/>
      <c r="I461" s="987"/>
      <c r="J461" s="987"/>
      <c r="K461" s="987"/>
      <c r="L461" s="987"/>
      <c r="M461" s="987"/>
      <c r="N461" s="988"/>
    </row>
    <row r="462" spans="1:14" s="759" customFormat="1" ht="12">
      <c r="A462" s="1020"/>
      <c r="B462" s="760"/>
      <c r="C462" s="755" t="s">
        <v>4059</v>
      </c>
      <c r="D462" s="1000"/>
      <c r="E462" s="756"/>
      <c r="F462" s="757">
        <f>SUM(G462:N462)</f>
        <v>0</v>
      </c>
      <c r="G462" s="793">
        <f>SUM(G451:G460)</f>
        <v>0</v>
      </c>
      <c r="H462" s="793">
        <f t="shared" ref="H462:N462" si="263">SUM(H451:H460)</f>
        <v>0</v>
      </c>
      <c r="I462" s="793">
        <f t="shared" si="263"/>
        <v>0</v>
      </c>
      <c r="J462" s="793">
        <f t="shared" si="263"/>
        <v>0</v>
      </c>
      <c r="K462" s="793">
        <f t="shared" si="263"/>
        <v>0</v>
      </c>
      <c r="L462" s="793">
        <f t="shared" si="263"/>
        <v>0</v>
      </c>
      <c r="M462" s="793">
        <f t="shared" si="263"/>
        <v>0</v>
      </c>
      <c r="N462" s="794">
        <f t="shared" si="263"/>
        <v>0</v>
      </c>
    </row>
    <row r="463" spans="1:14" s="759" customFormat="1" ht="12">
      <c r="A463" s="1020"/>
      <c r="B463" s="760"/>
      <c r="C463" s="755" t="s">
        <v>4040</v>
      </c>
      <c r="D463" s="1000"/>
      <c r="E463" s="756"/>
      <c r="F463" s="757">
        <f>SUM(G463:N463)</f>
        <v>0</v>
      </c>
      <c r="G463" s="793">
        <f t="shared" ref="G463:N463" si="264">+G431</f>
        <v>0</v>
      </c>
      <c r="H463" s="793">
        <f t="shared" si="264"/>
        <v>0</v>
      </c>
      <c r="I463" s="793">
        <f t="shared" si="264"/>
        <v>0</v>
      </c>
      <c r="J463" s="793">
        <f t="shared" si="264"/>
        <v>0</v>
      </c>
      <c r="K463" s="793">
        <f t="shared" si="264"/>
        <v>0</v>
      </c>
      <c r="L463" s="793">
        <f t="shared" si="264"/>
        <v>0</v>
      </c>
      <c r="M463" s="793">
        <f t="shared" si="264"/>
        <v>0</v>
      </c>
      <c r="N463" s="794">
        <f t="shared" si="264"/>
        <v>0</v>
      </c>
    </row>
    <row r="464" spans="1:14" s="759" customFormat="1" ht="12.75" thickBot="1">
      <c r="A464" s="2442"/>
      <c r="B464" s="2443"/>
      <c r="C464" s="2444" t="s">
        <v>4060</v>
      </c>
      <c r="D464" s="2445"/>
      <c r="E464" s="2446"/>
      <c r="F464" s="2447">
        <f>SUM(G464:N464)</f>
        <v>0</v>
      </c>
      <c r="G464" s="2448">
        <f t="shared" ref="G464:N464" si="265">SUM(G462:G463)</f>
        <v>0</v>
      </c>
      <c r="H464" s="2448">
        <f t="shared" si="265"/>
        <v>0</v>
      </c>
      <c r="I464" s="2448">
        <f t="shared" si="265"/>
        <v>0</v>
      </c>
      <c r="J464" s="2448">
        <f t="shared" si="265"/>
        <v>0</v>
      </c>
      <c r="K464" s="2448">
        <f t="shared" si="265"/>
        <v>0</v>
      </c>
      <c r="L464" s="2448">
        <f t="shared" si="265"/>
        <v>0</v>
      </c>
      <c r="M464" s="2448">
        <f t="shared" si="265"/>
        <v>0</v>
      </c>
      <c r="N464" s="1028">
        <f t="shared" si="265"/>
        <v>0</v>
      </c>
    </row>
    <row r="465" spans="1:14" s="759" customFormat="1" ht="12.75" thickTop="1">
      <c r="A465" s="753"/>
      <c r="B465" s="754"/>
      <c r="C465" s="754"/>
      <c r="D465" s="763"/>
      <c r="E465" s="763"/>
      <c r="F465" s="764"/>
      <c r="G465" s="1029">
        <f t="shared" ref="G465:N465" si="266">ROUNDDOWN(G464,-3)</f>
        <v>0</v>
      </c>
      <c r="H465" s="1029">
        <f t="shared" si="266"/>
        <v>0</v>
      </c>
      <c r="I465" s="1029">
        <f t="shared" si="266"/>
        <v>0</v>
      </c>
      <c r="J465" s="1029">
        <f t="shared" si="266"/>
        <v>0</v>
      </c>
      <c r="K465" s="1029">
        <f t="shared" si="266"/>
        <v>0</v>
      </c>
      <c r="L465" s="1029">
        <f t="shared" si="266"/>
        <v>0</v>
      </c>
      <c r="M465" s="1029">
        <f t="shared" si="266"/>
        <v>0</v>
      </c>
      <c r="N465" s="1030">
        <f t="shared" si="266"/>
        <v>0</v>
      </c>
    </row>
    <row r="466" spans="1:14" s="759" customFormat="1" ht="12">
      <c r="A466" s="1020"/>
      <c r="B466" s="760"/>
      <c r="C466" s="755" t="s">
        <v>4040</v>
      </c>
      <c r="D466" s="1000"/>
      <c r="E466" s="756"/>
      <c r="F466" s="757">
        <f>SUM(G466:N466)</f>
        <v>0</v>
      </c>
      <c r="G466" s="793">
        <f>+G463</f>
        <v>0</v>
      </c>
      <c r="H466" s="793">
        <f t="shared" ref="H466:N466" si="267">+H463</f>
        <v>0</v>
      </c>
      <c r="I466" s="793">
        <f t="shared" si="267"/>
        <v>0</v>
      </c>
      <c r="J466" s="793">
        <f t="shared" si="267"/>
        <v>0</v>
      </c>
      <c r="K466" s="793">
        <f t="shared" si="267"/>
        <v>0</v>
      </c>
      <c r="L466" s="793">
        <f t="shared" si="267"/>
        <v>0</v>
      </c>
      <c r="M466" s="793">
        <f t="shared" si="267"/>
        <v>0</v>
      </c>
      <c r="N466" s="794">
        <f t="shared" si="267"/>
        <v>0</v>
      </c>
    </row>
    <row r="467" spans="1:14" s="759" customFormat="1" ht="12">
      <c r="A467" s="1020"/>
      <c r="B467" s="760"/>
      <c r="C467" s="755" t="s">
        <v>4061</v>
      </c>
      <c r="D467" s="1000"/>
      <c r="E467" s="997"/>
      <c r="F467" s="757" t="e">
        <f>SUM(G467:N467)</f>
        <v>#DIV/0!</v>
      </c>
      <c r="G467" s="793" t="e">
        <f>+G462-(G464-G469)</f>
        <v>#DIV/0!</v>
      </c>
      <c r="H467" s="793" t="e">
        <f t="shared" ref="H467:N467" si="268">+H462-(H464-H469)</f>
        <v>#DIV/0!</v>
      </c>
      <c r="I467" s="793" t="e">
        <f t="shared" si="268"/>
        <v>#DIV/0!</v>
      </c>
      <c r="J467" s="793" t="e">
        <f t="shared" si="268"/>
        <v>#DIV/0!</v>
      </c>
      <c r="K467" s="793" t="e">
        <f t="shared" si="268"/>
        <v>#DIV/0!</v>
      </c>
      <c r="L467" s="793" t="e">
        <f t="shared" si="268"/>
        <v>#DIV/0!</v>
      </c>
      <c r="M467" s="793" t="e">
        <f t="shared" si="268"/>
        <v>#DIV/0!</v>
      </c>
      <c r="N467" s="794" t="e">
        <f t="shared" si="268"/>
        <v>#DIV/0!</v>
      </c>
    </row>
    <row r="468" spans="1:14" s="759" customFormat="1" ht="12">
      <c r="A468" s="1020"/>
      <c r="B468" s="760"/>
      <c r="C468" s="760"/>
      <c r="D468" s="756"/>
      <c r="E468" s="1031">
        <f>SUM(G465:N465)</f>
        <v>0</v>
      </c>
      <c r="F468" s="757" t="s">
        <v>4062</v>
      </c>
      <c r="G468" s="793" t="e">
        <f t="shared" ref="G468:N468" si="269">+G462-G467</f>
        <v>#DIV/0!</v>
      </c>
      <c r="H468" s="793" t="e">
        <f t="shared" si="269"/>
        <v>#DIV/0!</v>
      </c>
      <c r="I468" s="793" t="e">
        <f t="shared" si="269"/>
        <v>#DIV/0!</v>
      </c>
      <c r="J468" s="793" t="e">
        <f t="shared" si="269"/>
        <v>#DIV/0!</v>
      </c>
      <c r="K468" s="793" t="e">
        <f t="shared" si="269"/>
        <v>#DIV/0!</v>
      </c>
      <c r="L468" s="793" t="e">
        <f t="shared" si="269"/>
        <v>#DIV/0!</v>
      </c>
      <c r="M468" s="1032" t="e">
        <f t="shared" si="269"/>
        <v>#DIV/0!</v>
      </c>
      <c r="N468" s="1033" t="e">
        <f t="shared" si="269"/>
        <v>#DIV/0!</v>
      </c>
    </row>
    <row r="469" spans="1:14" s="759" customFormat="1" ht="12">
      <c r="A469" s="1034"/>
      <c r="B469" s="1035"/>
      <c r="C469" s="1035" t="s">
        <v>4063</v>
      </c>
      <c r="D469" s="1036"/>
      <c r="E469" s="1031">
        <f>ROUNDDOWN(E468,4-LEN(E468))</f>
        <v>0</v>
      </c>
      <c r="F469" s="1037">
        <f>+E469</f>
        <v>0</v>
      </c>
      <c r="G469" s="1032" t="e">
        <f>IF(F470+SUM(H469:N469)=F469,F470,F469-SUM(H469:N469))</f>
        <v>#DIV/0!</v>
      </c>
      <c r="H469" s="1032" t="e">
        <f>IF(H459=0,+H465-ROUND($E$470*H464/$F$464,-3),H464)</f>
        <v>#DIV/0!</v>
      </c>
      <c r="I469" s="1032" t="e">
        <f t="shared" ref="I469:N469" si="270">IF(I459=0,+I465-ROUND($E$470*I464/$F$464,-3),I464)</f>
        <v>#DIV/0!</v>
      </c>
      <c r="J469" s="1032" t="e">
        <f t="shared" si="270"/>
        <v>#DIV/0!</v>
      </c>
      <c r="K469" s="1032" t="e">
        <f t="shared" si="270"/>
        <v>#DIV/0!</v>
      </c>
      <c r="L469" s="1032" t="e">
        <f t="shared" si="270"/>
        <v>#DIV/0!</v>
      </c>
      <c r="M469" s="1032" t="e">
        <f t="shared" si="270"/>
        <v>#DIV/0!</v>
      </c>
      <c r="N469" s="1033" t="e">
        <f t="shared" si="270"/>
        <v>#DIV/0!</v>
      </c>
    </row>
    <row r="470" spans="1:14" s="759" customFormat="1" ht="12">
      <c r="A470" s="1038"/>
      <c r="B470" s="1039"/>
      <c r="C470" s="1039"/>
      <c r="D470" s="1040"/>
      <c r="E470" s="1041">
        <f>E468-E469</f>
        <v>0</v>
      </c>
      <c r="F470" s="1042" t="e">
        <f>+G465-ROUND($E$470*G464/$F$464,-3)</f>
        <v>#DIV/0!</v>
      </c>
      <c r="G470" s="1041">
        <f t="shared" ref="G470:N470" si="271">IF(LEN(G464)&lt;=7,-3,IF(LEN(G464)=8,-4,IF(LEN(G464)&gt;=9,-5,-6)))</f>
        <v>-3</v>
      </c>
      <c r="H470" s="1041">
        <f t="shared" si="271"/>
        <v>-3</v>
      </c>
      <c r="I470" s="1041">
        <f t="shared" si="271"/>
        <v>-3</v>
      </c>
      <c r="J470" s="1041">
        <f t="shared" si="271"/>
        <v>-3</v>
      </c>
      <c r="K470" s="1041">
        <f t="shared" si="271"/>
        <v>-3</v>
      </c>
      <c r="L470" s="1041">
        <f t="shared" si="271"/>
        <v>-3</v>
      </c>
      <c r="M470" s="1041">
        <f t="shared" si="271"/>
        <v>-3</v>
      </c>
      <c r="N470" s="1043">
        <f t="shared" si="271"/>
        <v>-3</v>
      </c>
    </row>
    <row r="471" spans="1:14" ht="12.75" thickBot="1">
      <c r="F471" s="1044"/>
      <c r="G471" s="1045"/>
    </row>
    <row r="472" spans="1:14" ht="12">
      <c r="A472" s="1047"/>
      <c r="B472" s="1048"/>
      <c r="C472" s="1049" t="s">
        <v>4064</v>
      </c>
      <c r="D472" s="1050"/>
      <c r="E472" s="1048"/>
      <c r="F472" s="1051" t="s">
        <v>4065</v>
      </c>
      <c r="G472" s="1052">
        <f t="shared" ref="G472:N472" si="272">+G300</f>
        <v>0</v>
      </c>
      <c r="H472" s="1052">
        <f t="shared" si="272"/>
        <v>0</v>
      </c>
      <c r="I472" s="1052">
        <f t="shared" si="272"/>
        <v>15.9</v>
      </c>
      <c r="J472" s="1052">
        <f t="shared" si="272"/>
        <v>15.9</v>
      </c>
      <c r="K472" s="1052">
        <f t="shared" si="272"/>
        <v>0</v>
      </c>
      <c r="L472" s="1052">
        <f t="shared" si="272"/>
        <v>0</v>
      </c>
      <c r="M472" s="1052">
        <f t="shared" si="272"/>
        <v>0</v>
      </c>
      <c r="N472" s="1053">
        <f t="shared" si="272"/>
        <v>0</v>
      </c>
    </row>
    <row r="473" spans="1:14" s="759" customFormat="1" ht="12">
      <c r="A473" s="2760"/>
      <c r="B473" s="2761" t="s">
        <v>4066</v>
      </c>
      <c r="C473" s="1077" t="s">
        <v>4067</v>
      </c>
      <c r="D473" s="1035"/>
      <c r="E473" s="1078"/>
      <c r="F473" s="1079" t="s">
        <v>4068</v>
      </c>
      <c r="G473" s="1057">
        <f>IF($F356&lt;=10000000,ROUND(7.56*(10000^-0.1105)*(G472^0.2389),2),ROUND(7.56*(($F356/1000)^-0.1105)*(G472^0.2389),2))</f>
        <v>0</v>
      </c>
      <c r="H473" s="1057">
        <f t="shared" ref="H473:N473" si="273">IF($F356&lt;=10000000,ROUND(7.56*(10000^-0.1105)*(H472^0.2389),2),ROUND(7.56*(($F356/1000)^-0.1105)*(H472^0.2389),2))</f>
        <v>0</v>
      </c>
      <c r="I473" s="1057">
        <f t="shared" si="273"/>
        <v>5.29</v>
      </c>
      <c r="J473" s="1057">
        <f t="shared" si="273"/>
        <v>5.29</v>
      </c>
      <c r="K473" s="1057">
        <f t="shared" si="273"/>
        <v>0</v>
      </c>
      <c r="L473" s="1057">
        <f t="shared" si="273"/>
        <v>0</v>
      </c>
      <c r="M473" s="1057">
        <f t="shared" si="273"/>
        <v>0</v>
      </c>
      <c r="N473" s="1058">
        <f t="shared" si="273"/>
        <v>0</v>
      </c>
    </row>
    <row r="474" spans="1:14" s="759" customFormat="1" ht="12">
      <c r="A474" s="2715"/>
      <c r="B474" s="2718"/>
      <c r="C474" s="2766" t="s">
        <v>4069</v>
      </c>
      <c r="D474" s="934"/>
      <c r="E474" s="1080"/>
      <c r="F474" s="1079" t="s">
        <v>4070</v>
      </c>
      <c r="G474" s="1081">
        <f>IF($F356&lt;=10000000,ROUND(4.33,2),0)</f>
        <v>4.33</v>
      </c>
      <c r="H474" s="1081">
        <f t="shared" ref="H474:N474" si="274">IF($F356&lt;=10000000,ROUND(4.33,2),0)</f>
        <v>4.33</v>
      </c>
      <c r="I474" s="1081">
        <f t="shared" si="274"/>
        <v>4.33</v>
      </c>
      <c r="J474" s="1081">
        <f t="shared" si="274"/>
        <v>4.33</v>
      </c>
      <c r="K474" s="1081">
        <f t="shared" si="274"/>
        <v>4.33</v>
      </c>
      <c r="L474" s="1081">
        <f t="shared" si="274"/>
        <v>4.33</v>
      </c>
      <c r="M474" s="1081">
        <f t="shared" si="274"/>
        <v>4.33</v>
      </c>
      <c r="N474" s="1082">
        <f t="shared" si="274"/>
        <v>4.33</v>
      </c>
    </row>
    <row r="475" spans="1:14" s="759" customFormat="1" ht="13.5" customHeight="1">
      <c r="A475" s="2715"/>
      <c r="B475" s="2718"/>
      <c r="C475" s="2895"/>
      <c r="D475" s="2323"/>
      <c r="E475" s="1083"/>
      <c r="F475" s="1079" t="s">
        <v>4071</v>
      </c>
      <c r="G475" s="1081">
        <f>IF($F356&lt;=10000000,ROUND(3.25,2),0)</f>
        <v>3.25</v>
      </c>
      <c r="H475" s="1081">
        <f t="shared" ref="H475:N475" si="275">IF($F356&lt;=10000000,ROUND(3.25,2),0)</f>
        <v>3.25</v>
      </c>
      <c r="I475" s="1081">
        <f t="shared" si="275"/>
        <v>3.25</v>
      </c>
      <c r="J475" s="1081">
        <f t="shared" si="275"/>
        <v>3.25</v>
      </c>
      <c r="K475" s="1081">
        <f t="shared" si="275"/>
        <v>3.25</v>
      </c>
      <c r="L475" s="1081">
        <f t="shared" si="275"/>
        <v>3.25</v>
      </c>
      <c r="M475" s="1081">
        <f t="shared" si="275"/>
        <v>3.25</v>
      </c>
      <c r="N475" s="1082">
        <f t="shared" si="275"/>
        <v>3.25</v>
      </c>
    </row>
    <row r="476" spans="1:14" s="759" customFormat="1" ht="12">
      <c r="A476" s="2715"/>
      <c r="B476" s="2718"/>
      <c r="C476" s="2766" t="s">
        <v>4072</v>
      </c>
      <c r="D476" s="934"/>
      <c r="E476" s="1080"/>
      <c r="F476" s="1079" t="s">
        <v>4070</v>
      </c>
      <c r="G476" s="1084">
        <f>IF($F356&gt;10000000,ROUND(5.78*($F356/1000)^-0.0313,2),0)</f>
        <v>0</v>
      </c>
      <c r="H476" s="1084">
        <f t="shared" ref="H476:N476" si="276">IF($F356&gt;10000000,ROUND(5.78*($F356/1000)^-0.0313,2),0)</f>
        <v>0</v>
      </c>
      <c r="I476" s="1084">
        <f t="shared" si="276"/>
        <v>0</v>
      </c>
      <c r="J476" s="1084">
        <f t="shared" si="276"/>
        <v>0</v>
      </c>
      <c r="K476" s="1084">
        <f t="shared" si="276"/>
        <v>0</v>
      </c>
      <c r="L476" s="1084">
        <f t="shared" si="276"/>
        <v>0</v>
      </c>
      <c r="M476" s="1084">
        <f t="shared" si="276"/>
        <v>0</v>
      </c>
      <c r="N476" s="1085">
        <f t="shared" si="276"/>
        <v>0</v>
      </c>
    </row>
    <row r="477" spans="1:14" s="759" customFormat="1" ht="13.5" customHeight="1">
      <c r="A477" s="2716"/>
      <c r="B477" s="2719"/>
      <c r="C477" s="2895"/>
      <c r="D477" s="2323"/>
      <c r="E477" s="1083"/>
      <c r="F477" s="1079" t="s">
        <v>4071</v>
      </c>
      <c r="G477" s="1084">
        <f>IF($F356&gt;10000000,ROUND(4.34*($F356/1000)^-0.0313,2),0)</f>
        <v>0</v>
      </c>
      <c r="H477" s="1084">
        <f t="shared" ref="H477:N477" si="277">IF($F356&gt;10000000,ROUND(4.34*($F356/1000)^-0.0313,2),0)</f>
        <v>0</v>
      </c>
      <c r="I477" s="1084">
        <f t="shared" si="277"/>
        <v>0</v>
      </c>
      <c r="J477" s="1084">
        <f t="shared" si="277"/>
        <v>0</v>
      </c>
      <c r="K477" s="1084">
        <f t="shared" si="277"/>
        <v>0</v>
      </c>
      <c r="L477" s="1084">
        <f t="shared" si="277"/>
        <v>0</v>
      </c>
      <c r="M477" s="1084">
        <f t="shared" si="277"/>
        <v>0</v>
      </c>
      <c r="N477" s="1085">
        <f t="shared" si="277"/>
        <v>0</v>
      </c>
    </row>
    <row r="478" spans="1:14" s="759" customFormat="1" ht="13.5" customHeight="1">
      <c r="A478" s="2889" t="s">
        <v>4073</v>
      </c>
      <c r="B478" s="2890"/>
      <c r="C478" s="2890"/>
      <c r="D478" s="2890"/>
      <c r="E478" s="2890"/>
      <c r="F478" s="2891"/>
      <c r="G478" s="1084">
        <f>IF($F356&lt;=10000000,IF(G$473&gt;G$474,G$474,IF(G$473&lt;G$475,G$475,G$473)),IF(G$473&gt;G$476,G$476,IF(G$473&lt;G$477,G$477,G$473)))</f>
        <v>3.25</v>
      </c>
      <c r="H478" s="1084">
        <f t="shared" ref="H478:N478" si="278">IF($F356&lt;=10000000,IF(H$473&gt;H$474,H$474,IF(H$473&lt;H$475,H$475,H$473)),IF(H$473&gt;H$476,H$476,IF(H$473&lt;H$477,H$477,H$473)))</f>
        <v>3.25</v>
      </c>
      <c r="I478" s="1084">
        <f t="shared" si="278"/>
        <v>4.33</v>
      </c>
      <c r="J478" s="1084">
        <f t="shared" si="278"/>
        <v>4.33</v>
      </c>
      <c r="K478" s="1084">
        <f t="shared" si="278"/>
        <v>3.25</v>
      </c>
      <c r="L478" s="1084">
        <f t="shared" si="278"/>
        <v>3.25</v>
      </c>
      <c r="M478" s="1084">
        <f t="shared" si="278"/>
        <v>3.25</v>
      </c>
      <c r="N478" s="1085">
        <f t="shared" si="278"/>
        <v>3.25</v>
      </c>
    </row>
    <row r="479" spans="1:14" s="759" customFormat="1" ht="12.75" thickBot="1">
      <c r="A479" s="2892" t="s">
        <v>4748</v>
      </c>
      <c r="B479" s="2893"/>
      <c r="C479" s="2893"/>
      <c r="D479" s="2893"/>
      <c r="E479" s="2893"/>
      <c r="F479" s="2894"/>
      <c r="G479" s="1849">
        <f t="shared" ref="G479:N479" si="279">ROUND(G478*0.9,2)</f>
        <v>2.93</v>
      </c>
      <c r="H479" s="1849">
        <f t="shared" si="279"/>
        <v>2.93</v>
      </c>
      <c r="I479" s="1849">
        <f t="shared" si="279"/>
        <v>3.9</v>
      </c>
      <c r="J479" s="1849">
        <f t="shared" si="279"/>
        <v>3.9</v>
      </c>
      <c r="K479" s="1849">
        <f t="shared" si="279"/>
        <v>2.93</v>
      </c>
      <c r="L479" s="1849">
        <f t="shared" si="279"/>
        <v>2.93</v>
      </c>
      <c r="M479" s="1849">
        <f t="shared" si="279"/>
        <v>2.93</v>
      </c>
      <c r="N479" s="1850">
        <f t="shared" si="279"/>
        <v>2.93</v>
      </c>
    </row>
    <row r="480" spans="1:14" s="759" customFormat="1" ht="12.75" thickBot="1">
      <c r="G480" s="1071"/>
      <c r="H480" s="1071"/>
      <c r="I480" s="1071"/>
      <c r="J480" s="1071"/>
      <c r="K480" s="1071"/>
      <c r="L480" s="1071"/>
      <c r="M480" s="1071"/>
      <c r="N480" s="1071"/>
    </row>
    <row r="481" spans="1:14" s="759" customFormat="1" ht="12">
      <c r="A481" s="1072"/>
      <c r="B481" s="1073"/>
      <c r="C481" s="1074" t="s">
        <v>4064</v>
      </c>
      <c r="D481" s="1075"/>
      <c r="E481" s="1073"/>
      <c r="F481" s="1076" t="s">
        <v>4065</v>
      </c>
      <c r="G481" s="1052">
        <f t="shared" ref="G481:N481" si="280">+G300</f>
        <v>0</v>
      </c>
      <c r="H481" s="1052">
        <f t="shared" si="280"/>
        <v>0</v>
      </c>
      <c r="I481" s="1052">
        <f t="shared" si="280"/>
        <v>15.9</v>
      </c>
      <c r="J481" s="1052">
        <f t="shared" si="280"/>
        <v>15.9</v>
      </c>
      <c r="K481" s="1052">
        <f t="shared" si="280"/>
        <v>0</v>
      </c>
      <c r="L481" s="1052">
        <f t="shared" si="280"/>
        <v>0</v>
      </c>
      <c r="M481" s="1052">
        <f t="shared" si="280"/>
        <v>0</v>
      </c>
      <c r="N481" s="1053">
        <f t="shared" si="280"/>
        <v>0</v>
      </c>
    </row>
    <row r="482" spans="1:14" s="759" customFormat="1" ht="12">
      <c r="A482" s="2760"/>
      <c r="B482" s="2761" t="s">
        <v>4075</v>
      </c>
      <c r="C482" s="1077" t="s">
        <v>4067</v>
      </c>
      <c r="D482" s="1035"/>
      <c r="E482" s="1078"/>
      <c r="F482" s="1079" t="s">
        <v>4076</v>
      </c>
      <c r="G482" s="1057">
        <f>IF($F356&lt;=5000000,ROUND(18.03*(5000^-0.2027)*(G481^0.4017),2),ROUND(18.03*(($F356/1000)^-0.2027)*(G481^0.4017),2))</f>
        <v>0</v>
      </c>
      <c r="H482" s="1057">
        <f t="shared" ref="H482:N482" si="281">IF($F356&lt;=5000000,ROUND(18.03*(5000^-0.2027)*(H481^0.4017),2),ROUND(18.03*(($F356/1000)^-0.2027)*(H481^0.4017),2))</f>
        <v>0</v>
      </c>
      <c r="I482" s="1057">
        <f t="shared" si="281"/>
        <v>9.75</v>
      </c>
      <c r="J482" s="1057">
        <f t="shared" si="281"/>
        <v>9.75</v>
      </c>
      <c r="K482" s="1057">
        <f t="shared" si="281"/>
        <v>0</v>
      </c>
      <c r="L482" s="1057">
        <f t="shared" si="281"/>
        <v>0</v>
      </c>
      <c r="M482" s="1057">
        <f t="shared" si="281"/>
        <v>0</v>
      </c>
      <c r="N482" s="1058">
        <f t="shared" si="281"/>
        <v>0</v>
      </c>
    </row>
    <row r="483" spans="1:14" s="759" customFormat="1" ht="12">
      <c r="A483" s="2715"/>
      <c r="B483" s="2718"/>
      <c r="C483" s="2766" t="s">
        <v>4077</v>
      </c>
      <c r="D483" s="934"/>
      <c r="E483" s="1080"/>
      <c r="F483" s="1079" t="s">
        <v>4070</v>
      </c>
      <c r="G483" s="1081">
        <f>IF($F356&lt;=5000000,ROUND(6.07,2),0)</f>
        <v>6.07</v>
      </c>
      <c r="H483" s="1081">
        <f t="shared" ref="H483:N483" si="282">IF($F356&lt;=5000000,ROUND(6.07,2),0)</f>
        <v>6.07</v>
      </c>
      <c r="I483" s="1081">
        <f t="shared" si="282"/>
        <v>6.07</v>
      </c>
      <c r="J483" s="1081">
        <f t="shared" si="282"/>
        <v>6.07</v>
      </c>
      <c r="K483" s="1081">
        <f t="shared" si="282"/>
        <v>6.07</v>
      </c>
      <c r="L483" s="1081">
        <f t="shared" si="282"/>
        <v>6.07</v>
      </c>
      <c r="M483" s="1081">
        <f t="shared" si="282"/>
        <v>6.07</v>
      </c>
      <c r="N483" s="1082">
        <f t="shared" si="282"/>
        <v>6.07</v>
      </c>
    </row>
    <row r="484" spans="1:14" s="759" customFormat="1" ht="13.5" customHeight="1">
      <c r="A484" s="2715"/>
      <c r="B484" s="2718"/>
      <c r="C484" s="2895"/>
      <c r="D484" s="2323"/>
      <c r="E484" s="1083"/>
      <c r="F484" s="1079" t="s">
        <v>4071</v>
      </c>
      <c r="G484" s="1081">
        <f>IF($F356&lt;=5000000,ROUND(3.59,2),0)</f>
        <v>3.59</v>
      </c>
      <c r="H484" s="1081">
        <f t="shared" ref="H484:N484" si="283">IF($F356&lt;=5000000,ROUND(3.59,2),0)</f>
        <v>3.59</v>
      </c>
      <c r="I484" s="1081">
        <f t="shared" si="283"/>
        <v>3.59</v>
      </c>
      <c r="J484" s="1081">
        <f t="shared" si="283"/>
        <v>3.59</v>
      </c>
      <c r="K484" s="1081">
        <f t="shared" si="283"/>
        <v>3.59</v>
      </c>
      <c r="L484" s="1081">
        <f t="shared" si="283"/>
        <v>3.59</v>
      </c>
      <c r="M484" s="1081">
        <f t="shared" si="283"/>
        <v>3.59</v>
      </c>
      <c r="N484" s="1082">
        <f t="shared" si="283"/>
        <v>3.59</v>
      </c>
    </row>
    <row r="485" spans="1:14" s="759" customFormat="1" ht="12">
      <c r="A485" s="2715"/>
      <c r="B485" s="2718"/>
      <c r="C485" s="2766" t="s">
        <v>4078</v>
      </c>
      <c r="D485" s="934"/>
      <c r="E485" s="1080"/>
      <c r="F485" s="1079" t="s">
        <v>4070</v>
      </c>
      <c r="G485" s="1084">
        <f>IF($F356&gt;5000000,ROUND(11.74*($F356/1000)^-0.0774,2),0)</f>
        <v>0</v>
      </c>
      <c r="H485" s="1084">
        <f t="shared" ref="H485:N485" si="284">IF($F356&gt;5000000,ROUND(11.74*($F356/1000)^-0.0774,2),0)</f>
        <v>0</v>
      </c>
      <c r="I485" s="1084">
        <f t="shared" si="284"/>
        <v>0</v>
      </c>
      <c r="J485" s="1084">
        <f t="shared" si="284"/>
        <v>0</v>
      </c>
      <c r="K485" s="1084">
        <f t="shared" si="284"/>
        <v>0</v>
      </c>
      <c r="L485" s="1084">
        <f t="shared" si="284"/>
        <v>0</v>
      </c>
      <c r="M485" s="1084">
        <f t="shared" si="284"/>
        <v>0</v>
      </c>
      <c r="N485" s="1085">
        <f t="shared" si="284"/>
        <v>0</v>
      </c>
    </row>
    <row r="486" spans="1:14" s="759" customFormat="1" ht="13.5" customHeight="1">
      <c r="A486" s="2716"/>
      <c r="B486" s="2719"/>
      <c r="C486" s="2895"/>
      <c r="D486" s="2323"/>
      <c r="E486" s="1083"/>
      <c r="F486" s="1079" t="s">
        <v>4071</v>
      </c>
      <c r="G486" s="1084">
        <f>IF($F356&gt;5000000,ROUND(6.94*($F356/1000)^-0.0774,2),0)</f>
        <v>0</v>
      </c>
      <c r="H486" s="1084">
        <f t="shared" ref="H486:N486" si="285">IF($F356&gt;5000000,ROUND(6.94*($F356/1000)^-0.0774,2),0)</f>
        <v>0</v>
      </c>
      <c r="I486" s="1084">
        <f t="shared" si="285"/>
        <v>0</v>
      </c>
      <c r="J486" s="1084">
        <f t="shared" si="285"/>
        <v>0</v>
      </c>
      <c r="K486" s="1084">
        <f t="shared" si="285"/>
        <v>0</v>
      </c>
      <c r="L486" s="1084">
        <f t="shared" si="285"/>
        <v>0</v>
      </c>
      <c r="M486" s="1084">
        <f t="shared" si="285"/>
        <v>0</v>
      </c>
      <c r="N486" s="1085">
        <f t="shared" si="285"/>
        <v>0</v>
      </c>
    </row>
    <row r="487" spans="1:14" s="759" customFormat="1" ht="13.5" customHeight="1">
      <c r="A487" s="2889" t="s">
        <v>4073</v>
      </c>
      <c r="B487" s="2890"/>
      <c r="C487" s="2890"/>
      <c r="D487" s="2890"/>
      <c r="E487" s="2890"/>
      <c r="F487" s="2891"/>
      <c r="G487" s="1851">
        <f>IF($F356&lt;=5000000,IF(G$482&gt;G$483,G$483,IF(G$482&lt;G$484,G$484,G$482)),IF(G$482&gt;G$485,G$485,IF(G$482&lt;G$486,G$486,G$482)))</f>
        <v>3.59</v>
      </c>
      <c r="H487" s="1851">
        <f t="shared" ref="H487:N487" si="286">IF($F356&lt;=5000000,IF(H$482&gt;H$483,H$483,IF(H$482&lt;H$484,H$484,H$482)),IF(H$482&gt;H$485,H$485,IF(H$482&lt;H$486,H$486,H$482)))</f>
        <v>3.59</v>
      </c>
      <c r="I487" s="1851">
        <f t="shared" si="286"/>
        <v>6.07</v>
      </c>
      <c r="J487" s="1851">
        <f t="shared" si="286"/>
        <v>6.07</v>
      </c>
      <c r="K487" s="1851">
        <f t="shared" si="286"/>
        <v>3.59</v>
      </c>
      <c r="L487" s="1851">
        <f t="shared" si="286"/>
        <v>3.59</v>
      </c>
      <c r="M487" s="1851">
        <f t="shared" si="286"/>
        <v>3.59</v>
      </c>
      <c r="N487" s="1878">
        <f t="shared" si="286"/>
        <v>3.59</v>
      </c>
    </row>
    <row r="488" spans="1:14" s="759" customFormat="1" ht="12.75" thickBot="1">
      <c r="A488" s="2892" t="s">
        <v>4748</v>
      </c>
      <c r="B488" s="2893"/>
      <c r="C488" s="2893"/>
      <c r="D488" s="2893"/>
      <c r="E488" s="2893"/>
      <c r="F488" s="2894"/>
      <c r="G488" s="1849">
        <f t="shared" ref="G488:N488" si="287">ROUND(G487*0.9,2)</f>
        <v>3.23</v>
      </c>
      <c r="H488" s="1849">
        <f t="shared" si="287"/>
        <v>3.23</v>
      </c>
      <c r="I488" s="1849">
        <f t="shared" si="287"/>
        <v>5.46</v>
      </c>
      <c r="J488" s="1849">
        <f t="shared" si="287"/>
        <v>5.46</v>
      </c>
      <c r="K488" s="1849">
        <f t="shared" si="287"/>
        <v>3.23</v>
      </c>
      <c r="L488" s="1849">
        <f t="shared" si="287"/>
        <v>3.23</v>
      </c>
      <c r="M488" s="1849">
        <f t="shared" si="287"/>
        <v>3.23</v>
      </c>
      <c r="N488" s="1850">
        <f t="shared" si="287"/>
        <v>3.23</v>
      </c>
    </row>
    <row r="489" spans="1:14" s="759" customFormat="1" ht="12.75" thickBot="1">
      <c r="G489" s="1088"/>
      <c r="H489" s="1088"/>
      <c r="I489" s="1088"/>
      <c r="J489" s="1088"/>
      <c r="K489" s="1088"/>
      <c r="L489" s="1088"/>
      <c r="M489" s="1088"/>
      <c r="N489" s="1088"/>
    </row>
    <row r="490" spans="1:14" s="759" customFormat="1" ht="12">
      <c r="A490" s="1072"/>
      <c r="B490" s="1073"/>
      <c r="C490" s="1074" t="s">
        <v>4079</v>
      </c>
      <c r="D490" s="1075"/>
      <c r="E490" s="1073"/>
      <c r="F490" s="1076" t="s">
        <v>4065</v>
      </c>
      <c r="G490" s="1052">
        <f t="shared" ref="G490:N490" si="288">+G498</f>
        <v>0</v>
      </c>
      <c r="H490" s="1052">
        <f t="shared" si="288"/>
        <v>0</v>
      </c>
      <c r="I490" s="1052">
        <f t="shared" si="288"/>
        <v>15.9</v>
      </c>
      <c r="J490" s="1052">
        <f t="shared" si="288"/>
        <v>15.9</v>
      </c>
      <c r="K490" s="1052">
        <f t="shared" si="288"/>
        <v>0</v>
      </c>
      <c r="L490" s="1052">
        <f t="shared" si="288"/>
        <v>0</v>
      </c>
      <c r="M490" s="1052">
        <f t="shared" si="288"/>
        <v>0</v>
      </c>
      <c r="N490" s="1053">
        <f t="shared" si="288"/>
        <v>0</v>
      </c>
    </row>
    <row r="491" spans="1:14" s="759" customFormat="1" ht="12">
      <c r="A491" s="2760"/>
      <c r="B491" s="2761" t="s">
        <v>4066</v>
      </c>
      <c r="C491" s="1077" t="s">
        <v>4080</v>
      </c>
      <c r="D491" s="1035"/>
      <c r="E491" s="1078"/>
      <c r="F491" s="1079" t="s">
        <v>4081</v>
      </c>
      <c r="G491" s="1057">
        <f>IF($F395&lt;=10000000,ROUND(151.08*((10000)^-0.3396)*(G490^0.586),2),ROUND(151.08*(($F395/1000)^-0.3396)*(G490^0.586),2))</f>
        <v>0</v>
      </c>
      <c r="H491" s="1057">
        <f t="shared" ref="H491:N491" si="289">IF($F395&lt;=10000000,ROUND(151.08*((10000)^-0.3396)*(H490^0.586),2),ROUND(151.08*(($F395/1000)^-0.3396)*(H490^0.586),2))</f>
        <v>0</v>
      </c>
      <c r="I491" s="1057">
        <f t="shared" si="289"/>
        <v>33.479999999999997</v>
      </c>
      <c r="J491" s="1057">
        <f t="shared" si="289"/>
        <v>33.479999999999997</v>
      </c>
      <c r="K491" s="1057">
        <f t="shared" si="289"/>
        <v>0</v>
      </c>
      <c r="L491" s="1057">
        <f t="shared" si="289"/>
        <v>0</v>
      </c>
      <c r="M491" s="1057">
        <f t="shared" si="289"/>
        <v>0</v>
      </c>
      <c r="N491" s="1058">
        <f t="shared" si="289"/>
        <v>0</v>
      </c>
    </row>
    <row r="492" spans="1:14" s="759" customFormat="1" ht="12">
      <c r="A492" s="2715"/>
      <c r="B492" s="2718"/>
      <c r="C492" s="2766" t="s">
        <v>4082</v>
      </c>
      <c r="D492" s="934"/>
      <c r="E492" s="1080"/>
      <c r="F492" s="1079" t="s">
        <v>4070</v>
      </c>
      <c r="G492" s="1081">
        <f>IF($F395&lt;=10000000,ROUND(20.13,2),0)</f>
        <v>20.13</v>
      </c>
      <c r="H492" s="1081">
        <f t="shared" ref="H492:N492" si="290">IF($F395&lt;=10000000,ROUND(20.13,2),0)</f>
        <v>20.13</v>
      </c>
      <c r="I492" s="1081">
        <f t="shared" si="290"/>
        <v>20.13</v>
      </c>
      <c r="J492" s="1081">
        <f t="shared" si="290"/>
        <v>20.13</v>
      </c>
      <c r="K492" s="1081">
        <f t="shared" si="290"/>
        <v>20.13</v>
      </c>
      <c r="L492" s="1081">
        <f t="shared" si="290"/>
        <v>20.13</v>
      </c>
      <c r="M492" s="1081">
        <f t="shared" si="290"/>
        <v>20.13</v>
      </c>
      <c r="N492" s="1082">
        <f t="shared" si="290"/>
        <v>20.13</v>
      </c>
    </row>
    <row r="493" spans="1:14" s="759" customFormat="1" ht="13.5" customHeight="1">
      <c r="A493" s="2715"/>
      <c r="B493" s="2718"/>
      <c r="C493" s="2895"/>
      <c r="D493" s="2323"/>
      <c r="E493" s="1083"/>
      <c r="F493" s="1079" t="s">
        <v>4071</v>
      </c>
      <c r="G493" s="1081">
        <f>IF($F395&lt;=10000000,ROUND(10.01,2),0)</f>
        <v>10.01</v>
      </c>
      <c r="H493" s="1081">
        <f t="shared" ref="H493:N493" si="291">IF($F395&lt;=10000000,ROUND(10.01,2),0)</f>
        <v>10.01</v>
      </c>
      <c r="I493" s="1081">
        <f t="shared" si="291"/>
        <v>10.01</v>
      </c>
      <c r="J493" s="1081">
        <f t="shared" si="291"/>
        <v>10.01</v>
      </c>
      <c r="K493" s="1081">
        <f t="shared" si="291"/>
        <v>10.01</v>
      </c>
      <c r="L493" s="1081">
        <f t="shared" si="291"/>
        <v>10.01</v>
      </c>
      <c r="M493" s="1081">
        <f t="shared" si="291"/>
        <v>10.01</v>
      </c>
      <c r="N493" s="1082">
        <f t="shared" si="291"/>
        <v>10.01</v>
      </c>
    </row>
    <row r="494" spans="1:14" s="759" customFormat="1" ht="12">
      <c r="A494" s="2715"/>
      <c r="B494" s="2718"/>
      <c r="C494" s="2766" t="s">
        <v>4083</v>
      </c>
      <c r="D494" s="934"/>
      <c r="E494" s="1080"/>
      <c r="F494" s="1079" t="s">
        <v>4070</v>
      </c>
      <c r="G494" s="1084">
        <f>IF($F395&gt;10000000,ROUND(75.97*($F395/1000)^-0.1442,2),0)</f>
        <v>0</v>
      </c>
      <c r="H494" s="1084">
        <f t="shared" ref="H494:N494" si="292">IF($F395&gt;10000000,ROUND(75.97*($F395/1000)^-0.1442,2),0)</f>
        <v>0</v>
      </c>
      <c r="I494" s="1084">
        <f t="shared" si="292"/>
        <v>0</v>
      </c>
      <c r="J494" s="1084">
        <f t="shared" si="292"/>
        <v>0</v>
      </c>
      <c r="K494" s="1084">
        <f t="shared" si="292"/>
        <v>0</v>
      </c>
      <c r="L494" s="1084">
        <f t="shared" si="292"/>
        <v>0</v>
      </c>
      <c r="M494" s="1084">
        <f t="shared" si="292"/>
        <v>0</v>
      </c>
      <c r="N494" s="1085">
        <f t="shared" si="292"/>
        <v>0</v>
      </c>
    </row>
    <row r="495" spans="1:14" s="759" customFormat="1" ht="13.5" customHeight="1">
      <c r="A495" s="2716"/>
      <c r="B495" s="2719"/>
      <c r="C495" s="2895"/>
      <c r="D495" s="2323"/>
      <c r="E495" s="1083"/>
      <c r="F495" s="1079" t="s">
        <v>4071</v>
      </c>
      <c r="G495" s="1084">
        <f>IF($F395&gt;10000000,ROUND(37.76*($F395/1000)^-0.1442,2),0)</f>
        <v>0</v>
      </c>
      <c r="H495" s="1084">
        <f t="shared" ref="H495:N495" si="293">IF($F395&gt;10000000,ROUND(37.76*($F395/1000)^-0.1442,2),0)</f>
        <v>0</v>
      </c>
      <c r="I495" s="1084">
        <f t="shared" si="293"/>
        <v>0</v>
      </c>
      <c r="J495" s="1084">
        <f t="shared" si="293"/>
        <v>0</v>
      </c>
      <c r="K495" s="1084">
        <f t="shared" si="293"/>
        <v>0</v>
      </c>
      <c r="L495" s="1084">
        <f t="shared" si="293"/>
        <v>0</v>
      </c>
      <c r="M495" s="1084">
        <f t="shared" si="293"/>
        <v>0</v>
      </c>
      <c r="N495" s="1085">
        <f t="shared" si="293"/>
        <v>0</v>
      </c>
    </row>
    <row r="496" spans="1:14" s="759" customFormat="1" ht="12.75" thickBot="1">
      <c r="A496" s="2897" t="s">
        <v>4084</v>
      </c>
      <c r="B496" s="2898"/>
      <c r="C496" s="2898"/>
      <c r="D496" s="2898"/>
      <c r="E496" s="1852"/>
      <c r="F496" s="1853"/>
      <c r="G496" s="1854">
        <f>IF($F395&lt;=10000000,IF(G$491&gt;G$492,G$492,IF(G$491&lt;G$493,G$493,G$491)),IF(G$491&gt;G$494,G$494,IF(G$491&lt;G$495,G$495,G$491)))</f>
        <v>10.01</v>
      </c>
      <c r="H496" s="1854">
        <f t="shared" ref="H496:N496" si="294">IF($F395&lt;=10000000,IF(H$491&gt;H$492,H$492,IF(H$491&lt;H$493,H$493,H$491)),IF(H$491&gt;H$494,H$494,IF(H$491&lt;H$495,H$495,H$491)))</f>
        <v>10.01</v>
      </c>
      <c r="I496" s="1854">
        <f t="shared" si="294"/>
        <v>20.13</v>
      </c>
      <c r="J496" s="1854">
        <f t="shared" si="294"/>
        <v>20.13</v>
      </c>
      <c r="K496" s="1854">
        <f t="shared" si="294"/>
        <v>10.01</v>
      </c>
      <c r="L496" s="1854">
        <f t="shared" si="294"/>
        <v>10.01</v>
      </c>
      <c r="M496" s="1854">
        <f t="shared" si="294"/>
        <v>10.01</v>
      </c>
      <c r="N496" s="1879">
        <f t="shared" si="294"/>
        <v>10.01</v>
      </c>
    </row>
    <row r="497" spans="1:14" s="759" customFormat="1" ht="12.75" thickBot="1">
      <c r="G497" s="1071"/>
      <c r="H497" s="1071"/>
      <c r="I497" s="1071"/>
      <c r="J497" s="1071"/>
      <c r="K497" s="1071"/>
      <c r="L497" s="1071"/>
      <c r="M497" s="1071"/>
      <c r="N497" s="1071"/>
    </row>
    <row r="498" spans="1:14" s="759" customFormat="1" ht="12">
      <c r="A498" s="1072"/>
      <c r="B498" s="1073"/>
      <c r="C498" s="1074" t="s">
        <v>4079</v>
      </c>
      <c r="D498" s="1075"/>
      <c r="E498" s="1073"/>
      <c r="F498" s="1076" t="s">
        <v>4065</v>
      </c>
      <c r="G498" s="1052">
        <f t="shared" ref="G498:N498" si="295">+G300</f>
        <v>0</v>
      </c>
      <c r="H498" s="1052">
        <f t="shared" si="295"/>
        <v>0</v>
      </c>
      <c r="I498" s="1052">
        <f t="shared" si="295"/>
        <v>15.9</v>
      </c>
      <c r="J498" s="1052">
        <f t="shared" si="295"/>
        <v>15.9</v>
      </c>
      <c r="K498" s="1052">
        <f t="shared" si="295"/>
        <v>0</v>
      </c>
      <c r="L498" s="1052">
        <f t="shared" si="295"/>
        <v>0</v>
      </c>
      <c r="M498" s="1052">
        <f t="shared" si="295"/>
        <v>0</v>
      </c>
      <c r="N498" s="1053">
        <f t="shared" si="295"/>
        <v>0</v>
      </c>
    </row>
    <row r="499" spans="1:14" s="759" customFormat="1" ht="12">
      <c r="A499" s="2760"/>
      <c r="B499" s="2761" t="s">
        <v>4075</v>
      </c>
      <c r="C499" s="1077" t="s">
        <v>4080</v>
      </c>
      <c r="D499" s="1035"/>
      <c r="E499" s="1078"/>
      <c r="F499" s="1079" t="s">
        <v>4081</v>
      </c>
      <c r="G499" s="1057">
        <f>IF($F395&lt;=5000000,ROUND(356.2*((5000)^-0.4085)*(G498^0.5766),2),ROUND(356.2*(($F395/1000)^-0.4085)*(G498^0.5766),2))</f>
        <v>0</v>
      </c>
      <c r="H499" s="1057">
        <f t="shared" ref="H499:N499" si="296">IF($F395&lt;=5000000,ROUND(356.2*((5000)^-0.4085)*(H498^0.5766),2),ROUND(356.2*(($F395/1000)^-0.4085)*(H498^0.5766),2))</f>
        <v>0</v>
      </c>
      <c r="I499" s="1057">
        <f t="shared" si="296"/>
        <v>54.12</v>
      </c>
      <c r="J499" s="1057">
        <f t="shared" si="296"/>
        <v>54.12</v>
      </c>
      <c r="K499" s="1057">
        <f t="shared" si="296"/>
        <v>0</v>
      </c>
      <c r="L499" s="1057">
        <f t="shared" si="296"/>
        <v>0</v>
      </c>
      <c r="M499" s="1057">
        <f t="shared" si="296"/>
        <v>0</v>
      </c>
      <c r="N499" s="1058">
        <f t="shared" si="296"/>
        <v>0</v>
      </c>
    </row>
    <row r="500" spans="1:14" s="759" customFormat="1" ht="12">
      <c r="A500" s="2715"/>
      <c r="B500" s="2718"/>
      <c r="C500" s="2766" t="s">
        <v>4085</v>
      </c>
      <c r="D500" s="934"/>
      <c r="E500" s="1080"/>
      <c r="F500" s="1079" t="s">
        <v>4070</v>
      </c>
      <c r="G500" s="1081">
        <f>IF($F395&lt;=5000000,ROUND(26.86,2),0)</f>
        <v>26.86</v>
      </c>
      <c r="H500" s="1081">
        <f t="shared" ref="H500:N500" si="297">IF($F395&lt;=5000000,ROUND(26.86,2),0)</f>
        <v>26.86</v>
      </c>
      <c r="I500" s="1081">
        <f t="shared" si="297"/>
        <v>26.86</v>
      </c>
      <c r="J500" s="1081">
        <f t="shared" si="297"/>
        <v>26.86</v>
      </c>
      <c r="K500" s="1081">
        <f t="shared" si="297"/>
        <v>26.86</v>
      </c>
      <c r="L500" s="1081">
        <f t="shared" si="297"/>
        <v>26.86</v>
      </c>
      <c r="M500" s="1081">
        <f t="shared" si="297"/>
        <v>26.86</v>
      </c>
      <c r="N500" s="1082">
        <f t="shared" si="297"/>
        <v>26.86</v>
      </c>
    </row>
    <row r="501" spans="1:14" s="759" customFormat="1" ht="13.5" customHeight="1">
      <c r="A501" s="2715"/>
      <c r="B501" s="2718"/>
      <c r="C501" s="2895"/>
      <c r="D501" s="2323"/>
      <c r="E501" s="1083"/>
      <c r="F501" s="1079" t="s">
        <v>4071</v>
      </c>
      <c r="G501" s="1081">
        <f>IF($F395&lt;=5000000,ROUND(12.7,2),0)</f>
        <v>12.7</v>
      </c>
      <c r="H501" s="1081">
        <f t="shared" ref="H501:N501" si="298">IF($F395&lt;=5000000,ROUND(12.7,2),0)</f>
        <v>12.7</v>
      </c>
      <c r="I501" s="1081">
        <f t="shared" si="298"/>
        <v>12.7</v>
      </c>
      <c r="J501" s="1081">
        <f t="shared" si="298"/>
        <v>12.7</v>
      </c>
      <c r="K501" s="1081">
        <f t="shared" si="298"/>
        <v>12.7</v>
      </c>
      <c r="L501" s="1081">
        <f t="shared" si="298"/>
        <v>12.7</v>
      </c>
      <c r="M501" s="1081">
        <f t="shared" si="298"/>
        <v>12.7</v>
      </c>
      <c r="N501" s="1082">
        <f t="shared" si="298"/>
        <v>12.7</v>
      </c>
    </row>
    <row r="502" spans="1:14" s="759" customFormat="1" ht="12">
      <c r="A502" s="2715"/>
      <c r="B502" s="2718"/>
      <c r="C502" s="2766" t="s">
        <v>4086</v>
      </c>
      <c r="D502" s="934"/>
      <c r="E502" s="1080"/>
      <c r="F502" s="1079" t="s">
        <v>4070</v>
      </c>
      <c r="G502" s="1084">
        <f>IF($F395&gt;5000000,ROUND(184.58*($F395/1000)^-0.2263,2),0)</f>
        <v>0</v>
      </c>
      <c r="H502" s="1084">
        <f t="shared" ref="H502:N502" si="299">IF($F395&gt;5000000,ROUND(184.58*($F395/1000)^-0.2263,2),0)</f>
        <v>0</v>
      </c>
      <c r="I502" s="1084">
        <f t="shared" si="299"/>
        <v>0</v>
      </c>
      <c r="J502" s="1084">
        <f t="shared" si="299"/>
        <v>0</v>
      </c>
      <c r="K502" s="1084">
        <f t="shared" si="299"/>
        <v>0</v>
      </c>
      <c r="L502" s="1084">
        <f t="shared" si="299"/>
        <v>0</v>
      </c>
      <c r="M502" s="1084">
        <f t="shared" si="299"/>
        <v>0</v>
      </c>
      <c r="N502" s="1085">
        <f t="shared" si="299"/>
        <v>0</v>
      </c>
    </row>
    <row r="503" spans="1:14" s="759" customFormat="1" ht="13.5" customHeight="1">
      <c r="A503" s="2716"/>
      <c r="B503" s="2719"/>
      <c r="C503" s="2895"/>
      <c r="D503" s="2323"/>
      <c r="E503" s="1083"/>
      <c r="F503" s="1079" t="s">
        <v>4071</v>
      </c>
      <c r="G503" s="1084">
        <f>IF($F395&gt;5000000,ROUND(87.29*($F395/1000)^-0.2263,2),0)</f>
        <v>0</v>
      </c>
      <c r="H503" s="1084">
        <f t="shared" ref="H503:N503" si="300">IF($F395&gt;5000000,ROUND(87.29*($F395/1000)^-0.2263,2),0)</f>
        <v>0</v>
      </c>
      <c r="I503" s="1084">
        <f t="shared" si="300"/>
        <v>0</v>
      </c>
      <c r="J503" s="1084">
        <f t="shared" si="300"/>
        <v>0</v>
      </c>
      <c r="K503" s="1084">
        <f t="shared" si="300"/>
        <v>0</v>
      </c>
      <c r="L503" s="1084">
        <f t="shared" si="300"/>
        <v>0</v>
      </c>
      <c r="M503" s="1084">
        <f t="shared" si="300"/>
        <v>0</v>
      </c>
      <c r="N503" s="1085">
        <f t="shared" si="300"/>
        <v>0</v>
      </c>
    </row>
    <row r="504" spans="1:14" s="759" customFormat="1" ht="12.75" thickBot="1">
      <c r="A504" s="2897" t="s">
        <v>4084</v>
      </c>
      <c r="B504" s="2898"/>
      <c r="C504" s="2898"/>
      <c r="D504" s="2898"/>
      <c r="E504" s="1855"/>
      <c r="F504" s="1853"/>
      <c r="G504" s="1856">
        <f>IF($F395&lt;=5000000,IF(G$499&gt;G$500,G$500,IF(G$499&lt;G$501,G$501,G$499)),IF(G$499&gt;G$502,G$502,IF(G$499&lt;G$503,G$503,G$499)))</f>
        <v>12.7</v>
      </c>
      <c r="H504" s="1856">
        <f t="shared" ref="H504:N504" si="301">IF($F395&lt;=5000000,IF(H$499&gt;H$500,H$500,IF(H$499&lt;H$501,H$501,H$499)),IF(H$499&gt;H$502,H$502,IF(H$499&lt;H$503,H$503,H$499)))</f>
        <v>12.7</v>
      </c>
      <c r="I504" s="1856">
        <f t="shared" si="301"/>
        <v>26.86</v>
      </c>
      <c r="J504" s="1856">
        <f t="shared" si="301"/>
        <v>26.86</v>
      </c>
      <c r="K504" s="1856">
        <f t="shared" si="301"/>
        <v>12.7</v>
      </c>
      <c r="L504" s="1856">
        <f t="shared" si="301"/>
        <v>12.7</v>
      </c>
      <c r="M504" s="1856">
        <f t="shared" si="301"/>
        <v>12.7</v>
      </c>
      <c r="N504" s="1880">
        <f t="shared" si="301"/>
        <v>12.7</v>
      </c>
    </row>
    <row r="505" spans="1:14" s="759" customFormat="1" ht="12.75" thickBot="1">
      <c r="G505" s="1088"/>
      <c r="H505" s="1088"/>
      <c r="I505" s="1088"/>
      <c r="J505" s="1088"/>
      <c r="K505" s="1088"/>
      <c r="L505" s="1088"/>
      <c r="M505" s="1088"/>
      <c r="N505" s="1088"/>
    </row>
    <row r="506" spans="1:14" s="759" customFormat="1" ht="12">
      <c r="A506" s="1072"/>
      <c r="B506" s="1073"/>
      <c r="C506" s="1074" t="s">
        <v>4087</v>
      </c>
      <c r="D506" s="1075"/>
      <c r="E506" s="1073"/>
      <c r="F506" s="1076"/>
      <c r="G506" s="1096"/>
      <c r="H506" s="1097"/>
      <c r="I506" s="1098"/>
      <c r="J506" s="1098"/>
      <c r="K506" s="1098"/>
      <c r="L506" s="1098"/>
      <c r="M506" s="1098"/>
      <c r="N506" s="1098"/>
    </row>
    <row r="507" spans="1:14" s="759" customFormat="1" ht="12">
      <c r="A507" s="2760"/>
      <c r="B507" s="2761" t="s">
        <v>37</v>
      </c>
      <c r="C507" s="1077" t="s">
        <v>4088</v>
      </c>
      <c r="D507" s="1035"/>
      <c r="E507" s="1078"/>
      <c r="F507" s="1079" t="s">
        <v>4089</v>
      </c>
      <c r="G507" s="1099" t="e">
        <f>ROUND(28.978-3.173*LOG($F438/1000),2)</f>
        <v>#NUM!</v>
      </c>
      <c r="H507" s="1100"/>
      <c r="I507" s="1101"/>
      <c r="J507" s="1101"/>
      <c r="K507" s="1101"/>
      <c r="L507" s="1101"/>
      <c r="M507" s="1101"/>
      <c r="N507" s="1101"/>
    </row>
    <row r="508" spans="1:14" s="759" customFormat="1" ht="13.5" customHeight="1">
      <c r="A508" s="2715"/>
      <c r="B508" s="2718"/>
      <c r="C508" s="2006" t="s">
        <v>4090</v>
      </c>
      <c r="D508" s="934"/>
      <c r="E508" s="934"/>
      <c r="F508" s="1102"/>
      <c r="G508" s="1103">
        <f>IF($F438&lt;=5000000,17.24,0)</f>
        <v>17.239999999999998</v>
      </c>
      <c r="H508" s="1104"/>
      <c r="I508" s="1105"/>
      <c r="J508" s="118"/>
      <c r="K508" s="1105"/>
      <c r="L508" s="1105"/>
      <c r="M508" s="1105"/>
      <c r="N508" s="1105"/>
    </row>
    <row r="509" spans="1:14" s="759" customFormat="1" ht="12">
      <c r="A509" s="2716"/>
      <c r="B509" s="2719"/>
      <c r="C509" s="2006" t="s">
        <v>4091</v>
      </c>
      <c r="D509" s="934"/>
      <c r="E509" s="1035"/>
      <c r="F509" s="1102"/>
      <c r="G509" s="1103">
        <f>IF($F438&gt;3000000000,8.43,0)</f>
        <v>0</v>
      </c>
      <c r="H509" s="1106"/>
      <c r="I509" s="1107"/>
      <c r="J509" s="1107"/>
      <c r="K509" s="1107"/>
      <c r="L509" s="1107"/>
      <c r="M509" s="1107"/>
      <c r="N509" s="1107"/>
    </row>
    <row r="510" spans="1:14" s="759" customFormat="1" ht="12.75" thickBot="1">
      <c r="A510" s="2897" t="s">
        <v>4092</v>
      </c>
      <c r="B510" s="2898"/>
      <c r="C510" s="2898"/>
      <c r="D510" s="2898"/>
      <c r="E510" s="1855"/>
      <c r="F510" s="1853"/>
      <c r="G510" s="1857">
        <f>IF($F438&lt;=5000000,G508,IF($F438&gt;3000000000,G509,G507))</f>
        <v>17.239999999999998</v>
      </c>
      <c r="H510" s="1858"/>
      <c r="I510" s="1859"/>
      <c r="J510" s="1859"/>
      <c r="K510" s="1859"/>
      <c r="L510" s="1859"/>
      <c r="M510" s="1859"/>
      <c r="N510" s="1859"/>
    </row>
  </sheetData>
  <sheetProtection selectLockedCells="1" selectUnlockedCells="1"/>
  <mergeCells count="158">
    <mergeCell ref="A507:A509"/>
    <mergeCell ref="B507:B509"/>
    <mergeCell ref="A510:D510"/>
    <mergeCell ref="A496:D496"/>
    <mergeCell ref="A499:A503"/>
    <mergeCell ref="B499:B503"/>
    <mergeCell ref="C500:C501"/>
    <mergeCell ref="C502:C503"/>
    <mergeCell ref="A504:D504"/>
    <mergeCell ref="A487:F487"/>
    <mergeCell ref="A488:F488"/>
    <mergeCell ref="A491:A495"/>
    <mergeCell ref="B491:B495"/>
    <mergeCell ref="C492:C493"/>
    <mergeCell ref="C494:C495"/>
    <mergeCell ref="A478:F478"/>
    <mergeCell ref="A479:F479"/>
    <mergeCell ref="A482:A486"/>
    <mergeCell ref="B482:B486"/>
    <mergeCell ref="C483:C484"/>
    <mergeCell ref="C485:C486"/>
    <mergeCell ref="A450:C450"/>
    <mergeCell ref="B452:B453"/>
    <mergeCell ref="B456:B458"/>
    <mergeCell ref="B459:B460"/>
    <mergeCell ref="A473:A477"/>
    <mergeCell ref="B473:B477"/>
    <mergeCell ref="C474:C475"/>
    <mergeCell ref="C476:C477"/>
    <mergeCell ref="A434:C435"/>
    <mergeCell ref="C438:E438"/>
    <mergeCell ref="F439:G439"/>
    <mergeCell ref="A440:C440"/>
    <mergeCell ref="F440:G440"/>
    <mergeCell ref="A441:A448"/>
    <mergeCell ref="B442:B443"/>
    <mergeCell ref="B446:B448"/>
    <mergeCell ref="D410:D411"/>
    <mergeCell ref="E410:E411"/>
    <mergeCell ref="A411:C411"/>
    <mergeCell ref="A412:A429"/>
    <mergeCell ref="B412:B417"/>
    <mergeCell ref="B418:B426"/>
    <mergeCell ref="B427:B428"/>
    <mergeCell ref="D393:D394"/>
    <mergeCell ref="E393:E394"/>
    <mergeCell ref="A394:C394"/>
    <mergeCell ref="A395:A409"/>
    <mergeCell ref="B396:B399"/>
    <mergeCell ref="B400:B408"/>
    <mergeCell ref="D371:D372"/>
    <mergeCell ref="E371:E372"/>
    <mergeCell ref="A372:C372"/>
    <mergeCell ref="A373:A388"/>
    <mergeCell ref="B373:B378"/>
    <mergeCell ref="B379:B387"/>
    <mergeCell ref="D354:D355"/>
    <mergeCell ref="E354:E355"/>
    <mergeCell ref="A355:C355"/>
    <mergeCell ref="A356:A370"/>
    <mergeCell ref="B357:B360"/>
    <mergeCell ref="B361:B369"/>
    <mergeCell ref="A293:A295"/>
    <mergeCell ref="B293:B295"/>
    <mergeCell ref="A296:D296"/>
    <mergeCell ref="A332:A351"/>
    <mergeCell ref="B332:B335"/>
    <mergeCell ref="B336:B344"/>
    <mergeCell ref="B345:B351"/>
    <mergeCell ref="A282:D282"/>
    <mergeCell ref="A285:A289"/>
    <mergeCell ref="B285:B289"/>
    <mergeCell ref="C286:C287"/>
    <mergeCell ref="C288:C289"/>
    <mergeCell ref="A290:D290"/>
    <mergeCell ref="A273:F273"/>
    <mergeCell ref="A274:F274"/>
    <mergeCell ref="A277:A281"/>
    <mergeCell ref="B277:B281"/>
    <mergeCell ref="C278:C279"/>
    <mergeCell ref="C280:C281"/>
    <mergeCell ref="A264:F264"/>
    <mergeCell ref="A265:F265"/>
    <mergeCell ref="A268:A272"/>
    <mergeCell ref="B268:B272"/>
    <mergeCell ref="C269:C270"/>
    <mergeCell ref="C271:C272"/>
    <mergeCell ref="A236:C236"/>
    <mergeCell ref="B238:B239"/>
    <mergeCell ref="B242:B244"/>
    <mergeCell ref="B245:B246"/>
    <mergeCell ref="A259:A263"/>
    <mergeCell ref="B259:B263"/>
    <mergeCell ref="C260:C261"/>
    <mergeCell ref="C262:C263"/>
    <mergeCell ref="A220:C221"/>
    <mergeCell ref="C224:E224"/>
    <mergeCell ref="F225:G225"/>
    <mergeCell ref="A226:C226"/>
    <mergeCell ref="F226:G226"/>
    <mergeCell ref="A227:A234"/>
    <mergeCell ref="B228:B229"/>
    <mergeCell ref="B232:B234"/>
    <mergeCell ref="D195:D196"/>
    <mergeCell ref="E195:E196"/>
    <mergeCell ref="A196:C196"/>
    <mergeCell ref="A197:A214"/>
    <mergeCell ref="B197:B202"/>
    <mergeCell ref="B203:B211"/>
    <mergeCell ref="B212:B213"/>
    <mergeCell ref="D178:D179"/>
    <mergeCell ref="E178:E179"/>
    <mergeCell ref="A179:C179"/>
    <mergeCell ref="A180:A194"/>
    <mergeCell ref="B181:B184"/>
    <mergeCell ref="B185:B193"/>
    <mergeCell ref="D156:D157"/>
    <mergeCell ref="E156:E157"/>
    <mergeCell ref="A157:C157"/>
    <mergeCell ref="A158:A173"/>
    <mergeCell ref="B158:B163"/>
    <mergeCell ref="B164:B172"/>
    <mergeCell ref="D139:D140"/>
    <mergeCell ref="E139:E140"/>
    <mergeCell ref="A140:C140"/>
    <mergeCell ref="A141:A155"/>
    <mergeCell ref="B142:B145"/>
    <mergeCell ref="B146:B154"/>
    <mergeCell ref="B70:C70"/>
    <mergeCell ref="B71:C71"/>
    <mergeCell ref="B72:C72"/>
    <mergeCell ref="B78:B79"/>
    <mergeCell ref="B81:B82"/>
    <mergeCell ref="A117:A136"/>
    <mergeCell ref="B117:B120"/>
    <mergeCell ref="B121:B129"/>
    <mergeCell ref="B130:B136"/>
    <mergeCell ref="B62:C62"/>
    <mergeCell ref="B63:C63"/>
    <mergeCell ref="B64:C64"/>
    <mergeCell ref="B65:C65"/>
    <mergeCell ref="B67:C67"/>
    <mergeCell ref="B69:C69"/>
    <mergeCell ref="A45:C45"/>
    <mergeCell ref="A46:A59"/>
    <mergeCell ref="B46:B49"/>
    <mergeCell ref="B50:B56"/>
    <mergeCell ref="B60:C60"/>
    <mergeCell ref="B61:C61"/>
    <mergeCell ref="F1:K1"/>
    <mergeCell ref="C2:E2"/>
    <mergeCell ref="B4:D4"/>
    <mergeCell ref="B5:D5"/>
    <mergeCell ref="B6:D6"/>
    <mergeCell ref="A25:A44"/>
    <mergeCell ref="B25:B28"/>
    <mergeCell ref="B29:B37"/>
    <mergeCell ref="B38:B44"/>
  </mergeCells>
  <phoneticPr fontId="2"/>
  <conditionalFormatting sqref="F88:F90 F10:F11">
    <cfRule type="expression" dxfId="1" priority="2" stopIfTrue="1">
      <formula>AND($F$113&gt;5000000,OR($E$88="無し",$E$88="なし"))</formula>
    </cfRule>
  </conditionalFormatting>
  <conditionalFormatting sqref="F303:F305">
    <cfRule type="expression" dxfId="0" priority="1" stopIfTrue="1">
      <formula>AND($F$113&gt;5000000,OR($E$88="無し",$E$88="なし"))</formula>
    </cfRule>
  </conditionalFormatting>
  <dataValidations count="5">
    <dataValidation type="list" allowBlank="1" showInputMessage="1" showErrorMessage="1" sqref="E87:E88 E302:E305" xr:uid="{00000000-0002-0000-1C00-000000000000}">
      <formula1>"有り,無し"</formula1>
    </dataValidation>
    <dataValidation type="list" allowBlank="1" showInputMessage="1" showErrorMessage="1" sqref="E89:E90 E10:E11" xr:uid="{00000000-0002-0000-1C00-000001000000}">
      <formula1>"○,×"</formula1>
    </dataValidation>
    <dataValidation type="list" allowBlank="1" showInputMessage="1" showErrorMessage="1" sqref="G89:N89 G304:N304 G10:N10" xr:uid="{00000000-0002-0000-1C00-000002000000}">
      <formula1>"積上げ,積上げ・率処理併用"</formula1>
    </dataValidation>
    <dataValidation type="list" allowBlank="1" showInputMessage="1" showErrorMessage="1" sqref="G90:N90 G11:N11 G305:N305" xr:uid="{00000000-0002-0000-1C00-000003000000}">
      <formula1>"　　　,有り"</formula1>
    </dataValidation>
    <dataValidation type="list" allowBlank="1" showInputMessage="1" showErrorMessage="1" sqref="G86:N86" xr:uid="{00000000-0002-0000-1C00-000004000000}">
      <formula1>"改修,新営"</formula1>
    </dataValidation>
  </dataValidations>
  <printOptions horizontalCentered="1"/>
  <pageMargins left="0.19685039370078741" right="0.19685039370078741" top="0.6692913385826772" bottom="0.19685039370078741" header="0.51181102362204722" footer="0.51181102362204722"/>
  <pageSetup paperSize="9" scale="62" fitToHeight="3" orientation="landscape" cellComments="asDisplayed" horizontalDpi="300" verticalDpi="300" r:id="rId1"/>
  <headerFooter alignWithMargins="0"/>
  <rowBreaks count="6" manualBreakCount="6">
    <brk id="79" max="13" man="1"/>
    <brk id="175" max="13" man="1"/>
    <brk id="216" max="13" man="1"/>
    <brk id="296" max="13" man="1"/>
    <brk id="351" max="13" man="1"/>
    <brk id="431" max="13" man="1"/>
  </rowBreaks>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
  <dimension ref="A1:AI136"/>
  <sheetViews>
    <sheetView view="pageBreakPreview" topLeftCell="A16" zoomScale="60" zoomScaleNormal="100" workbookViewId="0">
      <selection activeCell="J27" sqref="J27:K27"/>
    </sheetView>
  </sheetViews>
  <sheetFormatPr defaultColWidth="8.875" defaultRowHeight="13.5"/>
  <cols>
    <col min="1" max="1" width="7" customWidth="1"/>
    <col min="6" max="6" width="8" customWidth="1"/>
    <col min="9" max="9" width="9.5" customWidth="1"/>
    <col min="12" max="12" width="4.375" customWidth="1"/>
    <col min="13" max="13" width="14.625" customWidth="1"/>
    <col min="14" max="14" width="15.375" customWidth="1"/>
  </cols>
  <sheetData>
    <row r="1" spans="1:15">
      <c r="A1" s="39"/>
      <c r="B1" t="s">
        <v>4817</v>
      </c>
      <c r="E1" s="39"/>
      <c r="F1" s="39"/>
      <c r="G1" s="39"/>
      <c r="H1" s="39"/>
      <c r="I1" s="39"/>
      <c r="J1" t="s">
        <v>4818</v>
      </c>
    </row>
    <row r="2" spans="1:15">
      <c r="A2" s="39"/>
      <c r="C2" t="s">
        <v>4819</v>
      </c>
      <c r="D2" s="107">
        <v>0</v>
      </c>
      <c r="E2" s="39"/>
      <c r="F2" s="44" t="s">
        <v>4820</v>
      </c>
      <c r="G2" s="45"/>
      <c r="H2" s="1883" t="str">
        <f>IF(E2="","",INT(E2*G2))</f>
        <v/>
      </c>
      <c r="I2" s="39"/>
      <c r="J2" t="s">
        <v>4821</v>
      </c>
      <c r="K2" s="304" t="s">
        <v>4822</v>
      </c>
      <c r="L2" s="118"/>
      <c r="M2" s="119"/>
      <c r="N2" s="118"/>
      <c r="O2" s="118"/>
    </row>
    <row r="3" spans="1:15">
      <c r="A3" s="39"/>
      <c r="B3" t="s">
        <v>4823</v>
      </c>
      <c r="E3" s="47"/>
      <c r="F3" s="39"/>
      <c r="G3" s="39"/>
      <c r="H3" s="39"/>
      <c r="I3" s="39"/>
      <c r="J3" s="118"/>
      <c r="K3" s="120"/>
      <c r="L3" s="118"/>
      <c r="M3" s="118"/>
      <c r="N3" s="118"/>
      <c r="O3" s="118"/>
    </row>
    <row r="4" spans="1:15">
      <c r="A4" s="39"/>
      <c r="C4" t="s">
        <v>4824</v>
      </c>
      <c r="D4" s="107">
        <v>4</v>
      </c>
      <c r="E4" s="39"/>
      <c r="F4" s="42" t="s">
        <v>33</v>
      </c>
      <c r="G4" s="42"/>
      <c r="H4" s="40" t="str">
        <f>+表紙!W5</f>
        <v>標準単価2018.xls</v>
      </c>
      <c r="I4" s="39"/>
      <c r="J4" s="118"/>
      <c r="K4" s="121"/>
      <c r="L4" s="121"/>
      <c r="M4" s="119"/>
      <c r="N4" s="119"/>
      <c r="O4" s="118"/>
    </row>
    <row r="5" spans="1:15">
      <c r="A5" s="39"/>
      <c r="B5" t="s">
        <v>4825</v>
      </c>
      <c r="D5" s="39"/>
      <c r="E5" s="39"/>
      <c r="F5" s="46" t="s">
        <v>42</v>
      </c>
      <c r="G5" s="42"/>
      <c r="H5" s="41" t="str">
        <f>+表紙!W6</f>
        <v>c:\積算\</v>
      </c>
      <c r="I5" s="39"/>
      <c r="J5" s="118"/>
      <c r="K5" s="121"/>
      <c r="L5" s="121"/>
      <c r="M5" s="119"/>
      <c r="N5" s="119"/>
      <c r="O5" s="118"/>
    </row>
    <row r="6" spans="1:15">
      <c r="A6" s="39"/>
      <c r="C6" t="s">
        <v>4826</v>
      </c>
      <c r="D6" s="107">
        <v>4</v>
      </c>
      <c r="E6" s="39"/>
      <c r="F6" s="39"/>
      <c r="G6" s="39"/>
      <c r="H6" s="39"/>
      <c r="I6" s="39"/>
      <c r="J6" s="118"/>
      <c r="K6" s="121"/>
      <c r="L6" s="121"/>
      <c r="M6" s="119"/>
      <c r="N6" s="119"/>
      <c r="O6" s="118"/>
    </row>
    <row r="7" spans="1:15">
      <c r="A7" s="39"/>
      <c r="B7" t="s">
        <v>4827</v>
      </c>
      <c r="D7" s="39"/>
      <c r="E7" s="39"/>
      <c r="F7" s="39" t="s">
        <v>4828</v>
      </c>
      <c r="G7" s="39"/>
      <c r="H7" s="39"/>
      <c r="I7" s="39"/>
      <c r="J7" s="118"/>
      <c r="K7" s="121"/>
      <c r="L7" s="121"/>
      <c r="M7" s="119"/>
      <c r="N7" s="119"/>
      <c r="O7" s="118"/>
    </row>
    <row r="8" spans="1:15">
      <c r="A8" s="39"/>
      <c r="C8" t="s">
        <v>4829</v>
      </c>
      <c r="D8" s="107">
        <v>19</v>
      </c>
      <c r="E8" s="39"/>
      <c r="F8" s="39"/>
      <c r="G8" s="39" t="s">
        <v>4830</v>
      </c>
      <c r="H8" s="109">
        <v>1</v>
      </c>
      <c r="I8" s="39"/>
      <c r="J8" s="118"/>
      <c r="K8" s="121"/>
      <c r="L8" s="121"/>
      <c r="M8" s="119"/>
      <c r="N8" s="119"/>
      <c r="O8" s="118"/>
    </row>
    <row r="9" spans="1:15">
      <c r="A9" s="39"/>
      <c r="B9" t="s">
        <v>4831</v>
      </c>
      <c r="D9" s="39"/>
      <c r="E9" s="39"/>
      <c r="F9" s="39" t="s">
        <v>4832</v>
      </c>
      <c r="G9" s="39"/>
      <c r="H9" s="39"/>
      <c r="I9" s="39"/>
      <c r="J9" s="118"/>
      <c r="K9" s="121"/>
      <c r="L9" s="121"/>
      <c r="M9" s="119"/>
      <c r="N9" s="119"/>
      <c r="O9" s="118"/>
    </row>
    <row r="10" spans="1:15">
      <c r="A10" s="39"/>
      <c r="C10" t="s">
        <v>4833</v>
      </c>
      <c r="D10" s="107">
        <v>196</v>
      </c>
      <c r="E10" s="39"/>
      <c r="F10" s="39"/>
      <c r="G10" s="39" t="s">
        <v>4834</v>
      </c>
      <c r="H10" s="43">
        <v>5000</v>
      </c>
      <c r="I10" s="39"/>
      <c r="J10" s="118"/>
      <c r="K10" s="121"/>
      <c r="L10" s="121"/>
      <c r="M10" s="119"/>
      <c r="N10" s="119"/>
      <c r="O10" s="118"/>
    </row>
    <row r="11" spans="1:15">
      <c r="A11" s="39"/>
      <c r="B11" t="s">
        <v>4835</v>
      </c>
      <c r="D11" s="39"/>
      <c r="E11" s="39"/>
      <c r="F11" s="39" t="s">
        <v>4836</v>
      </c>
      <c r="G11" s="39"/>
      <c r="H11" s="39"/>
      <c r="I11" s="39"/>
      <c r="J11" s="118"/>
      <c r="K11" s="121"/>
      <c r="L11" s="121"/>
      <c r="M11" s="119"/>
      <c r="N11" s="119"/>
      <c r="O11" s="118"/>
    </row>
    <row r="12" spans="1:15">
      <c r="A12" s="39"/>
      <c r="C12" t="s">
        <v>4837</v>
      </c>
      <c r="D12" s="107">
        <v>0</v>
      </c>
      <c r="E12" s="39"/>
      <c r="F12" s="39"/>
      <c r="G12" s="47" t="s">
        <v>4838</v>
      </c>
      <c r="H12" s="108">
        <v>3</v>
      </c>
      <c r="I12" s="39"/>
      <c r="J12" s="118"/>
      <c r="K12" s="121"/>
      <c r="L12" s="121"/>
      <c r="M12" s="119"/>
      <c r="N12" s="119"/>
      <c r="O12" s="118"/>
    </row>
    <row r="13" spans="1:15">
      <c r="A13" s="39"/>
      <c r="B13" t="s">
        <v>4839</v>
      </c>
      <c r="D13" s="39"/>
      <c r="E13" s="39"/>
      <c r="F13" s="39" t="s">
        <v>54</v>
      </c>
      <c r="G13" s="39"/>
      <c r="H13" s="39"/>
      <c r="I13" s="39"/>
      <c r="J13" s="118"/>
      <c r="K13" s="121"/>
      <c r="L13" s="121"/>
      <c r="M13" s="119"/>
      <c r="N13" s="119"/>
      <c r="O13" s="118"/>
    </row>
    <row r="14" spans="1:15">
      <c r="A14" s="39"/>
      <c r="C14" t="s">
        <v>4840</v>
      </c>
      <c r="D14" s="109">
        <v>16</v>
      </c>
      <c r="E14" s="39"/>
      <c r="F14" s="39"/>
      <c r="G14" s="39" t="s">
        <v>4841</v>
      </c>
      <c r="H14" s="43">
        <f>表紙!S9</f>
        <v>1</v>
      </c>
      <c r="I14" s="39"/>
      <c r="J14" s="118"/>
      <c r="K14" s="121"/>
      <c r="L14" s="121"/>
      <c r="M14" s="119"/>
      <c r="N14" s="119"/>
      <c r="O14" s="118"/>
    </row>
    <row r="15" spans="1:15">
      <c r="A15" s="39"/>
      <c r="B15" t="s">
        <v>4842</v>
      </c>
      <c r="D15" s="39"/>
      <c r="E15" s="39"/>
      <c r="F15" s="39" t="s">
        <v>4843</v>
      </c>
      <c r="G15" s="39"/>
      <c r="H15" s="39"/>
      <c r="I15" s="39"/>
      <c r="J15" s="118"/>
      <c r="K15" s="121"/>
      <c r="L15" s="121"/>
      <c r="M15" s="119"/>
      <c r="N15" s="119"/>
      <c r="O15" s="118"/>
    </row>
    <row r="16" spans="1:15">
      <c r="A16" s="39"/>
      <c r="C16" t="s">
        <v>4844</v>
      </c>
      <c r="D16" s="43">
        <v>1</v>
      </c>
      <c r="E16" s="39"/>
      <c r="F16" s="39"/>
      <c r="G16" s="39" t="s">
        <v>4845</v>
      </c>
      <c r="H16" s="109">
        <v>8</v>
      </c>
      <c r="I16" s="39"/>
      <c r="J16" s="118"/>
      <c r="K16" s="121"/>
      <c r="L16" s="121"/>
      <c r="M16" s="119"/>
      <c r="N16" s="119"/>
      <c r="O16" s="118"/>
    </row>
    <row r="17" spans="1:15">
      <c r="A17" s="39"/>
      <c r="B17" t="s">
        <v>4846</v>
      </c>
      <c r="D17" s="39"/>
      <c r="E17" s="39"/>
      <c r="F17" s="39" t="s">
        <v>4847</v>
      </c>
      <c r="G17" s="39"/>
      <c r="H17" s="110"/>
      <c r="I17" s="39"/>
      <c r="J17" s="118"/>
      <c r="K17" s="121"/>
      <c r="L17" s="121"/>
      <c r="M17" s="119"/>
      <c r="N17" s="119"/>
      <c r="O17" s="118"/>
    </row>
    <row r="18" spans="1:15">
      <c r="A18" s="39"/>
      <c r="C18" t="s">
        <v>4848</v>
      </c>
      <c r="D18" s="179" t="s">
        <v>4849</v>
      </c>
      <c r="E18" s="39"/>
      <c r="F18" s="39"/>
      <c r="G18" s="39" t="s">
        <v>4850</v>
      </c>
      <c r="H18" s="109">
        <f>工事8!J2</f>
        <v>69</v>
      </c>
      <c r="I18" s="39"/>
      <c r="J18" s="118"/>
      <c r="K18" s="121"/>
      <c r="L18" s="121"/>
      <c r="M18" s="119"/>
      <c r="N18" s="119"/>
      <c r="O18" s="118"/>
    </row>
    <row r="19" spans="1:15">
      <c r="A19" s="39"/>
      <c r="C19" t="s">
        <v>4851</v>
      </c>
      <c r="D19" s="179" t="s">
        <v>4852</v>
      </c>
      <c r="E19" s="39"/>
      <c r="F19" s="39" t="s">
        <v>4853</v>
      </c>
      <c r="G19" s="39"/>
      <c r="H19" s="110"/>
      <c r="I19" s="39"/>
      <c r="J19" s="118"/>
      <c r="K19" s="121"/>
      <c r="L19" s="121"/>
      <c r="M19" s="119"/>
      <c r="N19" s="119"/>
      <c r="O19" s="118"/>
    </row>
    <row r="20" spans="1:15">
      <c r="A20" s="39"/>
      <c r="D20" s="39"/>
      <c r="E20" s="39"/>
      <c r="F20" s="39"/>
      <c r="G20" s="39" t="s">
        <v>4854</v>
      </c>
      <c r="H20" s="109">
        <f>COUNTA(代価一覧!C2:C65532)</f>
        <v>12</v>
      </c>
      <c r="I20" s="39"/>
    </row>
    <row r="21" spans="1:15">
      <c r="A21" s="39"/>
      <c r="D21" s="39"/>
      <c r="E21" s="39"/>
      <c r="F21" s="42" t="s">
        <v>4855</v>
      </c>
      <c r="G21" s="42"/>
      <c r="H21" s="40" t="str">
        <f>表紙!W8</f>
        <v>諸経費表2018.xlsx</v>
      </c>
      <c r="I21" s="39"/>
    </row>
    <row r="22" spans="1:15">
      <c r="A22" s="39"/>
      <c r="D22" s="39"/>
      <c r="E22" s="39"/>
      <c r="F22" s="46" t="s">
        <v>4856</v>
      </c>
      <c r="G22" s="42"/>
      <c r="H22" s="41" t="str">
        <f>表紙!W9</f>
        <v>c:\積算\</v>
      </c>
      <c r="I22" s="39"/>
    </row>
    <row r="23" spans="1:15" ht="17.25">
      <c r="A23" s="39"/>
      <c r="D23" s="39"/>
      <c r="E23" s="39"/>
      <c r="F23" s="39"/>
      <c r="G23" s="39"/>
      <c r="H23" s="79"/>
      <c r="I23" s="39"/>
    </row>
    <row r="24" spans="1:15">
      <c r="A24" s="39"/>
      <c r="B24" t="s">
        <v>4857</v>
      </c>
      <c r="E24" s="39"/>
      <c r="F24" s="39" t="s">
        <v>4858</v>
      </c>
      <c r="G24" s="39"/>
      <c r="H24" s="39"/>
      <c r="I24" s="39"/>
    </row>
    <row r="25" spans="1:15">
      <c r="A25" s="39"/>
      <c r="C25" t="s">
        <v>4859</v>
      </c>
      <c r="D25" s="107">
        <v>8</v>
      </c>
      <c r="E25" s="39"/>
      <c r="F25" s="39"/>
      <c r="G25" s="39" t="s">
        <v>4860</v>
      </c>
      <c r="H25" s="43">
        <v>500</v>
      </c>
      <c r="I25" s="39"/>
    </row>
    <row r="26" spans="1:15">
      <c r="A26" s="39"/>
      <c r="B26" t="s">
        <v>4861</v>
      </c>
      <c r="E26" s="39"/>
      <c r="F26" s="39" t="s">
        <v>4862</v>
      </c>
      <c r="G26" s="39"/>
      <c r="H26" s="39"/>
      <c r="I26" s="39"/>
    </row>
    <row r="27" spans="1:15" ht="14.25" thickBot="1">
      <c r="A27" s="39"/>
      <c r="C27" t="s">
        <v>4859</v>
      </c>
      <c r="D27" s="107" t="s">
        <v>4863</v>
      </c>
      <c r="E27" s="39"/>
      <c r="F27" s="39"/>
      <c r="G27" s="123" t="s">
        <v>4864</v>
      </c>
      <c r="H27" s="2074" t="e">
        <f>SUM(H9:H26)+H4</f>
        <v>#VALUE!</v>
      </c>
      <c r="I27" s="2074">
        <f>SUM(I9:I26)+I4</f>
        <v>0</v>
      </c>
      <c r="J27" s="2468">
        <f>IF(B8="部分撤去工事",(J4+K27),0)</f>
        <v>0</v>
      </c>
      <c r="K27" s="2469">
        <f>IF(B8="部分撤去工事",SUMIF(M9:M26,"費用",H9:H26),0)</f>
        <v>0</v>
      </c>
    </row>
    <row r="28" spans="1:15">
      <c r="A28" s="39"/>
      <c r="D28" s="39"/>
      <c r="E28" s="39"/>
      <c r="F28" s="39" t="s">
        <v>4865</v>
      </c>
      <c r="G28" s="39"/>
      <c r="H28" s="39"/>
      <c r="I28" s="39"/>
    </row>
    <row r="29" spans="1:15">
      <c r="A29" s="39"/>
      <c r="D29" s="39"/>
      <c r="E29" s="39"/>
      <c r="F29" s="39"/>
      <c r="G29" s="39" t="s">
        <v>4866</v>
      </c>
      <c r="H29" s="43">
        <v>0</v>
      </c>
      <c r="I29" s="39"/>
    </row>
    <row r="30" spans="1:15">
      <c r="A30" s="39"/>
      <c r="B30" s="39"/>
      <c r="C30" s="39"/>
      <c r="D30" s="39"/>
      <c r="E30" s="39"/>
      <c r="F30" s="39" t="s">
        <v>4867</v>
      </c>
      <c r="G30" s="39"/>
      <c r="H30" s="39"/>
      <c r="I30" s="39"/>
    </row>
    <row r="31" spans="1:15">
      <c r="G31" s="39" t="s">
        <v>4868</v>
      </c>
      <c r="H31" s="122" t="s">
        <v>4869</v>
      </c>
    </row>
    <row r="32" spans="1:15">
      <c r="G32" s="39" t="s">
        <v>4870</v>
      </c>
      <c r="H32" s="122" t="s">
        <v>4871</v>
      </c>
    </row>
    <row r="33" spans="7:8">
      <c r="G33" s="39" t="s">
        <v>4872</v>
      </c>
      <c r="H33" s="122" t="s">
        <v>4873</v>
      </c>
    </row>
    <row r="35" spans="7:8">
      <c r="G35" s="39"/>
    </row>
    <row r="50" spans="1:35" s="1" customFormat="1" ht="26.1" customHeight="1" thickBot="1">
      <c r="A50" s="6"/>
      <c r="B50" s="6"/>
      <c r="C50" s="2517" t="s">
        <v>107</v>
      </c>
      <c r="D50" s="2517"/>
      <c r="E50" s="2517"/>
      <c r="F50" s="2517"/>
      <c r="G50" s="2517"/>
      <c r="H50" s="2517"/>
      <c r="I50" s="2517"/>
      <c r="J50" s="2517"/>
      <c r="K50" s="2517"/>
      <c r="L50" s="2517"/>
      <c r="O50" s="2730" t="s">
        <v>4098</v>
      </c>
      <c r="P50" s="2730"/>
      <c r="Q50" s="2730"/>
      <c r="R50" s="2730"/>
      <c r="S50" s="2730"/>
      <c r="T50" s="2730"/>
      <c r="U50" s="2730"/>
      <c r="V50" s="2730"/>
      <c r="W50" s="2730"/>
      <c r="X50" s="2730"/>
      <c r="Y50" s="2730"/>
      <c r="Z50" s="2730"/>
      <c r="AA50" s="2730"/>
      <c r="AB50" s="2730"/>
      <c r="AC50" s="2730"/>
      <c r="AD50" s="2730"/>
      <c r="AE50" s="2730"/>
      <c r="AF50" s="2730"/>
      <c r="AG50" s="2730"/>
      <c r="AH50" s="2731"/>
      <c r="AI50" s="555"/>
    </row>
    <row r="51" spans="1:35" s="1" customFormat="1" ht="41.25" customHeight="1">
      <c r="A51" s="5" t="s">
        <v>108</v>
      </c>
      <c r="B51" s="5" t="s">
        <v>4145</v>
      </c>
      <c r="C51" s="99" t="s">
        <v>110</v>
      </c>
      <c r="D51" s="95"/>
      <c r="E51" s="96" t="s">
        <v>111</v>
      </c>
      <c r="F51" s="97" t="s">
        <v>112</v>
      </c>
      <c r="G51" s="97" t="s">
        <v>113</v>
      </c>
      <c r="H51" s="98" t="s">
        <v>114</v>
      </c>
      <c r="I51" s="98" t="s">
        <v>115</v>
      </c>
      <c r="J51" s="2552" t="s">
        <v>116</v>
      </c>
      <c r="K51" s="2553"/>
      <c r="L51" s="2554"/>
      <c r="M51" s="599"/>
      <c r="N51" s="604" t="s">
        <v>4154</v>
      </c>
      <c r="O51" s="596" t="s">
        <v>4099</v>
      </c>
      <c r="P51" s="303" t="s">
        <v>4100</v>
      </c>
      <c r="Q51" s="241" t="s">
        <v>4101</v>
      </c>
      <c r="R51" s="241" t="s">
        <v>4102</v>
      </c>
      <c r="S51" s="241" t="s">
        <v>4103</v>
      </c>
      <c r="T51" s="241" t="s">
        <v>4104</v>
      </c>
      <c r="U51" s="241" t="s">
        <v>4105</v>
      </c>
      <c r="V51" s="125" t="s">
        <v>4106</v>
      </c>
      <c r="W51" s="241" t="s">
        <v>4107</v>
      </c>
      <c r="X51" s="180" t="s">
        <v>4108</v>
      </c>
      <c r="Y51" s="180" t="s">
        <v>4109</v>
      </c>
      <c r="Z51" s="180" t="s">
        <v>4110</v>
      </c>
      <c r="AA51" s="180" t="s">
        <v>4111</v>
      </c>
      <c r="AB51" s="180" t="s">
        <v>4112</v>
      </c>
      <c r="AC51" s="306" t="s">
        <v>4113</v>
      </c>
      <c r="AD51" s="307" t="s">
        <v>4114</v>
      </c>
      <c r="AE51" s="308" t="s">
        <v>4115</v>
      </c>
      <c r="AF51" s="124" t="s">
        <v>4116</v>
      </c>
      <c r="AG51" s="124" t="s">
        <v>4117</v>
      </c>
      <c r="AH51" s="124" t="s">
        <v>4118</v>
      </c>
      <c r="AI51" s="556"/>
    </row>
    <row r="52" spans="1:35" s="1" customFormat="1" ht="24" customHeight="1">
      <c r="A52" s="36"/>
      <c r="B52" s="36"/>
      <c r="C52" s="2370"/>
      <c r="D52" s="2385"/>
      <c r="E52" s="623"/>
      <c r="F52" s="1889"/>
      <c r="G52" s="1890"/>
      <c r="H52" s="2386" t="s">
        <v>117</v>
      </c>
      <c r="I52" s="2386" t="s">
        <v>117</v>
      </c>
      <c r="J52" s="2759"/>
      <c r="K52" s="2788"/>
      <c r="L52" s="2734"/>
      <c r="M52" s="600"/>
      <c r="N52" s="601"/>
      <c r="O52" s="597"/>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1881"/>
      <c r="D53" s="2466"/>
      <c r="E53" s="621"/>
      <c r="F53" s="640"/>
      <c r="G53" s="641"/>
      <c r="H53" s="1882"/>
      <c r="I53" s="1883" t="str">
        <f t="shared" ref="I53:I70" si="0">IF(F53="","",INT(F53*H53))</f>
        <v/>
      </c>
      <c r="J53" s="1983"/>
      <c r="K53" s="1984"/>
      <c r="L53" s="2356"/>
      <c r="M53" s="602"/>
      <c r="N53" s="603"/>
      <c r="O53" s="597"/>
      <c r="P53" s="187"/>
      <c r="Q53" s="188"/>
      <c r="R53" s="188"/>
      <c r="S53" s="188"/>
      <c r="T53" s="188"/>
      <c r="U53" s="188"/>
      <c r="V53" s="188"/>
      <c r="W53" s="188"/>
      <c r="X53" s="189"/>
      <c r="Y53" s="189"/>
      <c r="Z53" s="189"/>
      <c r="AA53" s="189"/>
      <c r="AB53" s="189"/>
      <c r="AC53" s="188"/>
      <c r="AD53" s="309"/>
      <c r="AE53" s="310"/>
      <c r="AF53" s="188"/>
      <c r="AG53" s="188"/>
      <c r="AH53" s="519"/>
      <c r="AI53" s="557"/>
    </row>
    <row r="54" spans="1:35" s="37" customFormat="1" ht="24" customHeight="1">
      <c r="A54" s="36"/>
      <c r="B54" s="36"/>
      <c r="C54" s="1881"/>
      <c r="D54" s="2466"/>
      <c r="E54" s="621"/>
      <c r="F54" s="640"/>
      <c r="G54" s="641"/>
      <c r="H54" s="1882"/>
      <c r="I54" s="1883" t="str">
        <f t="shared" si="0"/>
        <v/>
      </c>
      <c r="J54" s="1983"/>
      <c r="K54" s="1984"/>
      <c r="L54" s="2356"/>
      <c r="M54" s="602"/>
      <c r="N54" s="603"/>
      <c r="O54" s="597"/>
      <c r="P54" s="187"/>
      <c r="Q54" s="188"/>
      <c r="R54" s="188"/>
      <c r="S54" s="188"/>
      <c r="T54" s="188"/>
      <c r="U54" s="188"/>
      <c r="V54" s="188"/>
      <c r="W54" s="188"/>
      <c r="X54" s="189"/>
      <c r="Y54" s="189"/>
      <c r="Z54" s="189"/>
      <c r="AA54" s="189"/>
      <c r="AB54" s="189"/>
      <c r="AC54" s="188"/>
      <c r="AD54" s="309"/>
      <c r="AE54" s="310"/>
      <c r="AF54" s="188"/>
      <c r="AG54" s="188"/>
      <c r="AH54" s="519"/>
      <c r="AI54" s="557"/>
    </row>
    <row r="55" spans="1:35" s="37" customFormat="1" ht="24" customHeight="1">
      <c r="A55" s="36"/>
      <c r="B55" s="36"/>
      <c r="C55" s="1881"/>
      <c r="D55" s="2466"/>
      <c r="E55" s="621"/>
      <c r="F55" s="640"/>
      <c r="G55" s="641"/>
      <c r="H55" s="1882"/>
      <c r="I55" s="1883" t="str">
        <f t="shared" si="0"/>
        <v/>
      </c>
      <c r="J55" s="1983"/>
      <c r="K55" s="1984"/>
      <c r="L55" s="2356"/>
      <c r="M55" s="602"/>
      <c r="N55" s="603"/>
      <c r="O55" s="597"/>
      <c r="P55" s="187"/>
      <c r="Q55" s="188"/>
      <c r="R55" s="188"/>
      <c r="S55" s="188"/>
      <c r="T55" s="188"/>
      <c r="U55" s="188"/>
      <c r="V55" s="188"/>
      <c r="W55" s="188"/>
      <c r="X55" s="189"/>
      <c r="Y55" s="189"/>
      <c r="Z55" s="189"/>
      <c r="AA55" s="189"/>
      <c r="AB55" s="189"/>
      <c r="AC55" s="188"/>
      <c r="AD55" s="309"/>
      <c r="AE55" s="310"/>
      <c r="AF55" s="188"/>
      <c r="AG55" s="188"/>
      <c r="AH55" s="519"/>
      <c r="AI55" s="557"/>
    </row>
    <row r="56" spans="1:35" s="37" customFormat="1" ht="24" customHeight="1">
      <c r="A56" s="36"/>
      <c r="B56" s="36"/>
      <c r="C56" s="1881"/>
      <c r="D56" s="2466"/>
      <c r="E56" s="621"/>
      <c r="F56" s="640"/>
      <c r="G56" s="641"/>
      <c r="H56" s="1882"/>
      <c r="I56" s="1883" t="str">
        <f t="shared" si="0"/>
        <v/>
      </c>
      <c r="J56" s="1983"/>
      <c r="K56" s="1984"/>
      <c r="L56" s="2356"/>
      <c r="M56" s="602"/>
      <c r="N56" s="603"/>
      <c r="O56" s="597"/>
      <c r="P56" s="187"/>
      <c r="Q56" s="188"/>
      <c r="R56" s="188"/>
      <c r="S56" s="188"/>
      <c r="T56" s="188"/>
      <c r="U56" s="188"/>
      <c r="V56" s="188"/>
      <c r="W56" s="188"/>
      <c r="X56" s="189"/>
      <c r="Y56" s="189"/>
      <c r="Z56" s="189"/>
      <c r="AA56" s="189"/>
      <c r="AB56" s="189"/>
      <c r="AC56" s="188"/>
      <c r="AD56" s="309"/>
      <c r="AE56" s="310"/>
      <c r="AF56" s="188"/>
      <c r="AG56" s="188"/>
      <c r="AH56" s="519"/>
      <c r="AI56" s="557"/>
    </row>
    <row r="57" spans="1:35" s="37" customFormat="1" ht="24" customHeight="1">
      <c r="A57" s="36"/>
      <c r="B57" s="36"/>
      <c r="C57" s="1881"/>
      <c r="D57" s="2466"/>
      <c r="E57" s="621"/>
      <c r="F57" s="640"/>
      <c r="G57" s="641"/>
      <c r="H57" s="1882"/>
      <c r="I57" s="1883" t="str">
        <f t="shared" si="0"/>
        <v/>
      </c>
      <c r="J57" s="1983"/>
      <c r="K57" s="1984"/>
      <c r="L57" s="2356"/>
      <c r="M57" s="602"/>
      <c r="N57" s="603"/>
      <c r="O57" s="597"/>
      <c r="P57" s="187"/>
      <c r="Q57" s="188"/>
      <c r="R57" s="188"/>
      <c r="S57" s="188"/>
      <c r="T57" s="188"/>
      <c r="U57" s="188"/>
      <c r="V57" s="188"/>
      <c r="W57" s="188"/>
      <c r="X57" s="189"/>
      <c r="Y57" s="189"/>
      <c r="Z57" s="189"/>
      <c r="AA57" s="189"/>
      <c r="AB57" s="189"/>
      <c r="AC57" s="188"/>
      <c r="AD57" s="309"/>
      <c r="AE57" s="310"/>
      <c r="AF57" s="188"/>
      <c r="AG57" s="188"/>
      <c r="AH57" s="519"/>
      <c r="AI57" s="557"/>
    </row>
    <row r="58" spans="1:35" s="37" customFormat="1" ht="24" customHeight="1">
      <c r="A58" s="36"/>
      <c r="B58" s="36"/>
      <c r="C58" s="1881"/>
      <c r="D58" s="2466"/>
      <c r="E58" s="621"/>
      <c r="F58" s="640"/>
      <c r="G58" s="641"/>
      <c r="H58" s="1882"/>
      <c r="I58" s="1883" t="str">
        <f t="shared" si="0"/>
        <v/>
      </c>
      <c r="J58" s="1983"/>
      <c r="K58" s="1984"/>
      <c r="L58" s="2356"/>
      <c r="M58" s="602"/>
      <c r="N58" s="603"/>
      <c r="O58" s="597"/>
      <c r="P58" s="187"/>
      <c r="Q58" s="188"/>
      <c r="R58" s="188"/>
      <c r="S58" s="188"/>
      <c r="T58" s="188"/>
      <c r="U58" s="188"/>
      <c r="V58" s="188"/>
      <c r="W58" s="188"/>
      <c r="X58" s="189"/>
      <c r="Y58" s="189"/>
      <c r="Z58" s="189"/>
      <c r="AA58" s="189"/>
      <c r="AB58" s="189"/>
      <c r="AC58" s="188"/>
      <c r="AD58" s="309"/>
      <c r="AE58" s="310"/>
      <c r="AF58" s="188"/>
      <c r="AG58" s="188"/>
      <c r="AH58" s="519"/>
      <c r="AI58" s="557"/>
    </row>
    <row r="59" spans="1:35" s="37" customFormat="1" ht="24" customHeight="1">
      <c r="A59" s="36"/>
      <c r="B59" s="36"/>
      <c r="C59" s="1881"/>
      <c r="D59" s="2466"/>
      <c r="E59" s="621"/>
      <c r="F59" s="640"/>
      <c r="G59" s="641"/>
      <c r="H59" s="1882"/>
      <c r="I59" s="1883" t="str">
        <f t="shared" si="0"/>
        <v/>
      </c>
      <c r="J59" s="1983"/>
      <c r="K59" s="1984"/>
      <c r="L59" s="2356"/>
      <c r="M59" s="602"/>
      <c r="N59" s="603"/>
      <c r="O59" s="597"/>
      <c r="P59" s="187"/>
      <c r="Q59" s="188"/>
      <c r="R59" s="188"/>
      <c r="S59" s="188"/>
      <c r="T59" s="188"/>
      <c r="U59" s="188"/>
      <c r="V59" s="188"/>
      <c r="W59" s="188"/>
      <c r="X59" s="189"/>
      <c r="Y59" s="189"/>
      <c r="Z59" s="189"/>
      <c r="AA59" s="189"/>
      <c r="AB59" s="189"/>
      <c r="AC59" s="188"/>
      <c r="AD59" s="309"/>
      <c r="AE59" s="310"/>
      <c r="AF59" s="188"/>
      <c r="AG59" s="188"/>
      <c r="AH59" s="519"/>
      <c r="AI59" s="557"/>
    </row>
    <row r="60" spans="1:35" s="37" customFormat="1" ht="24" customHeight="1">
      <c r="A60" s="36"/>
      <c r="B60" s="36"/>
      <c r="C60" s="1881"/>
      <c r="D60" s="2466"/>
      <c r="E60" s="621"/>
      <c r="F60" s="640"/>
      <c r="G60" s="641"/>
      <c r="H60" s="1882"/>
      <c r="I60" s="1883" t="str">
        <f t="shared" si="0"/>
        <v/>
      </c>
      <c r="J60" s="1983"/>
      <c r="K60" s="1984"/>
      <c r="L60" s="2356"/>
      <c r="M60" s="602"/>
      <c r="N60" s="603"/>
      <c r="O60" s="597"/>
      <c r="P60" s="187"/>
      <c r="Q60" s="188"/>
      <c r="R60" s="188"/>
      <c r="S60" s="188"/>
      <c r="T60" s="188"/>
      <c r="U60" s="188"/>
      <c r="V60" s="188"/>
      <c r="W60" s="188"/>
      <c r="X60" s="189"/>
      <c r="Y60" s="189"/>
      <c r="Z60" s="189"/>
      <c r="AA60" s="189"/>
      <c r="AB60" s="189"/>
      <c r="AC60" s="188"/>
      <c r="AD60" s="309"/>
      <c r="AE60" s="310"/>
      <c r="AF60" s="188"/>
      <c r="AG60" s="188"/>
      <c r="AH60" s="519"/>
      <c r="AI60" s="557"/>
    </row>
    <row r="61" spans="1:35" s="37" customFormat="1" ht="24" customHeight="1">
      <c r="A61" s="36"/>
      <c r="B61" s="36"/>
      <c r="C61" s="1881"/>
      <c r="D61" s="2466"/>
      <c r="E61" s="621"/>
      <c r="F61" s="640"/>
      <c r="G61" s="641"/>
      <c r="H61" s="1882"/>
      <c r="I61" s="1883" t="str">
        <f t="shared" si="0"/>
        <v/>
      </c>
      <c r="J61" s="1983"/>
      <c r="K61" s="1984"/>
      <c r="L61" s="2356"/>
      <c r="M61" s="602"/>
      <c r="N61" s="603"/>
      <c r="O61" s="597"/>
      <c r="P61" s="187"/>
      <c r="Q61" s="188"/>
      <c r="R61" s="188"/>
      <c r="S61" s="188"/>
      <c r="T61" s="188"/>
      <c r="U61" s="188"/>
      <c r="V61" s="188"/>
      <c r="W61" s="188"/>
      <c r="X61" s="189"/>
      <c r="Y61" s="189"/>
      <c r="Z61" s="189"/>
      <c r="AA61" s="189"/>
      <c r="AB61" s="189"/>
      <c r="AC61" s="188"/>
      <c r="AD61" s="309"/>
      <c r="AE61" s="310"/>
      <c r="AF61" s="188"/>
      <c r="AG61" s="188"/>
      <c r="AH61" s="519"/>
      <c r="AI61" s="557"/>
    </row>
    <row r="62" spans="1:35" s="37" customFormat="1" ht="24" customHeight="1">
      <c r="A62" s="36"/>
      <c r="B62" s="36"/>
      <c r="C62" s="1881"/>
      <c r="D62" s="2466"/>
      <c r="E62" s="621"/>
      <c r="F62" s="640"/>
      <c r="G62" s="641"/>
      <c r="H62" s="1882"/>
      <c r="I62" s="1883" t="str">
        <f t="shared" si="0"/>
        <v/>
      </c>
      <c r="J62" s="1983"/>
      <c r="K62" s="1984"/>
      <c r="L62" s="2356"/>
      <c r="M62" s="602"/>
      <c r="N62" s="603"/>
      <c r="O62" s="597"/>
      <c r="P62" s="187"/>
      <c r="Q62" s="188"/>
      <c r="R62" s="188"/>
      <c r="S62" s="188"/>
      <c r="T62" s="188"/>
      <c r="U62" s="188"/>
      <c r="V62" s="188"/>
      <c r="W62" s="188"/>
      <c r="X62" s="189"/>
      <c r="Y62" s="189"/>
      <c r="Z62" s="189"/>
      <c r="AA62" s="189"/>
      <c r="AB62" s="189"/>
      <c r="AC62" s="188"/>
      <c r="AD62" s="309"/>
      <c r="AE62" s="310"/>
      <c r="AF62" s="188"/>
      <c r="AG62" s="188"/>
      <c r="AH62" s="519"/>
      <c r="AI62" s="557"/>
    </row>
    <row r="63" spans="1:35" s="37" customFormat="1" ht="24" customHeight="1">
      <c r="A63" s="36"/>
      <c r="B63" s="36"/>
      <c r="C63" s="1881"/>
      <c r="D63" s="2466"/>
      <c r="E63" s="621"/>
      <c r="F63" s="640"/>
      <c r="G63" s="641"/>
      <c r="H63" s="1882"/>
      <c r="I63" s="1883" t="str">
        <f t="shared" si="0"/>
        <v/>
      </c>
      <c r="J63" s="1983"/>
      <c r="K63" s="1984"/>
      <c r="L63" s="2356"/>
      <c r="M63" s="602"/>
      <c r="N63" s="603"/>
      <c r="O63" s="597"/>
      <c r="P63" s="187"/>
      <c r="Q63" s="188"/>
      <c r="R63" s="188"/>
      <c r="S63" s="188"/>
      <c r="T63" s="188"/>
      <c r="U63" s="188"/>
      <c r="V63" s="188"/>
      <c r="W63" s="188"/>
      <c r="X63" s="189"/>
      <c r="Y63" s="189"/>
      <c r="Z63" s="189"/>
      <c r="AA63" s="189"/>
      <c r="AB63" s="189"/>
      <c r="AC63" s="188"/>
      <c r="AD63" s="309"/>
      <c r="AE63" s="310"/>
      <c r="AF63" s="188"/>
      <c r="AG63" s="188"/>
      <c r="AH63" s="519"/>
      <c r="AI63" s="557"/>
    </row>
    <row r="64" spans="1:35" s="37" customFormat="1" ht="24" customHeight="1">
      <c r="A64" s="36"/>
      <c r="B64" s="36"/>
      <c r="C64" s="1881"/>
      <c r="D64" s="2466"/>
      <c r="E64" s="621"/>
      <c r="F64" s="640"/>
      <c r="G64" s="641"/>
      <c r="H64" s="1882"/>
      <c r="I64" s="1883" t="str">
        <f t="shared" si="0"/>
        <v/>
      </c>
      <c r="J64" s="1983"/>
      <c r="K64" s="1984"/>
      <c r="L64" s="2356"/>
      <c r="M64" s="602"/>
      <c r="N64" s="603"/>
      <c r="O64" s="597"/>
      <c r="P64" s="187"/>
      <c r="Q64" s="188"/>
      <c r="R64" s="188"/>
      <c r="S64" s="188"/>
      <c r="T64" s="188"/>
      <c r="U64" s="188"/>
      <c r="V64" s="188"/>
      <c r="W64" s="188"/>
      <c r="X64" s="189"/>
      <c r="Y64" s="189"/>
      <c r="Z64" s="189"/>
      <c r="AA64" s="189"/>
      <c r="AB64" s="189"/>
      <c r="AC64" s="188"/>
      <c r="AD64" s="309"/>
      <c r="AE64" s="310"/>
      <c r="AF64" s="188"/>
      <c r="AG64" s="188"/>
      <c r="AH64" s="519"/>
      <c r="AI64" s="557"/>
    </row>
    <row r="65" spans="1:35" s="37" customFormat="1" ht="24" customHeight="1">
      <c r="A65" s="36"/>
      <c r="B65" s="36"/>
      <c r="C65" s="1881"/>
      <c r="D65" s="2466"/>
      <c r="E65" s="621"/>
      <c r="F65" s="640"/>
      <c r="G65" s="641"/>
      <c r="H65" s="1882"/>
      <c r="I65" s="1883" t="str">
        <f t="shared" si="0"/>
        <v/>
      </c>
      <c r="J65" s="1983"/>
      <c r="K65" s="1984"/>
      <c r="L65" s="2356"/>
      <c r="M65" s="602"/>
      <c r="N65" s="603"/>
      <c r="O65" s="597"/>
      <c r="P65" s="187"/>
      <c r="Q65" s="188"/>
      <c r="R65" s="188"/>
      <c r="S65" s="188"/>
      <c r="T65" s="188"/>
      <c r="U65" s="188"/>
      <c r="V65" s="188"/>
      <c r="W65" s="188"/>
      <c r="X65" s="189"/>
      <c r="Y65" s="189"/>
      <c r="Z65" s="189"/>
      <c r="AA65" s="189"/>
      <c r="AB65" s="189"/>
      <c r="AC65" s="188"/>
      <c r="AD65" s="309"/>
      <c r="AE65" s="310"/>
      <c r="AF65" s="188"/>
      <c r="AG65" s="188"/>
      <c r="AH65" s="519"/>
      <c r="AI65" s="557"/>
    </row>
    <row r="66" spans="1:35" s="37" customFormat="1" ht="24" customHeight="1">
      <c r="A66" s="36"/>
      <c r="B66" s="36"/>
      <c r="C66" s="1881"/>
      <c r="D66" s="2466"/>
      <c r="E66" s="621"/>
      <c r="F66" s="640"/>
      <c r="G66" s="641"/>
      <c r="H66" s="1882"/>
      <c r="I66" s="1883" t="str">
        <f t="shared" si="0"/>
        <v/>
      </c>
      <c r="J66" s="1983"/>
      <c r="K66" s="1984"/>
      <c r="L66" s="2356"/>
      <c r="M66" s="602"/>
      <c r="N66" s="603"/>
      <c r="O66" s="597"/>
      <c r="P66" s="187"/>
      <c r="Q66" s="188"/>
      <c r="R66" s="188"/>
      <c r="S66" s="188"/>
      <c r="T66" s="188"/>
      <c r="U66" s="188"/>
      <c r="V66" s="188"/>
      <c r="W66" s="188"/>
      <c r="X66" s="189"/>
      <c r="Y66" s="189"/>
      <c r="Z66" s="189"/>
      <c r="AA66" s="189"/>
      <c r="AB66" s="189"/>
      <c r="AC66" s="188"/>
      <c r="AD66" s="309"/>
      <c r="AE66" s="310"/>
      <c r="AF66" s="188"/>
      <c r="AG66" s="188"/>
      <c r="AH66" s="519"/>
      <c r="AI66" s="557"/>
    </row>
    <row r="67" spans="1:35" s="37" customFormat="1" ht="24" customHeight="1">
      <c r="A67" s="36"/>
      <c r="B67" s="36"/>
      <c r="C67" s="1881"/>
      <c r="D67" s="2466"/>
      <c r="E67" s="621"/>
      <c r="F67" s="640"/>
      <c r="G67" s="641"/>
      <c r="H67" s="1882"/>
      <c r="I67" s="1883" t="str">
        <f t="shared" si="0"/>
        <v/>
      </c>
      <c r="J67" s="1983"/>
      <c r="K67" s="1984"/>
      <c r="L67" s="2356"/>
      <c r="M67" s="602"/>
      <c r="N67" s="603"/>
      <c r="O67" s="597"/>
      <c r="P67" s="187"/>
      <c r="Q67" s="188"/>
      <c r="R67" s="188"/>
      <c r="S67" s="188"/>
      <c r="T67" s="188"/>
      <c r="U67" s="188"/>
      <c r="V67" s="188"/>
      <c r="W67" s="188"/>
      <c r="X67" s="189"/>
      <c r="Y67" s="189"/>
      <c r="Z67" s="189"/>
      <c r="AA67" s="189"/>
      <c r="AB67" s="189"/>
      <c r="AC67" s="188"/>
      <c r="AD67" s="309"/>
      <c r="AE67" s="310"/>
      <c r="AF67" s="188"/>
      <c r="AG67" s="188"/>
      <c r="AH67" s="519"/>
      <c r="AI67" s="557"/>
    </row>
    <row r="68" spans="1:35" s="37" customFormat="1" ht="24" customHeight="1">
      <c r="A68" s="36"/>
      <c r="B68" s="36"/>
      <c r="C68" s="1881"/>
      <c r="D68" s="2466"/>
      <c r="E68" s="621"/>
      <c r="F68" s="640"/>
      <c r="G68" s="641"/>
      <c r="H68" s="1882"/>
      <c r="I68" s="1883" t="str">
        <f t="shared" si="0"/>
        <v/>
      </c>
      <c r="J68" s="1983"/>
      <c r="K68" s="1984"/>
      <c r="L68" s="2356"/>
      <c r="M68" s="602"/>
      <c r="N68" s="603"/>
      <c r="O68" s="597"/>
      <c r="P68" s="187"/>
      <c r="Q68" s="188"/>
      <c r="R68" s="188"/>
      <c r="S68" s="188"/>
      <c r="T68" s="188"/>
      <c r="U68" s="188"/>
      <c r="V68" s="188"/>
      <c r="W68" s="188"/>
      <c r="X68" s="189"/>
      <c r="Y68" s="189"/>
      <c r="Z68" s="189"/>
      <c r="AA68" s="189"/>
      <c r="AB68" s="189"/>
      <c r="AC68" s="188"/>
      <c r="AD68" s="309"/>
      <c r="AE68" s="310"/>
      <c r="AF68" s="188"/>
      <c r="AG68" s="188"/>
      <c r="AH68" s="519"/>
      <c r="AI68" s="557"/>
    </row>
    <row r="69" spans="1:35" s="37" customFormat="1" ht="24" customHeight="1">
      <c r="A69" s="36"/>
      <c r="B69" s="36"/>
      <c r="C69" s="1881"/>
      <c r="D69" s="2466"/>
      <c r="E69" s="621"/>
      <c r="F69" s="640"/>
      <c r="G69" s="641"/>
      <c r="H69" s="1882"/>
      <c r="I69" s="1883" t="str">
        <f t="shared" si="0"/>
        <v/>
      </c>
      <c r="J69" s="1983"/>
      <c r="K69" s="1984"/>
      <c r="L69" s="2356"/>
      <c r="M69" s="602"/>
      <c r="N69" s="603"/>
      <c r="O69" s="597"/>
      <c r="P69" s="187"/>
      <c r="Q69" s="188"/>
      <c r="R69" s="188"/>
      <c r="S69" s="188"/>
      <c r="T69" s="188"/>
      <c r="U69" s="188"/>
      <c r="V69" s="188"/>
      <c r="W69" s="188"/>
      <c r="X69" s="189"/>
      <c r="Y69" s="189"/>
      <c r="Z69" s="189"/>
      <c r="AA69" s="189"/>
      <c r="AB69" s="189"/>
      <c r="AC69" s="188"/>
      <c r="AD69" s="309"/>
      <c r="AE69" s="310"/>
      <c r="AF69" s="188"/>
      <c r="AG69" s="188"/>
      <c r="AH69" s="519"/>
      <c r="AI69" s="557"/>
    </row>
    <row r="70" spans="1:35" s="37" customFormat="1" ht="24" customHeight="1">
      <c r="A70" s="36"/>
      <c r="B70" s="36"/>
      <c r="C70" s="1881"/>
      <c r="D70" s="2466"/>
      <c r="E70" s="621"/>
      <c r="F70" s="640"/>
      <c r="G70" s="641"/>
      <c r="H70" s="1882"/>
      <c r="I70" s="1883" t="str">
        <f t="shared" si="0"/>
        <v/>
      </c>
      <c r="J70" s="1983"/>
      <c r="K70" s="1984"/>
      <c r="L70" s="2356"/>
      <c r="M70" s="602"/>
      <c r="N70" s="603"/>
      <c r="O70" s="597"/>
      <c r="P70" s="187"/>
      <c r="Q70" s="188"/>
      <c r="R70" s="188"/>
      <c r="S70" s="188"/>
      <c r="T70" s="188"/>
      <c r="U70" s="188"/>
      <c r="V70" s="188"/>
      <c r="W70" s="188"/>
      <c r="X70" s="189"/>
      <c r="Y70" s="189"/>
      <c r="Z70" s="189"/>
      <c r="AA70" s="189"/>
      <c r="AB70" s="189"/>
      <c r="AC70" s="188"/>
      <c r="AD70" s="309"/>
      <c r="AE70" s="310"/>
      <c r="AF70" s="188"/>
      <c r="AG70" s="188"/>
      <c r="AH70" s="519"/>
      <c r="AI70" s="557"/>
    </row>
    <row r="71" spans="1:35" s="1" customFormat="1" ht="24" customHeight="1" thickBot="1">
      <c r="A71" s="36"/>
      <c r="B71" s="36"/>
      <c r="C71" s="2070"/>
      <c r="D71" s="2075" t="s">
        <v>4144</v>
      </c>
      <c r="E71" s="2071"/>
      <c r="F71" s="2072"/>
      <c r="G71" s="2453"/>
      <c r="H71" s="2465" t="s">
        <v>4131</v>
      </c>
      <c r="I71" s="2074">
        <f>SUM(I53:I70)</f>
        <v>0</v>
      </c>
      <c r="J71" s="2467" t="str">
        <f>IF(C52="部分撤去工事","）うち費用",")")</f>
        <v>)</v>
      </c>
      <c r="K71" s="2468">
        <f>IF(C52="部分撤去工事",(K48+L71),0)</f>
        <v>0</v>
      </c>
      <c r="L71" s="2469">
        <f>IF(C52="部分撤去工事",SUMIF(N53:N70,"費用",I53:I70),0)</f>
        <v>0</v>
      </c>
      <c r="M71" s="2470"/>
      <c r="N71" s="2471"/>
      <c r="O71" s="597"/>
      <c r="P71" s="187"/>
      <c r="Q71" s="188"/>
      <c r="R71" s="188"/>
      <c r="S71" s="188"/>
      <c r="T71" s="188"/>
      <c r="U71" s="188"/>
      <c r="V71" s="188"/>
      <c r="W71" s="188"/>
      <c r="X71" s="189"/>
      <c r="Y71" s="189"/>
      <c r="Z71" s="189"/>
      <c r="AA71" s="189"/>
      <c r="AB71" s="189"/>
      <c r="AC71" s="188"/>
      <c r="AD71" s="309"/>
      <c r="AE71" s="310"/>
      <c r="AF71" s="188"/>
      <c r="AG71" s="188"/>
      <c r="AH71" s="188"/>
      <c r="AI71" s="557"/>
    </row>
    <row r="72" spans="1:35" s="1" customFormat="1" ht="14.25" customHeight="1">
      <c r="A72" s="6"/>
      <c r="B72" s="6"/>
      <c r="E72" s="101" t="s">
        <v>130</v>
      </c>
      <c r="F72" s="102">
        <f>+F49+1</f>
        <v>1</v>
      </c>
      <c r="G72" s="103" t="s">
        <v>131</v>
      </c>
      <c r="H72" s="104">
        <f>+H49</f>
        <v>0</v>
      </c>
      <c r="I72" s="104"/>
      <c r="M72" s="598" t="str">
        <f>IF(A74="","EOL","")</f>
        <v>EOL</v>
      </c>
      <c r="N72" s="1">
        <f>+F72</f>
        <v>1</v>
      </c>
      <c r="O72" s="37"/>
      <c r="P72" s="37"/>
      <c r="Q72" s="37"/>
      <c r="R72" s="37"/>
      <c r="S72" s="37"/>
      <c r="T72" s="37"/>
      <c r="U72" s="37"/>
      <c r="V72" s="37"/>
      <c r="W72" s="37"/>
      <c r="X72" s="37"/>
      <c r="Y72" s="37"/>
      <c r="Z72" s="37"/>
      <c r="AI72" s="554"/>
    </row>
    <row r="73" spans="1:35">
      <c r="O73" s="39"/>
      <c r="P73" s="39"/>
      <c r="Q73" s="39"/>
      <c r="R73" s="39"/>
      <c r="S73" s="39"/>
      <c r="T73" s="39"/>
      <c r="U73" s="39"/>
      <c r="V73" s="39"/>
      <c r="W73" s="39"/>
      <c r="X73" s="39"/>
      <c r="Y73" s="39"/>
      <c r="Z73" s="39"/>
      <c r="AI73" s="558"/>
    </row>
    <row r="74" spans="1:35">
      <c r="O74" s="39"/>
      <c r="P74" s="39"/>
      <c r="Q74" s="39"/>
      <c r="R74" s="39"/>
      <c r="S74" s="39"/>
      <c r="T74" s="39"/>
      <c r="U74" s="39"/>
      <c r="V74" s="39"/>
      <c r="W74" s="39"/>
      <c r="X74" s="39"/>
      <c r="Y74" s="39"/>
      <c r="Z74" s="39"/>
      <c r="AI74" s="558"/>
    </row>
    <row r="75" spans="1:35">
      <c r="O75" s="39"/>
      <c r="P75" s="39"/>
      <c r="Q75" s="39"/>
      <c r="R75" s="39"/>
      <c r="S75" s="39"/>
      <c r="T75" s="39"/>
      <c r="U75" s="39"/>
      <c r="V75" s="39"/>
      <c r="W75" s="39"/>
      <c r="X75" s="39"/>
      <c r="Y75" s="39"/>
      <c r="Z75" s="39"/>
      <c r="AI75" s="558"/>
    </row>
    <row r="76" spans="1:35" s="37" customFormat="1" ht="24" customHeight="1">
      <c r="A76" s="36"/>
      <c r="B76" s="36"/>
      <c r="C76" s="1881"/>
      <c r="D76" s="2466"/>
      <c r="E76" s="621"/>
      <c r="F76" s="640"/>
      <c r="G76" s="641"/>
      <c r="H76" s="2508"/>
      <c r="I76" s="1883" t="str">
        <f>IF(F76="","",ROUNDDOWN(F76*H76,0))</f>
        <v/>
      </c>
      <c r="J76" s="1983"/>
      <c r="K76" s="1984"/>
      <c r="L76" s="2356"/>
      <c r="O76" s="186"/>
      <c r="P76" s="187"/>
      <c r="Q76" s="188"/>
      <c r="R76" s="188"/>
      <c r="S76" s="188"/>
      <c r="T76" s="188"/>
      <c r="U76" s="188"/>
      <c r="V76" s="188"/>
      <c r="W76" s="189"/>
      <c r="X76" s="189"/>
      <c r="Y76" s="189"/>
      <c r="Z76" s="189"/>
      <c r="AA76" s="191"/>
      <c r="AB76" s="190"/>
      <c r="AC76" s="188"/>
      <c r="AD76" s="188"/>
      <c r="AE76" s="188"/>
      <c r="AF76" s="188"/>
      <c r="AG76" s="188"/>
      <c r="AH76" s="519"/>
      <c r="AI76" s="557"/>
    </row>
    <row r="77" spans="1:35" s="37" customFormat="1" ht="24" customHeight="1">
      <c r="A77" s="36"/>
      <c r="B77" s="36"/>
      <c r="C77" s="1881"/>
      <c r="D77" s="2466" t="s">
        <v>4144</v>
      </c>
      <c r="E77" s="621"/>
      <c r="F77" s="640"/>
      <c r="G77" s="641"/>
      <c r="H77" s="2508" t="s">
        <v>4874</v>
      </c>
      <c r="I77" s="1883"/>
      <c r="J77" s="1983" t="s">
        <v>4875</v>
      </c>
      <c r="K77" s="1984"/>
      <c r="L77" s="2356"/>
      <c r="O77" s="186"/>
      <c r="P77" s="187"/>
      <c r="Q77" s="188"/>
      <c r="R77" s="188"/>
      <c r="S77" s="188"/>
      <c r="T77" s="188"/>
      <c r="U77" s="188"/>
      <c r="V77" s="188"/>
      <c r="W77" s="189"/>
      <c r="X77" s="189"/>
      <c r="Y77" s="189"/>
      <c r="Z77" s="189"/>
      <c r="AA77" s="191"/>
      <c r="AB77" s="190"/>
      <c r="AC77" s="188"/>
      <c r="AD77" s="188"/>
      <c r="AE77" s="188"/>
      <c r="AF77" s="188"/>
      <c r="AG77" s="188"/>
      <c r="AH77" s="519"/>
      <c r="AI77" s="557"/>
    </row>
    <row r="78" spans="1:35" s="37" customFormat="1" ht="24" customHeight="1">
      <c r="A78" s="36"/>
      <c r="B78" s="36"/>
      <c r="C78" s="1881"/>
      <c r="D78" s="2466"/>
      <c r="E78" s="621"/>
      <c r="F78" s="640"/>
      <c r="G78" s="641"/>
      <c r="H78" s="2508"/>
      <c r="I78" s="1883"/>
      <c r="J78" s="1983"/>
      <c r="K78" s="1984"/>
      <c r="L78" s="2356"/>
      <c r="O78" s="186"/>
      <c r="P78" s="187"/>
      <c r="Q78" s="188"/>
      <c r="R78" s="188"/>
      <c r="S78" s="188"/>
      <c r="T78" s="188"/>
      <c r="U78" s="188"/>
      <c r="V78" s="188"/>
      <c r="W78" s="189"/>
      <c r="X78" s="189"/>
      <c r="Y78" s="189"/>
      <c r="Z78" s="189"/>
      <c r="AA78" s="191"/>
      <c r="AB78" s="190"/>
      <c r="AC78" s="188"/>
      <c r="AD78" s="188"/>
      <c r="AE78" s="188"/>
      <c r="AF78" s="188"/>
      <c r="AG78" s="188"/>
      <c r="AH78" s="188"/>
      <c r="AI78" s="557"/>
    </row>
    <row r="81" spans="1:15" s="18" customFormat="1" ht="20.100000000000001" customHeight="1" thickBot="1">
      <c r="A81" s="2791" t="s">
        <v>4876</v>
      </c>
      <c r="B81" s="2791"/>
      <c r="C81" s="2791"/>
      <c r="D81" s="2791"/>
      <c r="E81" s="2791"/>
      <c r="F81" s="2791"/>
      <c r="G81" s="2791"/>
      <c r="H81" s="2791"/>
      <c r="I81" s="2791"/>
      <c r="J81" s="2791"/>
      <c r="K81" s="2791"/>
      <c r="L81" s="2791"/>
      <c r="M81" s="2791"/>
      <c r="N81" s="22" t="s">
        <v>4469</v>
      </c>
      <c r="O81" s="175">
        <f>+O54</f>
        <v>0</v>
      </c>
    </row>
    <row r="82" spans="1:15" s="22" customFormat="1" ht="20.100000000000001" customHeight="1">
      <c r="A82" s="19"/>
      <c r="B82" s="20" t="s">
        <v>4471</v>
      </c>
      <c r="C82" s="21" t="s">
        <v>4472</v>
      </c>
      <c r="D82" s="21"/>
      <c r="E82" s="73"/>
      <c r="F82" s="53"/>
      <c r="G82" s="68"/>
      <c r="H82" s="2792" t="s">
        <v>4877</v>
      </c>
      <c r="I82" s="2793"/>
      <c r="J82" s="2793" t="s">
        <v>4474</v>
      </c>
      <c r="K82" s="2794"/>
      <c r="L82" s="2793" t="s">
        <v>4475</v>
      </c>
      <c r="M82" s="2795"/>
      <c r="N82" s="2789" t="str">
        <f>IF(G133="",IF(O106=I106,H82,IF(O106=K106,J82,L82)),N109)</f>
        <v>C:</v>
      </c>
      <c r="O82" s="2790"/>
    </row>
    <row r="83" spans="1:15" s="22" customFormat="1" ht="20.100000000000001" customHeight="1" thickBot="1">
      <c r="A83" s="23" t="s">
        <v>4476</v>
      </c>
      <c r="B83" s="24" t="s">
        <v>4477</v>
      </c>
      <c r="C83" s="25" t="s">
        <v>4477</v>
      </c>
      <c r="D83" s="25" t="s">
        <v>4478</v>
      </c>
      <c r="E83" s="74" t="s">
        <v>4479</v>
      </c>
      <c r="F83" s="54" t="s">
        <v>4327</v>
      </c>
      <c r="G83" s="69" t="s">
        <v>4480</v>
      </c>
      <c r="H83" s="59" t="s">
        <v>4481</v>
      </c>
      <c r="I83" s="60" t="s">
        <v>4482</v>
      </c>
      <c r="J83" s="61" t="s">
        <v>4481</v>
      </c>
      <c r="K83" s="60" t="s">
        <v>4482</v>
      </c>
      <c r="L83" s="61" t="s">
        <v>4481</v>
      </c>
      <c r="M83" s="60" t="s">
        <v>4482</v>
      </c>
      <c r="N83" s="59" t="s">
        <v>4483</v>
      </c>
      <c r="O83" s="78" t="s">
        <v>4484</v>
      </c>
    </row>
    <row r="84" spans="1:15" s="18" customFormat="1" ht="20.100000000000001" customHeight="1">
      <c r="A84" s="50"/>
      <c r="B84" s="85"/>
      <c r="C84" s="86"/>
      <c r="D84" s="65"/>
      <c r="E84" s="75"/>
      <c r="F84" s="55"/>
      <c r="G84" s="70"/>
      <c r="H84" s="359"/>
      <c r="I84" s="360" t="str">
        <f t="shared" ref="I84:I105" si="1">IF(H84="","",ROUNDDOWN(H84*F84,0))</f>
        <v/>
      </c>
      <c r="J84" s="367"/>
      <c r="K84" s="360" t="str">
        <f t="shared" ref="K84:K105" si="2">IF(J84="","",ROUNDDOWN(J84*$F84,0))</f>
        <v/>
      </c>
      <c r="L84" s="367"/>
      <c r="M84" s="371" t="str">
        <f t="shared" ref="M84:M105" si="3">IF(L84="","",ROUNDDOWN(L84*$F84,0))</f>
        <v/>
      </c>
      <c r="N84" s="359" t="str">
        <f>IF(F84="","",INT(HLOOKUP(N82,H82:M105,3,FALSE)*O81))</f>
        <v/>
      </c>
      <c r="O84" s="375" t="str">
        <f t="shared" ref="O84:O105" si="4">IF(N84="","",IF(N84&lt;10,INT(N84),IF(N84&lt;10000,ROUNDDOWN(N84,-1),ROUNDDOWN(N84,-2))))</f>
        <v/>
      </c>
    </row>
    <row r="85" spans="1:15" s="18" customFormat="1" ht="20.100000000000001" customHeight="1">
      <c r="A85" s="51"/>
      <c r="B85" s="87"/>
      <c r="C85" s="88"/>
      <c r="D85" s="66"/>
      <c r="E85" s="76"/>
      <c r="F85" s="57"/>
      <c r="G85" s="71"/>
      <c r="H85" s="361"/>
      <c r="I85" s="362" t="str">
        <f t="shared" si="1"/>
        <v/>
      </c>
      <c r="J85" s="368"/>
      <c r="K85" s="362" t="str">
        <f t="shared" si="2"/>
        <v/>
      </c>
      <c r="L85" s="368"/>
      <c r="M85" s="372" t="str">
        <f t="shared" si="3"/>
        <v/>
      </c>
      <c r="N85" s="361" t="str">
        <f>IF(F85="","",INT(HLOOKUP(N82,H82:M105,4,FALSE)*O81))</f>
        <v/>
      </c>
      <c r="O85" s="376" t="str">
        <f t="shared" si="4"/>
        <v/>
      </c>
    </row>
    <row r="86" spans="1:15" s="18" customFormat="1" ht="20.100000000000001" customHeight="1">
      <c r="A86" s="51"/>
      <c r="B86" s="87"/>
      <c r="C86" s="88"/>
      <c r="D86" s="66"/>
      <c r="E86" s="76"/>
      <c r="F86" s="57"/>
      <c r="G86" s="71"/>
      <c r="H86" s="361"/>
      <c r="I86" s="362" t="str">
        <f t="shared" si="1"/>
        <v/>
      </c>
      <c r="J86" s="368"/>
      <c r="K86" s="362" t="str">
        <f t="shared" si="2"/>
        <v/>
      </c>
      <c r="L86" s="368"/>
      <c r="M86" s="372" t="str">
        <f t="shared" si="3"/>
        <v/>
      </c>
      <c r="N86" s="361" t="str">
        <f>IF(F86="","",INT(HLOOKUP(N82,H82:M105,5,FALSE)*O81))</f>
        <v/>
      </c>
      <c r="O86" s="376" t="str">
        <f t="shared" si="4"/>
        <v/>
      </c>
    </row>
    <row r="87" spans="1:15" s="18" customFormat="1" ht="20.100000000000001" customHeight="1">
      <c r="A87" s="51"/>
      <c r="B87" s="87"/>
      <c r="C87" s="88"/>
      <c r="D87" s="66"/>
      <c r="E87" s="76"/>
      <c r="F87" s="57"/>
      <c r="G87" s="71"/>
      <c r="H87" s="361"/>
      <c r="I87" s="362" t="str">
        <f t="shared" si="1"/>
        <v/>
      </c>
      <c r="J87" s="368"/>
      <c r="K87" s="362" t="str">
        <f t="shared" si="2"/>
        <v/>
      </c>
      <c r="L87" s="368"/>
      <c r="M87" s="372" t="str">
        <f t="shared" si="3"/>
        <v/>
      </c>
      <c r="N87" s="361" t="str">
        <f>IF(F87="","",INT(HLOOKUP(N82,H82:M105,6,FALSE)*O81))</f>
        <v/>
      </c>
      <c r="O87" s="376" t="str">
        <f t="shared" si="4"/>
        <v/>
      </c>
    </row>
    <row r="88" spans="1:15" s="18" customFormat="1" ht="20.100000000000001" customHeight="1">
      <c r="A88" s="51"/>
      <c r="B88" s="87"/>
      <c r="C88" s="88"/>
      <c r="D88" s="66"/>
      <c r="E88" s="76"/>
      <c r="F88" s="57"/>
      <c r="G88" s="71"/>
      <c r="H88" s="361"/>
      <c r="I88" s="362" t="str">
        <f t="shared" si="1"/>
        <v/>
      </c>
      <c r="J88" s="368"/>
      <c r="K88" s="362" t="str">
        <f t="shared" si="2"/>
        <v/>
      </c>
      <c r="L88" s="368"/>
      <c r="M88" s="372" t="str">
        <f t="shared" si="3"/>
        <v/>
      </c>
      <c r="N88" s="361" t="str">
        <f>IF(F88="","",INT(HLOOKUP(N82,H82:M105,7,FALSE)*O81))</f>
        <v/>
      </c>
      <c r="O88" s="376" t="str">
        <f t="shared" si="4"/>
        <v/>
      </c>
    </row>
    <row r="89" spans="1:15" s="18" customFormat="1" ht="20.100000000000001" customHeight="1">
      <c r="A89" s="51"/>
      <c r="B89" s="87"/>
      <c r="C89" s="88"/>
      <c r="D89" s="66"/>
      <c r="E89" s="76"/>
      <c r="F89" s="57"/>
      <c r="G89" s="71"/>
      <c r="H89" s="361"/>
      <c r="I89" s="362" t="str">
        <f t="shared" si="1"/>
        <v/>
      </c>
      <c r="J89" s="368"/>
      <c r="K89" s="362" t="str">
        <f t="shared" si="2"/>
        <v/>
      </c>
      <c r="L89" s="368"/>
      <c r="M89" s="372" t="str">
        <f t="shared" si="3"/>
        <v/>
      </c>
      <c r="N89" s="361" t="str">
        <f>IF(F89="","",INT(HLOOKUP(N82,H82:M105,8,FALSE)*O81))</f>
        <v/>
      </c>
      <c r="O89" s="376" t="str">
        <f t="shared" si="4"/>
        <v/>
      </c>
    </row>
    <row r="90" spans="1:15" s="18" customFormat="1" ht="20.100000000000001" customHeight="1">
      <c r="A90" s="51"/>
      <c r="B90" s="87"/>
      <c r="C90" s="88"/>
      <c r="D90" s="66"/>
      <c r="E90" s="76"/>
      <c r="F90" s="57"/>
      <c r="G90" s="71"/>
      <c r="H90" s="361"/>
      <c r="I90" s="362" t="str">
        <f t="shared" si="1"/>
        <v/>
      </c>
      <c r="J90" s="368"/>
      <c r="K90" s="362" t="str">
        <f t="shared" si="2"/>
        <v/>
      </c>
      <c r="L90" s="368"/>
      <c r="M90" s="372" t="str">
        <f t="shared" si="3"/>
        <v/>
      </c>
      <c r="N90" s="361" t="str">
        <f>IF(F90="","",INT(HLOOKUP(N82,H82:M105,9,FALSE)*O81))</f>
        <v/>
      </c>
      <c r="O90" s="376" t="str">
        <f t="shared" si="4"/>
        <v/>
      </c>
    </row>
    <row r="91" spans="1:15" s="18" customFormat="1" ht="20.100000000000001" customHeight="1">
      <c r="A91" s="51"/>
      <c r="B91" s="87"/>
      <c r="C91" s="88"/>
      <c r="D91" s="66"/>
      <c r="E91" s="76"/>
      <c r="F91" s="57"/>
      <c r="G91" s="71"/>
      <c r="H91" s="361"/>
      <c r="I91" s="362" t="str">
        <f t="shared" si="1"/>
        <v/>
      </c>
      <c r="J91" s="368"/>
      <c r="K91" s="362" t="str">
        <f t="shared" si="2"/>
        <v/>
      </c>
      <c r="L91" s="368"/>
      <c r="M91" s="372" t="str">
        <f t="shared" si="3"/>
        <v/>
      </c>
      <c r="N91" s="361" t="str">
        <f>IF(F91="","",INT(HLOOKUP(N82,H82:M105,10,FALSE)*O81))</f>
        <v/>
      </c>
      <c r="O91" s="376" t="str">
        <f t="shared" si="4"/>
        <v/>
      </c>
    </row>
    <row r="92" spans="1:15" s="18" customFormat="1" ht="20.100000000000001" customHeight="1">
      <c r="A92" s="51"/>
      <c r="B92" s="87"/>
      <c r="C92" s="88"/>
      <c r="D92" s="66"/>
      <c r="E92" s="76"/>
      <c r="F92" s="57"/>
      <c r="G92" s="71"/>
      <c r="H92" s="361"/>
      <c r="I92" s="362" t="str">
        <f t="shared" si="1"/>
        <v/>
      </c>
      <c r="J92" s="368"/>
      <c r="K92" s="362" t="str">
        <f t="shared" si="2"/>
        <v/>
      </c>
      <c r="L92" s="368"/>
      <c r="M92" s="372" t="str">
        <f t="shared" si="3"/>
        <v/>
      </c>
      <c r="N92" s="361" t="str">
        <f>IF(F92="","",INT(HLOOKUP(N82,H82:M105,11,FALSE)*O81))</f>
        <v/>
      </c>
      <c r="O92" s="376" t="str">
        <f t="shared" si="4"/>
        <v/>
      </c>
    </row>
    <row r="93" spans="1:15" s="18" customFormat="1" ht="20.100000000000001" customHeight="1">
      <c r="A93" s="51"/>
      <c r="B93" s="87"/>
      <c r="C93" s="88"/>
      <c r="D93" s="66"/>
      <c r="E93" s="76"/>
      <c r="F93" s="57"/>
      <c r="G93" s="71"/>
      <c r="H93" s="361"/>
      <c r="I93" s="362" t="str">
        <f t="shared" si="1"/>
        <v/>
      </c>
      <c r="J93" s="368"/>
      <c r="K93" s="362" t="str">
        <f t="shared" si="2"/>
        <v/>
      </c>
      <c r="L93" s="368"/>
      <c r="M93" s="372" t="str">
        <f t="shared" si="3"/>
        <v/>
      </c>
      <c r="N93" s="361" t="str">
        <f>IF(F93="","",INT(HLOOKUP(N82,H82:M105,12,FALSE)*O81))</f>
        <v/>
      </c>
      <c r="O93" s="376" t="str">
        <f t="shared" si="4"/>
        <v/>
      </c>
    </row>
    <row r="94" spans="1:15" s="18" customFormat="1" ht="20.100000000000001" customHeight="1">
      <c r="A94" s="51"/>
      <c r="B94" s="87"/>
      <c r="C94" s="88"/>
      <c r="D94" s="66"/>
      <c r="E94" s="76"/>
      <c r="F94" s="57"/>
      <c r="G94" s="71"/>
      <c r="H94" s="361"/>
      <c r="I94" s="362" t="str">
        <f t="shared" si="1"/>
        <v/>
      </c>
      <c r="J94" s="368"/>
      <c r="K94" s="362" t="str">
        <f t="shared" si="2"/>
        <v/>
      </c>
      <c r="L94" s="368"/>
      <c r="M94" s="372" t="str">
        <f t="shared" si="3"/>
        <v/>
      </c>
      <c r="N94" s="361" t="str">
        <f>IF(F94="","",INT(HLOOKUP(N82,H82:M105,13,FALSE)*O81))</f>
        <v/>
      </c>
      <c r="O94" s="376" t="str">
        <f t="shared" si="4"/>
        <v/>
      </c>
    </row>
    <row r="95" spans="1:15" s="18" customFormat="1" ht="20.100000000000001" customHeight="1">
      <c r="A95" s="51"/>
      <c r="B95" s="87"/>
      <c r="C95" s="88"/>
      <c r="D95" s="66"/>
      <c r="E95" s="76"/>
      <c r="F95" s="57"/>
      <c r="G95" s="71"/>
      <c r="H95" s="361"/>
      <c r="I95" s="362" t="str">
        <f t="shared" si="1"/>
        <v/>
      </c>
      <c r="J95" s="368"/>
      <c r="K95" s="362" t="str">
        <f t="shared" si="2"/>
        <v/>
      </c>
      <c r="L95" s="368"/>
      <c r="M95" s="372" t="str">
        <f t="shared" si="3"/>
        <v/>
      </c>
      <c r="N95" s="361" t="str">
        <f>IF(F95="","",INT(HLOOKUP(N82,H82:M105,14,FALSE)*O81))</f>
        <v/>
      </c>
      <c r="O95" s="376" t="str">
        <f t="shared" si="4"/>
        <v/>
      </c>
    </row>
    <row r="96" spans="1:15" s="18" customFormat="1" ht="20.100000000000001" customHeight="1">
      <c r="A96" s="51"/>
      <c r="B96" s="87"/>
      <c r="C96" s="88"/>
      <c r="D96" s="66"/>
      <c r="E96" s="76"/>
      <c r="F96" s="57"/>
      <c r="G96" s="71"/>
      <c r="H96" s="361"/>
      <c r="I96" s="362" t="str">
        <f t="shared" si="1"/>
        <v/>
      </c>
      <c r="J96" s="368"/>
      <c r="K96" s="362" t="str">
        <f t="shared" si="2"/>
        <v/>
      </c>
      <c r="L96" s="368"/>
      <c r="M96" s="372" t="str">
        <f t="shared" si="3"/>
        <v/>
      </c>
      <c r="N96" s="361" t="str">
        <f>IF(F96="","",INT(HLOOKUP(N82,H82:M105,15,FALSE)*O81))</f>
        <v/>
      </c>
      <c r="O96" s="376" t="str">
        <f t="shared" si="4"/>
        <v/>
      </c>
    </row>
    <row r="97" spans="1:19" s="18" customFormat="1" ht="20.100000000000001" customHeight="1">
      <c r="A97" s="51"/>
      <c r="B97" s="87"/>
      <c r="C97" s="88"/>
      <c r="D97" s="66"/>
      <c r="E97" s="76"/>
      <c r="F97" s="57"/>
      <c r="G97" s="71"/>
      <c r="H97" s="361"/>
      <c r="I97" s="362" t="str">
        <f t="shared" si="1"/>
        <v/>
      </c>
      <c r="J97" s="368"/>
      <c r="K97" s="362" t="str">
        <f t="shared" si="2"/>
        <v/>
      </c>
      <c r="L97" s="368"/>
      <c r="M97" s="372" t="str">
        <f t="shared" si="3"/>
        <v/>
      </c>
      <c r="N97" s="361" t="str">
        <f>IF(F97="","",INT(HLOOKUP(N82,H82:M105,16,FALSE)*O81))</f>
        <v/>
      </c>
      <c r="O97" s="376" t="str">
        <f t="shared" si="4"/>
        <v/>
      </c>
    </row>
    <row r="98" spans="1:19" s="18" customFormat="1" ht="20.100000000000001" customHeight="1">
      <c r="A98" s="51"/>
      <c r="B98" s="87"/>
      <c r="C98" s="88"/>
      <c r="D98" s="66"/>
      <c r="E98" s="76"/>
      <c r="F98" s="57"/>
      <c r="G98" s="71"/>
      <c r="H98" s="361"/>
      <c r="I98" s="362" t="str">
        <f t="shared" si="1"/>
        <v/>
      </c>
      <c r="J98" s="368"/>
      <c r="K98" s="362" t="str">
        <f t="shared" si="2"/>
        <v/>
      </c>
      <c r="L98" s="368"/>
      <c r="M98" s="372" t="str">
        <f t="shared" si="3"/>
        <v/>
      </c>
      <c r="N98" s="361" t="str">
        <f>IF(F98="","",INT(HLOOKUP(N82,H82:M105,17,FALSE)*O81))</f>
        <v/>
      </c>
      <c r="O98" s="376" t="str">
        <f t="shared" si="4"/>
        <v/>
      </c>
    </row>
    <row r="99" spans="1:19" s="18" customFormat="1" ht="20.100000000000001" customHeight="1">
      <c r="A99" s="51"/>
      <c r="B99" s="87"/>
      <c r="C99" s="88"/>
      <c r="D99" s="66"/>
      <c r="E99" s="76"/>
      <c r="F99" s="57"/>
      <c r="G99" s="71"/>
      <c r="H99" s="361"/>
      <c r="I99" s="362" t="str">
        <f t="shared" si="1"/>
        <v/>
      </c>
      <c r="J99" s="368"/>
      <c r="K99" s="362" t="str">
        <f t="shared" si="2"/>
        <v/>
      </c>
      <c r="L99" s="368"/>
      <c r="M99" s="372" t="str">
        <f t="shared" si="3"/>
        <v/>
      </c>
      <c r="N99" s="361" t="str">
        <f>IF(F99="","",INT(HLOOKUP(N82,H82:M105,18,FALSE)*O81))</f>
        <v/>
      </c>
      <c r="O99" s="376" t="str">
        <f t="shared" si="4"/>
        <v/>
      </c>
    </row>
    <row r="100" spans="1:19" s="18" customFormat="1" ht="20.100000000000001" customHeight="1">
      <c r="A100" s="51"/>
      <c r="B100" s="87"/>
      <c r="C100" s="88"/>
      <c r="D100" s="66"/>
      <c r="E100" s="76"/>
      <c r="F100" s="57"/>
      <c r="G100" s="71"/>
      <c r="H100" s="361"/>
      <c r="I100" s="362" t="str">
        <f t="shared" si="1"/>
        <v/>
      </c>
      <c r="J100" s="368"/>
      <c r="K100" s="362" t="str">
        <f t="shared" si="2"/>
        <v/>
      </c>
      <c r="L100" s="368"/>
      <c r="M100" s="372" t="str">
        <f t="shared" si="3"/>
        <v/>
      </c>
      <c r="N100" s="361" t="str">
        <f>IF(F100="","",INT(HLOOKUP(N82,H82:M105,19,FALSE)*O81))</f>
        <v/>
      </c>
      <c r="O100" s="376" t="str">
        <f t="shared" si="4"/>
        <v/>
      </c>
    </row>
    <row r="101" spans="1:19" s="18" customFormat="1" ht="20.100000000000001" customHeight="1">
      <c r="A101" s="51"/>
      <c r="B101" s="87"/>
      <c r="C101" s="88"/>
      <c r="D101" s="66"/>
      <c r="E101" s="76"/>
      <c r="F101" s="57"/>
      <c r="G101" s="71"/>
      <c r="H101" s="361"/>
      <c r="I101" s="362" t="str">
        <f t="shared" si="1"/>
        <v/>
      </c>
      <c r="J101" s="368"/>
      <c r="K101" s="362" t="str">
        <f t="shared" si="2"/>
        <v/>
      </c>
      <c r="L101" s="368"/>
      <c r="M101" s="372" t="str">
        <f t="shared" si="3"/>
        <v/>
      </c>
      <c r="N101" s="361" t="str">
        <f>IF(F101="","",INT(HLOOKUP(N82,H82:M105,20,FALSE)*O81))</f>
        <v/>
      </c>
      <c r="O101" s="376" t="str">
        <f t="shared" si="4"/>
        <v/>
      </c>
    </row>
    <row r="102" spans="1:19" s="18" customFormat="1" ht="20.100000000000001" customHeight="1">
      <c r="A102" s="51"/>
      <c r="B102" s="87"/>
      <c r="C102" s="88"/>
      <c r="D102" s="66"/>
      <c r="E102" s="76"/>
      <c r="F102" s="57"/>
      <c r="G102" s="71"/>
      <c r="H102" s="361"/>
      <c r="I102" s="362" t="str">
        <f t="shared" si="1"/>
        <v/>
      </c>
      <c r="J102" s="368"/>
      <c r="K102" s="362" t="str">
        <f t="shared" si="2"/>
        <v/>
      </c>
      <c r="L102" s="368"/>
      <c r="M102" s="372" t="str">
        <f t="shared" si="3"/>
        <v/>
      </c>
      <c r="N102" s="361" t="str">
        <f>IF(F102="","",INT(HLOOKUP(N82,H82:M105,21,FALSE)*O81))</f>
        <v/>
      </c>
      <c r="O102" s="376" t="str">
        <f t="shared" si="4"/>
        <v/>
      </c>
    </row>
    <row r="103" spans="1:19" s="18" customFormat="1" ht="20.100000000000001" customHeight="1">
      <c r="A103" s="51"/>
      <c r="B103" s="87"/>
      <c r="C103" s="88"/>
      <c r="D103" s="66"/>
      <c r="E103" s="76"/>
      <c r="F103" s="57"/>
      <c r="G103" s="71"/>
      <c r="H103" s="361"/>
      <c r="I103" s="362" t="str">
        <f t="shared" si="1"/>
        <v/>
      </c>
      <c r="J103" s="368"/>
      <c r="K103" s="362" t="str">
        <f t="shared" si="2"/>
        <v/>
      </c>
      <c r="L103" s="368"/>
      <c r="M103" s="372" t="str">
        <f t="shared" si="3"/>
        <v/>
      </c>
      <c r="N103" s="361" t="str">
        <f>IF(F103="","",INT(HLOOKUP(N82,H82:M105,22,FALSE)*O81))</f>
        <v/>
      </c>
      <c r="O103" s="376" t="str">
        <f t="shared" si="4"/>
        <v/>
      </c>
    </row>
    <row r="104" spans="1:19" s="18" customFormat="1" ht="20.100000000000001" customHeight="1">
      <c r="A104" s="51"/>
      <c r="B104" s="87"/>
      <c r="C104" s="88"/>
      <c r="D104" s="66"/>
      <c r="E104" s="76"/>
      <c r="F104" s="57"/>
      <c r="G104" s="71"/>
      <c r="H104" s="361"/>
      <c r="I104" s="362" t="str">
        <f t="shared" si="1"/>
        <v/>
      </c>
      <c r="J104" s="368"/>
      <c r="K104" s="362" t="str">
        <f t="shared" si="2"/>
        <v/>
      </c>
      <c r="L104" s="368"/>
      <c r="M104" s="372" t="str">
        <f t="shared" si="3"/>
        <v/>
      </c>
      <c r="N104" s="361" t="str">
        <f>IF(F104="","",INT(HLOOKUP(N82,H82:M105,23,FALSE)*O81))</f>
        <v/>
      </c>
      <c r="O104" s="376" t="str">
        <f t="shared" si="4"/>
        <v/>
      </c>
    </row>
    <row r="105" spans="1:19" s="18" customFormat="1" ht="20.100000000000001" customHeight="1" thickBot="1">
      <c r="A105" s="52"/>
      <c r="B105" s="89"/>
      <c r="C105" s="90"/>
      <c r="D105" s="67"/>
      <c r="E105" s="77"/>
      <c r="F105" s="58"/>
      <c r="G105" s="72"/>
      <c r="H105" s="363"/>
      <c r="I105" s="364" t="str">
        <f t="shared" si="1"/>
        <v/>
      </c>
      <c r="J105" s="369"/>
      <c r="K105" s="364" t="str">
        <f t="shared" si="2"/>
        <v/>
      </c>
      <c r="L105" s="369"/>
      <c r="M105" s="373" t="str">
        <f t="shared" si="3"/>
        <v/>
      </c>
      <c r="N105" s="363" t="str">
        <f>IF(F105="","",INT(HLOOKUP(N82,H82:M105,24,FALSE)*O81))</f>
        <v/>
      </c>
      <c r="O105" s="377" t="str">
        <f t="shared" si="4"/>
        <v/>
      </c>
    </row>
    <row r="106" spans="1:19" s="18" customFormat="1" ht="20.100000000000001" customHeight="1" thickTop="1" thickBot="1">
      <c r="A106" s="26"/>
      <c r="B106" s="27"/>
      <c r="C106" s="27"/>
      <c r="D106" s="28" t="str">
        <f>IF(G106="","合      計","")</f>
        <v>合      計</v>
      </c>
      <c r="E106" s="29" t="s">
        <v>4499</v>
      </c>
      <c r="F106" s="29"/>
      <c r="G106" s="49"/>
      <c r="H106" s="365"/>
      <c r="I106" s="366" t="str">
        <f>IF($G106="",IF(SUM(I84:I105)=0,"",SUM(I84:I105)),IF(I79="","",SUM(I84:I105)+I79))</f>
        <v/>
      </c>
      <c r="J106" s="370"/>
      <c r="K106" s="366" t="str">
        <f>IF(G106="",IF(SUM(K84:K105)=0,"",SUM(K84:K105)),IF(K79="","",SUM(K84:K105)+K79))</f>
        <v/>
      </c>
      <c r="L106" s="370"/>
      <c r="M106" s="374" t="str">
        <f>IF(G106="",IF(SUM(M84:M105)=0,"",SUM(M84:M105)),IF(M79="","",SUM(M84:M105)+M79))</f>
        <v/>
      </c>
      <c r="N106" s="378" t="s">
        <v>4500</v>
      </c>
      <c r="O106" s="379">
        <f>IF(G133="",MIN(I106,K106,M106),"")</f>
        <v>0</v>
      </c>
    </row>
    <row r="107" spans="1:19" s="18" customFormat="1" ht="20.100000000000001" customHeight="1">
      <c r="A107" s="22"/>
      <c r="B107" s="22"/>
      <c r="C107" s="22"/>
      <c r="G107" s="22"/>
      <c r="H107" s="30"/>
      <c r="I107" s="30"/>
      <c r="J107" s="30"/>
      <c r="K107" s="30"/>
      <c r="L107" s="30"/>
      <c r="M107" s="30"/>
      <c r="N107" s="18" t="str">
        <f>IF(B109="","EOL","")</f>
        <v>EOL</v>
      </c>
      <c r="O107" s="30">
        <f>+O80+1</f>
        <v>1</v>
      </c>
    </row>
    <row r="110" spans="1:19" s="18" customFormat="1" ht="20.100000000000001" customHeight="1" thickBot="1">
      <c r="A110" s="2909" t="s">
        <v>4878</v>
      </c>
      <c r="B110" s="2909"/>
      <c r="C110" s="2909"/>
      <c r="D110" s="2909"/>
      <c r="E110" s="2909"/>
      <c r="F110" s="2909"/>
      <c r="G110" s="2909"/>
      <c r="H110" s="2909"/>
      <c r="I110" s="2909"/>
      <c r="J110" s="2909"/>
      <c r="K110" s="2909"/>
      <c r="L110" s="2909"/>
      <c r="M110" s="196" t="s">
        <v>4879</v>
      </c>
      <c r="N110" s="2910" t="s">
        <v>4880</v>
      </c>
      <c r="O110" s="2910"/>
      <c r="P110" s="2910"/>
      <c r="Q110" s="197"/>
      <c r="S110" s="1"/>
    </row>
    <row r="111" spans="1:19" s="22" customFormat="1" ht="20.100000000000001" customHeight="1">
      <c r="A111" s="255"/>
      <c r="B111" s="2010"/>
      <c r="C111" s="2010"/>
      <c r="D111" s="2899" t="s">
        <v>4881</v>
      </c>
      <c r="E111" s="2899"/>
      <c r="F111" s="2899"/>
      <c r="G111" s="2900"/>
      <c r="H111" s="2007" t="s">
        <v>4882</v>
      </c>
      <c r="I111" s="2008" t="s">
        <v>4883</v>
      </c>
      <c r="J111" s="2901" t="s">
        <v>4884</v>
      </c>
      <c r="K111" s="2902"/>
      <c r="L111" s="2902"/>
      <c r="M111" s="2902"/>
      <c r="N111" s="2902"/>
      <c r="O111" s="2902"/>
      <c r="P111" s="2902"/>
      <c r="Q111" s="2903"/>
    </row>
    <row r="112" spans="1:19" s="22" customFormat="1" ht="20.100000000000001" customHeight="1" thickBot="1">
      <c r="A112" s="2509"/>
      <c r="B112" s="2510"/>
      <c r="C112" s="2510"/>
      <c r="D112" s="2511"/>
      <c r="E112" s="256" t="s">
        <v>4885</v>
      </c>
      <c r="F112" s="2904">
        <v>1</v>
      </c>
      <c r="G112" s="2905"/>
      <c r="H112" s="257"/>
      <c r="I112" s="257"/>
      <c r="J112" s="2906" t="s">
        <v>4886</v>
      </c>
      <c r="K112" s="2907"/>
      <c r="L112" s="2907"/>
      <c r="M112" s="2907"/>
      <c r="N112" s="2907"/>
      <c r="O112" s="2907"/>
      <c r="P112" s="2907"/>
      <c r="Q112" s="2908"/>
    </row>
    <row r="113" spans="1:17" s="18" customFormat="1" ht="20.100000000000001" customHeight="1">
      <c r="A113" s="258" t="s">
        <v>4887</v>
      </c>
      <c r="B113" s="259" t="s">
        <v>4888</v>
      </c>
      <c r="C113" s="260" t="s">
        <v>4889</v>
      </c>
      <c r="D113" s="261"/>
      <c r="E113" s="262"/>
      <c r="F113" s="262"/>
      <c r="G113" s="263"/>
      <c r="H113" s="2007" t="s">
        <v>4890</v>
      </c>
      <c r="I113" s="2008" t="s">
        <v>4891</v>
      </c>
      <c r="J113" s="199" t="s">
        <v>4471</v>
      </c>
      <c r="K113" s="198" t="s">
        <v>4472</v>
      </c>
      <c r="L113" s="264"/>
      <c r="M113" s="265"/>
      <c r="N113" s="266"/>
      <c r="O113" s="267"/>
      <c r="P113" s="2008" t="s">
        <v>4892</v>
      </c>
      <c r="Q113" s="268">
        <f>IF(I112=0,0,H112/I112*F112)</f>
        <v>0</v>
      </c>
    </row>
    <row r="114" spans="1:17" s="18" customFormat="1" ht="20.100000000000001" customHeight="1" thickBot="1">
      <c r="A114" s="200" t="s">
        <v>4893</v>
      </c>
      <c r="B114" s="201" t="s">
        <v>4477</v>
      </c>
      <c r="C114" s="202" t="s">
        <v>4477</v>
      </c>
      <c r="D114" s="203" t="s">
        <v>4478</v>
      </c>
      <c r="E114" s="204" t="s">
        <v>4479</v>
      </c>
      <c r="F114" s="269" t="s">
        <v>4327</v>
      </c>
      <c r="G114" s="270" t="s">
        <v>4480</v>
      </c>
      <c r="H114" s="205" t="s">
        <v>4894</v>
      </c>
      <c r="I114" s="206" t="s">
        <v>4481</v>
      </c>
      <c r="J114" s="207" t="s">
        <v>4477</v>
      </c>
      <c r="K114" s="201" t="s">
        <v>4477</v>
      </c>
      <c r="L114" s="208" t="s">
        <v>4478</v>
      </c>
      <c r="M114" s="204" t="s">
        <v>4479</v>
      </c>
      <c r="N114" s="269" t="s">
        <v>4327</v>
      </c>
      <c r="O114" s="270" t="s">
        <v>4480</v>
      </c>
      <c r="P114" s="206" t="s">
        <v>4481</v>
      </c>
      <c r="Q114" s="209" t="s">
        <v>4484</v>
      </c>
    </row>
    <row r="115" spans="1:17" s="18" customFormat="1" ht="20.100000000000001" customHeight="1">
      <c r="A115" s="210"/>
      <c r="B115" s="211"/>
      <c r="C115" s="212"/>
      <c r="D115" s="213"/>
      <c r="E115" s="214"/>
      <c r="F115" s="215"/>
      <c r="G115" s="216"/>
      <c r="H115" s="271"/>
      <c r="I115" s="217"/>
      <c r="J115" s="218"/>
      <c r="K115" s="212"/>
      <c r="L115" s="213"/>
      <c r="M115" s="214"/>
      <c r="N115" s="215"/>
      <c r="O115" s="216"/>
      <c r="P115" s="217"/>
      <c r="Q115" s="219" t="str">
        <f>IF(P115="","",IF(I115&lt;&gt;"",IF((P115/I115*H115)&lt;10,INT(P115/I115*H115),IF((P115/I115*H115)&lt;10000,ROUNDDOWN(P115/I115*H115,-1),ROUNDDOWN(P115/I115*H115,-2))),IF((P115*Q113)&lt;10,INT(P115*Q113),IF((P115*Q113)&lt;10000,ROUNDDOWN(P115*Q113,-1),ROUNDDOWN(P115*Q113,-2)))))</f>
        <v/>
      </c>
    </row>
    <row r="116" spans="1:17" s="18" customFormat="1" ht="20.100000000000001" customHeight="1">
      <c r="A116" s="220"/>
      <c r="B116" s="221"/>
      <c r="C116" s="222"/>
      <c r="D116" s="223"/>
      <c r="E116" s="224"/>
      <c r="F116" s="225"/>
      <c r="G116" s="226"/>
      <c r="H116" s="272"/>
      <c r="I116" s="227"/>
      <c r="J116" s="228"/>
      <c r="K116" s="222"/>
      <c r="L116" s="223"/>
      <c r="M116" s="224"/>
      <c r="N116" s="225"/>
      <c r="O116" s="226"/>
      <c r="P116" s="227"/>
      <c r="Q116" s="229" t="str">
        <f>IF(P116="","",IF(I116&lt;&gt;"",IF((P116/I116*H116)&lt;10,INT(P116/I116*H116),IF((P116/I116*H116)&lt;10000,ROUNDDOWN(P116/I116*H116,-1),ROUNDDOWN(P116/I116*H116,-2))),IF((P116*Q113)&lt;10,INT(P116*Q113),IF((P116*Q113)&lt;10000,ROUNDDOWN(P116*Q113,-1),ROUNDDOWN(P116*Q113,-2)))))</f>
        <v/>
      </c>
    </row>
    <row r="117" spans="1:17" s="18" customFormat="1" ht="20.100000000000001" customHeight="1">
      <c r="A117" s="220"/>
      <c r="B117" s="221"/>
      <c r="C117" s="222"/>
      <c r="D117" s="223"/>
      <c r="E117" s="224"/>
      <c r="F117" s="225"/>
      <c r="G117" s="226"/>
      <c r="H117" s="272"/>
      <c r="I117" s="227"/>
      <c r="J117" s="228"/>
      <c r="K117" s="222"/>
      <c r="L117" s="223"/>
      <c r="M117" s="224"/>
      <c r="N117" s="225"/>
      <c r="O117" s="226"/>
      <c r="P117" s="227"/>
      <c r="Q117" s="229" t="str">
        <f>IF(P117="","",IF(I117&lt;&gt;"",IF((P117/I117*H117)&lt;10,INT(P117/I117*H117),IF((P117/I117*H117)&lt;10000,ROUNDDOWN(P117/I117*H117,-1),ROUNDDOWN(P117/I117*H117,-2))),IF((P117*Q113)&lt;10,INT(P117*Q113),IF((P117*Q113)&lt;10000,ROUNDDOWN(P117*Q113,-1),ROUNDDOWN(P117*Q113,-2)))))</f>
        <v/>
      </c>
    </row>
    <row r="118" spans="1:17" s="18" customFormat="1" ht="20.100000000000001" customHeight="1">
      <c r="A118" s="220"/>
      <c r="B118" s="221"/>
      <c r="C118" s="222"/>
      <c r="D118" s="223"/>
      <c r="E118" s="224"/>
      <c r="F118" s="225"/>
      <c r="G118" s="226"/>
      <c r="H118" s="272"/>
      <c r="I118" s="227"/>
      <c r="J118" s="228"/>
      <c r="K118" s="222"/>
      <c r="L118" s="223"/>
      <c r="M118" s="224"/>
      <c r="N118" s="225"/>
      <c r="O118" s="226"/>
      <c r="P118" s="227"/>
      <c r="Q118" s="229" t="str">
        <f>IF(P118="","",IF(I118&lt;&gt;"",IF((P118/I118*H118)&lt;10,INT(P118/I118*H118),IF((P118/I118*H118)&lt;10000,ROUNDDOWN(P118/I118*H118,-1),ROUNDDOWN(P118/I118*H118,-2))),IF((P118*Q113)&lt;10,INT(P118*Q113),IF((P118*Q113)&lt;10000,ROUNDDOWN(P118*Q113,-1),ROUNDDOWN(P118*Q113,-2)))))</f>
        <v/>
      </c>
    </row>
    <row r="119" spans="1:17" s="18" customFormat="1" ht="20.100000000000001" customHeight="1">
      <c r="A119" s="220"/>
      <c r="B119" s="221"/>
      <c r="C119" s="222"/>
      <c r="D119" s="223"/>
      <c r="E119" s="224"/>
      <c r="F119" s="225"/>
      <c r="G119" s="226"/>
      <c r="H119" s="272"/>
      <c r="I119" s="227"/>
      <c r="J119" s="228"/>
      <c r="K119" s="222"/>
      <c r="L119" s="223"/>
      <c r="M119" s="224"/>
      <c r="N119" s="225"/>
      <c r="O119" s="226"/>
      <c r="P119" s="227"/>
      <c r="Q119" s="229" t="str">
        <f>IF(P119="","",IF(I119&lt;&gt;"",IF((P119/I119*H119)&lt;10,INT(P119/I119*H119),IF((P119/I119*H119)&lt;10000,ROUNDDOWN(P119/I119*H119,-1),ROUNDDOWN(P119/I119*H119,-2))),IF((P119*Q113)&lt;10,INT(P119*Q113),IF((P119*Q113)&lt;10000,ROUNDDOWN(P119*Q113,-1),ROUNDDOWN(P119*Q113,-2)))))</f>
        <v/>
      </c>
    </row>
    <row r="120" spans="1:17" s="18" customFormat="1" ht="20.100000000000001" customHeight="1">
      <c r="A120" s="220"/>
      <c r="B120" s="221"/>
      <c r="C120" s="222"/>
      <c r="D120" s="223"/>
      <c r="E120" s="224"/>
      <c r="F120" s="225"/>
      <c r="G120" s="226"/>
      <c r="H120" s="272"/>
      <c r="I120" s="227"/>
      <c r="J120" s="228"/>
      <c r="K120" s="222"/>
      <c r="L120" s="223"/>
      <c r="M120" s="224"/>
      <c r="N120" s="225"/>
      <c r="O120" s="226"/>
      <c r="P120" s="227"/>
      <c r="Q120" s="229" t="str">
        <f>IF(P120="","",IF(I120&lt;&gt;"",IF((P120/I120*H120)&lt;10,INT(P120/I120*H120),IF((P120/I120*H120)&lt;10000,ROUNDDOWN(P120/I120*H120,-1),ROUNDDOWN(P120/I120*H120,-2))),IF((P120*Q113)&lt;10,INT(P120*Q113),IF((P120*Q113)&lt;10000,ROUNDDOWN(P120*Q113,-1),ROUNDDOWN(P120*Q113,-2)))))</f>
        <v/>
      </c>
    </row>
    <row r="121" spans="1:17" s="18" customFormat="1" ht="20.100000000000001" customHeight="1">
      <c r="A121" s="220"/>
      <c r="B121" s="221"/>
      <c r="C121" s="222"/>
      <c r="D121" s="223"/>
      <c r="E121" s="224"/>
      <c r="F121" s="225"/>
      <c r="G121" s="226"/>
      <c r="H121" s="272"/>
      <c r="I121" s="227"/>
      <c r="J121" s="228"/>
      <c r="K121" s="222"/>
      <c r="L121" s="223"/>
      <c r="M121" s="224"/>
      <c r="N121" s="225"/>
      <c r="O121" s="226"/>
      <c r="P121" s="227"/>
      <c r="Q121" s="229" t="str">
        <f>IF(P121="","",IF(I121&lt;&gt;"",IF((P121/I121*H121)&lt;10,INT(P121/I121*H121),IF((P121/I121*H121)&lt;10000,ROUNDDOWN(P121/I121*H121,-1),ROUNDDOWN(P121/I121*H121,-2))),IF((P121*Q113)&lt;10,INT(P121*Q113),IF((P121*Q113)&lt;10000,ROUNDDOWN(P121*Q113,-1),ROUNDDOWN(P121*Q113,-2)))))</f>
        <v/>
      </c>
    </row>
    <row r="122" spans="1:17" s="18" customFormat="1" ht="20.100000000000001" customHeight="1">
      <c r="A122" s="220"/>
      <c r="B122" s="221"/>
      <c r="C122" s="222"/>
      <c r="D122" s="223"/>
      <c r="E122" s="224"/>
      <c r="F122" s="225"/>
      <c r="G122" s="226"/>
      <c r="H122" s="272"/>
      <c r="I122" s="227"/>
      <c r="J122" s="228"/>
      <c r="K122" s="222"/>
      <c r="L122" s="223"/>
      <c r="M122" s="224"/>
      <c r="N122" s="225"/>
      <c r="O122" s="226"/>
      <c r="P122" s="227"/>
      <c r="Q122" s="229" t="str">
        <f>IF(P122="","",IF(I122&lt;&gt;"",IF((P122/I122*H122)&lt;10,INT(P122/I122*H122),IF((P122/I122*H122)&lt;10000,ROUNDDOWN(P122/I122*H122,-1),ROUNDDOWN(P122/I122*H122,-2))),IF((P122*Q113)&lt;10,INT(P122*Q113),IF((P122*Q113)&lt;10000,ROUNDDOWN(P122*Q113,-1),ROUNDDOWN(P122*Q113,-2)))))</f>
        <v/>
      </c>
    </row>
    <row r="123" spans="1:17" s="18" customFormat="1" ht="20.100000000000001" customHeight="1">
      <c r="A123" s="220"/>
      <c r="B123" s="221"/>
      <c r="C123" s="222"/>
      <c r="D123" s="223"/>
      <c r="E123" s="224"/>
      <c r="F123" s="225"/>
      <c r="G123" s="226"/>
      <c r="H123" s="272"/>
      <c r="I123" s="227"/>
      <c r="J123" s="228"/>
      <c r="K123" s="222"/>
      <c r="L123" s="223"/>
      <c r="M123" s="224"/>
      <c r="N123" s="225"/>
      <c r="O123" s="226"/>
      <c r="P123" s="227"/>
      <c r="Q123" s="229" t="str">
        <f>IF(P123="","",IF(I123&lt;&gt;"",IF((P123/I123*H123)&lt;10,INT(P123/I123*H123),IF((P123/I123*H123)&lt;10000,ROUNDDOWN(P123/I123*H123,-1),ROUNDDOWN(P123/I123*H123,-2))),IF((P123*Q113)&lt;10,INT(P123*Q113),IF((P123*Q113)&lt;10000,ROUNDDOWN(P123*Q113,-1),ROUNDDOWN(P123*Q113,-2)))))</f>
        <v/>
      </c>
    </row>
    <row r="124" spans="1:17" s="18" customFormat="1" ht="20.100000000000001" customHeight="1">
      <c r="A124" s="220"/>
      <c r="B124" s="221"/>
      <c r="C124" s="222"/>
      <c r="D124" s="223"/>
      <c r="E124" s="224"/>
      <c r="F124" s="225"/>
      <c r="G124" s="226"/>
      <c r="H124" s="272"/>
      <c r="I124" s="227"/>
      <c r="J124" s="228"/>
      <c r="K124" s="222"/>
      <c r="L124" s="223"/>
      <c r="M124" s="224"/>
      <c r="N124" s="225"/>
      <c r="O124" s="226"/>
      <c r="P124" s="227"/>
      <c r="Q124" s="229" t="str">
        <f>IF(P124="","",IF(I124&lt;&gt;"",IF((P124/I124*H124)&lt;10,INT(P124/I124*H124),IF((P124/I124*H124)&lt;10000,ROUNDDOWN(P124/I124*H124,-1),ROUNDDOWN(P124/I124*H124,-2))),IF((P124*Q113)&lt;10,INT(P124*Q113),IF((P124*Q113)&lt;10000,ROUNDDOWN(P124*Q113,-1),ROUNDDOWN(P124*Q113,-2)))))</f>
        <v/>
      </c>
    </row>
    <row r="125" spans="1:17" s="18" customFormat="1" ht="20.100000000000001" customHeight="1">
      <c r="A125" s="220"/>
      <c r="B125" s="221"/>
      <c r="C125" s="222"/>
      <c r="D125" s="223"/>
      <c r="E125" s="224"/>
      <c r="F125" s="225"/>
      <c r="G125" s="226"/>
      <c r="H125" s="272"/>
      <c r="I125" s="227"/>
      <c r="J125" s="228"/>
      <c r="K125" s="222"/>
      <c r="L125" s="223"/>
      <c r="M125" s="224"/>
      <c r="N125" s="225"/>
      <c r="O125" s="226"/>
      <c r="P125" s="227"/>
      <c r="Q125" s="229" t="str">
        <f>IF(P125="","",IF(I125&lt;&gt;"",IF((P125/I125*H125)&lt;10,INT(P125/I125*H125),IF((P125/I125*H125)&lt;10000,ROUNDDOWN(P125/I125*H125,-1),ROUNDDOWN(P125/I125*H125,-2))),IF((P125*Q113)&lt;10,INT(P125*Q113),IF((P125*Q113)&lt;10000,ROUNDDOWN(P125*Q113,-1),ROUNDDOWN(P125*Q113,-2)))))</f>
        <v/>
      </c>
    </row>
    <row r="126" spans="1:17" s="18" customFormat="1" ht="20.100000000000001" customHeight="1">
      <c r="A126" s="220"/>
      <c r="B126" s="221"/>
      <c r="C126" s="222"/>
      <c r="D126" s="223"/>
      <c r="E126" s="224"/>
      <c r="F126" s="225"/>
      <c r="G126" s="226"/>
      <c r="H126" s="272"/>
      <c r="I126" s="227"/>
      <c r="J126" s="228"/>
      <c r="K126" s="222"/>
      <c r="L126" s="223"/>
      <c r="M126" s="224"/>
      <c r="N126" s="225"/>
      <c r="O126" s="226"/>
      <c r="P126" s="227"/>
      <c r="Q126" s="229" t="str">
        <f>IF(P126="","",IF(I126&lt;&gt;"",IF((P126/I126*H126)&lt;10,INT(P126/I126*H126),IF((P126/I126*H126)&lt;10000,ROUNDDOWN(P126/I126*H126,-1),ROUNDDOWN(P126/I126*H126,-2))),IF((P126*Q113)&lt;10,INT(P126*Q113),IF((P126*Q113)&lt;10000,ROUNDDOWN(P126*Q113,-1),ROUNDDOWN(P126*Q113,-2)))))</f>
        <v/>
      </c>
    </row>
    <row r="127" spans="1:17" s="18" customFormat="1" ht="20.100000000000001" customHeight="1">
      <c r="A127" s="220"/>
      <c r="B127" s="221"/>
      <c r="C127" s="222"/>
      <c r="D127" s="223"/>
      <c r="E127" s="224"/>
      <c r="F127" s="225"/>
      <c r="G127" s="226"/>
      <c r="H127" s="272"/>
      <c r="I127" s="227"/>
      <c r="J127" s="228"/>
      <c r="K127" s="222"/>
      <c r="L127" s="223"/>
      <c r="M127" s="224"/>
      <c r="N127" s="225"/>
      <c r="O127" s="226"/>
      <c r="P127" s="227"/>
      <c r="Q127" s="229" t="str">
        <f>IF(P127="","",IF(I127&lt;&gt;"",IF((P127/I127*H127)&lt;10,INT(P127/I127*H127),IF((P127/I127*H127)&lt;10000,ROUNDDOWN(P127/I127*H127,-1),ROUNDDOWN(P127/I127*H127,-2))),IF((P127*Q113)&lt;10,INT(P127*Q113),IF((P127*Q113)&lt;10000,ROUNDDOWN(P127*Q113,-1),ROUNDDOWN(P127*Q113,-2)))))</f>
        <v/>
      </c>
    </row>
    <row r="128" spans="1:17" s="18" customFormat="1" ht="20.100000000000001" customHeight="1">
      <c r="A128" s="220"/>
      <c r="B128" s="221"/>
      <c r="C128" s="222"/>
      <c r="D128" s="223"/>
      <c r="E128" s="224"/>
      <c r="F128" s="225"/>
      <c r="G128" s="226"/>
      <c r="H128" s="272"/>
      <c r="I128" s="227"/>
      <c r="J128" s="228"/>
      <c r="K128" s="222"/>
      <c r="L128" s="223"/>
      <c r="M128" s="224"/>
      <c r="N128" s="225"/>
      <c r="O128" s="226"/>
      <c r="P128" s="227"/>
      <c r="Q128" s="229" t="str">
        <f>IF(P128="","",IF(I128&lt;&gt;"",IF((P128/I128*H128)&lt;10,INT(P128/I128*H128),IF((P128/I128*H128)&lt;10000,ROUNDDOWN(P128/I128*H128,-1),ROUNDDOWN(P128/I128*H128,-2))),IF((P128*Q113)&lt;10,INT(P128*Q113),IF((P128*Q113)&lt;10000,ROUNDDOWN(P128*Q113,-1),ROUNDDOWN(P128*Q113,-2)))))</f>
        <v/>
      </c>
    </row>
    <row r="129" spans="1:17" s="18" customFormat="1" ht="20.100000000000001" customHeight="1">
      <c r="A129" s="220"/>
      <c r="B129" s="221"/>
      <c r="C129" s="222"/>
      <c r="D129" s="223"/>
      <c r="E129" s="224"/>
      <c r="F129" s="225"/>
      <c r="G129" s="226"/>
      <c r="H129" s="272"/>
      <c r="I129" s="227"/>
      <c r="J129" s="228"/>
      <c r="K129" s="222"/>
      <c r="L129" s="223"/>
      <c r="M129" s="224"/>
      <c r="N129" s="225"/>
      <c r="O129" s="226"/>
      <c r="P129" s="227"/>
      <c r="Q129" s="229" t="str">
        <f>IF(P129="","",IF(I129&lt;&gt;"",IF((P129/I129*H129)&lt;10,INT(P129/I129*H129),IF((P129/I129*H129)&lt;10000,ROUNDDOWN(P129/I129*H129,-1),ROUNDDOWN(P129/I129*H129,-2))),IF((P129*Q113)&lt;10,INT(P129*Q113),IF((P129*Q113)&lt;10000,ROUNDDOWN(P129*Q113,-1),ROUNDDOWN(P129*Q113,-2)))))</f>
        <v/>
      </c>
    </row>
    <row r="130" spans="1:17" s="18" customFormat="1" ht="20.100000000000001" customHeight="1">
      <c r="A130" s="220"/>
      <c r="B130" s="221"/>
      <c r="C130" s="222"/>
      <c r="D130" s="223"/>
      <c r="E130" s="224"/>
      <c r="F130" s="225"/>
      <c r="G130" s="226"/>
      <c r="H130" s="272"/>
      <c r="I130" s="227"/>
      <c r="J130" s="228"/>
      <c r="K130" s="222"/>
      <c r="L130" s="223"/>
      <c r="M130" s="224"/>
      <c r="N130" s="225"/>
      <c r="O130" s="226"/>
      <c r="P130" s="227"/>
      <c r="Q130" s="229" t="str">
        <f>IF(P130="","",IF(I130&lt;&gt;"",IF((P130/I130*H130)&lt;10,INT(P130/I130*H130),IF((P130/I130*H130)&lt;10000,ROUNDDOWN(P130/I130*H130,-1),ROUNDDOWN(P130/I130*H130,-2))),IF((P130*Q113)&lt;10,INT(P130*Q113),IF((P130*Q113)&lt;10000,ROUNDDOWN(P130*Q113,-1),ROUNDDOWN(P130*Q113,-2)))))</f>
        <v/>
      </c>
    </row>
    <row r="131" spans="1:17" s="18" customFormat="1" ht="20.100000000000001" customHeight="1">
      <c r="A131" s="220"/>
      <c r="B131" s="221"/>
      <c r="C131" s="222"/>
      <c r="D131" s="223"/>
      <c r="E131" s="224"/>
      <c r="F131" s="225"/>
      <c r="G131" s="226"/>
      <c r="H131" s="272"/>
      <c r="I131" s="227"/>
      <c r="J131" s="228"/>
      <c r="K131" s="222"/>
      <c r="L131" s="223"/>
      <c r="M131" s="224"/>
      <c r="N131" s="225"/>
      <c r="O131" s="226"/>
      <c r="P131" s="227"/>
      <c r="Q131" s="229" t="str">
        <f>IF(P131="","",IF(I131&lt;&gt;"",IF((P131/I131*H131)&lt;10,INT(P131/I131*H131),IF((P131/I131*H131)&lt;10000,ROUNDDOWN(P131/I131*H131,-1),ROUNDDOWN(P131/I131*H131,-2))),IF((P131*Q113)&lt;10,INT(P131*Q113),IF((P131*Q113)&lt;10000,ROUNDDOWN(P131*Q113,-1),ROUNDDOWN(P131*Q113,-2)))))</f>
        <v/>
      </c>
    </row>
    <row r="132" spans="1:17" s="18" customFormat="1" ht="20.100000000000001" customHeight="1">
      <c r="A132" s="220"/>
      <c r="B132" s="221"/>
      <c r="C132" s="222"/>
      <c r="D132" s="223"/>
      <c r="E132" s="224"/>
      <c r="F132" s="225"/>
      <c r="G132" s="226"/>
      <c r="H132" s="272"/>
      <c r="I132" s="227"/>
      <c r="J132" s="228"/>
      <c r="K132" s="222"/>
      <c r="L132" s="223"/>
      <c r="M132" s="224"/>
      <c r="N132" s="225"/>
      <c r="O132" s="226"/>
      <c r="P132" s="227"/>
      <c r="Q132" s="229" t="str">
        <f>IF(P132="","",IF(I132&lt;&gt;"",IF((P132/I132*H132)&lt;10,INT(P132/I132*H132),IF((P132/I132*H132)&lt;10000,ROUNDDOWN(P132/I132*H132,-1),ROUNDDOWN(P132/I132*H132,-2))),IF((P132*Q113)&lt;10,INT(P132*Q113),IF((P132*Q113)&lt;10000,ROUNDDOWN(P132*Q113,-1),ROUNDDOWN(P132*Q113,-2)))))</f>
        <v/>
      </c>
    </row>
    <row r="133" spans="1:17" s="18" customFormat="1" ht="20.100000000000001" customHeight="1">
      <c r="A133" s="220"/>
      <c r="B133" s="221"/>
      <c r="C133" s="222"/>
      <c r="D133" s="223"/>
      <c r="E133" s="224"/>
      <c r="F133" s="225"/>
      <c r="G133" s="226"/>
      <c r="H133" s="272"/>
      <c r="I133" s="227"/>
      <c r="J133" s="228"/>
      <c r="K133" s="222"/>
      <c r="L133" s="223"/>
      <c r="M133" s="224"/>
      <c r="N133" s="225"/>
      <c r="O133" s="226"/>
      <c r="P133" s="227"/>
      <c r="Q133" s="229" t="str">
        <f>IF(P133="","",IF(I133&lt;&gt;"",IF((P133/I133*H133)&lt;10,INT(P133/I133*H133),IF((P133/I133*H133)&lt;10000,ROUNDDOWN(P133/I133*H133,-1),ROUNDDOWN(P133/I133*H133,-2))),IF((P133*Q113)&lt;10,INT(P133*Q113),IF((P133*Q113)&lt;10000,ROUNDDOWN(P133*Q113,-1),ROUNDDOWN(P133*Q113,-2)))))</f>
        <v/>
      </c>
    </row>
    <row r="134" spans="1:17" s="18" customFormat="1" ht="20.100000000000001" customHeight="1">
      <c r="A134" s="220"/>
      <c r="B134" s="221"/>
      <c r="C134" s="222"/>
      <c r="D134" s="223"/>
      <c r="E134" s="224"/>
      <c r="F134" s="225"/>
      <c r="G134" s="226"/>
      <c r="H134" s="272"/>
      <c r="I134" s="227"/>
      <c r="J134" s="228"/>
      <c r="K134" s="222"/>
      <c r="L134" s="223"/>
      <c r="M134" s="224"/>
      <c r="N134" s="225"/>
      <c r="O134" s="226"/>
      <c r="P134" s="227"/>
      <c r="Q134" s="229" t="str">
        <f>IF(P134="","",IF(I134&lt;&gt;"",IF((P134/I134*H134)&lt;10,INT(P134/I134*H134),IF((P134/I134*H134)&lt;10000,ROUNDDOWN(P134/I134*H134,-1),ROUNDDOWN(P134/I134*H134,-2))),IF((P134*Q113)&lt;10,INT(P134*Q113),IF((P134*Q113)&lt;10000,ROUNDDOWN(P134*Q113,-1),ROUNDDOWN(P134*Q113,-2)))))</f>
        <v/>
      </c>
    </row>
    <row r="135" spans="1:17" s="18" customFormat="1" ht="20.100000000000001" customHeight="1" thickBot="1">
      <c r="A135" s="230"/>
      <c r="B135" s="231"/>
      <c r="C135" s="232"/>
      <c r="D135" s="233"/>
      <c r="E135" s="234"/>
      <c r="F135" s="235"/>
      <c r="G135" s="236"/>
      <c r="H135" s="273"/>
      <c r="I135" s="237"/>
      <c r="J135" s="238"/>
      <c r="K135" s="232"/>
      <c r="L135" s="233"/>
      <c r="M135" s="234"/>
      <c r="N135" s="235"/>
      <c r="O135" s="236"/>
      <c r="P135" s="237"/>
      <c r="Q135" s="239" t="str">
        <f>IF(P135="","",IF(I135&lt;&gt;"",IF((P135/I135*H135)&lt;10,INT(P135/I135*H135),IF((P135/I135*H135)&lt;10000,ROUNDDOWN(P135/I135*H135,-1),ROUNDDOWN(P135/I135*H135,-2))),IF((P135*Q113)&lt;10,INT(P135*Q113),IF((P135*Q113)&lt;10000,ROUNDDOWN(P135*Q113,-1),ROUNDDOWN(P135*Q113,-2)))))</f>
        <v/>
      </c>
    </row>
    <row r="136" spans="1:17" s="18" customFormat="1" ht="20.100000000000001" customHeight="1">
      <c r="A136" s="22"/>
      <c r="B136" s="22"/>
      <c r="C136" s="22"/>
      <c r="G136" s="22"/>
      <c r="H136" s="30"/>
      <c r="I136" s="30"/>
      <c r="J136" s="22"/>
      <c r="K136" s="22"/>
      <c r="N136" s="18" t="str">
        <f>IF(A140="","EOL","")</f>
        <v>EOL</v>
      </c>
      <c r="O136" s="30">
        <f>+O109+1</f>
        <v>1</v>
      </c>
      <c r="Q136" s="30"/>
    </row>
  </sheetData>
  <mergeCells count="15">
    <mergeCell ref="J52:L52"/>
    <mergeCell ref="C50:L50"/>
    <mergeCell ref="A81:M81"/>
    <mergeCell ref="J51:L51"/>
    <mergeCell ref="O50:AH50"/>
    <mergeCell ref="D111:G111"/>
    <mergeCell ref="J111:Q111"/>
    <mergeCell ref="F112:G112"/>
    <mergeCell ref="J112:Q112"/>
    <mergeCell ref="N82:O82"/>
    <mergeCell ref="L82:M82"/>
    <mergeCell ref="H82:I82"/>
    <mergeCell ref="J82:K82"/>
    <mergeCell ref="A110:L110"/>
    <mergeCell ref="N110:P110"/>
  </mergeCells>
  <phoneticPr fontId="2"/>
  <dataValidations count="45">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今回変更業者の調整前合計金額を記入。" sqref="I112" xr:uid="{00000000-0002-0000-1D00-000000000000}">
      <formula1>IF(SUM(H115:I135)&gt;0,I112=0,TRUE)</formula1>
    </dataValidation>
    <dataValidation type="custom" allowBlank="1" showInputMessage="1" showErrorMessage="1" errorTitle="各項目での比較時のみ記入" error="採用業者全体金額が記入されています。_x000a_どちらかしか記入できません。" sqref="I135" xr:uid="{00000000-0002-0000-1D00-000001000000}">
      <formula1>IF(SUM(H112:I112)&gt;0,I135=0,TRUE)</formula1>
    </dataValidation>
    <dataValidation type="custom" allowBlank="1" showInputMessage="1" showErrorMessage="1" errorTitle="各項目での比較時のみ記入" error="採用業者全体金額が記入されています。_x000a_どちらかしか記入できません。" sqref="H135" xr:uid="{00000000-0002-0000-1D00-000002000000}">
      <formula1>IF(SUM(H112:I112)&gt;0,H135=0,TRUE)</formula1>
    </dataValidation>
    <dataValidation type="custom" allowBlank="1" showInputMessage="1" showErrorMessage="1" errorTitle="各項目での比較時のみ記入" error="採用業者全体金額が記入されています。_x000a_どちらかしか記入できません。" sqref="I134" xr:uid="{00000000-0002-0000-1D00-000003000000}">
      <formula1>IF(SUM(H112:I112)&gt;0,I134=0,TRUE)</formula1>
    </dataValidation>
    <dataValidation type="custom" allowBlank="1" showInputMessage="1" showErrorMessage="1" errorTitle="各項目での比較時のみ記入" error="採用業者全体金額が記入されています。_x000a_どちらかしか記入できません。" sqref="H134" xr:uid="{00000000-0002-0000-1D00-000004000000}">
      <formula1>IF(SUM(H112:I112)&gt;0,H134=0,TRUE)</formula1>
    </dataValidation>
    <dataValidation type="custom" allowBlank="1" showInputMessage="1" showErrorMessage="1" errorTitle="各項目での比較時のみ記入" error="採用業者全体金額が記入されています。_x000a_どちらかしか記入できません。" sqref="I133" xr:uid="{00000000-0002-0000-1D00-000005000000}">
      <formula1>IF(SUM(H112:I112)&gt;0,I133=0,TRUE)</formula1>
    </dataValidation>
    <dataValidation type="custom" allowBlank="1" showInputMessage="1" showErrorMessage="1" errorTitle="各項目での比較時のみ記入" error="採用業者全体金額が記入されています。_x000a_どちらかしか記入できません。" sqref="H133" xr:uid="{00000000-0002-0000-1D00-000006000000}">
      <formula1>IF(SUM(H112:I112)&gt;0,H133=0,TRUE)</formula1>
    </dataValidation>
    <dataValidation type="custom" allowBlank="1" showInputMessage="1" showErrorMessage="1" errorTitle="各項目での比較時のみ記入" error="採用業者全体金額が記入されています。_x000a_どちらかしか記入できません。" sqref="I132" xr:uid="{00000000-0002-0000-1D00-000007000000}">
      <formula1>IF(SUM(H112:I112)&gt;0,I132=0,TRUE)</formula1>
    </dataValidation>
    <dataValidation type="custom" allowBlank="1" showInputMessage="1" showErrorMessage="1" errorTitle="各項目での比較時のみ記入" error="採用業者全体金額が記入されています。_x000a_どちらかしか記入できません。" sqref="H132" xr:uid="{00000000-0002-0000-1D00-000008000000}">
      <formula1>IF(SUM(H112:I112)&gt;0,H132=0,TRUE)</formula1>
    </dataValidation>
    <dataValidation type="custom" allowBlank="1" showInputMessage="1" showErrorMessage="1" errorTitle="各項目での比較時のみ記入" error="採用業者全体金額が⻰ᰠ_x0000__x0000_u_x0000__x0016__x0010__x0000__x0000_㿿_x0000_￩_xffff__x0000__x0000_記入できません。" sqref="I131" xr:uid="{00000000-0002-0000-1D00-000009000000}">
      <formula1>IF(SUM(H112:I112)&gt;0,I131=0,TRUE)</formula1>
    </dataValidation>
    <dataValidation type="custom" allowBlank="1" showInputMessage="1" showErrorMessage="1" errorTitle="各項目での比較時のみ記入" error="採用業者全体金額が記入されています。_x000a_どちらかしか記入できません。" sqref="H131" xr:uid="{00000000-0002-0000-1D00-00000A000000}">
      <formula1>IF(SUM(H112:I112)&gt;0,H131=0,TRUE)</formula1>
    </dataValidation>
    <dataValidation type="custom" allowBlank="1" showInputMessage="1" showErrorMessage="1" errorTitle="各項目での比較時のみ記入" error="採用業者全体金額が記入されています。_x000a_どちらかしか記入できません。" sqref="I130" xr:uid="{00000000-0002-0000-1D00-00000B000000}">
      <formula1>IF(SUM(H112:I112)&gt;0,I130=0,TRUE)</formula1>
    </dataValidation>
    <dataValidation type="custom" allowBlank="1" showInputMessage="1" showErrorMessage="1" errorTitle="各項目での比較時のみ記入" error="採用業者全体金額が記入されています。_x000a_どちらかしか記入できません。" sqref="H130" xr:uid="{00000000-0002-0000-1D00-00000C000000}">
      <formula1>IF(SUM(H112:I112)&gt;0,H130=0,TRUE)</formula1>
    </dataValidation>
    <dataValidation type="custom" allowBlank="1" showInputMessage="1" showErrorMessage="1" errorTitle="各項目での比較時のみ記入" error="採用業者全体金額が記入されています。_x000a_どちらかしか記入できません。" sqref="I129" xr:uid="{00000000-0002-0000-1D00-00000D000000}">
      <formula1>IF(SUM(H112:I112)&gt;0,I129=0,TRUE)</formula1>
    </dataValidation>
    <dataValidation type="custom" allowBlank="1" showInputMessage="1" showErrorMessage="1" errorTitle="各項目での比較時のみ記入" error="採用業者全体金額が記入されています。_x000a_どちらかしか記入できません。" sqref="H129" xr:uid="{00000000-0002-0000-1D00-00000E000000}">
      <formula1>IF(SUM(H112:I112)&gt;0,H129=0,TRUE)</formula1>
    </dataValidation>
    <dataValidation type="custom" allowBlank="1" showInputMessage="1" showErrorMessage="1" errorTitle="各項目での比較時のみ記入" error="採用業者全体金額が記入されています。_x000a_どちらかしか記入できません。" sqref="I128" xr:uid="{00000000-0002-0000-1D00-00000F000000}">
      <formula1>IF(SUM(H112:I112)&gt;0,I128=0,TRUE)</formula1>
    </dataValidation>
    <dataValidation type="custom" allowBlank="1" showInputMessage="1" showErrorMessage="1" errorTitle="各項目での比較時のみ記入" error="採用業者全体金額が醰ᔃ_x0000__x0000_u_x0000__x0016__x0010__x0000__x0000_㿿_x0000_￩_xffff__x0000__x0000_記入できません。" sqref="H128" xr:uid="{00000000-0002-0000-1D00-000010000000}">
      <formula1>IF(SUM(H112:I112)&gt;0,H128=0,TRUE)</formula1>
    </dataValidation>
    <dataValidation type="custom" allowBlank="1" showInputMessage="1" showErrorMessage="1" errorTitle="各項目での比較時のみ記入" error="採用業者全体金額が記入されています。_x000a_どちらかしか記入できません。" sqref="I127" xr:uid="{00000000-0002-0000-1D00-000011000000}">
      <formula1>IF(SUM(H112:I112)&gt;0,I127=0,TRUE)</formula1>
    </dataValidation>
    <dataValidation type="custom" allowBlank="1" showInputMessage="1" showErrorMessage="1" errorTitle="各項目での比較時のみ記入" error="採用業者全体金額が記入されています。_x000a_どちらかしか記入できません。" sqref="H127" xr:uid="{00000000-0002-0000-1D00-000012000000}">
      <formula1>IF(SUM(H112:I112)&gt;0,H127=0,TRUE)</formula1>
    </dataValidation>
    <dataValidation type="custom" allowBlank="1" showInputMessage="1" showErrorMessage="1" errorTitle="各項目での比較時のみ記入" error="採用業者全体金額が記入されています。_x000a_どちらかしか記入できません。" sqref="I126" xr:uid="{00000000-0002-0000-1D00-000013000000}">
      <formula1>IF(SUM(H112:I112)&gt;0,I126=0,TRUE)</formula1>
    </dataValidation>
    <dataValidation type="custom" allowBlank="1" showInputMessage="1" showErrorMessage="1" errorTitle="各項目での比較時のみ記入" error="採用業者全体金額が記入されています。_x000a_どちらかしか記入できません。" sqref="H126" xr:uid="{00000000-0002-0000-1D00-000014000000}">
      <formula1>IF(SUM(H112:I112)&gt;0,H126=0,TRUE)</formula1>
    </dataValidation>
    <dataValidation type="custom" allowBlank="1" showInputMessage="1" showErrorMessage="1" errorTitle="各項目での比較時のみ記入" error="採用業者全体金額が記入されています。_x000a_どちらかしか記入できません。" sqref="I125" xr:uid="{00000000-0002-0000-1D00-000015000000}">
      <formula1>IF(SUM(H112:I112)&gt;0,I125=0,TRUE)</formula1>
    </dataValidation>
    <dataValidation type="custom" allowBlank="1" showInputMessage="1" showErrorMessage="1" errorTitle="各項目での比較時のみ記入" error="採用業者全体金額が記入されています。_x000a_どちらかしか記入できません。" sqref="H125" xr:uid="{00000000-0002-0000-1D00-000016000000}">
      <formula1>IF(SUM(H112:I112)&gt;0,H125=0,TRUE)</formula1>
    </dataValidation>
    <dataValidation type="custom" allowBlank="1" showInputMessage="1" showErrorMessage="1" errorTitle="各項目での比較時のみ記入" error="採用業者全体金額が記入されています。_x000a_どちらかしか記入できません。" sqref="I124" xr:uid="{00000000-0002-0000-1D00-000017000000}">
      <formula1>IF(SUM(H112:I112)&gt;0,I124=0,TRUE)</formula1>
    </dataValidation>
    <dataValidation type="custom" allowBlank="1" showInputMessage="1" showErrorMessage="1" errorTitle="各項目での比較時のみ記入" error="採用業者全体金額が記入されています。_x000a_どちらかしか記入できません。" sqref="H124" xr:uid="{00000000-0002-0000-1D00-000018000000}">
      <formula1>IF(SUM(H112:I112)&gt;0,H124=0,TRUE)</formula1>
    </dataValidation>
    <dataValidation type="custom" allowBlank="1" showInputMessage="1" showErrorMessage="1" errorTitle="各項目での比較時のみ記入" error="採用業者全体金額が記入されています。_x000a_どちらかしか記入できません。" sqref="I123" xr:uid="{00000000-0002-0000-1D00-000019000000}">
      <formula1>IF(SUM(H112:I112)&gt;0,I123=0,TRUE)</formula1>
    </dataValidation>
    <dataValidation type="custom" allowBlank="1" showInputMessage="1" showErrorMessage="1" errorTitle="各項目での比較時のみ記入" error="採用業者全体金額が記入されています。_x000a_どちらかしか記入できません。" sqref="H123" xr:uid="{00000000-0002-0000-1D00-00001A000000}">
      <formula1>IF(SUM(H112:I112)&gt;0,H123=0,TRUE)</formula1>
    </dataValidation>
    <dataValidation type="custom" allowBlank="1" showInputMessage="1" showErrorMessage="1" errorTitle="各項目での比較時のみ記入" error="採用業者全体金額が記入されています。_x000a_どちらかしか記入できません。" sqref="I122" xr:uid="{00000000-0002-0000-1D00-00001B000000}">
      <formula1>IF(SUM(H112:I112)&gt;0,I122=0,TRUE)</formula1>
    </dataValidation>
    <dataValidation type="custom" allowBlank="1" showInputMessage="1" showErrorMessage="1" errorTitle="各項目での比較時のみ記入" error="採用業者全体金額が記入されています。_x000a_どちらかしか記入できません。" sqref="H122" xr:uid="{00000000-0002-0000-1D00-00001C000000}">
      <formula1>IF(SUM(H112:I112)&gt;0,H122=0,TRUE)</formula1>
    </dataValidation>
    <dataValidation type="custom" allowBlank="1" showInputMessage="1" showErrorMessage="1" errorTitle="各項目での比較時のみ記入" error="採用業者全体金額が記入されています。_x000a_どちらかしか記入できません。" sqref="I121" xr:uid="{00000000-0002-0000-1D00-00001D000000}">
      <formula1>IF(SUM(H112:I112)&gt;0,I121=0,TRUE)</formula1>
    </dataValidation>
    <dataValidation type="custom" allowBlank="1" showInputMessage="1" showErrorMessage="1" errorTitle="各項目での比較時のみ記入" error="採用業者全体金額が記入されています。_x000a_どちらかしか記入できません。" sqref="H121" xr:uid="{00000000-0002-0000-1D00-00001E000000}">
      <formula1>IF(SUM(H112:I112)&gt;0,H121=0,TRUE)</formula1>
    </dataValidation>
    <dataValidation type="custom" allowBlank="1" showInputMessage="1" showErrorMessage="1" errorTitle="各項目での比較時のみ記入" error="採用業者全体金額が記入されています。_x000a_どちらかしか記入できません。" sqref="I120" xr:uid="{00000000-0002-0000-1D00-00001F000000}">
      <formula1>IF(SUM(H112:I112)&gt;0,I120=0,TRUE)</formula1>
    </dataValidation>
    <dataValidation type="custom" allowBlank="1" showInputMessage="1" showErrorMessage="1" errorTitle="各項目での比較時のみ記入" error="採用業者全体金額が記入されています。_x000a_どちらかしか記入できません。" sqref="H120" xr:uid="{00000000-0002-0000-1D00-000020000000}">
      <formula1>IF(SUM(H112:I112)&gt;0,H120=0,TRUE)</formula1>
    </dataValidation>
    <dataValidation type="custom" allowBlank="1" showInputMessage="1" showErrorMessage="1" errorTitle="各項目での比較時のみ記入" error="採用業者全体金額が記入されています。_x000a_どちらかしか記入できません。" sqref="I119" xr:uid="{00000000-0002-0000-1D00-000021000000}">
      <formula1>IF(SUM(H112:I112)&gt;0,I119=0,TRUE)</formula1>
    </dataValidation>
    <dataValidation type="custom" allowBlank="1" showInputMessage="1" showErrorMessage="1" errorTitle="各項目での比較時のみ記入" error="採用業者全体金額が䚐ා_x0000__x0000_^_x0000__x0016__x0010__x0000__x0000_㿿_x0000_￩_xffff__x0000__x0000_記入できません。" sqref="H119" xr:uid="{00000000-0002-0000-1D00-000022000000}">
      <formula1>IF(SUM(H112:I112)&gt;0,H119=0,TRUE)</formula1>
    </dataValidation>
    <dataValidation type="custom" allowBlank="1" showInputMessage="1" showErrorMessage="1" errorTitle="各項目での比較時のみ記入" error="採用業者全体金額が記入されています。_x000a_どちらかしか記入できません。" sqref="I118" xr:uid="{00000000-0002-0000-1D00-000023000000}">
      <formula1>IF(SUM(H112:I112)&gt;0,I118=0,TRUE)</formula1>
    </dataValidation>
    <dataValidation type="custom" allowBlank="1" showInputMessage="1" showErrorMessage="1" errorTitle="各項目での比較時のみ記入" error="採用業者全体金額が記入されています。_x000a_どちらかしか記入できません。" sqref="H118" xr:uid="{00000000-0002-0000-1D00-000024000000}">
      <formula1>IF(SUM(H112:I112)&gt;0,H118=0,TRUE)</formula1>
    </dataValidation>
    <dataValidation type="custom" allowBlank="1" showInputMessage="1" showErrorMessage="1" errorTitle="各項目での比較時のみ記入" error="採用業者全体金額が記入されています。_x000a_どちらかしか記入できません。" sqref="H117" xr:uid="{00000000-0002-0000-1D00-000025000000}">
      <formula1>IF(SUM(H112:I112)&gt;0,H117=0,TRUE)</formula1>
    </dataValidation>
    <dataValidation type="custom" allowBlank="1" showInputMessage="1" showErrorMessage="1" errorTitle="各項目での比較時のみ記入" error="採用業者全体金額が記入されています。_x000a_どちらかしか記入できません。" sqref="I117" xr:uid="{00000000-0002-0000-1D00-000026000000}">
      <formula1>IF(SUM(H112:I112)&gt;0,I117=0,TRUE)</formula1>
    </dataValidation>
    <dataValidation type="custom" allowBlank="1" showInputMessage="1" showErrorMessage="1" errorTitle="各項目での比較時のみ記入" error="採用業者全体金額が記入されています。_x000a_どちらかしか記入できません。" sqref="I116" xr:uid="{00000000-0002-0000-1D00-000027000000}">
      <formula1>IF(SUM(H112:I112)&gt;0,I116=0,TRUE)</formula1>
    </dataValidation>
    <dataValidation type="custom" allowBlank="1" showInputMessage="1" showErrorMessage="1" errorTitle="各項目での比較時のみ記入" error="採用業者全体金額が記入されています。_x000a_どちらかしか記入できません。" sqref="H116" xr:uid="{00000000-0002-0000-1D00-000028000000}">
      <formula1>IF(SUM(H112:I112)&gt;0,H116=0,TRUE)</formula1>
    </dataValidation>
    <dataValidation type="custom" allowBlank="1" showInputMessage="1" showErrorMessage="1" errorTitle="各項目での比較時のみ記入" error="採用業者全体金額が∻_x0000__x0000__x0019__x0000__x0016__x0010__x0000__x0000_㿿_x0000_￩_xffff__x0000__x0000_記入できません。" sqref="I115" xr:uid="{00000000-0002-0000-1D00-000029000000}">
      <formula1>IF(SUM(H112:I112)&gt;0,I115=0,TRUE)</formula1>
    </dataValidation>
    <dataValidation type="custom" allowBlank="1" showInputMessage="1" showErrorMessage="1" errorTitle="各項目での比較時のみ記入" error="採用業者全体金額が記入されています。_x000a_どちらかしか記入できません。" sqref="H115" xr:uid="{00000000-0002-0000-1D00-00002A000000}">
      <formula1>IF(SUM(H112:I112)&gt;0,H115=0,TRUE)</formula1>
    </dataValidation>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採用業者の調整前合計金額を記入。" sqref="H112" xr:uid="{00000000-0002-0000-1D00-00002B000000}">
      <formula1>IF(SUM(H115:I135)&gt;0,H112=0,TRUE)</formula1>
    </dataValidation>
    <dataValidation type="list" allowBlank="1" showInputMessage="1" showErrorMessage="1" prompt="費用/建物附属設備/工具・器具・備品の場合、選択してください。" sqref="N53:N70" xr:uid="{00000000-0002-0000-1D00-00002C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ageMargins left="0.78700000000000003" right="0.78700000000000003" top="0.98399999999999999" bottom="0.98399999999999999" header="0.51200000000000001" footer="0.51200000000000001"/>
  <pageSetup paperSize="9" scale="88" orientation="portrait" horizontalDpi="300" verticalDpi="300" r:id="rId1"/>
  <headerFooter alignWithMargins="0"/>
  <colBreaks count="1" manualBreakCount="1">
    <brk id="11" max="1048575"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
  <dimension ref="A2:AI94"/>
  <sheetViews>
    <sheetView topLeftCell="A67" zoomScale="75" zoomScaleNormal="75" workbookViewId="0">
      <pane xSplit="13" topLeftCell="N1" activePane="topRight" state="frozen"/>
      <selection activeCell="A3" sqref="A3:H3"/>
      <selection pane="topRight" activeCell="J16" sqref="J16:K16"/>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125" style="37" customWidth="1"/>
    <col min="17" max="34" width="5.125" style="1" customWidth="1"/>
    <col min="35" max="35" width="11.625" style="554" customWidth="1"/>
    <col min="36" max="16384" width="6.625" style="1"/>
  </cols>
  <sheetData>
    <row r="2" spans="1:35" ht="26.1" customHeight="1">
      <c r="C2" s="35" t="s">
        <v>4895</v>
      </c>
      <c r="E2" s="34" t="s">
        <v>153</v>
      </c>
      <c r="F2" s="37">
        <v>0</v>
      </c>
      <c r="G2" s="1" t="s">
        <v>154</v>
      </c>
      <c r="H2" s="4">
        <f>表紙!H25</f>
        <v>69</v>
      </c>
      <c r="I2" s="4" t="s">
        <v>155</v>
      </c>
      <c r="J2" s="37">
        <f>VLOOKUP("EOL",$M$25:$N$65536,2,FALSE)</f>
        <v>3</v>
      </c>
    </row>
    <row r="3" spans="1:35" ht="26.1" customHeight="1" thickBot="1">
      <c r="C3" s="2517" t="s">
        <v>107</v>
      </c>
      <c r="D3" s="2517"/>
      <c r="E3" s="2517"/>
      <c r="F3" s="2517"/>
      <c r="G3" s="2517"/>
      <c r="H3" s="2517"/>
      <c r="I3" s="2517"/>
      <c r="J3" s="2517"/>
      <c r="K3" s="2517"/>
      <c r="L3" s="2517"/>
      <c r="O3" s="2730" t="s">
        <v>4098</v>
      </c>
      <c r="P3" s="2730"/>
      <c r="Q3" s="2730"/>
      <c r="R3" s="2730"/>
      <c r="S3" s="2730"/>
      <c r="T3" s="2730"/>
      <c r="U3" s="2730"/>
      <c r="V3" s="2730"/>
      <c r="W3" s="2730"/>
      <c r="X3" s="2730"/>
      <c r="Y3" s="2730"/>
      <c r="Z3" s="2730"/>
      <c r="AA3" s="2730"/>
      <c r="AB3" s="2730"/>
      <c r="AC3" s="2730"/>
      <c r="AD3" s="2730"/>
      <c r="AE3" s="2730"/>
      <c r="AF3" s="2730"/>
      <c r="AG3" s="2730"/>
      <c r="AH3" s="2731"/>
      <c r="AI3" s="555"/>
    </row>
    <row r="4" spans="1:35" ht="42" customHeight="1">
      <c r="A4" s="5" t="s">
        <v>108</v>
      </c>
      <c r="B4" s="5" t="s">
        <v>109</v>
      </c>
      <c r="C4" s="99" t="s">
        <v>110</v>
      </c>
      <c r="D4" s="95"/>
      <c r="E4" s="96" t="s">
        <v>111</v>
      </c>
      <c r="F4" s="97" t="s">
        <v>112</v>
      </c>
      <c r="G4" s="97" t="s">
        <v>113</v>
      </c>
      <c r="H4" s="98" t="s">
        <v>114</v>
      </c>
      <c r="I4" s="98" t="s">
        <v>115</v>
      </c>
      <c r="J4" s="2552" t="s">
        <v>116</v>
      </c>
      <c r="K4" s="2553"/>
      <c r="L4" s="2554"/>
      <c r="O4" s="126" t="s">
        <v>4099</v>
      </c>
      <c r="P4" s="303" t="s">
        <v>4100</v>
      </c>
      <c r="Q4" s="241" t="s">
        <v>4101</v>
      </c>
      <c r="R4" s="241" t="s">
        <v>4102</v>
      </c>
      <c r="S4" s="241" t="s">
        <v>4103</v>
      </c>
      <c r="T4" s="241" t="s">
        <v>4104</v>
      </c>
      <c r="U4" s="241" t="s">
        <v>4105</v>
      </c>
      <c r="V4" s="125" t="s">
        <v>4106</v>
      </c>
      <c r="W4" s="241" t="s">
        <v>4107</v>
      </c>
      <c r="X4" s="180" t="s">
        <v>4108</v>
      </c>
      <c r="Y4" s="180" t="s">
        <v>4109</v>
      </c>
      <c r="Z4" s="180" t="s">
        <v>4110</v>
      </c>
      <c r="AA4" s="180" t="s">
        <v>4111</v>
      </c>
      <c r="AB4" s="180" t="s">
        <v>4112</v>
      </c>
      <c r="AC4" s="306" t="s">
        <v>4113</v>
      </c>
      <c r="AD4" s="307" t="s">
        <v>4114</v>
      </c>
      <c r="AE4" s="308" t="s">
        <v>4115</v>
      </c>
      <c r="AF4" s="124" t="s">
        <v>4116</v>
      </c>
      <c r="AG4" s="124" t="s">
        <v>4117</v>
      </c>
      <c r="AH4" s="124" t="s">
        <v>4118</v>
      </c>
      <c r="AI4" s="556"/>
    </row>
    <row r="5" spans="1:35" ht="24" customHeight="1">
      <c r="A5" s="7"/>
      <c r="B5" s="7"/>
      <c r="C5" s="2347" t="str">
        <f>+C2</f>
        <v>○○工事の部</v>
      </c>
      <c r="D5" s="2348"/>
      <c r="E5" s="632"/>
      <c r="F5" s="1889"/>
      <c r="G5" s="2349"/>
      <c r="H5" s="2061" t="s">
        <v>117</v>
      </c>
      <c r="I5" s="2061" t="s">
        <v>117</v>
      </c>
      <c r="J5" s="2759"/>
      <c r="K5" s="2788"/>
      <c r="L5" s="2734"/>
      <c r="O5" s="186"/>
      <c r="P5" s="187"/>
      <c r="Q5" s="188"/>
      <c r="R5" s="188"/>
      <c r="S5" s="188"/>
      <c r="T5" s="188"/>
      <c r="U5" s="188"/>
      <c r="V5" s="188"/>
      <c r="W5" s="188"/>
      <c r="X5" s="189"/>
      <c r="Y5" s="189"/>
      <c r="Z5" s="189"/>
      <c r="AA5" s="189"/>
      <c r="AB5" s="189"/>
      <c r="AC5" s="188"/>
      <c r="AD5" s="309"/>
      <c r="AE5" s="310"/>
      <c r="AF5" s="188"/>
      <c r="AG5" s="188"/>
      <c r="AH5" s="188"/>
      <c r="AI5" s="557"/>
    </row>
    <row r="6" spans="1:35" s="37" customFormat="1" ht="24" customHeight="1">
      <c r="A6" s="36"/>
      <c r="B6" s="36"/>
      <c r="C6" s="2435" t="s">
        <v>4119</v>
      </c>
      <c r="D6" s="1984"/>
      <c r="E6" s="639"/>
      <c r="F6" s="640"/>
      <c r="G6" s="641"/>
      <c r="H6" s="1883"/>
      <c r="I6" s="1883"/>
      <c r="J6" s="1984"/>
      <c r="K6" s="1984"/>
      <c r="L6" s="2356"/>
      <c r="N6" s="552"/>
      <c r="O6" s="186"/>
      <c r="P6" s="187"/>
      <c r="Q6" s="188"/>
      <c r="R6" s="188"/>
      <c r="S6" s="188"/>
      <c r="T6" s="188"/>
      <c r="U6" s="188"/>
      <c r="V6" s="188"/>
      <c r="W6" s="188"/>
      <c r="X6" s="189"/>
      <c r="Y6" s="189"/>
      <c r="Z6" s="189"/>
      <c r="AA6" s="189"/>
      <c r="AB6" s="189"/>
      <c r="AC6" s="188"/>
      <c r="AD6" s="309"/>
      <c r="AE6" s="310"/>
      <c r="AF6" s="188"/>
      <c r="AG6" s="188"/>
      <c r="AH6" s="188"/>
      <c r="AI6" s="557"/>
    </row>
    <row r="7" spans="1:35" s="37" customFormat="1" ht="24" customHeight="1">
      <c r="A7" s="36"/>
      <c r="B7" s="36"/>
      <c r="C7" s="638"/>
      <c r="D7" s="1984"/>
      <c r="E7" s="639"/>
      <c r="F7" s="640"/>
      <c r="G7" s="641"/>
      <c r="H7" s="1883"/>
      <c r="I7" s="1883"/>
      <c r="J7" s="1984"/>
      <c r="K7" s="1984"/>
      <c r="L7" s="2356"/>
      <c r="N7" s="552"/>
      <c r="O7" s="186"/>
      <c r="P7" s="187"/>
      <c r="Q7" s="188"/>
      <c r="R7" s="188"/>
      <c r="S7" s="188"/>
      <c r="T7" s="188"/>
      <c r="U7" s="188"/>
      <c r="V7" s="188"/>
      <c r="W7" s="188"/>
      <c r="X7" s="189"/>
      <c r="Y7" s="189"/>
      <c r="Z7" s="189"/>
      <c r="AA7" s="189"/>
      <c r="AB7" s="189"/>
      <c r="AC7" s="188"/>
      <c r="AD7" s="309"/>
      <c r="AE7" s="310"/>
      <c r="AF7" s="188"/>
      <c r="AG7" s="188"/>
      <c r="AH7" s="188"/>
      <c r="AI7" s="557"/>
    </row>
    <row r="8" spans="1:35" s="37" customFormat="1" ht="24" customHeight="1">
      <c r="A8" s="36"/>
      <c r="B8" s="36"/>
      <c r="C8" s="638"/>
      <c r="D8" s="1984"/>
      <c r="E8" s="639"/>
      <c r="F8" s="640"/>
      <c r="G8" s="641"/>
      <c r="H8" s="1883"/>
      <c r="I8" s="1883"/>
      <c r="J8" s="1984"/>
      <c r="K8" s="1984"/>
      <c r="L8" s="2356"/>
      <c r="N8" s="552"/>
      <c r="O8" s="186"/>
      <c r="P8" s="187"/>
      <c r="Q8" s="188"/>
      <c r="R8" s="188"/>
      <c r="S8" s="188"/>
      <c r="T8" s="188"/>
      <c r="U8" s="188"/>
      <c r="V8" s="188"/>
      <c r="W8" s="188"/>
      <c r="X8" s="189"/>
      <c r="Y8" s="189"/>
      <c r="Z8" s="189"/>
      <c r="AA8" s="189"/>
      <c r="AB8" s="189"/>
      <c r="AC8" s="188"/>
      <c r="AD8" s="309"/>
      <c r="AE8" s="310"/>
      <c r="AF8" s="188"/>
      <c r="AG8" s="188"/>
      <c r="AH8" s="188"/>
      <c r="AI8" s="557"/>
    </row>
    <row r="9" spans="1:35" s="37" customFormat="1" ht="24" customHeight="1">
      <c r="A9" s="36"/>
      <c r="B9" s="36"/>
      <c r="C9" s="638"/>
      <c r="D9" s="1984"/>
      <c r="E9" s="639"/>
      <c r="F9" s="640"/>
      <c r="G9" s="641"/>
      <c r="H9" s="1883"/>
      <c r="I9" s="1883"/>
      <c r="J9" s="1984"/>
      <c r="K9" s="1984"/>
      <c r="L9" s="2356"/>
      <c r="N9" s="552"/>
      <c r="O9" s="186"/>
      <c r="P9" s="187"/>
      <c r="Q9" s="188"/>
      <c r="R9" s="188"/>
      <c r="S9" s="188"/>
      <c r="T9" s="188"/>
      <c r="U9" s="188"/>
      <c r="V9" s="188"/>
      <c r="W9" s="188"/>
      <c r="X9" s="189"/>
      <c r="Y9" s="189"/>
      <c r="Z9" s="189"/>
      <c r="AA9" s="189"/>
      <c r="AB9" s="189"/>
      <c r="AC9" s="188"/>
      <c r="AD9" s="309"/>
      <c r="AE9" s="310"/>
      <c r="AF9" s="188"/>
      <c r="AG9" s="188"/>
      <c r="AH9" s="188"/>
      <c r="AI9" s="557"/>
    </row>
    <row r="10" spans="1:35" s="37" customFormat="1" ht="24" customHeight="1">
      <c r="A10" s="36"/>
      <c r="B10" s="36"/>
      <c r="C10" s="638"/>
      <c r="D10" s="1984"/>
      <c r="E10" s="639"/>
      <c r="F10" s="640"/>
      <c r="G10" s="641"/>
      <c r="H10" s="1883"/>
      <c r="I10" s="1883"/>
      <c r="J10" s="1984"/>
      <c r="K10" s="1984"/>
      <c r="L10" s="2356"/>
      <c r="N10" s="552"/>
      <c r="O10" s="186"/>
      <c r="P10" s="187"/>
      <c r="Q10" s="188"/>
      <c r="R10" s="188"/>
      <c r="S10" s="188"/>
      <c r="T10" s="188"/>
      <c r="U10" s="188"/>
      <c r="V10" s="188"/>
      <c r="W10" s="188"/>
      <c r="X10" s="189"/>
      <c r="Y10" s="189"/>
      <c r="Z10" s="189"/>
      <c r="AA10" s="189"/>
      <c r="AB10" s="189"/>
      <c r="AC10" s="188"/>
      <c r="AD10" s="309"/>
      <c r="AE10" s="310"/>
      <c r="AF10" s="188"/>
      <c r="AG10" s="188"/>
      <c r="AH10" s="188"/>
      <c r="AI10" s="557"/>
    </row>
    <row r="11" spans="1:35" s="37" customFormat="1" ht="24" customHeight="1">
      <c r="A11" s="36"/>
      <c r="B11" s="36"/>
      <c r="C11" s="638"/>
      <c r="D11" s="1984"/>
      <c r="E11" s="639"/>
      <c r="F11" s="640"/>
      <c r="G11" s="641"/>
      <c r="H11" s="1883"/>
      <c r="I11" s="1883"/>
      <c r="J11" s="1984"/>
      <c r="K11" s="1984"/>
      <c r="L11" s="2356"/>
      <c r="N11" s="552"/>
      <c r="O11" s="186"/>
      <c r="P11" s="187"/>
      <c r="Q11" s="188"/>
      <c r="R11" s="188"/>
      <c r="S11" s="188"/>
      <c r="T11" s="188"/>
      <c r="U11" s="188"/>
      <c r="V11" s="188"/>
      <c r="W11" s="188"/>
      <c r="X11" s="189"/>
      <c r="Y11" s="189"/>
      <c r="Z11" s="189"/>
      <c r="AA11" s="189"/>
      <c r="AB11" s="189"/>
      <c r="AC11" s="188"/>
      <c r="AD11" s="309"/>
      <c r="AE11" s="310"/>
      <c r="AF11" s="188"/>
      <c r="AG11" s="188"/>
      <c r="AH11" s="188"/>
      <c r="AI11" s="557"/>
    </row>
    <row r="12" spans="1:35" s="37" customFormat="1" ht="24" customHeight="1">
      <c r="A12" s="36"/>
      <c r="B12" s="36"/>
      <c r="C12" s="638"/>
      <c r="D12" s="1984"/>
      <c r="E12" s="639"/>
      <c r="F12" s="640"/>
      <c r="G12" s="641"/>
      <c r="H12" s="1883"/>
      <c r="I12" s="1883"/>
      <c r="J12" s="1984"/>
      <c r="K12" s="1984"/>
      <c r="L12" s="2356"/>
      <c r="N12" s="552"/>
      <c r="O12" s="186"/>
      <c r="P12" s="187"/>
      <c r="Q12" s="188"/>
      <c r="R12" s="188"/>
      <c r="S12" s="188"/>
      <c r="T12" s="188"/>
      <c r="U12" s="188"/>
      <c r="V12" s="188"/>
      <c r="W12" s="188"/>
      <c r="X12" s="189"/>
      <c r="Y12" s="189"/>
      <c r="Z12" s="189"/>
      <c r="AA12" s="189"/>
      <c r="AB12" s="189"/>
      <c r="AC12" s="188"/>
      <c r="AD12" s="309"/>
      <c r="AE12" s="310"/>
      <c r="AF12" s="188"/>
      <c r="AG12" s="188"/>
      <c r="AH12" s="188"/>
      <c r="AI12" s="557"/>
    </row>
    <row r="13" spans="1:35" s="37" customFormat="1" ht="24" customHeight="1">
      <c r="A13" s="36"/>
      <c r="B13" s="36"/>
      <c r="C13" s="638"/>
      <c r="D13" s="1984"/>
      <c r="E13" s="639"/>
      <c r="F13" s="640"/>
      <c r="G13" s="641"/>
      <c r="H13" s="1883"/>
      <c r="I13" s="1883"/>
      <c r="J13" s="1984"/>
      <c r="K13" s="1984"/>
      <c r="L13" s="2356"/>
      <c r="N13" s="552"/>
      <c r="O13" s="186"/>
      <c r="P13" s="187"/>
      <c r="Q13" s="188"/>
      <c r="R13" s="188"/>
      <c r="S13" s="188"/>
      <c r="T13" s="188"/>
      <c r="U13" s="188"/>
      <c r="V13" s="188"/>
      <c r="W13" s="188"/>
      <c r="X13" s="189"/>
      <c r="Y13" s="189"/>
      <c r="Z13" s="189"/>
      <c r="AA13" s="189"/>
      <c r="AB13" s="189"/>
      <c r="AC13" s="188"/>
      <c r="AD13" s="309"/>
      <c r="AE13" s="310"/>
      <c r="AF13" s="188"/>
      <c r="AG13" s="188"/>
      <c r="AH13" s="188"/>
      <c r="AI13" s="557"/>
    </row>
    <row r="14" spans="1:35" s="37" customFormat="1" ht="24" customHeight="1">
      <c r="A14" s="36"/>
      <c r="B14" s="36"/>
      <c r="C14" s="638"/>
      <c r="D14" s="1984"/>
      <c r="E14" s="639"/>
      <c r="F14" s="640"/>
      <c r="G14" s="641"/>
      <c r="H14" s="1883"/>
      <c r="I14" s="1883"/>
      <c r="J14" s="1984"/>
      <c r="K14" s="1984"/>
      <c r="L14" s="2356"/>
      <c r="N14" s="552"/>
      <c r="O14" s="186"/>
      <c r="P14" s="187"/>
      <c r="Q14" s="188"/>
      <c r="R14" s="188"/>
      <c r="S14" s="188"/>
      <c r="T14" s="188"/>
      <c r="U14" s="188"/>
      <c r="V14" s="188"/>
      <c r="W14" s="188"/>
      <c r="X14" s="189"/>
      <c r="Y14" s="189"/>
      <c r="Z14" s="189"/>
      <c r="AA14" s="189"/>
      <c r="AB14" s="189"/>
      <c r="AC14" s="188"/>
      <c r="AD14" s="309"/>
      <c r="AE14" s="310"/>
      <c r="AF14" s="188"/>
      <c r="AG14" s="188"/>
      <c r="AH14" s="188"/>
      <c r="AI14" s="557"/>
    </row>
    <row r="15" spans="1:35" s="37" customFormat="1" ht="24" customHeight="1">
      <c r="A15" s="36"/>
      <c r="B15" s="36"/>
      <c r="C15" s="638"/>
      <c r="D15" s="1984"/>
      <c r="E15" s="639"/>
      <c r="F15" s="640"/>
      <c r="G15" s="641"/>
      <c r="H15" s="1883"/>
      <c r="I15" s="1883"/>
      <c r="J15" s="1984"/>
      <c r="K15" s="1984"/>
      <c r="L15" s="2356"/>
      <c r="N15" s="552"/>
      <c r="O15" s="186"/>
      <c r="P15" s="187"/>
      <c r="Q15" s="188"/>
      <c r="R15" s="188"/>
      <c r="S15" s="188"/>
      <c r="T15" s="188"/>
      <c r="U15" s="188"/>
      <c r="V15" s="188"/>
      <c r="W15" s="188"/>
      <c r="X15" s="189"/>
      <c r="Y15" s="189"/>
      <c r="Z15" s="189"/>
      <c r="AA15" s="189"/>
      <c r="AB15" s="189"/>
      <c r="AC15" s="188"/>
      <c r="AD15" s="309"/>
      <c r="AE15" s="310"/>
      <c r="AF15" s="188"/>
      <c r="AG15" s="188"/>
      <c r="AH15" s="188"/>
      <c r="AI15" s="557"/>
    </row>
    <row r="16" spans="1:35" s="37" customFormat="1" ht="24" customHeight="1">
      <c r="A16" s="36"/>
      <c r="B16" s="36"/>
      <c r="C16" s="638"/>
      <c r="D16" s="1984" t="s">
        <v>126</v>
      </c>
      <c r="E16" s="639"/>
      <c r="F16" s="640"/>
      <c r="G16" s="641"/>
      <c r="H16" s="1883"/>
      <c r="I16" s="1883">
        <f>SUM(I7:I15)</f>
        <v>0</v>
      </c>
      <c r="J16" s="2449" t="str">
        <f>IF(COUNTIF(N:N,"費用")=0,"","うち費用")</f>
        <v/>
      </c>
      <c r="K16" s="2512" t="str">
        <f>IF(COUNTIF(N:N,"費用")=0,"",SUMIF(N:N,"費用",I:I))</f>
        <v/>
      </c>
      <c r="L16" s="2356"/>
      <c r="N16" s="552"/>
      <c r="O16" s="186"/>
      <c r="P16" s="187"/>
      <c r="Q16" s="188"/>
      <c r="R16" s="188"/>
      <c r="S16" s="188"/>
      <c r="T16" s="188"/>
      <c r="U16" s="188"/>
      <c r="V16" s="188"/>
      <c r="W16" s="188"/>
      <c r="X16" s="189"/>
      <c r="Y16" s="189"/>
      <c r="Z16" s="189"/>
      <c r="AA16" s="189"/>
      <c r="AB16" s="189"/>
      <c r="AC16" s="188"/>
      <c r="AD16" s="309"/>
      <c r="AE16" s="310"/>
      <c r="AF16" s="188"/>
      <c r="AG16" s="188"/>
      <c r="AH16" s="188"/>
      <c r="AI16" s="557"/>
    </row>
    <row r="17" spans="1:35" s="37" customFormat="1" ht="24" customHeight="1">
      <c r="A17" s="36"/>
      <c r="B17" s="36"/>
      <c r="C17" s="638"/>
      <c r="D17" s="2451"/>
      <c r="E17" s="639"/>
      <c r="F17" s="640"/>
      <c r="G17" s="641"/>
      <c r="H17" s="1883"/>
      <c r="I17" s="1883"/>
      <c r="J17" s="1984"/>
      <c r="K17" s="1984"/>
      <c r="L17" s="2356"/>
      <c r="N17" s="552"/>
      <c r="O17" s="186"/>
      <c r="P17" s="187"/>
      <c r="Q17" s="188"/>
      <c r="R17" s="188"/>
      <c r="S17" s="188"/>
      <c r="T17" s="188"/>
      <c r="U17" s="188"/>
      <c r="V17" s="188"/>
      <c r="W17" s="188"/>
      <c r="X17" s="189"/>
      <c r="Y17" s="189"/>
      <c r="Z17" s="189"/>
      <c r="AA17" s="189"/>
      <c r="AB17" s="189"/>
      <c r="AC17" s="188"/>
      <c r="AD17" s="309"/>
      <c r="AE17" s="310"/>
      <c r="AF17" s="188"/>
      <c r="AG17" s="188"/>
      <c r="AH17" s="188"/>
      <c r="AI17" s="557"/>
    </row>
    <row r="18" spans="1:35" s="37" customFormat="1" ht="24" customHeight="1">
      <c r="A18" s="36"/>
      <c r="B18" s="36"/>
      <c r="C18" s="2435" t="s">
        <v>4127</v>
      </c>
      <c r="D18" s="1984"/>
      <c r="E18" s="639"/>
      <c r="F18" s="640"/>
      <c r="G18" s="641"/>
      <c r="H18" s="1883"/>
      <c r="I18" s="1883"/>
      <c r="J18" s="1984"/>
      <c r="K18" s="1984"/>
      <c r="L18" s="2356"/>
      <c r="N18" s="552"/>
      <c r="O18" s="186"/>
      <c r="P18" s="187"/>
      <c r="Q18" s="188"/>
      <c r="R18" s="188"/>
      <c r="S18" s="188"/>
      <c r="T18" s="188"/>
      <c r="U18" s="188"/>
      <c r="V18" s="188"/>
      <c r="W18" s="188"/>
      <c r="X18" s="189"/>
      <c r="Y18" s="189"/>
      <c r="Z18" s="189"/>
      <c r="AA18" s="189"/>
      <c r="AB18" s="189"/>
      <c r="AC18" s="188"/>
      <c r="AD18" s="309"/>
      <c r="AE18" s="310"/>
      <c r="AF18" s="188"/>
      <c r="AG18" s="188"/>
      <c r="AH18" s="188"/>
      <c r="AI18" s="557"/>
    </row>
    <row r="19" spans="1:35" s="37" customFormat="1" ht="24" customHeight="1">
      <c r="A19" s="36"/>
      <c r="B19" s="36"/>
      <c r="C19" s="638"/>
      <c r="D19" s="1984" t="s">
        <v>4128</v>
      </c>
      <c r="E19" s="639"/>
      <c r="F19" s="640">
        <v>1</v>
      </c>
      <c r="G19" s="641" t="s">
        <v>119</v>
      </c>
      <c r="H19" s="1883"/>
      <c r="I19" s="1883">
        <f>+I47</f>
        <v>0</v>
      </c>
      <c r="J19" s="1984"/>
      <c r="K19" s="1984"/>
      <c r="L19" s="2356"/>
      <c r="N19" s="552"/>
      <c r="O19" s="186"/>
      <c r="P19" s="187"/>
      <c r="Q19" s="188"/>
      <c r="R19" s="188"/>
      <c r="S19" s="188"/>
      <c r="T19" s="188"/>
      <c r="U19" s="188"/>
      <c r="V19" s="188"/>
      <c r="W19" s="188"/>
      <c r="X19" s="189"/>
      <c r="Y19" s="189"/>
      <c r="Z19" s="189"/>
      <c r="AA19" s="189"/>
      <c r="AB19" s="189"/>
      <c r="AC19" s="188"/>
      <c r="AD19" s="309"/>
      <c r="AE19" s="310"/>
      <c r="AF19" s="188"/>
      <c r="AG19" s="188"/>
      <c r="AH19" s="188"/>
      <c r="AI19" s="557"/>
    </row>
    <row r="20" spans="1:35" s="37" customFormat="1" ht="24" customHeight="1">
      <c r="A20" s="36"/>
      <c r="B20" s="36"/>
      <c r="C20" s="638"/>
      <c r="D20" s="1984" t="s">
        <v>4129</v>
      </c>
      <c r="E20" s="639"/>
      <c r="F20" s="640">
        <v>1</v>
      </c>
      <c r="G20" s="641" t="s">
        <v>119</v>
      </c>
      <c r="H20" s="1883"/>
      <c r="I20" s="1883"/>
      <c r="J20" s="2452"/>
      <c r="K20" s="1984"/>
      <c r="L20" s="2356"/>
      <c r="N20" s="552"/>
      <c r="O20" s="186"/>
      <c r="P20" s="187"/>
      <c r="Q20" s="188"/>
      <c r="R20" s="188"/>
      <c r="S20" s="188"/>
      <c r="T20" s="188"/>
      <c r="U20" s="188"/>
      <c r="V20" s="188"/>
      <c r="W20" s="188"/>
      <c r="X20" s="189"/>
      <c r="Y20" s="189"/>
      <c r="Z20" s="189"/>
      <c r="AA20" s="189"/>
      <c r="AB20" s="189"/>
      <c r="AC20" s="188"/>
      <c r="AD20" s="309"/>
      <c r="AE20" s="310"/>
      <c r="AF20" s="188"/>
      <c r="AG20" s="188"/>
      <c r="AH20" s="188"/>
      <c r="AI20" s="557"/>
    </row>
    <row r="21" spans="1:35" s="37" customFormat="1" ht="24" customHeight="1">
      <c r="A21" s="36"/>
      <c r="B21" s="36"/>
      <c r="C21" s="638"/>
      <c r="D21" s="1984"/>
      <c r="E21" s="639"/>
      <c r="F21" s="640"/>
      <c r="G21" s="641"/>
      <c r="H21" s="1883"/>
      <c r="I21" s="1883"/>
      <c r="J21" s="1984"/>
      <c r="K21" s="1984"/>
      <c r="L21" s="2356"/>
      <c r="N21" s="552"/>
      <c r="O21" s="186"/>
      <c r="P21" s="187"/>
      <c r="Q21" s="188"/>
      <c r="R21" s="188"/>
      <c r="S21" s="188"/>
      <c r="T21" s="188"/>
      <c r="U21" s="188"/>
      <c r="V21" s="188"/>
      <c r="W21" s="188"/>
      <c r="X21" s="189"/>
      <c r="Y21" s="189"/>
      <c r="Z21" s="189"/>
      <c r="AA21" s="189"/>
      <c r="AB21" s="189"/>
      <c r="AC21" s="188"/>
      <c r="AD21" s="309"/>
      <c r="AE21" s="310"/>
      <c r="AF21" s="188"/>
      <c r="AG21" s="188"/>
      <c r="AH21" s="188"/>
      <c r="AI21" s="557"/>
    </row>
    <row r="22" spans="1:35" s="37" customFormat="1" ht="24" customHeight="1">
      <c r="A22" s="36"/>
      <c r="B22" s="36"/>
      <c r="C22" s="638"/>
      <c r="D22" s="1984" t="s">
        <v>126</v>
      </c>
      <c r="E22" s="639"/>
      <c r="F22" s="640"/>
      <c r="G22" s="641"/>
      <c r="H22" s="1883"/>
      <c r="I22" s="1883">
        <f>+I19+I20</f>
        <v>0</v>
      </c>
      <c r="J22" s="1984"/>
      <c r="K22" s="1984"/>
      <c r="L22" s="2356"/>
      <c r="N22" s="552"/>
      <c r="O22" s="186"/>
      <c r="P22" s="187"/>
      <c r="Q22" s="188"/>
      <c r="R22" s="188"/>
      <c r="S22" s="188"/>
      <c r="T22" s="188"/>
      <c r="U22" s="188"/>
      <c r="V22" s="188"/>
      <c r="W22" s="188"/>
      <c r="X22" s="189"/>
      <c r="Y22" s="189"/>
      <c r="Z22" s="189"/>
      <c r="AA22" s="189"/>
      <c r="AB22" s="189"/>
      <c r="AC22" s="188"/>
      <c r="AD22" s="309"/>
      <c r="AE22" s="310"/>
      <c r="AF22" s="188"/>
      <c r="AG22" s="188"/>
      <c r="AH22" s="188"/>
      <c r="AI22" s="557"/>
    </row>
    <row r="23" spans="1:35" s="37" customFormat="1" ht="24" customHeight="1">
      <c r="A23" s="36"/>
      <c r="B23" s="36"/>
      <c r="C23" s="638"/>
      <c r="D23" s="1984"/>
      <c r="E23" s="639"/>
      <c r="F23" s="640"/>
      <c r="G23" s="641"/>
      <c r="H23" s="1883"/>
      <c r="I23" s="1883"/>
      <c r="J23" s="1984"/>
      <c r="K23" s="1984"/>
      <c r="L23" s="2356"/>
      <c r="N23" s="552"/>
      <c r="O23" s="186"/>
      <c r="P23" s="187"/>
      <c r="Q23" s="188"/>
      <c r="R23" s="188"/>
      <c r="S23" s="188"/>
      <c r="T23" s="188"/>
      <c r="U23" s="188"/>
      <c r="V23" s="188"/>
      <c r="W23" s="188"/>
      <c r="X23" s="189"/>
      <c r="Y23" s="189"/>
      <c r="Z23" s="189"/>
      <c r="AA23" s="189"/>
      <c r="AB23" s="189"/>
      <c r="AC23" s="188"/>
      <c r="AD23" s="309"/>
      <c r="AE23" s="310"/>
      <c r="AF23" s="188"/>
      <c r="AG23" s="188"/>
      <c r="AH23" s="188"/>
      <c r="AI23" s="557"/>
    </row>
    <row r="24" spans="1:35" ht="24" customHeight="1" thickBot="1">
      <c r="A24" s="36"/>
      <c r="B24" s="36"/>
      <c r="C24" s="2070"/>
      <c r="D24" s="2075" t="s">
        <v>4130</v>
      </c>
      <c r="E24" s="2071"/>
      <c r="F24" s="2072"/>
      <c r="G24" s="2453"/>
      <c r="H24" s="2454" t="s">
        <v>4131</v>
      </c>
      <c r="I24" s="2074">
        <f>+I22+I16</f>
        <v>0</v>
      </c>
      <c r="J24" s="2075" t="s">
        <v>4132</v>
      </c>
      <c r="K24" s="2075"/>
      <c r="L24" s="2455"/>
      <c r="O24" s="186"/>
      <c r="P24" s="187"/>
      <c r="Q24" s="188"/>
      <c r="R24" s="188"/>
      <c r="S24" s="188"/>
      <c r="T24" s="188"/>
      <c r="U24" s="188"/>
      <c r="V24" s="188"/>
      <c r="W24" s="188"/>
      <c r="X24" s="189"/>
      <c r="Y24" s="189"/>
      <c r="Z24" s="189"/>
      <c r="AA24" s="189"/>
      <c r="AB24" s="189"/>
      <c r="AC24" s="188"/>
      <c r="AD24" s="309"/>
      <c r="AE24" s="310"/>
      <c r="AF24" s="188"/>
      <c r="AG24" s="188"/>
      <c r="AH24" s="188"/>
      <c r="AI24" s="557"/>
    </row>
    <row r="25" spans="1:35" ht="14.25" customHeight="1">
      <c r="E25" s="101" t="s">
        <v>130</v>
      </c>
      <c r="F25" s="102">
        <f>+F2+1</f>
        <v>1</v>
      </c>
      <c r="G25" s="103" t="s">
        <v>131</v>
      </c>
      <c r="H25" s="104">
        <f>H2</f>
        <v>69</v>
      </c>
      <c r="M25" s="38" t="str">
        <f>IF(A27="","EOL","")</f>
        <v/>
      </c>
      <c r="N25" s="6">
        <f>+F25</f>
        <v>1</v>
      </c>
    </row>
    <row r="26" spans="1:35" ht="26.1" customHeight="1" thickBot="1">
      <c r="C26" s="2517" t="s">
        <v>107</v>
      </c>
      <c r="D26" s="2517"/>
      <c r="E26" s="2517"/>
      <c r="F26" s="2517"/>
      <c r="G26" s="2517"/>
      <c r="H26" s="2517"/>
      <c r="I26" s="2517"/>
      <c r="J26" s="2517"/>
      <c r="K26" s="2517"/>
      <c r="L26" s="2517"/>
      <c r="O26" s="2730" t="s">
        <v>4098</v>
      </c>
      <c r="P26" s="2730"/>
      <c r="Q26" s="2730"/>
      <c r="R26" s="2730"/>
      <c r="S26" s="2730"/>
      <c r="T26" s="2730"/>
      <c r="U26" s="2730"/>
      <c r="V26" s="2730"/>
      <c r="W26" s="2730"/>
      <c r="X26" s="2730"/>
      <c r="Y26" s="2730"/>
      <c r="Z26" s="2730"/>
      <c r="AA26" s="2730"/>
      <c r="AB26" s="2730"/>
      <c r="AC26" s="2730"/>
      <c r="AD26" s="2730"/>
      <c r="AE26" s="2730"/>
      <c r="AF26" s="2730"/>
      <c r="AG26" s="2730"/>
      <c r="AH26" s="2731"/>
      <c r="AI26" s="555"/>
    </row>
    <row r="27" spans="1:35" ht="42" customHeight="1">
      <c r="A27" s="5" t="s">
        <v>108</v>
      </c>
      <c r="B27" s="5" t="s">
        <v>109</v>
      </c>
      <c r="C27" s="99" t="s">
        <v>110</v>
      </c>
      <c r="D27" s="95"/>
      <c r="E27" s="96" t="s">
        <v>111</v>
      </c>
      <c r="F27" s="97" t="s">
        <v>112</v>
      </c>
      <c r="G27" s="97" t="s">
        <v>113</v>
      </c>
      <c r="H27" s="98" t="s">
        <v>114</v>
      </c>
      <c r="I27" s="98" t="s">
        <v>115</v>
      </c>
      <c r="J27" s="2552" t="s">
        <v>116</v>
      </c>
      <c r="K27" s="2553"/>
      <c r="L27" s="2554"/>
      <c r="O27" s="126" t="s">
        <v>4099</v>
      </c>
      <c r="P27" s="303" t="s">
        <v>4100</v>
      </c>
      <c r="Q27" s="241" t="s">
        <v>4101</v>
      </c>
      <c r="R27" s="241" t="s">
        <v>4102</v>
      </c>
      <c r="S27" s="241" t="s">
        <v>4103</v>
      </c>
      <c r="T27" s="241" t="s">
        <v>4104</v>
      </c>
      <c r="U27" s="241" t="s">
        <v>4105</v>
      </c>
      <c r="V27" s="125" t="s">
        <v>4106</v>
      </c>
      <c r="W27" s="241" t="s">
        <v>4107</v>
      </c>
      <c r="X27" s="180" t="s">
        <v>4108</v>
      </c>
      <c r="Y27" s="180" t="s">
        <v>4109</v>
      </c>
      <c r="Z27" s="180" t="s">
        <v>4110</v>
      </c>
      <c r="AA27" s="180" t="s">
        <v>4111</v>
      </c>
      <c r="AB27" s="180" t="s">
        <v>4112</v>
      </c>
      <c r="AC27" s="306" t="s">
        <v>4113</v>
      </c>
      <c r="AD27" s="307" t="s">
        <v>4114</v>
      </c>
      <c r="AE27" s="308" t="s">
        <v>4115</v>
      </c>
      <c r="AF27" s="124" t="s">
        <v>4116</v>
      </c>
      <c r="AG27" s="124" t="s">
        <v>4117</v>
      </c>
      <c r="AH27" s="124" t="s">
        <v>4118</v>
      </c>
      <c r="AI27" s="556"/>
    </row>
    <row r="28" spans="1:35" ht="24" customHeight="1">
      <c r="A28" s="36"/>
      <c r="B28" s="36"/>
      <c r="C28" s="2370" t="s">
        <v>4133</v>
      </c>
      <c r="D28" s="631"/>
      <c r="E28" s="632"/>
      <c r="F28" s="1889"/>
      <c r="G28" s="634"/>
      <c r="H28" s="2371" t="s">
        <v>117</v>
      </c>
      <c r="I28" s="2371" t="s">
        <v>117</v>
      </c>
      <c r="J28" s="631"/>
      <c r="K28" s="631"/>
      <c r="L28" s="637"/>
      <c r="O28" s="186"/>
      <c r="P28" s="187"/>
      <c r="Q28" s="188"/>
      <c r="R28" s="188"/>
      <c r="S28" s="188"/>
      <c r="T28" s="188"/>
      <c r="U28" s="188"/>
      <c r="V28" s="188"/>
      <c r="W28" s="188"/>
      <c r="X28" s="189"/>
      <c r="Y28" s="189"/>
      <c r="Z28" s="189"/>
      <c r="AA28" s="189"/>
      <c r="AB28" s="189"/>
      <c r="AC28" s="188"/>
      <c r="AD28" s="309"/>
      <c r="AE28" s="310"/>
      <c r="AF28" s="188"/>
      <c r="AG28" s="188"/>
      <c r="AH28" s="188"/>
      <c r="AI28" s="557"/>
    </row>
    <row r="29" spans="1:35" s="37" customFormat="1" ht="24" customHeight="1">
      <c r="A29" s="36"/>
      <c r="B29" s="36"/>
      <c r="C29" s="638"/>
      <c r="D29" s="1984" t="s">
        <v>4134</v>
      </c>
      <c r="E29" s="639"/>
      <c r="F29" s="640"/>
      <c r="G29" s="641"/>
      <c r="H29" s="642"/>
      <c r="I29" s="1883" t="str">
        <f t="shared" ref="I29:I44" si="0">IF(F29="","",INT(F29*H29))</f>
        <v/>
      </c>
      <c r="J29" s="1984"/>
      <c r="K29" s="1984"/>
      <c r="L29" s="2356"/>
      <c r="N29" s="552"/>
      <c r="O29" s="186"/>
      <c r="P29" s="187"/>
      <c r="Q29" s="188"/>
      <c r="R29" s="188"/>
      <c r="S29" s="188"/>
      <c r="T29" s="188"/>
      <c r="U29" s="188"/>
      <c r="V29" s="188"/>
      <c r="W29" s="188"/>
      <c r="X29" s="189"/>
      <c r="Y29" s="189"/>
      <c r="Z29" s="189"/>
      <c r="AA29" s="189"/>
      <c r="AB29" s="189"/>
      <c r="AC29" s="188"/>
      <c r="AD29" s="309"/>
      <c r="AE29" s="310"/>
      <c r="AF29" s="188"/>
      <c r="AG29" s="188"/>
      <c r="AH29" s="188"/>
      <c r="AI29" s="557"/>
    </row>
    <row r="30" spans="1:35" s="37" customFormat="1" ht="24" customHeight="1">
      <c r="A30" s="36"/>
      <c r="B30" s="36"/>
      <c r="C30" s="638"/>
      <c r="D30" s="1984" t="s">
        <v>4135</v>
      </c>
      <c r="E30" s="639"/>
      <c r="F30" s="640">
        <v>1</v>
      </c>
      <c r="G30" s="641" t="s">
        <v>122</v>
      </c>
      <c r="H30" s="642"/>
      <c r="I30" s="1883">
        <f t="shared" si="0"/>
        <v>0</v>
      </c>
      <c r="J30" s="1984"/>
      <c r="K30" s="1984"/>
      <c r="L30" s="2356"/>
      <c r="N30" s="552"/>
      <c r="O30" s="186"/>
      <c r="P30" s="187"/>
      <c r="Q30" s="188"/>
      <c r="R30" s="188"/>
      <c r="S30" s="188"/>
      <c r="T30" s="188"/>
      <c r="U30" s="188"/>
      <c r="V30" s="188"/>
      <c r="W30" s="188"/>
      <c r="X30" s="189"/>
      <c r="Y30" s="189"/>
      <c r="Z30" s="189"/>
      <c r="AA30" s="189"/>
      <c r="AB30" s="189"/>
      <c r="AC30" s="188"/>
      <c r="AD30" s="309"/>
      <c r="AE30" s="310"/>
      <c r="AF30" s="188"/>
      <c r="AG30" s="188"/>
      <c r="AH30" s="188"/>
      <c r="AI30" s="557"/>
    </row>
    <row r="31" spans="1:35" s="37" customFormat="1" ht="24" customHeight="1">
      <c r="A31" s="36"/>
      <c r="B31" s="36"/>
      <c r="C31" s="638"/>
      <c r="D31" s="1984"/>
      <c r="E31" s="639"/>
      <c r="F31" s="640"/>
      <c r="G31" s="641"/>
      <c r="H31" s="642"/>
      <c r="I31" s="1883" t="str">
        <f t="shared" si="0"/>
        <v/>
      </c>
      <c r="J31" s="1984"/>
      <c r="K31" s="1984"/>
      <c r="L31" s="2356"/>
      <c r="N31" s="552"/>
      <c r="O31" s="186"/>
      <c r="P31" s="187"/>
      <c r="Q31" s="188"/>
      <c r="R31" s="188"/>
      <c r="S31" s="188"/>
      <c r="T31" s="188"/>
      <c r="U31" s="188"/>
      <c r="V31" s="188"/>
      <c r="W31" s="188"/>
      <c r="X31" s="189"/>
      <c r="Y31" s="189"/>
      <c r="Z31" s="189"/>
      <c r="AA31" s="189"/>
      <c r="AB31" s="189"/>
      <c r="AC31" s="188"/>
      <c r="AD31" s="309"/>
      <c r="AE31" s="310"/>
      <c r="AF31" s="188"/>
      <c r="AG31" s="188"/>
      <c r="AH31" s="188"/>
      <c r="AI31" s="557"/>
    </row>
    <row r="32" spans="1:35" s="37" customFormat="1" ht="24" customHeight="1">
      <c r="A32" s="36"/>
      <c r="B32" s="36"/>
      <c r="C32" s="2456"/>
      <c r="D32" s="2457" t="s">
        <v>4136</v>
      </c>
      <c r="E32" s="2458"/>
      <c r="F32" s="2459"/>
      <c r="G32" s="2460"/>
      <c r="H32" s="2461"/>
      <c r="I32" s="2462">
        <f>SUM(I30:I31)</f>
        <v>0</v>
      </c>
      <c r="J32" s="2457"/>
      <c r="K32" s="2457"/>
      <c r="L32" s="2463"/>
      <c r="N32" s="552"/>
      <c r="O32" s="186"/>
      <c r="P32" s="187"/>
      <c r="Q32" s="188"/>
      <c r="R32" s="188"/>
      <c r="S32" s="188"/>
      <c r="T32" s="188"/>
      <c r="U32" s="188"/>
      <c r="V32" s="188"/>
      <c r="W32" s="188"/>
      <c r="X32" s="189"/>
      <c r="Y32" s="189"/>
      <c r="Z32" s="189"/>
      <c r="AA32" s="189"/>
      <c r="AB32" s="189"/>
      <c r="AC32" s="188"/>
      <c r="AD32" s="309"/>
      <c r="AE32" s="310"/>
      <c r="AF32" s="188"/>
      <c r="AG32" s="188"/>
      <c r="AH32" s="188"/>
      <c r="AI32" s="557"/>
    </row>
    <row r="33" spans="1:35" s="37" customFormat="1" ht="24" customHeight="1">
      <c r="A33" s="36"/>
      <c r="B33" s="36"/>
      <c r="C33" s="643"/>
      <c r="D33" s="631"/>
      <c r="E33" s="632"/>
      <c r="F33" s="633"/>
      <c r="G33" s="634"/>
      <c r="H33" s="635"/>
      <c r="I33" s="636" t="str">
        <f t="shared" si="0"/>
        <v/>
      </c>
      <c r="J33" s="631"/>
      <c r="K33" s="631"/>
      <c r="L33" s="637"/>
      <c r="N33" s="552"/>
      <c r="O33" s="186"/>
      <c r="P33" s="187"/>
      <c r="Q33" s="188"/>
      <c r="R33" s="188"/>
      <c r="S33" s="188"/>
      <c r="T33" s="188"/>
      <c r="U33" s="188"/>
      <c r="V33" s="188"/>
      <c r="W33" s="188"/>
      <c r="X33" s="189"/>
      <c r="Y33" s="189"/>
      <c r="Z33" s="189"/>
      <c r="AA33" s="189"/>
      <c r="AB33" s="189"/>
      <c r="AC33" s="188"/>
      <c r="AD33" s="309"/>
      <c r="AE33" s="310"/>
      <c r="AF33" s="188"/>
      <c r="AG33" s="188"/>
      <c r="AH33" s="188"/>
      <c r="AI33" s="557"/>
    </row>
    <row r="34" spans="1:35" s="37" customFormat="1" ht="24" customHeight="1">
      <c r="A34" s="36"/>
      <c r="B34" s="36"/>
      <c r="C34" s="638"/>
      <c r="D34" s="1984" t="s">
        <v>4137</v>
      </c>
      <c r="E34" s="639"/>
      <c r="F34" s="640"/>
      <c r="G34" s="641"/>
      <c r="H34" s="642"/>
      <c r="I34" s="1883" t="str">
        <f t="shared" si="0"/>
        <v/>
      </c>
      <c r="J34" s="1984"/>
      <c r="K34" s="1984"/>
      <c r="L34" s="2356"/>
      <c r="N34" s="552"/>
      <c r="O34" s="186"/>
      <c r="P34" s="187"/>
      <c r="Q34" s="188"/>
      <c r="R34" s="188"/>
      <c r="S34" s="188"/>
      <c r="T34" s="188"/>
      <c r="U34" s="188"/>
      <c r="V34" s="188"/>
      <c r="W34" s="188"/>
      <c r="X34" s="189"/>
      <c r="Y34" s="189"/>
      <c r="Z34" s="189"/>
      <c r="AA34" s="189"/>
      <c r="AB34" s="189"/>
      <c r="AC34" s="188"/>
      <c r="AD34" s="309"/>
      <c r="AE34" s="310"/>
      <c r="AF34" s="188"/>
      <c r="AG34" s="188"/>
      <c r="AH34" s="188"/>
      <c r="AI34" s="557"/>
    </row>
    <row r="35" spans="1:35" s="37" customFormat="1" ht="24" customHeight="1">
      <c r="A35" s="36"/>
      <c r="B35" s="36"/>
      <c r="C35" s="638"/>
      <c r="D35" s="1984" t="s">
        <v>4896</v>
      </c>
      <c r="E35" s="639"/>
      <c r="F35" s="640">
        <v>1</v>
      </c>
      <c r="G35" s="641" t="s">
        <v>119</v>
      </c>
      <c r="H35" s="642"/>
      <c r="I35" s="1883">
        <f t="shared" si="0"/>
        <v>0</v>
      </c>
      <c r="J35" s="1984"/>
      <c r="K35" s="1984"/>
      <c r="L35" s="2356"/>
      <c r="N35" s="552"/>
      <c r="O35" s="186"/>
      <c r="P35" s="187"/>
      <c r="Q35" s="188"/>
      <c r="R35" s="188"/>
      <c r="S35" s="188"/>
      <c r="T35" s="188"/>
      <c r="U35" s="188"/>
      <c r="V35" s="188"/>
      <c r="W35" s="188"/>
      <c r="X35" s="189"/>
      <c r="Y35" s="189"/>
      <c r="Z35" s="189"/>
      <c r="AA35" s="189"/>
      <c r="AB35" s="189"/>
      <c r="AC35" s="188"/>
      <c r="AD35" s="309"/>
      <c r="AE35" s="310"/>
      <c r="AF35" s="188"/>
      <c r="AG35" s="188"/>
      <c r="AH35" s="188"/>
      <c r="AI35" s="557"/>
    </row>
    <row r="36" spans="1:35" s="37" customFormat="1" ht="24" customHeight="1">
      <c r="A36" s="36"/>
      <c r="B36" s="36"/>
      <c r="C36" s="638"/>
      <c r="D36" s="1984" t="s">
        <v>4897</v>
      </c>
      <c r="E36" s="639"/>
      <c r="F36" s="640">
        <v>1</v>
      </c>
      <c r="G36" s="641" t="s">
        <v>119</v>
      </c>
      <c r="H36" s="642"/>
      <c r="I36" s="1883">
        <f t="shared" si="0"/>
        <v>0</v>
      </c>
      <c r="J36" s="1984"/>
      <c r="K36" s="1984"/>
      <c r="L36" s="2356"/>
      <c r="N36" s="552"/>
      <c r="O36" s="186"/>
      <c r="P36" s="187"/>
      <c r="Q36" s="188"/>
      <c r="R36" s="188"/>
      <c r="S36" s="188"/>
      <c r="T36" s="188"/>
      <c r="U36" s="188"/>
      <c r="V36" s="188"/>
      <c r="W36" s="188"/>
      <c r="X36" s="189"/>
      <c r="Y36" s="189"/>
      <c r="Z36" s="189"/>
      <c r="AA36" s="189"/>
      <c r="AB36" s="189"/>
      <c r="AC36" s="188"/>
      <c r="AD36" s="309"/>
      <c r="AE36" s="310"/>
      <c r="AF36" s="188"/>
      <c r="AG36" s="188"/>
      <c r="AH36" s="188"/>
      <c r="AI36" s="557"/>
    </row>
    <row r="37" spans="1:35" s="37" customFormat="1" ht="24" customHeight="1">
      <c r="A37" s="36"/>
      <c r="B37" s="36"/>
      <c r="C37" s="638"/>
      <c r="D37" s="1984" t="s">
        <v>4138</v>
      </c>
      <c r="E37" s="639"/>
      <c r="F37" s="640">
        <v>1</v>
      </c>
      <c r="G37" s="641" t="s">
        <v>119</v>
      </c>
      <c r="H37" s="642"/>
      <c r="I37" s="1883">
        <f t="shared" si="0"/>
        <v>0</v>
      </c>
      <c r="J37" s="1984"/>
      <c r="K37" s="1984"/>
      <c r="L37" s="2356"/>
      <c r="N37" s="552"/>
      <c r="O37" s="186"/>
      <c r="P37" s="187"/>
      <c r="Q37" s="188"/>
      <c r="R37" s="188"/>
      <c r="S37" s="188"/>
      <c r="T37" s="188"/>
      <c r="U37" s="188"/>
      <c r="V37" s="188"/>
      <c r="W37" s="188"/>
      <c r="X37" s="189"/>
      <c r="Y37" s="189"/>
      <c r="Z37" s="189"/>
      <c r="AA37" s="189"/>
      <c r="AB37" s="189"/>
      <c r="AC37" s="188"/>
      <c r="AD37" s="309"/>
      <c r="AE37" s="310"/>
      <c r="AF37" s="188"/>
      <c r="AG37" s="188"/>
      <c r="AH37" s="188"/>
      <c r="AI37" s="557"/>
    </row>
    <row r="38" spans="1:35" s="37" customFormat="1" ht="24" customHeight="1">
      <c r="A38" s="36"/>
      <c r="B38" s="36"/>
      <c r="C38" s="638"/>
      <c r="D38" s="1984" t="s">
        <v>4139</v>
      </c>
      <c r="E38" s="639"/>
      <c r="F38" s="640">
        <v>1</v>
      </c>
      <c r="G38" s="641" t="s">
        <v>119</v>
      </c>
      <c r="H38" s="642"/>
      <c r="I38" s="1883">
        <f t="shared" si="0"/>
        <v>0</v>
      </c>
      <c r="J38" s="1984"/>
      <c r="K38" s="1984"/>
      <c r="L38" s="2356"/>
      <c r="N38" s="552"/>
      <c r="O38" s="186"/>
      <c r="P38" s="187"/>
      <c r="Q38" s="188"/>
      <c r="R38" s="188"/>
      <c r="S38" s="188"/>
      <c r="T38" s="188"/>
      <c r="U38" s="188"/>
      <c r="V38" s="188"/>
      <c r="W38" s="188"/>
      <c r="X38" s="189"/>
      <c r="Y38" s="189"/>
      <c r="Z38" s="189"/>
      <c r="AA38" s="189"/>
      <c r="AB38" s="189"/>
      <c r="AC38" s="188"/>
      <c r="AD38" s="309"/>
      <c r="AE38" s="310"/>
      <c r="AF38" s="188"/>
      <c r="AG38" s="188"/>
      <c r="AH38" s="188"/>
      <c r="AI38" s="557"/>
    </row>
    <row r="39" spans="1:35" s="37" customFormat="1" ht="24" customHeight="1">
      <c r="A39" s="36"/>
      <c r="B39" s="36"/>
      <c r="C39" s="638"/>
      <c r="D39" s="1984" t="s">
        <v>4140</v>
      </c>
      <c r="E39" s="639"/>
      <c r="F39" s="640">
        <v>1</v>
      </c>
      <c r="G39" s="641" t="s">
        <v>119</v>
      </c>
      <c r="H39" s="642"/>
      <c r="I39" s="1883">
        <f t="shared" si="0"/>
        <v>0</v>
      </c>
      <c r="J39" s="1984"/>
      <c r="K39" s="1984"/>
      <c r="L39" s="2356"/>
      <c r="N39" s="552"/>
      <c r="O39" s="186"/>
      <c r="P39" s="187"/>
      <c r="Q39" s="188"/>
      <c r="R39" s="188"/>
      <c r="S39" s="188"/>
      <c r="T39" s="188"/>
      <c r="U39" s="188"/>
      <c r="V39" s="188"/>
      <c r="W39" s="188"/>
      <c r="X39" s="189"/>
      <c r="Y39" s="189"/>
      <c r="Z39" s="189"/>
      <c r="AA39" s="189"/>
      <c r="AB39" s="189"/>
      <c r="AC39" s="188"/>
      <c r="AD39" s="309"/>
      <c r="AE39" s="310"/>
      <c r="AF39" s="188"/>
      <c r="AG39" s="188"/>
      <c r="AH39" s="188"/>
      <c r="AI39" s="557"/>
    </row>
    <row r="40" spans="1:35" s="37" customFormat="1" ht="24" customHeight="1">
      <c r="A40" s="36"/>
      <c r="B40" s="36"/>
      <c r="C40" s="638"/>
      <c r="D40" s="1984" t="s">
        <v>4898</v>
      </c>
      <c r="E40" s="639"/>
      <c r="F40" s="640">
        <v>1</v>
      </c>
      <c r="G40" s="641" t="s">
        <v>119</v>
      </c>
      <c r="H40" s="642"/>
      <c r="I40" s="1883">
        <f t="shared" si="0"/>
        <v>0</v>
      </c>
      <c r="J40" s="1984"/>
      <c r="K40" s="1984"/>
      <c r="L40" s="2356"/>
      <c r="N40" s="552"/>
      <c r="O40" s="186"/>
      <c r="P40" s="187"/>
      <c r="Q40" s="188"/>
      <c r="R40" s="188"/>
      <c r="S40" s="188"/>
      <c r="T40" s="188"/>
      <c r="U40" s="188"/>
      <c r="V40" s="188"/>
      <c r="W40" s="188"/>
      <c r="X40" s="189"/>
      <c r="Y40" s="189"/>
      <c r="Z40" s="189"/>
      <c r="AA40" s="189"/>
      <c r="AB40" s="189"/>
      <c r="AC40" s="188"/>
      <c r="AD40" s="309"/>
      <c r="AE40" s="310"/>
      <c r="AF40" s="188"/>
      <c r="AG40" s="188"/>
      <c r="AH40" s="188"/>
      <c r="AI40" s="557"/>
    </row>
    <row r="41" spans="1:35" s="37" customFormat="1" ht="24" customHeight="1">
      <c r="A41" s="36"/>
      <c r="B41" s="36"/>
      <c r="C41" s="638"/>
      <c r="D41" s="1984" t="s">
        <v>4141</v>
      </c>
      <c r="E41" s="639"/>
      <c r="F41" s="640">
        <v>1</v>
      </c>
      <c r="G41" s="641" t="s">
        <v>119</v>
      </c>
      <c r="H41" s="642"/>
      <c r="I41" s="1883">
        <f t="shared" si="0"/>
        <v>0</v>
      </c>
      <c r="J41" s="1984"/>
      <c r="K41" s="1984"/>
      <c r="L41" s="2356"/>
      <c r="N41" s="552"/>
      <c r="O41" s="186"/>
      <c r="P41" s="187"/>
      <c r="Q41" s="188"/>
      <c r="R41" s="188"/>
      <c r="S41" s="188"/>
      <c r="T41" s="188"/>
      <c r="U41" s="188"/>
      <c r="V41" s="188"/>
      <c r="W41" s="188"/>
      <c r="X41" s="189"/>
      <c r="Y41" s="189"/>
      <c r="Z41" s="189"/>
      <c r="AA41" s="189"/>
      <c r="AB41" s="189"/>
      <c r="AC41" s="188"/>
      <c r="AD41" s="309"/>
      <c r="AE41" s="310"/>
      <c r="AF41" s="188"/>
      <c r="AG41" s="188"/>
      <c r="AH41" s="188"/>
      <c r="AI41" s="557"/>
    </row>
    <row r="42" spans="1:35" s="37" customFormat="1" ht="24" customHeight="1">
      <c r="A42" s="36"/>
      <c r="B42" s="36"/>
      <c r="C42" s="638"/>
      <c r="D42" s="1984" t="s">
        <v>4142</v>
      </c>
      <c r="E42" s="639"/>
      <c r="F42" s="640">
        <v>1</v>
      </c>
      <c r="G42" s="641" t="s">
        <v>119</v>
      </c>
      <c r="H42" s="642"/>
      <c r="I42" s="1883">
        <f t="shared" si="0"/>
        <v>0</v>
      </c>
      <c r="J42" s="1984"/>
      <c r="K42" s="1984"/>
      <c r="L42" s="2356"/>
      <c r="N42" s="552"/>
      <c r="O42" s="186"/>
      <c r="P42" s="187"/>
      <c r="Q42" s="188"/>
      <c r="R42" s="188"/>
      <c r="S42" s="188"/>
      <c r="T42" s="188"/>
      <c r="U42" s="188"/>
      <c r="V42" s="188"/>
      <c r="W42" s="188"/>
      <c r="X42" s="189"/>
      <c r="Y42" s="189"/>
      <c r="Z42" s="189"/>
      <c r="AA42" s="189"/>
      <c r="AB42" s="189"/>
      <c r="AC42" s="188"/>
      <c r="AD42" s="309"/>
      <c r="AE42" s="310"/>
      <c r="AF42" s="188"/>
      <c r="AG42" s="188"/>
      <c r="AH42" s="188"/>
      <c r="AI42" s="557"/>
    </row>
    <row r="43" spans="1:35" s="37" customFormat="1" ht="24" customHeight="1">
      <c r="A43" s="36"/>
      <c r="B43" s="36"/>
      <c r="C43" s="638"/>
      <c r="D43" s="1984" t="s">
        <v>4899</v>
      </c>
      <c r="E43" s="639"/>
      <c r="F43" s="640">
        <v>1</v>
      </c>
      <c r="G43" s="641" t="s">
        <v>119</v>
      </c>
      <c r="H43" s="642"/>
      <c r="I43" s="1883">
        <f t="shared" si="0"/>
        <v>0</v>
      </c>
      <c r="J43" s="1984"/>
      <c r="K43" s="1984"/>
      <c r="L43" s="2356"/>
      <c r="N43" s="552"/>
      <c r="O43" s="186"/>
      <c r="P43" s="187"/>
      <c r="Q43" s="188"/>
      <c r="R43" s="188"/>
      <c r="S43" s="188"/>
      <c r="T43" s="188"/>
      <c r="U43" s="188"/>
      <c r="V43" s="188"/>
      <c r="W43" s="188"/>
      <c r="X43" s="189"/>
      <c r="Y43" s="189"/>
      <c r="Z43" s="189"/>
      <c r="AA43" s="189"/>
      <c r="AB43" s="189"/>
      <c r="AC43" s="188"/>
      <c r="AD43" s="309"/>
      <c r="AE43" s="310"/>
      <c r="AF43" s="188"/>
      <c r="AG43" s="188"/>
      <c r="AH43" s="188"/>
      <c r="AI43" s="557"/>
    </row>
    <row r="44" spans="1:35" s="37" customFormat="1" ht="24" customHeight="1">
      <c r="A44" s="36"/>
      <c r="B44" s="36"/>
      <c r="C44" s="638"/>
      <c r="D44" s="1984"/>
      <c r="E44" s="639"/>
      <c r="F44" s="640"/>
      <c r="G44" s="641"/>
      <c r="H44" s="642"/>
      <c r="I44" s="1883" t="str">
        <f t="shared" si="0"/>
        <v/>
      </c>
      <c r="J44" s="1984"/>
      <c r="K44" s="1984"/>
      <c r="L44" s="2356"/>
      <c r="N44" s="552"/>
      <c r="O44" s="186"/>
      <c r="P44" s="187"/>
      <c r="Q44" s="188"/>
      <c r="R44" s="188"/>
      <c r="S44" s="188"/>
      <c r="T44" s="188"/>
      <c r="U44" s="188"/>
      <c r="V44" s="188"/>
      <c r="W44" s="188"/>
      <c r="X44" s="189"/>
      <c r="Y44" s="189"/>
      <c r="Z44" s="189"/>
      <c r="AA44" s="189"/>
      <c r="AB44" s="189"/>
      <c r="AC44" s="188"/>
      <c r="AD44" s="309"/>
      <c r="AE44" s="310"/>
      <c r="AF44" s="188"/>
      <c r="AG44" s="188"/>
      <c r="AH44" s="188"/>
      <c r="AI44" s="557"/>
    </row>
    <row r="45" spans="1:35" s="37" customFormat="1" ht="24" customHeight="1">
      <c r="A45" s="36"/>
      <c r="B45" s="36"/>
      <c r="C45" s="2464"/>
      <c r="D45" s="2457" t="s">
        <v>4143</v>
      </c>
      <c r="E45" s="2458"/>
      <c r="F45" s="2459"/>
      <c r="G45" s="2460"/>
      <c r="H45" s="2461"/>
      <c r="I45" s="2462">
        <f>SUM(I35:I44)</f>
        <v>0</v>
      </c>
      <c r="J45" s="2457"/>
      <c r="K45" s="2457"/>
      <c r="L45" s="2463"/>
      <c r="N45" s="552"/>
      <c r="O45" s="186"/>
      <c r="P45" s="187"/>
      <c r="Q45" s="188"/>
      <c r="R45" s="188"/>
      <c r="S45" s="188"/>
      <c r="T45" s="188"/>
      <c r="U45" s="188"/>
      <c r="V45" s="188"/>
      <c r="W45" s="188"/>
      <c r="X45" s="189"/>
      <c r="Y45" s="189"/>
      <c r="Z45" s="189"/>
      <c r="AA45" s="189"/>
      <c r="AB45" s="189"/>
      <c r="AC45" s="188"/>
      <c r="AD45" s="309"/>
      <c r="AE45" s="310"/>
      <c r="AF45" s="188"/>
      <c r="AG45" s="188"/>
      <c r="AH45" s="188"/>
      <c r="AI45" s="557"/>
    </row>
    <row r="46" spans="1:35" s="37" customFormat="1" ht="24" customHeight="1">
      <c r="A46" s="36"/>
      <c r="B46" s="36"/>
      <c r="C46" s="638"/>
      <c r="D46" s="1984"/>
      <c r="E46" s="639"/>
      <c r="F46" s="640"/>
      <c r="G46" s="641"/>
      <c r="H46" s="642"/>
      <c r="I46" s="1883" t="str">
        <f t="shared" ref="I46" si="1">IF(F46="","",INT(F46*H46))</f>
        <v/>
      </c>
      <c r="J46" s="1984"/>
      <c r="K46" s="1984"/>
      <c r="L46" s="2356"/>
      <c r="N46" s="552"/>
      <c r="O46" s="186"/>
      <c r="P46" s="187"/>
      <c r="Q46" s="188"/>
      <c r="R46" s="188"/>
      <c r="S46" s="188"/>
      <c r="T46" s="188"/>
      <c r="U46" s="188"/>
      <c r="V46" s="188"/>
      <c r="W46" s="188"/>
      <c r="X46" s="189"/>
      <c r="Y46" s="189"/>
      <c r="Z46" s="189"/>
      <c r="AA46" s="189"/>
      <c r="AB46" s="189"/>
      <c r="AC46" s="188"/>
      <c r="AD46" s="309"/>
      <c r="AE46" s="310"/>
      <c r="AF46" s="188"/>
      <c r="AG46" s="188"/>
      <c r="AH46" s="188"/>
      <c r="AI46" s="557"/>
    </row>
    <row r="47" spans="1:35" ht="24" customHeight="1" thickBot="1">
      <c r="A47" s="36"/>
      <c r="B47" s="36"/>
      <c r="C47" s="2070"/>
      <c r="D47" s="2075" t="s">
        <v>4144</v>
      </c>
      <c r="E47" s="2071"/>
      <c r="F47" s="2072"/>
      <c r="G47" s="2453"/>
      <c r="H47" s="2465" t="s">
        <v>4131</v>
      </c>
      <c r="I47" s="2074">
        <f>I32+I45</f>
        <v>0</v>
      </c>
      <c r="J47" s="2075" t="s">
        <v>4132</v>
      </c>
      <c r="K47" s="2075"/>
      <c r="L47" s="2455"/>
      <c r="O47" s="186"/>
      <c r="P47" s="187"/>
      <c r="Q47" s="188"/>
      <c r="R47" s="188"/>
      <c r="S47" s="188"/>
      <c r="T47" s="188"/>
      <c r="U47" s="188"/>
      <c r="V47" s="188"/>
      <c r="W47" s="188"/>
      <c r="X47" s="189"/>
      <c r="Y47" s="189"/>
      <c r="Z47" s="189"/>
      <c r="AA47" s="189"/>
      <c r="AB47" s="189"/>
      <c r="AC47" s="188"/>
      <c r="AD47" s="309"/>
      <c r="AE47" s="310"/>
      <c r="AF47" s="188"/>
      <c r="AG47" s="188"/>
      <c r="AH47" s="188"/>
      <c r="AI47" s="557"/>
    </row>
    <row r="48" spans="1:35" ht="14.25" customHeight="1">
      <c r="E48" s="101" t="s">
        <v>130</v>
      </c>
      <c r="F48" s="102">
        <f>+F25+1</f>
        <v>2</v>
      </c>
      <c r="G48" s="103" t="s">
        <v>131</v>
      </c>
      <c r="H48" s="104">
        <f>+$H$25</f>
        <v>69</v>
      </c>
      <c r="I48" s="104"/>
      <c r="M48" s="38" t="str">
        <f>IF(A50="","EOL","")</f>
        <v/>
      </c>
      <c r="N48" s="6">
        <f>+F48</f>
        <v>2</v>
      </c>
      <c r="O48" s="1"/>
      <c r="P48" s="1"/>
    </row>
    <row r="49" spans="1:35" ht="26.1" customHeight="1" thickBot="1">
      <c r="C49" s="2517" t="s">
        <v>107</v>
      </c>
      <c r="D49" s="2517"/>
      <c r="E49" s="2517"/>
      <c r="F49" s="2517"/>
      <c r="G49" s="2517"/>
      <c r="H49" s="2517"/>
      <c r="I49" s="2517"/>
      <c r="J49" s="2517"/>
      <c r="K49" s="2517"/>
      <c r="L49" s="2517"/>
      <c r="O49" s="2730" t="s">
        <v>4098</v>
      </c>
      <c r="P49" s="2730"/>
      <c r="Q49" s="2730"/>
      <c r="R49" s="2730"/>
      <c r="S49" s="2730"/>
      <c r="T49" s="2730"/>
      <c r="U49" s="2730"/>
      <c r="V49" s="2730"/>
      <c r="W49" s="2730"/>
      <c r="X49" s="2730"/>
      <c r="Y49" s="2730"/>
      <c r="Z49" s="2730"/>
      <c r="AA49" s="2730"/>
      <c r="AB49" s="2730"/>
      <c r="AC49" s="2730"/>
      <c r="AD49" s="2730"/>
      <c r="AE49" s="2730"/>
      <c r="AF49" s="2730"/>
      <c r="AG49" s="2730"/>
      <c r="AH49" s="2731"/>
      <c r="AI49" s="555"/>
    </row>
    <row r="50" spans="1:35" ht="42" customHeight="1">
      <c r="A50" s="5" t="s">
        <v>108</v>
      </c>
      <c r="B50" s="5" t="s">
        <v>109</v>
      </c>
      <c r="C50" s="99" t="s">
        <v>110</v>
      </c>
      <c r="D50" s="95"/>
      <c r="E50" s="96" t="s">
        <v>111</v>
      </c>
      <c r="F50" s="97" t="s">
        <v>112</v>
      </c>
      <c r="G50" s="97" t="s">
        <v>113</v>
      </c>
      <c r="H50" s="98" t="s">
        <v>114</v>
      </c>
      <c r="I50" s="98" t="s">
        <v>115</v>
      </c>
      <c r="J50" s="2552" t="s">
        <v>116</v>
      </c>
      <c r="K50" s="2553"/>
      <c r="L50" s="2554"/>
      <c r="O50" s="126" t="s">
        <v>4099</v>
      </c>
      <c r="P50" s="303" t="s">
        <v>4100</v>
      </c>
      <c r="Q50" s="241" t="s">
        <v>4101</v>
      </c>
      <c r="R50" s="241" t="s">
        <v>4102</v>
      </c>
      <c r="S50" s="241" t="s">
        <v>4103</v>
      </c>
      <c r="T50" s="241" t="s">
        <v>4104</v>
      </c>
      <c r="U50" s="241" t="s">
        <v>4105</v>
      </c>
      <c r="V50" s="125" t="s">
        <v>4106</v>
      </c>
      <c r="W50" s="241" t="s">
        <v>4107</v>
      </c>
      <c r="X50" s="180" t="s">
        <v>4108</v>
      </c>
      <c r="Y50" s="180" t="s">
        <v>4109</v>
      </c>
      <c r="Z50" s="180" t="s">
        <v>4110</v>
      </c>
      <c r="AA50" s="180" t="s">
        <v>4111</v>
      </c>
      <c r="AB50" s="180" t="s">
        <v>4112</v>
      </c>
      <c r="AC50" s="306" t="s">
        <v>4113</v>
      </c>
      <c r="AD50" s="307" t="s">
        <v>4114</v>
      </c>
      <c r="AE50" s="308" t="s">
        <v>4115</v>
      </c>
      <c r="AF50" s="124" t="s">
        <v>4116</v>
      </c>
      <c r="AG50" s="124" t="s">
        <v>4117</v>
      </c>
      <c r="AH50" s="124" t="s">
        <v>4118</v>
      </c>
      <c r="AI50" s="556"/>
    </row>
    <row r="51" spans="1:35" ht="24" customHeight="1">
      <c r="A51" s="36"/>
      <c r="B51" s="36"/>
      <c r="C51" s="2370" t="s">
        <v>4379</v>
      </c>
      <c r="D51" s="105"/>
      <c r="E51" s="632"/>
      <c r="F51" s="1889"/>
      <c r="G51" s="634"/>
      <c r="H51" s="2371" t="s">
        <v>117</v>
      </c>
      <c r="I51" s="2371" t="s">
        <v>117</v>
      </c>
      <c r="J51" s="2759"/>
      <c r="K51" s="2788"/>
      <c r="L51" s="2734"/>
      <c r="O51" s="186"/>
      <c r="P51" s="187"/>
      <c r="Q51" s="188"/>
      <c r="R51" s="188"/>
      <c r="S51" s="188"/>
      <c r="T51" s="188"/>
      <c r="U51" s="188"/>
      <c r="V51" s="188"/>
      <c r="W51" s="188"/>
      <c r="X51" s="189"/>
      <c r="Y51" s="189"/>
      <c r="Z51" s="189"/>
      <c r="AA51" s="189"/>
      <c r="AB51" s="189"/>
      <c r="AC51" s="188"/>
      <c r="AD51" s="309"/>
      <c r="AE51" s="310"/>
      <c r="AF51" s="188"/>
      <c r="AG51" s="188"/>
      <c r="AH51" s="188"/>
      <c r="AI51" s="557"/>
    </row>
    <row r="52" spans="1:35" s="37" customFormat="1" ht="24" customHeight="1">
      <c r="A52" s="36"/>
      <c r="B52" s="36"/>
      <c r="C52" s="638"/>
      <c r="D52" s="105"/>
      <c r="E52" s="639"/>
      <c r="F52" s="640"/>
      <c r="G52" s="641"/>
      <c r="H52" s="642"/>
      <c r="I52" s="1883" t="str">
        <f>IF(F52="","",INT(F52*H52))</f>
        <v/>
      </c>
      <c r="J52" s="1984"/>
      <c r="K52" s="1984"/>
      <c r="L52" s="2356"/>
      <c r="N52" s="552"/>
      <c r="O52" s="186"/>
      <c r="P52" s="187"/>
      <c r="Q52" s="188"/>
      <c r="R52" s="188"/>
      <c r="S52" s="188"/>
      <c r="T52" s="188"/>
      <c r="U52" s="188"/>
      <c r="V52" s="188"/>
      <c r="W52" s="188"/>
      <c r="X52" s="189"/>
      <c r="Y52" s="189"/>
      <c r="Z52" s="189"/>
      <c r="AA52" s="189"/>
      <c r="AB52" s="189"/>
      <c r="AC52" s="188"/>
      <c r="AD52" s="309"/>
      <c r="AE52" s="310"/>
      <c r="AF52" s="188"/>
      <c r="AG52" s="188"/>
      <c r="AH52" s="188"/>
      <c r="AI52" s="557"/>
    </row>
    <row r="53" spans="1:35" s="37" customFormat="1" ht="24" customHeight="1">
      <c r="A53" s="36"/>
      <c r="B53" s="36"/>
      <c r="C53" s="638"/>
      <c r="D53" s="105" t="s">
        <v>4146</v>
      </c>
      <c r="E53" s="639"/>
      <c r="F53" s="640">
        <v>1</v>
      </c>
      <c r="G53" s="641" t="s">
        <v>119</v>
      </c>
      <c r="H53" s="642"/>
      <c r="I53" s="1883">
        <f t="shared" ref="I53:I69" si="2">IF(F53="","",INT(F53*H53))</f>
        <v>0</v>
      </c>
      <c r="J53" s="1984"/>
      <c r="K53" s="1984"/>
      <c r="L53" s="2356"/>
      <c r="N53" s="552"/>
      <c r="O53" s="186"/>
      <c r="P53" s="187"/>
      <c r="Q53" s="188"/>
      <c r="R53" s="188"/>
      <c r="S53" s="188"/>
      <c r="T53" s="188"/>
      <c r="U53" s="188"/>
      <c r="V53" s="188"/>
      <c r="W53" s="188"/>
      <c r="X53" s="189"/>
      <c r="Y53" s="189"/>
      <c r="Z53" s="189"/>
      <c r="AA53" s="189"/>
      <c r="AB53" s="189"/>
      <c r="AC53" s="188"/>
      <c r="AD53" s="309"/>
      <c r="AE53" s="310"/>
      <c r="AF53" s="188"/>
      <c r="AG53" s="188"/>
      <c r="AH53" s="188"/>
      <c r="AI53" s="557"/>
    </row>
    <row r="54" spans="1:35" s="37" customFormat="1" ht="24" customHeight="1">
      <c r="A54" s="36"/>
      <c r="B54" s="36"/>
      <c r="C54" s="638"/>
      <c r="D54" s="105" t="s">
        <v>4148</v>
      </c>
      <c r="E54" s="639"/>
      <c r="F54" s="640">
        <v>1</v>
      </c>
      <c r="G54" s="641" t="s">
        <v>119</v>
      </c>
      <c r="H54" s="642"/>
      <c r="I54" s="1883">
        <f t="shared" si="2"/>
        <v>0</v>
      </c>
      <c r="J54" s="1984"/>
      <c r="K54" s="1984"/>
      <c r="L54" s="2356"/>
      <c r="N54" s="552"/>
      <c r="O54" s="186"/>
      <c r="P54" s="187"/>
      <c r="Q54" s="188"/>
      <c r="R54" s="188"/>
      <c r="S54" s="188"/>
      <c r="T54" s="188"/>
      <c r="U54" s="188"/>
      <c r="V54" s="188"/>
      <c r="W54" s="188"/>
      <c r="X54" s="189"/>
      <c r="Y54" s="189"/>
      <c r="Z54" s="189"/>
      <c r="AA54" s="189"/>
      <c r="AB54" s="189"/>
      <c r="AC54" s="188"/>
      <c r="AD54" s="309"/>
      <c r="AE54" s="310"/>
      <c r="AF54" s="188"/>
      <c r="AG54" s="188"/>
      <c r="AH54" s="188"/>
      <c r="AI54" s="557"/>
    </row>
    <row r="55" spans="1:35" s="37" customFormat="1" ht="24" customHeight="1">
      <c r="A55" s="36"/>
      <c r="B55" s="36"/>
      <c r="C55" s="638"/>
      <c r="D55" s="105" t="s">
        <v>4150</v>
      </c>
      <c r="E55" s="639"/>
      <c r="F55" s="640">
        <v>1</v>
      </c>
      <c r="G55" s="641" t="s">
        <v>119</v>
      </c>
      <c r="H55" s="642"/>
      <c r="I55" s="1883">
        <f t="shared" si="2"/>
        <v>0</v>
      </c>
      <c r="J55" s="1984"/>
      <c r="K55" s="1984"/>
      <c r="L55" s="2356"/>
      <c r="N55" s="552"/>
      <c r="O55" s="186"/>
      <c r="P55" s="187"/>
      <c r="Q55" s="188"/>
      <c r="R55" s="188"/>
      <c r="S55" s="188"/>
      <c r="T55" s="188"/>
      <c r="U55" s="188"/>
      <c r="V55" s="188"/>
      <c r="W55" s="188"/>
      <c r="X55" s="189"/>
      <c r="Y55" s="189"/>
      <c r="Z55" s="189"/>
      <c r="AA55" s="189"/>
      <c r="AB55" s="189"/>
      <c r="AC55" s="188"/>
      <c r="AD55" s="309"/>
      <c r="AE55" s="310"/>
      <c r="AF55" s="188"/>
      <c r="AG55" s="188"/>
      <c r="AH55" s="188"/>
      <c r="AI55" s="557"/>
    </row>
    <row r="56" spans="1:35" s="37" customFormat="1" ht="24" customHeight="1">
      <c r="A56" s="36"/>
      <c r="B56" s="36"/>
      <c r="C56" s="638"/>
      <c r="D56" s="105" t="s">
        <v>4151</v>
      </c>
      <c r="E56" s="639"/>
      <c r="F56" s="640">
        <v>1</v>
      </c>
      <c r="G56" s="641" t="s">
        <v>119</v>
      </c>
      <c r="H56" s="642"/>
      <c r="I56" s="1883">
        <f t="shared" si="2"/>
        <v>0</v>
      </c>
      <c r="J56" s="1984"/>
      <c r="K56" s="1984"/>
      <c r="L56" s="2356"/>
      <c r="N56" s="552"/>
      <c r="O56" s="186"/>
      <c r="P56" s="187"/>
      <c r="Q56" s="188"/>
      <c r="R56" s="188"/>
      <c r="S56" s="188"/>
      <c r="T56" s="188"/>
      <c r="U56" s="188"/>
      <c r="V56" s="188"/>
      <c r="W56" s="188"/>
      <c r="X56" s="189"/>
      <c r="Y56" s="189"/>
      <c r="Z56" s="189"/>
      <c r="AA56" s="189"/>
      <c r="AB56" s="189"/>
      <c r="AC56" s="188"/>
      <c r="AD56" s="309"/>
      <c r="AE56" s="310"/>
      <c r="AF56" s="188"/>
      <c r="AG56" s="188"/>
      <c r="AH56" s="188"/>
      <c r="AI56" s="557"/>
    </row>
    <row r="57" spans="1:35" s="37" customFormat="1" ht="24" customHeight="1">
      <c r="A57" s="36"/>
      <c r="B57" s="36"/>
      <c r="C57" s="638"/>
      <c r="D57" s="105" t="s">
        <v>4152</v>
      </c>
      <c r="E57" s="639"/>
      <c r="F57" s="640">
        <v>1</v>
      </c>
      <c r="G57" s="641" t="s">
        <v>119</v>
      </c>
      <c r="H57" s="642"/>
      <c r="I57" s="1883">
        <f t="shared" si="2"/>
        <v>0</v>
      </c>
      <c r="J57" s="1984"/>
      <c r="K57" s="1984"/>
      <c r="L57" s="2356"/>
      <c r="N57" s="552"/>
      <c r="O57" s="186"/>
      <c r="P57" s="187"/>
      <c r="Q57" s="188"/>
      <c r="R57" s="188"/>
      <c r="S57" s="188"/>
      <c r="T57" s="188"/>
      <c r="U57" s="188"/>
      <c r="V57" s="188"/>
      <c r="W57" s="188"/>
      <c r="X57" s="189"/>
      <c r="Y57" s="189"/>
      <c r="Z57" s="189"/>
      <c r="AA57" s="189"/>
      <c r="AB57" s="189"/>
      <c r="AC57" s="188"/>
      <c r="AD57" s="309"/>
      <c r="AE57" s="310"/>
      <c r="AF57" s="188"/>
      <c r="AG57" s="188"/>
      <c r="AH57" s="188"/>
      <c r="AI57" s="557"/>
    </row>
    <row r="58" spans="1:35" s="37" customFormat="1" ht="24" customHeight="1">
      <c r="A58" s="36"/>
      <c r="B58" s="36"/>
      <c r="C58" s="638"/>
      <c r="D58" s="105" t="s">
        <v>4153</v>
      </c>
      <c r="E58" s="639"/>
      <c r="F58" s="640">
        <v>1</v>
      </c>
      <c r="G58" s="641" t="s">
        <v>119</v>
      </c>
      <c r="H58" s="642"/>
      <c r="I58" s="1883">
        <f t="shared" si="2"/>
        <v>0</v>
      </c>
      <c r="J58" s="1984"/>
      <c r="K58" s="1984"/>
      <c r="L58" s="2356"/>
      <c r="N58" s="552"/>
      <c r="O58" s="186"/>
      <c r="P58" s="187"/>
      <c r="Q58" s="188"/>
      <c r="R58" s="188"/>
      <c r="S58" s="188"/>
      <c r="T58" s="188"/>
      <c r="U58" s="188"/>
      <c r="V58" s="188"/>
      <c r="W58" s="188"/>
      <c r="X58" s="189"/>
      <c r="Y58" s="189"/>
      <c r="Z58" s="189"/>
      <c r="AA58" s="189"/>
      <c r="AB58" s="189"/>
      <c r="AC58" s="188"/>
      <c r="AD58" s="309"/>
      <c r="AE58" s="310"/>
      <c r="AF58" s="188"/>
      <c r="AG58" s="188"/>
      <c r="AH58" s="188"/>
      <c r="AI58" s="557"/>
    </row>
    <row r="59" spans="1:35" s="37" customFormat="1" ht="24" customHeight="1">
      <c r="A59" s="36"/>
      <c r="B59" s="36"/>
      <c r="C59" s="638"/>
      <c r="D59" s="105"/>
      <c r="E59" s="639"/>
      <c r="F59" s="640"/>
      <c r="G59" s="641"/>
      <c r="H59" s="642"/>
      <c r="I59" s="1883" t="str">
        <f t="shared" si="2"/>
        <v/>
      </c>
      <c r="J59" s="1984"/>
      <c r="K59" s="1984"/>
      <c r="L59" s="2356"/>
      <c r="N59" s="552"/>
      <c r="O59" s="186"/>
      <c r="P59" s="187"/>
      <c r="Q59" s="188"/>
      <c r="R59" s="188"/>
      <c r="S59" s="188"/>
      <c r="T59" s="188"/>
      <c r="U59" s="188"/>
      <c r="V59" s="188"/>
      <c r="W59" s="188"/>
      <c r="X59" s="189"/>
      <c r="Y59" s="189"/>
      <c r="Z59" s="189"/>
      <c r="AA59" s="189"/>
      <c r="AB59" s="189"/>
      <c r="AC59" s="188"/>
      <c r="AD59" s="309"/>
      <c r="AE59" s="310"/>
      <c r="AF59" s="188"/>
      <c r="AG59" s="188"/>
      <c r="AH59" s="188"/>
      <c r="AI59" s="557"/>
    </row>
    <row r="60" spans="1:35" s="37" customFormat="1" ht="24" customHeight="1">
      <c r="A60" s="36"/>
      <c r="B60" s="36"/>
      <c r="C60" s="638"/>
      <c r="D60" s="105"/>
      <c r="E60" s="639"/>
      <c r="F60" s="640"/>
      <c r="G60" s="641"/>
      <c r="H60" s="642"/>
      <c r="I60" s="1883" t="str">
        <f t="shared" si="2"/>
        <v/>
      </c>
      <c r="J60" s="1984"/>
      <c r="K60" s="1984"/>
      <c r="L60" s="2356"/>
      <c r="N60" s="552"/>
      <c r="O60" s="186"/>
      <c r="P60" s="187"/>
      <c r="Q60" s="188"/>
      <c r="R60" s="188"/>
      <c r="S60" s="188"/>
      <c r="T60" s="188"/>
      <c r="U60" s="188"/>
      <c r="V60" s="188"/>
      <c r="W60" s="188"/>
      <c r="X60" s="189"/>
      <c r="Y60" s="189"/>
      <c r="Z60" s="189"/>
      <c r="AA60" s="189"/>
      <c r="AB60" s="189"/>
      <c r="AC60" s="188"/>
      <c r="AD60" s="309"/>
      <c r="AE60" s="310"/>
      <c r="AF60" s="188"/>
      <c r="AG60" s="188"/>
      <c r="AH60" s="188"/>
      <c r="AI60" s="557"/>
    </row>
    <row r="61" spans="1:35" s="37" customFormat="1" ht="24" customHeight="1">
      <c r="A61" s="36"/>
      <c r="B61" s="36"/>
      <c r="C61" s="638"/>
      <c r="D61" s="105"/>
      <c r="E61" s="639"/>
      <c r="F61" s="640"/>
      <c r="G61" s="641"/>
      <c r="H61" s="642"/>
      <c r="I61" s="1883" t="str">
        <f t="shared" si="2"/>
        <v/>
      </c>
      <c r="J61" s="1984"/>
      <c r="K61" s="1984"/>
      <c r="L61" s="2356"/>
      <c r="N61" s="552"/>
      <c r="O61" s="186"/>
      <c r="P61" s="187"/>
      <c r="Q61" s="188"/>
      <c r="R61" s="188"/>
      <c r="S61" s="188"/>
      <c r="T61" s="188"/>
      <c r="U61" s="188"/>
      <c r="V61" s="188"/>
      <c r="W61" s="188"/>
      <c r="X61" s="189"/>
      <c r="Y61" s="189"/>
      <c r="Z61" s="189"/>
      <c r="AA61" s="189"/>
      <c r="AB61" s="189"/>
      <c r="AC61" s="188"/>
      <c r="AD61" s="309"/>
      <c r="AE61" s="310"/>
      <c r="AF61" s="188"/>
      <c r="AG61" s="188"/>
      <c r="AH61" s="188"/>
      <c r="AI61" s="557"/>
    </row>
    <row r="62" spans="1:35" s="37" customFormat="1" ht="24" customHeight="1">
      <c r="A62" s="36"/>
      <c r="B62" s="36"/>
      <c r="C62" s="638"/>
      <c r="D62" s="105"/>
      <c r="E62" s="639"/>
      <c r="F62" s="640"/>
      <c r="G62" s="641"/>
      <c r="H62" s="642"/>
      <c r="I62" s="1883" t="str">
        <f t="shared" si="2"/>
        <v/>
      </c>
      <c r="J62" s="1984"/>
      <c r="K62" s="1984"/>
      <c r="L62" s="2356"/>
      <c r="N62" s="552"/>
      <c r="O62" s="186"/>
      <c r="P62" s="187"/>
      <c r="Q62" s="188"/>
      <c r="R62" s="188"/>
      <c r="S62" s="188"/>
      <c r="T62" s="188"/>
      <c r="U62" s="188"/>
      <c r="V62" s="188"/>
      <c r="W62" s="188"/>
      <c r="X62" s="189"/>
      <c r="Y62" s="189"/>
      <c r="Z62" s="189"/>
      <c r="AA62" s="189"/>
      <c r="AB62" s="189"/>
      <c r="AC62" s="188"/>
      <c r="AD62" s="309"/>
      <c r="AE62" s="310"/>
      <c r="AF62" s="188"/>
      <c r="AG62" s="188"/>
      <c r="AH62" s="188"/>
      <c r="AI62" s="557"/>
    </row>
    <row r="63" spans="1:35" s="37" customFormat="1" ht="24" customHeight="1">
      <c r="A63" s="36"/>
      <c r="B63" s="36"/>
      <c r="C63" s="638"/>
      <c r="D63" s="105"/>
      <c r="E63" s="639"/>
      <c r="F63" s="640"/>
      <c r="G63" s="641"/>
      <c r="H63" s="642"/>
      <c r="I63" s="1883" t="str">
        <f t="shared" si="2"/>
        <v/>
      </c>
      <c r="J63" s="1984"/>
      <c r="K63" s="1984"/>
      <c r="L63" s="2356"/>
      <c r="N63" s="552"/>
      <c r="O63" s="186"/>
      <c r="P63" s="187"/>
      <c r="Q63" s="188"/>
      <c r="R63" s="188"/>
      <c r="S63" s="188"/>
      <c r="T63" s="188"/>
      <c r="U63" s="188"/>
      <c r="V63" s="188"/>
      <c r="W63" s="188"/>
      <c r="X63" s="189"/>
      <c r="Y63" s="189"/>
      <c r="Z63" s="189"/>
      <c r="AA63" s="189"/>
      <c r="AB63" s="189"/>
      <c r="AC63" s="188"/>
      <c r="AD63" s="309"/>
      <c r="AE63" s="310"/>
      <c r="AF63" s="188"/>
      <c r="AG63" s="188"/>
      <c r="AH63" s="188"/>
      <c r="AI63" s="557"/>
    </row>
    <row r="64" spans="1:35" s="37" customFormat="1" ht="24" customHeight="1">
      <c r="A64" s="36"/>
      <c r="B64" s="36"/>
      <c r="C64" s="638"/>
      <c r="D64" s="105"/>
      <c r="E64" s="639"/>
      <c r="F64" s="640"/>
      <c r="G64" s="641"/>
      <c r="H64" s="642"/>
      <c r="I64" s="1883" t="str">
        <f t="shared" si="2"/>
        <v/>
      </c>
      <c r="J64" s="1984"/>
      <c r="K64" s="1984"/>
      <c r="L64" s="2356"/>
      <c r="N64" s="552"/>
      <c r="O64" s="186"/>
      <c r="P64" s="187"/>
      <c r="Q64" s="188"/>
      <c r="R64" s="188"/>
      <c r="S64" s="188"/>
      <c r="T64" s="188"/>
      <c r="U64" s="188"/>
      <c r="V64" s="188"/>
      <c r="W64" s="188"/>
      <c r="X64" s="189"/>
      <c r="Y64" s="189"/>
      <c r="Z64" s="189"/>
      <c r="AA64" s="189"/>
      <c r="AB64" s="189"/>
      <c r="AC64" s="188"/>
      <c r="AD64" s="309"/>
      <c r="AE64" s="310"/>
      <c r="AF64" s="188"/>
      <c r="AG64" s="188"/>
      <c r="AH64" s="188"/>
      <c r="AI64" s="557"/>
    </row>
    <row r="65" spans="1:35" s="37" customFormat="1" ht="24" customHeight="1">
      <c r="A65" s="36"/>
      <c r="B65" s="36"/>
      <c r="C65" s="638"/>
      <c r="D65" s="105"/>
      <c r="E65" s="639"/>
      <c r="F65" s="640"/>
      <c r="G65" s="641"/>
      <c r="H65" s="642"/>
      <c r="I65" s="1883" t="str">
        <f t="shared" si="2"/>
        <v/>
      </c>
      <c r="J65" s="1984"/>
      <c r="K65" s="1984"/>
      <c r="L65" s="2356"/>
      <c r="N65" s="552"/>
      <c r="O65" s="186"/>
      <c r="P65" s="187"/>
      <c r="Q65" s="188"/>
      <c r="R65" s="188"/>
      <c r="S65" s="188"/>
      <c r="T65" s="188"/>
      <c r="U65" s="188"/>
      <c r="V65" s="188"/>
      <c r="W65" s="188"/>
      <c r="X65" s="189"/>
      <c r="Y65" s="189"/>
      <c r="Z65" s="189"/>
      <c r="AA65" s="189"/>
      <c r="AB65" s="189"/>
      <c r="AC65" s="188"/>
      <c r="AD65" s="309"/>
      <c r="AE65" s="310"/>
      <c r="AF65" s="188"/>
      <c r="AG65" s="188"/>
      <c r="AH65" s="188"/>
      <c r="AI65" s="557"/>
    </row>
    <row r="66" spans="1:35" s="37" customFormat="1" ht="24" customHeight="1">
      <c r="A66" s="36"/>
      <c r="B66" s="36"/>
      <c r="C66" s="638"/>
      <c r="D66" s="105"/>
      <c r="E66" s="639"/>
      <c r="F66" s="640"/>
      <c r="G66" s="641"/>
      <c r="H66" s="642"/>
      <c r="I66" s="1883" t="str">
        <f t="shared" si="2"/>
        <v/>
      </c>
      <c r="J66" s="1984"/>
      <c r="K66" s="1984"/>
      <c r="L66" s="2356"/>
      <c r="N66" s="552"/>
      <c r="O66" s="186"/>
      <c r="P66" s="187"/>
      <c r="Q66" s="188"/>
      <c r="R66" s="188"/>
      <c r="S66" s="188"/>
      <c r="T66" s="188"/>
      <c r="U66" s="188"/>
      <c r="V66" s="188"/>
      <c r="W66" s="188"/>
      <c r="X66" s="189"/>
      <c r="Y66" s="189"/>
      <c r="Z66" s="189"/>
      <c r="AA66" s="189"/>
      <c r="AB66" s="189"/>
      <c r="AC66" s="188"/>
      <c r="AD66" s="309"/>
      <c r="AE66" s="310"/>
      <c r="AF66" s="188"/>
      <c r="AG66" s="188"/>
      <c r="AH66" s="188"/>
      <c r="AI66" s="557"/>
    </row>
    <row r="67" spans="1:35" s="37" customFormat="1" ht="24" customHeight="1">
      <c r="A67" s="36"/>
      <c r="B67" s="36"/>
      <c r="C67" s="638"/>
      <c r="D67" s="105"/>
      <c r="E67" s="639"/>
      <c r="F67" s="640"/>
      <c r="G67" s="641"/>
      <c r="H67" s="642"/>
      <c r="I67" s="1883" t="str">
        <f t="shared" si="2"/>
        <v/>
      </c>
      <c r="J67" s="1984"/>
      <c r="K67" s="1984"/>
      <c r="L67" s="2356"/>
      <c r="N67" s="552"/>
      <c r="O67" s="186"/>
      <c r="P67" s="187"/>
      <c r="Q67" s="188"/>
      <c r="R67" s="188"/>
      <c r="S67" s="188"/>
      <c r="T67" s="188"/>
      <c r="U67" s="188"/>
      <c r="V67" s="188"/>
      <c r="W67" s="188"/>
      <c r="X67" s="189"/>
      <c r="Y67" s="189"/>
      <c r="Z67" s="189"/>
      <c r="AA67" s="189"/>
      <c r="AB67" s="189"/>
      <c r="AC67" s="188"/>
      <c r="AD67" s="309"/>
      <c r="AE67" s="310"/>
      <c r="AF67" s="188"/>
      <c r="AG67" s="188"/>
      <c r="AH67" s="188"/>
      <c r="AI67" s="557"/>
    </row>
    <row r="68" spans="1:35" s="37" customFormat="1" ht="24" customHeight="1">
      <c r="A68" s="36"/>
      <c r="B68" s="36"/>
      <c r="C68" s="638"/>
      <c r="D68" s="105"/>
      <c r="E68" s="639"/>
      <c r="F68" s="640"/>
      <c r="G68" s="641"/>
      <c r="H68" s="642"/>
      <c r="I68" s="1883" t="str">
        <f t="shared" si="2"/>
        <v/>
      </c>
      <c r="J68" s="1984"/>
      <c r="K68" s="1984"/>
      <c r="L68" s="2356"/>
      <c r="N68" s="552"/>
      <c r="O68" s="186"/>
      <c r="P68" s="187"/>
      <c r="Q68" s="188"/>
      <c r="R68" s="188"/>
      <c r="S68" s="188"/>
      <c r="T68" s="188"/>
      <c r="U68" s="188"/>
      <c r="V68" s="188"/>
      <c r="W68" s="188"/>
      <c r="X68" s="189"/>
      <c r="Y68" s="189"/>
      <c r="Z68" s="189"/>
      <c r="AA68" s="189"/>
      <c r="AB68" s="189"/>
      <c r="AC68" s="188"/>
      <c r="AD68" s="309"/>
      <c r="AE68" s="310"/>
      <c r="AF68" s="188"/>
      <c r="AG68" s="188"/>
      <c r="AH68" s="188"/>
      <c r="AI68" s="557"/>
    </row>
    <row r="69" spans="1:35" s="37" customFormat="1" ht="24" customHeight="1">
      <c r="A69" s="36"/>
      <c r="B69" s="36"/>
      <c r="C69" s="638"/>
      <c r="D69" s="105"/>
      <c r="E69" s="639"/>
      <c r="F69" s="640"/>
      <c r="G69" s="641"/>
      <c r="H69" s="642"/>
      <c r="I69" s="1883" t="str">
        <f t="shared" si="2"/>
        <v/>
      </c>
      <c r="J69" s="1984"/>
      <c r="K69" s="1984"/>
      <c r="L69" s="2356"/>
      <c r="N69" s="552"/>
      <c r="O69" s="186"/>
      <c r="P69" s="187"/>
      <c r="Q69" s="188"/>
      <c r="R69" s="188"/>
      <c r="S69" s="188"/>
      <c r="T69" s="188"/>
      <c r="U69" s="188"/>
      <c r="V69" s="188"/>
      <c r="W69" s="188"/>
      <c r="X69" s="189"/>
      <c r="Y69" s="189"/>
      <c r="Z69" s="189"/>
      <c r="AA69" s="189"/>
      <c r="AB69" s="189"/>
      <c r="AC69" s="188"/>
      <c r="AD69" s="309"/>
      <c r="AE69" s="310"/>
      <c r="AF69" s="188"/>
      <c r="AG69" s="188"/>
      <c r="AH69" s="188"/>
      <c r="AI69" s="557"/>
    </row>
    <row r="70" spans="1:35" ht="24" customHeight="1" thickBot="1">
      <c r="A70" s="36"/>
      <c r="B70" s="36"/>
      <c r="C70" s="2070"/>
      <c r="D70" s="2075" t="s">
        <v>4144</v>
      </c>
      <c r="E70" s="2071"/>
      <c r="F70" s="2072"/>
      <c r="G70" s="2453"/>
      <c r="H70" s="2465" t="s">
        <v>4131</v>
      </c>
      <c r="I70" s="2074">
        <f>SUM(I52:I69)</f>
        <v>0</v>
      </c>
      <c r="J70" s="2075" t="s">
        <v>4132</v>
      </c>
      <c r="K70" s="2075"/>
      <c r="L70" s="2455"/>
      <c r="O70" s="186"/>
      <c r="P70" s="187"/>
      <c r="Q70" s="188"/>
      <c r="R70" s="188"/>
      <c r="S70" s="188"/>
      <c r="T70" s="188"/>
      <c r="U70" s="188"/>
      <c r="V70" s="188"/>
      <c r="W70" s="188"/>
      <c r="X70" s="189"/>
      <c r="Y70" s="189"/>
      <c r="Z70" s="189"/>
      <c r="AA70" s="189"/>
      <c r="AB70" s="189"/>
      <c r="AC70" s="188"/>
      <c r="AD70" s="309"/>
      <c r="AE70" s="310"/>
      <c r="AF70" s="188"/>
      <c r="AG70" s="188"/>
      <c r="AH70" s="188"/>
      <c r="AI70" s="557"/>
    </row>
    <row r="71" spans="1:35" ht="14.25" customHeight="1">
      <c r="D71" s="102"/>
      <c r="E71" s="101" t="s">
        <v>130</v>
      </c>
      <c r="F71" s="102">
        <f>+F48+1</f>
        <v>3</v>
      </c>
      <c r="G71" s="103" t="s">
        <v>131</v>
      </c>
      <c r="H71" s="104">
        <f>+$H$25</f>
        <v>69</v>
      </c>
      <c r="I71" s="104"/>
      <c r="M71" s="31" t="str">
        <f>IF(A73="","EOL","")</f>
        <v>EOL</v>
      </c>
      <c r="N71" s="6">
        <f>+F71</f>
        <v>3</v>
      </c>
      <c r="O71" s="1"/>
      <c r="P71" s="1"/>
    </row>
    <row r="72" spans="1:35" ht="26.1" customHeight="1">
      <c r="O72" s="185"/>
      <c r="P72" s="185"/>
      <c r="Q72" s="185"/>
      <c r="R72" s="185"/>
      <c r="S72" s="185"/>
      <c r="T72" s="185"/>
      <c r="U72" s="185"/>
      <c r="V72" s="185"/>
      <c r="W72" s="185"/>
      <c r="X72" s="185"/>
      <c r="Y72" s="185"/>
      <c r="Z72" s="185"/>
      <c r="AA72" s="185"/>
    </row>
    <row r="73" spans="1:35" ht="26.1" customHeight="1">
      <c r="O73" s="1990"/>
      <c r="P73" s="1990"/>
      <c r="Q73" s="181"/>
      <c r="R73" s="182"/>
      <c r="S73" s="183"/>
      <c r="T73" s="183"/>
      <c r="U73" s="181"/>
      <c r="V73" s="181"/>
      <c r="W73" s="183"/>
      <c r="X73" s="1990"/>
      <c r="Y73" s="1990"/>
      <c r="Z73" s="1990"/>
      <c r="AA73" s="1990"/>
    </row>
    <row r="74" spans="1:35" ht="26.1" customHeight="1">
      <c r="O74" s="184"/>
      <c r="P74" s="184"/>
      <c r="Q74" s="181"/>
      <c r="R74" s="181"/>
      <c r="S74" s="181"/>
      <c r="T74" s="181"/>
      <c r="U74" s="181"/>
      <c r="V74" s="181"/>
      <c r="W74" s="181"/>
      <c r="X74" s="181"/>
      <c r="Y74" s="181"/>
      <c r="Z74" s="181"/>
      <c r="AA74" s="181"/>
    </row>
    <row r="75" spans="1:35" ht="26.1" customHeight="1">
      <c r="O75" s="184"/>
      <c r="P75" s="184"/>
      <c r="Q75" s="181"/>
      <c r="R75" s="181"/>
      <c r="S75" s="181"/>
      <c r="T75" s="181"/>
      <c r="U75" s="181"/>
      <c r="V75" s="181"/>
      <c r="W75" s="181"/>
      <c r="X75" s="181"/>
      <c r="Y75" s="181"/>
      <c r="Z75" s="181"/>
      <c r="AA75" s="181"/>
    </row>
    <row r="76" spans="1:35" ht="26.1" customHeight="1">
      <c r="O76" s="184"/>
      <c r="P76" s="184"/>
      <c r="Q76" s="181"/>
      <c r="R76" s="181"/>
      <c r="S76" s="181"/>
      <c r="T76" s="181"/>
      <c r="U76" s="181"/>
      <c r="V76" s="181"/>
      <c r="W76" s="181"/>
      <c r="X76" s="181"/>
      <c r="Y76" s="181"/>
      <c r="Z76" s="181"/>
      <c r="AA76" s="181"/>
    </row>
    <row r="77" spans="1:35" ht="26.1" customHeight="1">
      <c r="O77" s="184"/>
      <c r="P77" s="184"/>
      <c r="Q77" s="181"/>
      <c r="R77" s="181"/>
      <c r="S77" s="181"/>
      <c r="T77" s="181"/>
      <c r="U77" s="181"/>
      <c r="V77" s="181"/>
      <c r="W77" s="181"/>
      <c r="X77" s="181"/>
      <c r="Y77" s="181"/>
      <c r="Z77" s="181"/>
      <c r="AA77" s="181"/>
    </row>
    <row r="78" spans="1:35" ht="26.1" customHeight="1">
      <c r="O78" s="184"/>
      <c r="P78" s="184"/>
      <c r="Q78" s="181"/>
      <c r="R78" s="181"/>
      <c r="S78" s="181"/>
      <c r="T78" s="181"/>
      <c r="U78" s="181"/>
      <c r="V78" s="181"/>
      <c r="W78" s="181"/>
      <c r="X78" s="181"/>
      <c r="Y78" s="181"/>
      <c r="Z78" s="181"/>
      <c r="AA78" s="181"/>
    </row>
    <row r="79" spans="1:35" ht="26.1" customHeight="1">
      <c r="O79" s="184"/>
      <c r="P79" s="184"/>
      <c r="Q79" s="181"/>
      <c r="R79" s="181"/>
      <c r="S79" s="181"/>
      <c r="T79" s="181"/>
      <c r="U79" s="181"/>
      <c r="V79" s="181"/>
      <c r="W79" s="181"/>
      <c r="X79" s="181"/>
      <c r="Y79" s="181"/>
      <c r="Z79" s="181"/>
      <c r="AA79" s="181"/>
    </row>
    <row r="80" spans="1:35" ht="26.1" customHeight="1">
      <c r="O80" s="184"/>
      <c r="P80" s="184"/>
      <c r="Q80" s="181"/>
      <c r="R80" s="181"/>
      <c r="S80" s="181"/>
      <c r="T80" s="181"/>
      <c r="U80" s="181"/>
      <c r="V80" s="181"/>
      <c r="W80" s="181"/>
      <c r="X80" s="181"/>
      <c r="Y80" s="181"/>
      <c r="Z80" s="181"/>
      <c r="AA80" s="181"/>
    </row>
    <row r="81" spans="15:27" ht="26.1" customHeight="1">
      <c r="O81" s="184"/>
      <c r="P81" s="184"/>
      <c r="Q81" s="181"/>
      <c r="R81" s="181"/>
      <c r="S81" s="181"/>
      <c r="T81" s="181"/>
      <c r="U81" s="181"/>
      <c r="V81" s="181"/>
      <c r="W81" s="181"/>
      <c r="X81" s="181"/>
      <c r="Y81" s="181"/>
      <c r="Z81" s="181"/>
      <c r="AA81" s="181"/>
    </row>
    <row r="82" spans="15:27" ht="26.1" customHeight="1">
      <c r="O82" s="184"/>
      <c r="P82" s="184"/>
      <c r="Q82" s="181"/>
      <c r="R82" s="181"/>
      <c r="S82" s="181"/>
      <c r="T82" s="181"/>
      <c r="U82" s="181"/>
      <c r="V82" s="181"/>
      <c r="W82" s="181"/>
      <c r="X82" s="181"/>
      <c r="Y82" s="181"/>
      <c r="Z82" s="181"/>
      <c r="AA82" s="181"/>
    </row>
    <row r="83" spans="15:27" ht="26.1" customHeight="1">
      <c r="O83" s="184"/>
      <c r="P83" s="184"/>
      <c r="Q83" s="181"/>
      <c r="R83" s="181"/>
      <c r="S83" s="181"/>
      <c r="T83" s="181"/>
      <c r="U83" s="181"/>
      <c r="V83" s="181"/>
      <c r="W83" s="181"/>
      <c r="X83" s="181"/>
      <c r="Y83" s="181"/>
      <c r="Z83" s="181"/>
      <c r="AA83" s="181"/>
    </row>
    <row r="84" spans="15:27" ht="26.1" customHeight="1">
      <c r="O84" s="184"/>
      <c r="P84" s="184"/>
      <c r="Q84" s="181"/>
      <c r="R84" s="181"/>
      <c r="S84" s="181"/>
      <c r="T84" s="181"/>
      <c r="U84" s="181"/>
      <c r="V84" s="181"/>
      <c r="W84" s="181"/>
      <c r="X84" s="181"/>
      <c r="Y84" s="181"/>
      <c r="Z84" s="181"/>
      <c r="AA84" s="181"/>
    </row>
    <row r="85" spans="15:27" ht="26.1" customHeight="1">
      <c r="O85" s="184"/>
      <c r="P85" s="184"/>
      <c r="Q85" s="181"/>
      <c r="R85" s="181"/>
      <c r="S85" s="181"/>
      <c r="T85" s="181"/>
      <c r="U85" s="181"/>
      <c r="V85" s="181"/>
      <c r="W85" s="181"/>
      <c r="X85" s="181"/>
      <c r="Y85" s="181"/>
      <c r="Z85" s="181"/>
      <c r="AA85" s="181"/>
    </row>
    <row r="86" spans="15:27" ht="26.1" customHeight="1">
      <c r="O86" s="184"/>
      <c r="P86" s="184"/>
      <c r="Q86" s="181"/>
      <c r="R86" s="181"/>
      <c r="S86" s="181"/>
      <c r="T86" s="181"/>
      <c r="U86" s="181"/>
      <c r="V86" s="181"/>
      <c r="W86" s="181"/>
      <c r="X86" s="181"/>
      <c r="Y86" s="181"/>
      <c r="Z86" s="181"/>
      <c r="AA86" s="181"/>
    </row>
    <row r="87" spans="15:27" ht="26.1" customHeight="1">
      <c r="O87" s="184"/>
      <c r="P87" s="184"/>
      <c r="Q87" s="181"/>
      <c r="R87" s="181"/>
      <c r="S87" s="181"/>
      <c r="T87" s="181"/>
      <c r="U87" s="181"/>
      <c r="V87" s="181"/>
      <c r="W87" s="181"/>
      <c r="X87" s="181"/>
      <c r="Y87" s="181"/>
      <c r="Z87" s="181"/>
      <c r="AA87" s="181"/>
    </row>
    <row r="88" spans="15:27" ht="26.1" customHeight="1">
      <c r="O88" s="184"/>
      <c r="P88" s="184"/>
      <c r="Q88" s="181"/>
      <c r="R88" s="181"/>
      <c r="S88" s="181"/>
      <c r="T88" s="181"/>
      <c r="U88" s="181"/>
      <c r="V88" s="181"/>
      <c r="W88" s="181"/>
      <c r="X88" s="181"/>
      <c r="Y88" s="181"/>
      <c r="Z88" s="181"/>
      <c r="AA88" s="181"/>
    </row>
    <row r="89" spans="15:27" ht="26.1" customHeight="1">
      <c r="O89" s="184"/>
      <c r="P89" s="184"/>
      <c r="Q89" s="181"/>
      <c r="R89" s="181"/>
      <c r="S89" s="181"/>
      <c r="T89" s="181"/>
      <c r="U89" s="181"/>
      <c r="V89" s="181"/>
      <c r="W89" s="181"/>
      <c r="X89" s="181"/>
      <c r="Y89" s="181"/>
      <c r="Z89" s="181"/>
      <c r="AA89" s="181"/>
    </row>
    <row r="90" spans="15:27" ht="26.1" customHeight="1">
      <c r="O90" s="184"/>
      <c r="P90" s="184"/>
      <c r="Q90" s="181"/>
      <c r="R90" s="181"/>
      <c r="S90" s="181"/>
      <c r="T90" s="181"/>
      <c r="U90" s="181"/>
      <c r="V90" s="181"/>
      <c r="W90" s="181"/>
      <c r="X90" s="181"/>
      <c r="Y90" s="181"/>
      <c r="Z90" s="181"/>
      <c r="AA90" s="181"/>
    </row>
    <row r="91" spans="15:27" ht="26.1" customHeight="1">
      <c r="O91" s="184"/>
      <c r="P91" s="184"/>
      <c r="Q91" s="181"/>
      <c r="R91" s="181"/>
      <c r="S91" s="181"/>
      <c r="T91" s="181"/>
      <c r="U91" s="181"/>
      <c r="V91" s="181"/>
      <c r="W91" s="181"/>
      <c r="X91" s="181"/>
      <c r="Y91" s="181"/>
      <c r="Z91" s="181"/>
      <c r="AA91" s="181"/>
    </row>
    <row r="92" spans="15:27" ht="26.1" customHeight="1">
      <c r="O92" s="184"/>
      <c r="P92" s="184"/>
      <c r="Q92" s="181"/>
      <c r="R92" s="181"/>
      <c r="S92" s="181"/>
      <c r="T92" s="181"/>
      <c r="U92" s="181"/>
      <c r="V92" s="181"/>
      <c r="W92" s="181"/>
      <c r="X92" s="181"/>
      <c r="Y92" s="181"/>
      <c r="Z92" s="181"/>
      <c r="AA92" s="181"/>
    </row>
    <row r="93" spans="15:27" ht="26.1" customHeight="1">
      <c r="O93" s="184"/>
      <c r="P93" s="184"/>
      <c r="Q93" s="181"/>
      <c r="R93" s="181"/>
      <c r="S93" s="181"/>
      <c r="T93" s="181"/>
      <c r="U93" s="181"/>
      <c r="V93" s="181"/>
      <c r="W93" s="181"/>
      <c r="X93" s="181"/>
      <c r="Y93" s="181"/>
      <c r="Z93" s="181"/>
      <c r="AA93" s="181"/>
    </row>
    <row r="94" spans="15:27" ht="26.1" customHeight="1">
      <c r="O94" s="1"/>
      <c r="P94" s="1"/>
    </row>
  </sheetData>
  <mergeCells count="11">
    <mergeCell ref="O3:AH3"/>
    <mergeCell ref="O26:AH26"/>
    <mergeCell ref="O49:AH49"/>
    <mergeCell ref="J51:L51"/>
    <mergeCell ref="C3:L3"/>
    <mergeCell ref="C26:L26"/>
    <mergeCell ref="C49:L49"/>
    <mergeCell ref="J50:L50"/>
    <mergeCell ref="J5:L5"/>
    <mergeCell ref="J4:L4"/>
    <mergeCell ref="J27:L27"/>
  </mergeCells>
  <phoneticPr fontId="2"/>
  <printOptions horizontalCentered="1" verticalCentered="1"/>
  <pageMargins left="0.39370078740157483" right="0.39370078740157483" top="0.78740157480314965" bottom="0.19685039370078741" header="0.51181102362204722" footer="0.51181102362204722"/>
  <pageSetup paperSize="9" orientation="portrait" horizontalDpi="4294967293" verticalDpi="0" r:id="rId1"/>
  <headerFooter alignWithMargins="0"/>
  <rowBreaks count="1" manualBreakCount="1">
    <brk id="2" max="16383" man="1"/>
  </rowBreaks>
</worksheet>
</file>

<file path=OriginalRibbon/OriginalRibbon.xml><?xml version="1.0" encoding="utf-8"?>
<customUI xmlns="http://schemas.microsoft.com/office/2006/01/customui">
  <ribbon>
    <tabs>
      <tab id="myTab" label="明細">
        <group id="myGroup1" label="明細書">
          <button id="mybutton1" size="large" label="単価表呼出" imageMso="SharePointListsWorkOffline" onAction="Macro1" screentip="単価表による入力を行います。"/>
          <separator id="separator1"/>
          <button id="mybutton2" label="現在の位置に単票を追加" imageMso="CellsInsertDialog" onAction="Macro1" screentip="現在の位置に明細書単票を追加します。"/>
          <button id="mybutton3" label="最終行に単票を追加" imageMso="TableOfAuthoritiesInsert" onAction="Macro1" screentip="現在のシートの最終行に明細書単票を追加します。"/>
          <button id="mybutton4" label="明細シートを追加" imageMso="CreateQueryFromWizard" onAction="Macro1" screentip="明細書シートを追加します。"/>
          <separator id="separator2"/>
          <button id="mybutton5" label="現在の位置の単票を削除" imageMso="CellsDelete" onAction="Macro1" screentip="現在の位置の明細書単票を削除します。"/>
          <button id="mybutton6" label="最終行の単票を削除" imageMso="QueryDelete" onAction="Macro1" screentip="現在のシートの最終行の明細書単票を削除します。"/>
          <button id="mybutton7" label="明細シートを削除" imageMso="SheetDelete" onAction="Macro1" screentip="明細書シートを削除します。"/>
        </group>
        <group id="myGroup2" label="見積比較書">
          <button id="mybutton8" label="単票の追加" imageMso="TableRowsInsertBelowExcel" onAction="Macro1" screentip="現在の位置に見積比較書を追加します。"/>
          <button id="mybutton9" label="単票の削除" imageMso="TableRowsDeleteExcel" onAction="Macro1" screentip="現在の位置の見積比較書を削除します。"/>
        </group>
        <group id="myGroup3" label="印刷">
          <button id="mybutton10" size="large" label="明細書印刷" imageMso="FilePrint" onAction="Macro1" screentip="明細書を印刷します。"/>
          <separator id="separator3"/>
          <box id="box1" boxStyle="vertical">
            <button id="mybutton11" label="見積比較書印刷" imageMso="PrintOptionsMenu" onAction="Macro1" screentip="見積比較書を印刷します。"/>
            <button id="mybutton12" label="小運搬表印刷" imageMso="PrintAreaMenu" onAction="Macro1" screentip="小運搬表を印刷します。"/>
          </box>
          <separator id="separator4"/>
          <box id="box2" boxStyle="vertical">
            <button id="mybutton13" getVisible="getVisibleCallback1" label="諸経費表印刷" onAction="Macro1" screentip="諸経費表を印刷します。"/>
            <button id="mybutton14" getVisible="getVisibleCallback1" label="代価歩掛印刷" onAction="Macro1" screentip="代価歩掛を印刷します。"/>
          </box>
        </group>
        <group id="myGroup4" label="補助">
          <button id="mybutton15" size="large" label="小運搬表　作成　" imageMso="DatabaseLinedTableManager" onAction="Macro1" screentip="小運搬表を作成します。"/>
          <button id="mybutton16" label="ｼｰﾄ先頭ﾍﾟｰｼﾞに工種記入" imageMso="Refresh" onAction="Macro1" screentip="シートの先頭ページに、工種を記入しなおします。"/>
          <button id="mybutton17" getVisible="getVisibleCallback1" label="保障(範囲指定後)" imageMso="DistributionListAddNewMember" onAction="Macro1" screentip="保障対象範囲を指定後、使用してください。"/>
          <button id="mybutton18" getVisible="getVisibleCallback1" label="単価一括代入" imageMso="QueryBuilder" onAction="Macro1" screentip="ﾊｲﾘｽｸ・ﾊｲﾘﾀｰﾝ！ 気をつけて使いましょう！"/>
        </group>
        <group id="myGroup5" label="見積用">
          <button id="mybutton19" getVisible="getVisibleCallback2" label="見積担当者用に変更" imageMso="RecurrenceEdit" onAction="Macro1" screentip="見積担当者以外はさわらないでください。"/>
          <button id="mybutton20" getVisible="getVisibleCallback1" label="設計担当者用に変更" imageMso="RecurrenceEdit" onAction="Macro1" screentip="設計担当者用に戻します。"/>
          <button id="mybutton21" getVisible="getVisibleCallback1" label="現場送付用に変更" imageMso="GoTo" onAction="Macro1" screentip="単価等を貼付け、現場送付用に変更します。（注意！：ﾏｸﾛ等一部使用できなくなります。）"/>
        </group>
        <group id="myGroup6" label="ヘルプ">
          <button id="mybutton22" label="ヘルプ・使い方" imageMso="Help" onAction="Macro1" screentip="ごめんなさい。m(_ _)m 旧ﾊﾞｰｼﾞｮﾝのままです…。基本は同じなので参考としてください。"/>
          <button id="mybutton23" label="バージョン情報" imageMso="Info" onAction="Macro1" screentip="ﾊﾞｰｼﾞｮﾝ情報"/>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13</vt:i4>
      </vt:variant>
    </vt:vector>
  </HeadingPairs>
  <TitlesOfParts>
    <vt:vector size="44" baseType="lpstr">
      <vt:lpstr>数量内訳書表紙</vt:lpstr>
      <vt:lpstr>表紙</vt:lpstr>
      <vt:lpstr>資産管理明細書</vt:lpstr>
      <vt:lpstr>資産クラス</vt:lpstr>
      <vt:lpstr>諸経費表</vt:lpstr>
      <vt:lpstr>東梅田　諸</vt:lpstr>
      <vt:lpstr>工事1</vt:lpstr>
      <vt:lpstr>代価</vt:lpstr>
      <vt:lpstr>1</vt:lpstr>
      <vt:lpstr>工事2</vt:lpstr>
      <vt:lpstr>2</vt:lpstr>
      <vt:lpstr>工事3</vt:lpstr>
      <vt:lpstr>3</vt:lpstr>
      <vt:lpstr>工事4</vt:lpstr>
      <vt:lpstr>4</vt:lpstr>
      <vt:lpstr>工事5</vt:lpstr>
      <vt:lpstr>堺筋本町　諸</vt:lpstr>
      <vt:lpstr>工事6</vt:lpstr>
      <vt:lpstr>6</vt:lpstr>
      <vt:lpstr>工事7</vt:lpstr>
      <vt:lpstr>7</vt:lpstr>
      <vt:lpstr>工事8</vt:lpstr>
      <vt:lpstr>8</vt:lpstr>
      <vt:lpstr>見積比較</vt:lpstr>
      <vt:lpstr>小運搬</vt:lpstr>
      <vt:lpstr>代価一覧</vt:lpstr>
      <vt:lpstr>資産クラス一覧表</vt:lpstr>
      <vt:lpstr>諸経費表(専業工事用)</vt:lpstr>
      <vt:lpstr>随契差引諸経費表</vt:lpstr>
      <vt:lpstr>work</vt:lpstr>
      <vt:lpstr>新規シート</vt:lpstr>
      <vt:lpstr>work!Print_Area</vt:lpstr>
      <vt:lpstr>見積比較!Print_Area</vt:lpstr>
      <vt:lpstr>工事1!Print_Area</vt:lpstr>
      <vt:lpstr>'堺筋本町　諸'!Print_Area</vt:lpstr>
      <vt:lpstr>資産クラス!Print_Area</vt:lpstr>
      <vt:lpstr>資産管理明細書!Print_Area</vt:lpstr>
      <vt:lpstr>諸経費表!Print_Area</vt:lpstr>
      <vt:lpstr>'諸経費表(専業工事用)'!Print_Area</vt:lpstr>
      <vt:lpstr>随契差引諸経費表!Print_Area</vt:lpstr>
      <vt:lpstr>数量内訳書表紙!Print_Area</vt:lpstr>
      <vt:lpstr>代価!Print_Area</vt:lpstr>
      <vt:lpstr>'東梅田　諸'!Print_Area</vt:lpstr>
      <vt:lpstr>表紙!Print_Area</vt:lpstr>
    </vt:vector>
  </TitlesOfParts>
  <Manager>古田　順正</Manager>
  <Company>大阪市交通局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参考明細作成</dc:title>
  <dc:subject/>
  <dc:creator>建築企画担当</dc:creator>
  <cp:keywords/>
  <dc:description>参考明細作成用のVBA付き</dc:description>
  <cp:lastModifiedBy>ryoseki</cp:lastModifiedBy>
  <cp:revision/>
  <dcterms:created xsi:type="dcterms:W3CDTF">2000-06-20T23:47:24Z</dcterms:created>
  <dcterms:modified xsi:type="dcterms:W3CDTF">2022-06-23T06:21:26Z</dcterms:modified>
  <cp:category/>
  <cp:contentStatus/>
</cp:coreProperties>
</file>